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 tabRatio="553"/>
  </bookViews>
  <sheets>
    <sheet name="Récapitulatif" sheetId="16" r:id="rId1"/>
    <sheet name="Feuil1" sheetId="129" r:id="rId2"/>
    <sheet name="Donateurs" sheetId="131" r:id="rId3"/>
    <sheet name="DATA  Décembre 2021" sheetId="9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'DATA  Décembre 2021'!$A$11:$P$442</definedName>
  </definedNames>
  <calcPr calcId="124519"/>
  <pivotCaches>
    <pivotCache cacheId="110" r:id="rId16"/>
  </pivotCache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7" i="129"/>
  <c r="AP7"/>
  <c r="G13" i="95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E12" i="16"/>
  <c r="AP8" i="129"/>
  <c r="AP9"/>
  <c r="AP10"/>
  <c r="AP11"/>
  <c r="AP12"/>
  <c r="AP13"/>
  <c r="AP14"/>
  <c r="AP15"/>
  <c r="AP16"/>
  <c r="AP17"/>
  <c r="AP18"/>
  <c r="AQ8"/>
  <c r="AR8" s="1"/>
  <c r="AQ9"/>
  <c r="AR9" s="1"/>
  <c r="AQ10"/>
  <c r="AR10" s="1"/>
  <c r="AQ11"/>
  <c r="AR11" s="1"/>
  <c r="AQ12"/>
  <c r="AR12" s="1"/>
  <c r="AQ13"/>
  <c r="AR13" s="1"/>
  <c r="AQ14"/>
  <c r="AR14" s="1"/>
  <c r="AQ15"/>
  <c r="AR15" s="1"/>
  <c r="AQ16"/>
  <c r="AR16" s="1"/>
  <c r="AQ17"/>
  <c r="AR17" s="1"/>
  <c r="AR7"/>
  <c r="AP19" l="1"/>
  <c r="N17" i="16"/>
  <c r="M17"/>
  <c r="O17"/>
  <c r="L17"/>
  <c r="D14"/>
  <c r="AO8" i="129" l="1"/>
  <c r="AO9"/>
  <c r="AO10"/>
  <c r="AO11"/>
  <c r="AO12"/>
  <c r="AO13"/>
  <c r="AO14"/>
  <c r="AO15"/>
  <c r="AO16"/>
  <c r="AO17"/>
  <c r="AO18"/>
  <c r="AO7"/>
  <c r="AS19"/>
  <c r="AQ18"/>
  <c r="AR18" l="1"/>
  <c r="AQ19"/>
  <c r="AR19" l="1"/>
  <c r="AQ21"/>
  <c r="AR21"/>
  <c r="C44" i="16" l="1"/>
  <c r="C43"/>
  <c r="C41"/>
  <c r="C39"/>
  <c r="C38"/>
  <c r="C37"/>
  <c r="C36"/>
  <c r="C35"/>
  <c r="C34"/>
  <c r="C33"/>
  <c r="C32"/>
  <c r="C31"/>
  <c r="C30"/>
  <c r="C29"/>
  <c r="A29"/>
  <c r="A30" s="1"/>
  <c r="A31" s="1"/>
  <c r="A32" s="1"/>
  <c r="A33" s="1"/>
  <c r="A34" s="1"/>
  <c r="A35" s="1"/>
  <c r="C28"/>
  <c r="H17"/>
  <c r="C17"/>
  <c r="A20" s="1"/>
  <c r="G16"/>
  <c r="F16"/>
  <c r="H39" s="1"/>
  <c r="E16"/>
  <c r="I39" s="1"/>
  <c r="D16"/>
  <c r="E39" s="1"/>
  <c r="A16"/>
  <c r="G15"/>
  <c r="F15"/>
  <c r="H38" s="1"/>
  <c r="E15"/>
  <c r="I38" s="1"/>
  <c r="D15"/>
  <c r="A15"/>
  <c r="G14"/>
  <c r="F14"/>
  <c r="H37" s="1"/>
  <c r="E14"/>
  <c r="A14"/>
  <c r="G13"/>
  <c r="F13"/>
  <c r="H36" s="1"/>
  <c r="E13"/>
  <c r="I36" s="1"/>
  <c r="D13"/>
  <c r="E36" s="1"/>
  <c r="A13"/>
  <c r="G12"/>
  <c r="F12"/>
  <c r="H35" s="1"/>
  <c r="I35"/>
  <c r="D12"/>
  <c r="E35" s="1"/>
  <c r="A12"/>
  <c r="G11"/>
  <c r="F11"/>
  <c r="H34" s="1"/>
  <c r="E11"/>
  <c r="I34" s="1"/>
  <c r="D11"/>
  <c r="A11"/>
  <c r="G10"/>
  <c r="F10"/>
  <c r="H33" s="1"/>
  <c r="E10"/>
  <c r="I33" s="1"/>
  <c r="D10"/>
  <c r="E33" s="1"/>
  <c r="A10"/>
  <c r="G9"/>
  <c r="F9"/>
  <c r="H32" s="1"/>
  <c r="E9"/>
  <c r="I32" s="1"/>
  <c r="D9"/>
  <c r="E32" s="1"/>
  <c r="A9"/>
  <c r="G8"/>
  <c r="F8"/>
  <c r="H31" s="1"/>
  <c r="E8"/>
  <c r="I31" s="1"/>
  <c r="D8"/>
  <c r="E31" s="1"/>
  <c r="A8"/>
  <c r="G7"/>
  <c r="F7"/>
  <c r="H30" s="1"/>
  <c r="E7"/>
  <c r="I30" s="1"/>
  <c r="D7"/>
  <c r="A7"/>
  <c r="G6"/>
  <c r="F6"/>
  <c r="H41" s="1"/>
  <c r="E6"/>
  <c r="I41" s="1"/>
  <c r="D6"/>
  <c r="E41" s="1"/>
  <c r="A6"/>
  <c r="G5"/>
  <c r="D44" s="1"/>
  <c r="F5"/>
  <c r="H44" s="1"/>
  <c r="E5"/>
  <c r="I44" s="1"/>
  <c r="D5"/>
  <c r="A5"/>
  <c r="G4"/>
  <c r="D43" s="1"/>
  <c r="F4"/>
  <c r="H43" s="1"/>
  <c r="E4"/>
  <c r="I43" s="1"/>
  <c r="D4"/>
  <c r="A4"/>
  <c r="G3"/>
  <c r="F3"/>
  <c r="H29" s="1"/>
  <c r="E3"/>
  <c r="I29" s="1"/>
  <c r="D3"/>
  <c r="E29" s="1"/>
  <c r="A3"/>
  <c r="G2"/>
  <c r="F2"/>
  <c r="E2"/>
  <c r="I28" s="1"/>
  <c r="D2"/>
  <c r="E28" s="1"/>
  <c r="A2"/>
  <c r="I37" l="1"/>
  <c r="I14"/>
  <c r="I7"/>
  <c r="J7" s="1"/>
  <c r="J33"/>
  <c r="G17"/>
  <c r="B20" s="1"/>
  <c r="C45"/>
  <c r="I15"/>
  <c r="J15" s="1"/>
  <c r="I45"/>
  <c r="J41"/>
  <c r="I11"/>
  <c r="J11" s="1"/>
  <c r="I5"/>
  <c r="J5" s="1"/>
  <c r="F17"/>
  <c r="I4"/>
  <c r="J4" s="1"/>
  <c r="J14"/>
  <c r="E37"/>
  <c r="J37" s="1"/>
  <c r="K37" s="1"/>
  <c r="H28"/>
  <c r="J44"/>
  <c r="J32"/>
  <c r="J36"/>
  <c r="J28"/>
  <c r="J43"/>
  <c r="K43" s="1"/>
  <c r="J31"/>
  <c r="J35"/>
  <c r="J39"/>
  <c r="J29"/>
  <c r="A37"/>
  <c r="A36"/>
  <c r="A38" s="1"/>
  <c r="A39" s="1"/>
  <c r="A41" s="1"/>
  <c r="A43" s="1"/>
  <c r="A44" s="1"/>
  <c r="I9"/>
  <c r="J9" s="1"/>
  <c r="D17"/>
  <c r="I8"/>
  <c r="J8" s="1"/>
  <c r="I12"/>
  <c r="J12" s="1"/>
  <c r="I16"/>
  <c r="J16" s="1"/>
  <c r="E17"/>
  <c r="C20" s="1"/>
  <c r="D20" s="1"/>
  <c r="E30"/>
  <c r="J30" s="1"/>
  <c r="E34"/>
  <c r="J34" s="1"/>
  <c r="E38"/>
  <c r="J38" s="1"/>
  <c r="I13"/>
  <c r="J13" s="1"/>
  <c r="I2"/>
  <c r="I6"/>
  <c r="J6" s="1"/>
  <c r="I10"/>
  <c r="J10" s="1"/>
  <c r="I3"/>
  <c r="J3" s="1"/>
  <c r="C92"/>
  <c r="C91"/>
  <c r="C89"/>
  <c r="C83"/>
  <c r="C84"/>
  <c r="C85"/>
  <c r="C86"/>
  <c r="C87"/>
  <c r="C82"/>
  <c r="C81"/>
  <c r="C80"/>
  <c r="C79"/>
  <c r="C78"/>
  <c r="C77"/>
  <c r="C76"/>
  <c r="C65"/>
  <c r="K30" l="1"/>
  <c r="K38"/>
  <c r="K44"/>
  <c r="K34"/>
  <c r="G19"/>
  <c r="K28"/>
  <c r="J45"/>
  <c r="K35"/>
  <c r="K36"/>
  <c r="K41"/>
  <c r="K39"/>
  <c r="K33"/>
  <c r="K29"/>
  <c r="I17"/>
  <c r="J2"/>
  <c r="K31"/>
  <c r="K32"/>
  <c r="C93"/>
  <c r="A63"/>
  <c r="A64"/>
  <c r="J17" l="1"/>
  <c r="I18"/>
  <c r="E20"/>
  <c r="K45"/>
  <c r="G12" i="95" l="1"/>
  <c r="A77" i="16"/>
  <c r="A78" s="1"/>
  <c r="A79" s="1"/>
  <c r="A80" s="1"/>
  <c r="A81" s="1"/>
  <c r="A82" s="1"/>
  <c r="A83" s="1"/>
  <c r="C101"/>
  <c r="E137"/>
  <c r="H65"/>
  <c r="D50"/>
  <c r="E76" s="1"/>
  <c r="D51"/>
  <c r="E77" s="1"/>
  <c r="D52"/>
  <c r="D53"/>
  <c r="D54"/>
  <c r="D55"/>
  <c r="E78" s="1"/>
  <c r="D56"/>
  <c r="E79" s="1"/>
  <c r="D57"/>
  <c r="E80" s="1"/>
  <c r="D58"/>
  <c r="E81" s="1"/>
  <c r="D59"/>
  <c r="E82" s="1"/>
  <c r="D60"/>
  <c r="E83" s="1"/>
  <c r="D61"/>
  <c r="E84" s="1"/>
  <c r="D62"/>
  <c r="E85" s="1"/>
  <c r="D63"/>
  <c r="E86" s="1"/>
  <c r="E89" l="1"/>
  <c r="A85"/>
  <c r="A84"/>
  <c r="A86" s="1"/>
  <c r="A87" s="1"/>
  <c r="A89" s="1"/>
  <c r="A91" s="1"/>
  <c r="A92" s="1"/>
  <c r="E101"/>
  <c r="G63" l="1"/>
  <c r="G62"/>
  <c r="F62"/>
  <c r="H85" s="1"/>
  <c r="E50" l="1"/>
  <c r="I76" s="1"/>
  <c r="F50"/>
  <c r="H76" s="1"/>
  <c r="J76" s="1"/>
  <c r="G50"/>
  <c r="G51"/>
  <c r="D116" s="1"/>
  <c r="G52"/>
  <c r="A61"/>
  <c r="A62"/>
  <c r="A50"/>
  <c r="E62"/>
  <c r="I85" s="1"/>
  <c r="J85" s="1"/>
  <c r="E110"/>
  <c r="H110"/>
  <c r="C110"/>
  <c r="D117" l="1"/>
  <c r="D91"/>
  <c r="I110"/>
  <c r="J110" s="1"/>
  <c r="I62"/>
  <c r="J62" s="1"/>
  <c r="I101"/>
  <c r="I50"/>
  <c r="K76" s="1"/>
  <c r="H101"/>
  <c r="J101" s="1"/>
  <c r="K85" l="1"/>
  <c r="K110"/>
  <c r="J50"/>
  <c r="K101"/>
  <c r="C117" l="1"/>
  <c r="C116"/>
  <c r="C114"/>
  <c r="C112"/>
  <c r="C111"/>
  <c r="C109"/>
  <c r="C108"/>
  <c r="C107"/>
  <c r="C106"/>
  <c r="C105"/>
  <c r="C104"/>
  <c r="C103"/>
  <c r="A103"/>
  <c r="A104" s="1"/>
  <c r="A105" s="1"/>
  <c r="A106" s="1"/>
  <c r="A107" s="1"/>
  <c r="A108" s="1"/>
  <c r="C102"/>
  <c r="A68"/>
  <c r="G64"/>
  <c r="F64"/>
  <c r="E64"/>
  <c r="D64"/>
  <c r="E87" s="1"/>
  <c r="F63"/>
  <c r="E63"/>
  <c r="E111"/>
  <c r="G61"/>
  <c r="F61"/>
  <c r="E61"/>
  <c r="G60"/>
  <c r="F60"/>
  <c r="E60"/>
  <c r="A60"/>
  <c r="G59"/>
  <c r="F59"/>
  <c r="E59"/>
  <c r="E107"/>
  <c r="A59"/>
  <c r="G58"/>
  <c r="F58"/>
  <c r="E58"/>
  <c r="E106"/>
  <c r="A58"/>
  <c r="G57"/>
  <c r="F57"/>
  <c r="E57"/>
  <c r="E105"/>
  <c r="A57"/>
  <c r="G56"/>
  <c r="F56"/>
  <c r="E56"/>
  <c r="A56"/>
  <c r="G55"/>
  <c r="F55"/>
  <c r="E55"/>
  <c r="E103"/>
  <c r="A55"/>
  <c r="G54"/>
  <c r="F54"/>
  <c r="E54"/>
  <c r="E102"/>
  <c r="A54"/>
  <c r="G53"/>
  <c r="D92" s="1"/>
  <c r="F53"/>
  <c r="E53"/>
  <c r="I92" s="1"/>
  <c r="A53"/>
  <c r="F52"/>
  <c r="E52"/>
  <c r="A52"/>
  <c r="F51"/>
  <c r="H77" s="1"/>
  <c r="E51"/>
  <c r="I77" s="1"/>
  <c r="A51"/>
  <c r="H117" l="1"/>
  <c r="H91"/>
  <c r="H102"/>
  <c r="J102" s="1"/>
  <c r="H89"/>
  <c r="I103"/>
  <c r="I78"/>
  <c r="I104"/>
  <c r="I79"/>
  <c r="J77"/>
  <c r="I117"/>
  <c r="I91"/>
  <c r="H114"/>
  <c r="H92"/>
  <c r="J92" s="1"/>
  <c r="I102"/>
  <c r="I89"/>
  <c r="I54"/>
  <c r="J54" s="1"/>
  <c r="H103"/>
  <c r="H78"/>
  <c r="J78" s="1"/>
  <c r="H104"/>
  <c r="H79"/>
  <c r="J79" s="1"/>
  <c r="I105"/>
  <c r="I80"/>
  <c r="H106"/>
  <c r="J106" s="1"/>
  <c r="H81"/>
  <c r="I107"/>
  <c r="I82"/>
  <c r="I108"/>
  <c r="I83"/>
  <c r="H109"/>
  <c r="H84"/>
  <c r="H111"/>
  <c r="H86"/>
  <c r="I112"/>
  <c r="I87"/>
  <c r="H105"/>
  <c r="H80"/>
  <c r="J80" s="1"/>
  <c r="I106"/>
  <c r="I81"/>
  <c r="H107"/>
  <c r="H82"/>
  <c r="J82" s="1"/>
  <c r="H108"/>
  <c r="H83"/>
  <c r="I109"/>
  <c r="I84"/>
  <c r="I111"/>
  <c r="I86"/>
  <c r="H112"/>
  <c r="H87"/>
  <c r="J87" s="1"/>
  <c r="A109"/>
  <c r="A111" s="1"/>
  <c r="A112" s="1"/>
  <c r="A114" s="1"/>
  <c r="A116" s="1"/>
  <c r="A117" s="1"/>
  <c r="A110"/>
  <c r="J117"/>
  <c r="I114"/>
  <c r="I53"/>
  <c r="J53" s="1"/>
  <c r="E112"/>
  <c r="D65"/>
  <c r="F65"/>
  <c r="I116"/>
  <c r="E65"/>
  <c r="C68" s="1"/>
  <c r="G65"/>
  <c r="B68" s="1"/>
  <c r="J105"/>
  <c r="E114"/>
  <c r="C118"/>
  <c r="J111"/>
  <c r="J112"/>
  <c r="I51"/>
  <c r="I52"/>
  <c r="J52" s="1"/>
  <c r="I56"/>
  <c r="J56" s="1"/>
  <c r="I60"/>
  <c r="J60" s="1"/>
  <c r="I61"/>
  <c r="J61" s="1"/>
  <c r="I63"/>
  <c r="J63" s="1"/>
  <c r="J103"/>
  <c r="J107"/>
  <c r="I58"/>
  <c r="J58" s="1"/>
  <c r="I57"/>
  <c r="J57" s="1"/>
  <c r="I64"/>
  <c r="J64" s="1"/>
  <c r="E104"/>
  <c r="J104" s="1"/>
  <c r="E108"/>
  <c r="J108" s="1"/>
  <c r="E109"/>
  <c r="H116"/>
  <c r="J116" s="1"/>
  <c r="I59"/>
  <c r="J59" s="1"/>
  <c r="I55"/>
  <c r="J55" s="1"/>
  <c r="C137"/>
  <c r="J83" l="1"/>
  <c r="J109"/>
  <c r="I93"/>
  <c r="D68"/>
  <c r="I118"/>
  <c r="K92"/>
  <c r="K77"/>
  <c r="K87"/>
  <c r="K83"/>
  <c r="K82"/>
  <c r="K80"/>
  <c r="J86"/>
  <c r="K86" s="1"/>
  <c r="J84"/>
  <c r="K84" s="1"/>
  <c r="J81"/>
  <c r="K81" s="1"/>
  <c r="K79"/>
  <c r="K78"/>
  <c r="J89"/>
  <c r="K89" s="1"/>
  <c r="J91"/>
  <c r="K91" s="1"/>
  <c r="K116"/>
  <c r="G67"/>
  <c r="J114"/>
  <c r="K114" s="1"/>
  <c r="J118"/>
  <c r="K117"/>
  <c r="J51"/>
  <c r="I65"/>
  <c r="K104"/>
  <c r="K107"/>
  <c r="K111"/>
  <c r="K108"/>
  <c r="K109"/>
  <c r="K106"/>
  <c r="K105"/>
  <c r="K102"/>
  <c r="K103"/>
  <c r="K112"/>
  <c r="E128"/>
  <c r="E127"/>
  <c r="E126"/>
  <c r="I66" l="1"/>
  <c r="J93"/>
  <c r="K93" s="1"/>
  <c r="K118"/>
  <c r="E68"/>
  <c r="J65"/>
  <c r="A127" l="1"/>
  <c r="A128" s="1"/>
  <c r="A129" s="1"/>
  <c r="A130" s="1"/>
  <c r="A131" s="1"/>
  <c r="A132" s="1"/>
  <c r="A133" s="1"/>
  <c r="A134" s="1"/>
  <c r="C140"/>
  <c r="C139"/>
  <c r="C135"/>
  <c r="C134"/>
  <c r="C133"/>
  <c r="C132"/>
  <c r="C131"/>
  <c r="C130"/>
  <c r="C129"/>
  <c r="C128"/>
  <c r="C127"/>
  <c r="C126"/>
  <c r="H135"/>
  <c r="I135"/>
  <c r="E135"/>
  <c r="H134"/>
  <c r="I134"/>
  <c r="H133"/>
  <c r="I133"/>
  <c r="E133"/>
  <c r="H132"/>
  <c r="I132"/>
  <c r="E132"/>
  <c r="H131"/>
  <c r="I131"/>
  <c r="H130"/>
  <c r="I130"/>
  <c r="E130"/>
  <c r="H129"/>
  <c r="I129"/>
  <c r="E129"/>
  <c r="H128"/>
  <c r="I128"/>
  <c r="H127"/>
  <c r="I127"/>
  <c r="H126"/>
  <c r="I126"/>
  <c r="H137"/>
  <c r="I137"/>
  <c r="H140"/>
  <c r="I140"/>
  <c r="I139"/>
  <c r="C5" i="95"/>
  <c r="A135" i="16" l="1"/>
  <c r="A137" s="1"/>
  <c r="A139" s="1"/>
  <c r="A140" s="1"/>
  <c r="J140"/>
  <c r="J132"/>
  <c r="J135"/>
  <c r="C141"/>
  <c r="J128"/>
  <c r="J126"/>
  <c r="J141" s="1"/>
  <c r="K141" s="1"/>
  <c r="J137"/>
  <c r="I141"/>
  <c r="J129"/>
  <c r="J133"/>
  <c r="J130"/>
  <c r="J127"/>
  <c r="E134"/>
  <c r="J134" s="1"/>
  <c r="E131"/>
  <c r="J131" s="1"/>
  <c r="H139"/>
  <c r="J139" s="1"/>
  <c r="C6" i="95"/>
  <c r="C7" s="1"/>
  <c r="E6" l="1"/>
  <c r="D7"/>
  <c r="K131" i="16"/>
  <c r="K134"/>
  <c r="K139"/>
  <c r="K135"/>
  <c r="K127"/>
  <c r="K137"/>
  <c r="K133"/>
  <c r="K128"/>
  <c r="K140"/>
  <c r="K130"/>
  <c r="K132"/>
  <c r="K126"/>
  <c r="K129"/>
  <c r="C163" l="1"/>
  <c r="C149"/>
  <c r="C158"/>
  <c r="I154" l="1"/>
  <c r="I155"/>
  <c r="I156"/>
  <c r="I157"/>
  <c r="I158"/>
  <c r="I159"/>
  <c r="I153"/>
  <c r="I152"/>
  <c r="I163"/>
  <c r="H158"/>
  <c r="E158"/>
  <c r="J158" l="1"/>
  <c r="K158" l="1"/>
  <c r="C164" l="1"/>
  <c r="C161"/>
  <c r="C159"/>
  <c r="C157"/>
  <c r="C156"/>
  <c r="C155"/>
  <c r="C154"/>
  <c r="C153"/>
  <c r="C152"/>
  <c r="C151"/>
  <c r="C150"/>
  <c r="H163"/>
  <c r="J163" s="1"/>
  <c r="C184"/>
  <c r="K163" l="1"/>
  <c r="C165"/>
  <c r="C187"/>
  <c r="J187" s="1"/>
  <c r="K187" s="1"/>
  <c r="C186"/>
  <c r="J186" s="1"/>
  <c r="K186" s="1"/>
  <c r="J184"/>
  <c r="C174"/>
  <c r="J174" s="1"/>
  <c r="C175"/>
  <c r="J175" s="1"/>
  <c r="C176"/>
  <c r="C177"/>
  <c r="J177" s="1"/>
  <c r="C178"/>
  <c r="J178" s="1"/>
  <c r="C179"/>
  <c r="C180"/>
  <c r="J180" s="1"/>
  <c r="C181"/>
  <c r="C182"/>
  <c r="J182" s="1"/>
  <c r="C173"/>
  <c r="J173" s="1"/>
  <c r="I188"/>
  <c r="J181"/>
  <c r="J179"/>
  <c r="J176"/>
  <c r="C188" l="1"/>
  <c r="J188"/>
  <c r="G189" s="1"/>
  <c r="K179" l="1"/>
  <c r="K175"/>
  <c r="K184"/>
  <c r="K182" l="1"/>
  <c r="K174"/>
  <c r="K173"/>
  <c r="K180"/>
  <c r="K176"/>
  <c r="K177"/>
  <c r="K178"/>
  <c r="K181"/>
  <c r="K188" l="1"/>
  <c r="F200" l="1"/>
  <c r="H199"/>
  <c r="F198"/>
  <c r="C208" l="1"/>
  <c r="J208" s="1"/>
  <c r="C207"/>
  <c r="J207" s="1"/>
  <c r="C206"/>
  <c r="J206" s="1"/>
  <c r="C205"/>
  <c r="J205" s="1"/>
  <c r="C204"/>
  <c r="J204" s="1"/>
  <c r="C203"/>
  <c r="J203" s="1"/>
  <c r="C202"/>
  <c r="J202" s="1"/>
  <c r="C201"/>
  <c r="J201" s="1"/>
  <c r="C200"/>
  <c r="J200" s="1"/>
  <c r="C199"/>
  <c r="J199" s="1"/>
  <c r="C198"/>
  <c r="J198" s="1"/>
  <c r="C197"/>
  <c r="J197" s="1"/>
  <c r="C210"/>
  <c r="J210" s="1"/>
  <c r="C213"/>
  <c r="J213" s="1"/>
  <c r="I214"/>
  <c r="C240"/>
  <c r="C212" l="1"/>
  <c r="J212" s="1"/>
  <c r="J214" s="1"/>
  <c r="C214" l="1"/>
  <c r="I240" l="1"/>
  <c r="J239" l="1"/>
  <c r="J238"/>
  <c r="J236"/>
  <c r="J234"/>
  <c r="J233"/>
  <c r="J232"/>
  <c r="J231"/>
  <c r="J230"/>
  <c r="J229"/>
  <c r="J228"/>
  <c r="J227"/>
  <c r="J226"/>
  <c r="J225"/>
  <c r="J224"/>
  <c r="J223"/>
  <c r="J222"/>
  <c r="J240" l="1"/>
  <c r="J259" l="1"/>
  <c r="J258"/>
  <c r="J257"/>
  <c r="J256"/>
  <c r="J255"/>
  <c r="J254"/>
  <c r="J253"/>
  <c r="J251"/>
  <c r="J248"/>
  <c r="J262"/>
  <c r="J265"/>
  <c r="J264"/>
  <c r="I266"/>
  <c r="J252"/>
  <c r="C266" l="1"/>
  <c r="J250"/>
  <c r="J249"/>
  <c r="J260"/>
  <c r="J266" l="1"/>
  <c r="F286" l="1"/>
  <c r="H286"/>
  <c r="F277"/>
  <c r="H276"/>
  <c r="F275"/>
  <c r="I292"/>
  <c r="J286" l="1"/>
  <c r="J285"/>
  <c r="J284"/>
  <c r="J283"/>
  <c r="J282"/>
  <c r="J281"/>
  <c r="J280"/>
  <c r="J279"/>
  <c r="J278"/>
  <c r="J277"/>
  <c r="J276"/>
  <c r="J275"/>
  <c r="J288"/>
  <c r="J291"/>
  <c r="J290"/>
  <c r="J274" l="1"/>
  <c r="J292" s="1"/>
  <c r="C292"/>
  <c r="I321" l="1"/>
  <c r="J315"/>
  <c r="J301" l="1"/>
  <c r="J314" l="1"/>
  <c r="J313"/>
  <c r="J312"/>
  <c r="J311"/>
  <c r="J310"/>
  <c r="J309"/>
  <c r="J308"/>
  <c r="J307"/>
  <c r="J306"/>
  <c r="J305"/>
  <c r="J304"/>
  <c r="J303"/>
  <c r="C317"/>
  <c r="J317" s="1"/>
  <c r="C320"/>
  <c r="J320" s="1"/>
  <c r="C319"/>
  <c r="J319" s="1"/>
  <c r="C348"/>
  <c r="J302" l="1"/>
  <c r="J321" s="1"/>
  <c r="C321"/>
  <c r="J361" l="1"/>
  <c r="J342" l="1"/>
  <c r="J341"/>
  <c r="J340"/>
  <c r="J339"/>
  <c r="J338"/>
  <c r="J337"/>
  <c r="J336"/>
  <c r="J335"/>
  <c r="J334"/>
  <c r="J333"/>
  <c r="J332"/>
  <c r="J331"/>
  <c r="J330"/>
  <c r="J344"/>
  <c r="J347"/>
  <c r="J346"/>
  <c r="I348"/>
  <c r="J329" l="1"/>
  <c r="J348" s="1"/>
  <c r="I376" l="1"/>
  <c r="J369" l="1"/>
  <c r="J366" l="1"/>
  <c r="J362"/>
  <c r="J358"/>
  <c r="J372"/>
  <c r="J374"/>
  <c r="J375"/>
  <c r="J368"/>
  <c r="J367"/>
  <c r="J365"/>
  <c r="J364"/>
  <c r="J363"/>
  <c r="J360"/>
  <c r="J359"/>
  <c r="J357"/>
  <c r="J370" l="1"/>
  <c r="J376" s="1"/>
  <c r="K376" s="1"/>
  <c r="C293" l="1"/>
  <c r="C267"/>
  <c r="J393"/>
  <c r="J394" l="1"/>
  <c r="J392"/>
  <c r="J391"/>
  <c r="J390"/>
  <c r="J389"/>
  <c r="J388"/>
  <c r="J387"/>
  <c r="J386"/>
  <c r="J385"/>
  <c r="J384"/>
  <c r="J398"/>
  <c r="J401"/>
  <c r="J400"/>
  <c r="J396" l="1"/>
  <c r="J395"/>
  <c r="J402" l="1"/>
  <c r="J420" l="1"/>
  <c r="F410" l="1"/>
  <c r="J444"/>
  <c r="J447"/>
  <c r="J428"/>
  <c r="J427"/>
  <c r="J426"/>
  <c r="C419" l="1"/>
  <c r="J419" s="1"/>
  <c r="C418"/>
  <c r="J418" s="1"/>
  <c r="C417"/>
  <c r="J417" s="1"/>
  <c r="C416"/>
  <c r="J416" s="1"/>
  <c r="C415"/>
  <c r="J415" s="1"/>
  <c r="J414"/>
  <c r="C413"/>
  <c r="J413" s="1"/>
  <c r="C412"/>
  <c r="J412" s="1"/>
  <c r="C411"/>
  <c r="J411" s="1"/>
  <c r="C410"/>
  <c r="J410" s="1"/>
  <c r="C422"/>
  <c r="J422" s="1"/>
  <c r="C425"/>
  <c r="J425" s="1"/>
  <c r="C424" l="1"/>
  <c r="J424" s="1"/>
  <c r="J429" s="1"/>
  <c r="J455" l="1"/>
  <c r="J454"/>
  <c r="J453"/>
  <c r="J506"/>
  <c r="J479"/>
  <c r="J478"/>
  <c r="J476"/>
  <c r="E474"/>
  <c r="J474" s="1"/>
  <c r="E473"/>
  <c r="J473" s="1"/>
  <c r="E471"/>
  <c r="J471" s="1"/>
  <c r="H470"/>
  <c r="E470"/>
  <c r="F469"/>
  <c r="E469"/>
  <c r="E468"/>
  <c r="J468" s="1"/>
  <c r="I467"/>
  <c r="H467"/>
  <c r="E467"/>
  <c r="I466"/>
  <c r="E466"/>
  <c r="H465"/>
  <c r="E465"/>
  <c r="I464"/>
  <c r="J456"/>
  <c r="J440"/>
  <c r="J452"/>
  <c r="B440" l="1"/>
  <c r="B444"/>
  <c r="B445"/>
  <c r="B438"/>
  <c r="B441"/>
  <c r="B442"/>
  <c r="B439"/>
  <c r="B443"/>
  <c r="J439"/>
  <c r="I481"/>
  <c r="J466"/>
  <c r="J449"/>
  <c r="J465"/>
  <c r="J437"/>
  <c r="J443"/>
  <c r="J438"/>
  <c r="J451"/>
  <c r="J446"/>
  <c r="J469"/>
  <c r="J467"/>
  <c r="J470"/>
  <c r="J464"/>
  <c r="J442" l="1"/>
  <c r="J441"/>
  <c r="J445"/>
  <c r="C472"/>
  <c r="J457" l="1"/>
  <c r="C481"/>
  <c r="J472"/>
  <c r="J481" s="1"/>
  <c r="K210" l="1"/>
  <c r="K197"/>
  <c r="K213"/>
  <c r="K203"/>
  <c r="K208"/>
  <c r="K207"/>
  <c r="K279" l="1"/>
  <c r="K201"/>
  <c r="K230"/>
  <c r="K204"/>
  <c r="K199"/>
  <c r="K231"/>
  <c r="K205"/>
  <c r="K200"/>
  <c r="K198"/>
  <c r="K228"/>
  <c r="K202"/>
  <c r="K232"/>
  <c r="K227"/>
  <c r="K280"/>
  <c r="K276"/>
  <c r="K291"/>
  <c r="K239"/>
  <c r="K226"/>
  <c r="K278"/>
  <c r="K233"/>
  <c r="K285"/>
  <c r="K234"/>
  <c r="K286"/>
  <c r="K281"/>
  <c r="K229"/>
  <c r="K288"/>
  <c r="K236"/>
  <c r="K212"/>
  <c r="K275"/>
  <c r="K283"/>
  <c r="K274"/>
  <c r="K282"/>
  <c r="K225"/>
  <c r="K223"/>
  <c r="K224"/>
  <c r="K277"/>
  <c r="K222"/>
  <c r="K284" l="1"/>
  <c r="K206"/>
  <c r="K290"/>
  <c r="K238"/>
  <c r="K214" l="1"/>
  <c r="K292"/>
  <c r="K429"/>
  <c r="K240"/>
  <c r="H149" l="1"/>
  <c r="H150"/>
  <c r="H161"/>
  <c r="H151"/>
  <c r="I161"/>
  <c r="H164"/>
  <c r="H155"/>
  <c r="H154"/>
  <c r="H152"/>
  <c r="H156"/>
  <c r="J156" s="1"/>
  <c r="I149"/>
  <c r="H153"/>
  <c r="I164"/>
  <c r="H157"/>
  <c r="H159"/>
  <c r="I151"/>
  <c r="E155"/>
  <c r="E154"/>
  <c r="E153"/>
  <c r="I150"/>
  <c r="E157"/>
  <c r="K156" l="1"/>
  <c r="J164"/>
  <c r="K164" s="1"/>
  <c r="J151"/>
  <c r="K151" s="1"/>
  <c r="E152"/>
  <c r="J152" s="1"/>
  <c r="K152" s="1"/>
  <c r="E150"/>
  <c r="J150" s="1"/>
  <c r="E159"/>
  <c r="J159" s="1"/>
  <c r="K159" s="1"/>
  <c r="I165"/>
  <c r="J154"/>
  <c r="J157"/>
  <c r="J153"/>
  <c r="E149"/>
  <c r="J149" s="1"/>
  <c r="J155"/>
  <c r="J161"/>
  <c r="K154" l="1"/>
  <c r="K161"/>
  <c r="K150"/>
  <c r="K149"/>
  <c r="J165"/>
  <c r="K153"/>
  <c r="K155"/>
  <c r="K157"/>
  <c r="G166" l="1"/>
  <c r="K165"/>
  <c r="G40" i="95" l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</calcChain>
</file>

<file path=xl/sharedStrings.xml><?xml version="1.0" encoding="utf-8"?>
<sst xmlns="http://schemas.openxmlformats.org/spreadsheetml/2006/main" count="4091" uniqueCount="645">
  <si>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</si>
  <si>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</si>
  <si>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</si>
  <si>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</si>
  <si>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</si>
  <si>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</si>
  <si>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</si>
  <si>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</si>
  <si>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</si>
  <si>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</si>
  <si>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</si>
  <si>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</si>
  <si>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</si>
  <si>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</si>
  <si>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</si>
  <si>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</si>
  <si>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</si>
  <si>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</si>
  <si>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</si>
  <si>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</si>
  <si>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</si>
  <si>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</si>
  <si>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</si>
  <si>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</si>
  <si>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</si>
  <si>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</si>
  <si>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</si>
  <si>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</si>
  <si>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</si>
  <si>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</si>
  <si>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</si>
  <si>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</si>
  <si>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</si>
  <si>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</si>
  <si>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</si>
  <si>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Office Materials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</si>
  <si>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</si>
  <si>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</si>
  <si>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</si>
  <si>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</si>
  <si>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</si>
  <si>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</si>
  <si>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</si>
  <si>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</si>
  <si>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</si>
  <si>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</si>
  <si>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</si>
  <si>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</si>
  <si>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</si>
  <si>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</si>
  <si>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</si>
  <si>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</si>
  <si>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</si>
  <si>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</si>
  <si>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</si>
  <si>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</si>
  <si>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</si>
  <si>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</si>
  <si>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</si>
  <si>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</si>
  <si>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</si>
  <si>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</si>
  <si>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</si>
  <si>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</si>
  <si>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</si>
  <si>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</si>
  <si>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</si>
  <si>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</si>
  <si>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</si>
  <si>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</si>
  <si>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</si>
  <si>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</si>
  <si>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</si>
  <si>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</si>
  <si>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</si>
  <si>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</si>
  <si>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</si>
  <si>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</si>
  <si>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</si>
  <si>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</si>
  <si>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</si>
  <si>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</si>
  <si>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</si>
  <si>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</si>
  <si>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</si>
  <si>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</si>
  <si>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</si>
  <si>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</si>
  <si>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</si>
  <si>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</si>
  <si>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</si>
  <si>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</si>
  <si>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</si>
  <si>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</si>
  <si>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</si>
  <si>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</si>
  <si>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</si>
  <si>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</si>
  <si>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</si>
  <si>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</si>
  <si>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</si>
  <si>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</si>
  <si>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</si>
  <si>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</si>
  <si>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</si>
  <si>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</si>
  <si>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</si>
  <si>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</si>
  <si>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</si>
  <si>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</si>
  <si>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</si>
  <si>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</si>
  <si>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</si>
  <si>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</si>
  <si>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</si>
  <si>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</si>
  <si>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</si>
  <si>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</si>
  <si>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</si>
  <si>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</si>
  <si>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</si>
  <si>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</si>
  <si>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</si>
  <si>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</si>
  <si>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</si>
  <si>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</si>
  <si>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</si>
  <si>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</si>
  <si>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</si>
  <si>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Étiquettes de lignes</t>
  </si>
  <si>
    <t>Total général</t>
  </si>
  <si>
    <t>Étiquettes de colonnes</t>
  </si>
  <si>
    <t>BALANCE CAISSES ET BANQUE AU 30  Mai  2021</t>
  </si>
  <si>
    <t>Balance au          01 Mai  2021</t>
  </si>
  <si>
    <t>Balance au 30 Mai 2021</t>
  </si>
  <si>
    <t>MAI</t>
  </si>
  <si>
    <t>Somme de Spent</t>
  </si>
  <si>
    <t>Total Somme de Received</t>
  </si>
  <si>
    <t>Somme de Received</t>
  </si>
  <si>
    <t>Total Somme de Spent</t>
  </si>
  <si>
    <t>Internet</t>
  </si>
  <si>
    <t>BALANCE CAISSES ET BANQUE AU 30  Juin  2021</t>
  </si>
  <si>
    <t>Balance au 30 Juin  2021</t>
  </si>
  <si>
    <t>Balance au          01 Juin  2021</t>
  </si>
  <si>
    <t>JUIN</t>
  </si>
  <si>
    <t>Lawyer Fees</t>
  </si>
  <si>
    <t>Jail Visits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</si>
  <si>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</si>
  <si>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</si>
  <si>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</si>
  <si>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</si>
  <si>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</si>
  <si>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</si>
  <si>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</si>
  <si>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</si>
  <si>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</si>
  <si>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</si>
  <si>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</si>
  <si>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</si>
  <si>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Travel Subsistence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</si>
  <si>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</si>
  <si>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</si>
  <si>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</si>
  <si>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</si>
  <si>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</si>
  <si>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</si>
  <si>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</si>
  <si>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Bonus</t>
  </si>
  <si>
    <t>Media</t>
  </si>
  <si>
    <t>Wildcat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</si>
  <si>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</si>
  <si>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</si>
  <si>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</si>
  <si>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</si>
  <si>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</si>
  <si>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</si>
  <si>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</si>
  <si>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Trust Building</t>
  </si>
  <si>
    <t>Flight</t>
  </si>
  <si>
    <t>TOTAL DEPENSE EN NOVEMBRE</t>
  </si>
  <si>
    <t>Solde au 01/12/2021</t>
  </si>
  <si>
    <t>RAPPORT FINANCIER DECEMBRE 2021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</si>
  <si>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</si>
  <si>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</si>
  <si>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</si>
  <si>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</si>
  <si>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</si>
  <si>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</si>
  <si>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I23c</t>
  </si>
  <si>
    <t>Godfre</t>
  </si>
  <si>
    <t>Office</t>
  </si>
  <si>
    <t>Team Bulding</t>
  </si>
  <si>
    <t>Personnel</t>
  </si>
  <si>
    <t>Oui</t>
  </si>
  <si>
    <t>Décharge</t>
  </si>
  <si>
    <t>Operation</t>
  </si>
  <si>
    <t>Crepin</t>
  </si>
  <si>
    <t>Reglement loyer Tiffany mois de Décembre  2021/400USD</t>
  </si>
  <si>
    <t>Achat USB 2,0 Adaptateur/Appareil Photo</t>
  </si>
  <si>
    <t>Achat consommable Bureau (lait, Café, Lipton)</t>
  </si>
  <si>
    <t>BCI sous Compte-3643578</t>
  </si>
  <si>
    <t>Achat Carte téléphonique + Sim /Eric</t>
  </si>
  <si>
    <t>Bonus Opération Lifoula /Grace/Equipe Guet</t>
  </si>
  <si>
    <t>Bonus Opération Lifoula /Axel/Equipe 2</t>
  </si>
  <si>
    <t>Bonus Opération Lifoula /Crépin/Equipe 1</t>
  </si>
  <si>
    <t>Achat Carburant Groupe Electrogène /Bureu PALF</t>
  </si>
  <si>
    <t>Bonus Opération Lifoula /Godfré/Equipe 2</t>
  </si>
  <si>
    <t>Achat 02 Rames A4 et Paquet et 20 Chemise/Procedure Gendarmerie</t>
  </si>
  <si>
    <t>Achat 01 grande Cage/Singe</t>
  </si>
  <si>
    <t>Achat 02 billet d'avion Brazzaville-Pointe Noire/Tiffany&amp;Crépin/Operation</t>
  </si>
  <si>
    <t>Achat 01 Cage/Perroquet</t>
  </si>
  <si>
    <t>Tiffany/Opération</t>
  </si>
  <si>
    <t>BCI sous Compte-3643579</t>
  </si>
  <si>
    <t>MOD chargement des Serrures pour 18 Portes du Bureau/PALF</t>
  </si>
  <si>
    <t>Frais de Transport des perroquets/par la DDEF/</t>
  </si>
  <si>
    <t>Frais de transfert Charden Farell/Evariste remettre à crepin</t>
  </si>
  <si>
    <t xml:space="preserve">Tiffany /Achat Carburant BJ/OP 5 BZ </t>
  </si>
  <si>
    <t>Bonus Autorité/logistique Detenu à Brazzaville</t>
  </si>
  <si>
    <t>Telephone</t>
  </si>
  <si>
    <t>Frais d'hotel 01 Nuitée 02 autorités/Logistique detenu à Brazzaville</t>
  </si>
  <si>
    <t>Frais de Test covid /Axel</t>
  </si>
  <si>
    <t>Achat Pièces Baguettes 15*n)4 &amp; 5*n°10/Operation</t>
  </si>
  <si>
    <t>Achat 03 billet d'avion Aller/02 Gendarmes/01 Detenu Escorté</t>
  </si>
  <si>
    <t>Divers Operation (Jus, Eau minerale et Biscuit)</t>
  </si>
  <si>
    <t>Bonus Autorités/BJ/11 Gendarmes/OP du 11/12/2021</t>
  </si>
  <si>
    <t>Bonus Autorités/Elements de la Section de Recherche/05 Gendarmes/ OP du 11/12/2021</t>
  </si>
  <si>
    <t xml:space="preserve">Achat Divers pour OP Madingou </t>
  </si>
  <si>
    <t>Appro Caisse/BCI-34</t>
  </si>
  <si>
    <t>Achat 02 Ampoules Bureaux</t>
  </si>
  <si>
    <t>Bonus Media porté sur OP du 28/11/2021</t>
  </si>
  <si>
    <t>Bonus Media porté sur OP du 3, 4 et 6 Décembre 2021/Telecongo</t>
  </si>
  <si>
    <t>Frais de Transfert Charden Farell/Crepin</t>
  </si>
  <si>
    <t>Reglement Facture d'Eau/LCDE</t>
  </si>
  <si>
    <t>Achat Carte téléphonique MTN / Tiffany</t>
  </si>
  <si>
    <t>Carburant BJ/Operation du 11/12/2021</t>
  </si>
  <si>
    <t>Achat credit  teléphonique MTN/PALF/Deuxieme partie Décembre 2021/Management</t>
  </si>
  <si>
    <t>Achat credit  teléphonique MTN/PALF/Deuxieme partie Décembre 2021/Legal</t>
  </si>
  <si>
    <t>Achat credit  teléphonique MTN/PALF/Deuxieme partie Décembre 2021/Legal Volontaire</t>
  </si>
  <si>
    <t>Achat credit  teléphonique MTN/PALF/Deuxieme partie Décembre 2021/Investigation</t>
  </si>
  <si>
    <t>Achat credit  teléphonique MTN/PALF/Deuxieme partie Décembre 2021/Investigation Volontaire</t>
  </si>
  <si>
    <t>Achat credit  teléphonique MTN/PALF/Deuxieme partie Décembre 2021/Media</t>
  </si>
  <si>
    <t>Bonus Media Portant sur OP du 3,4, et 6 dec 21</t>
  </si>
  <si>
    <t>Frais de Transfert Charden Farell et Maouene Express/B52 &amp; P29</t>
  </si>
  <si>
    <t>Frais de Location Voiture/01 jour /OP Madingou du 15 au 16/12/21</t>
  </si>
  <si>
    <t>Frais de Transfert Charden Farell /Axel</t>
  </si>
  <si>
    <t>Achat Crédit Télephonique/tiffany Roaming</t>
  </si>
  <si>
    <t>Retour Caisse Axel</t>
  </si>
  <si>
    <t>Bonus Operation Madingou /Axel</t>
  </si>
  <si>
    <t>Bonus Operation Brazzaville et Madingou /Godfre</t>
  </si>
  <si>
    <t>Bonus Operation 1 et 2 Pointe Noire/Crepin</t>
  </si>
  <si>
    <t>Bonus Operation Brazzaville /Grace</t>
  </si>
  <si>
    <t>Appro Caisse/BCI-56</t>
  </si>
  <si>
    <t>Frais de Transfert Charden Farell /I23C</t>
  </si>
  <si>
    <t>I23c/Transfert Credit Michel/Capitaine</t>
  </si>
  <si>
    <t>Bonus Autorités /OP Madingou Interpellation du 7ieme cible</t>
  </si>
  <si>
    <t>Achat crédit téléphonique Tiffany/Roaming</t>
  </si>
  <si>
    <t>Entretien Espace vert (Jardin Bureau PALF)</t>
  </si>
  <si>
    <t>Retour Caisse/Crépin</t>
  </si>
  <si>
    <t>Grace/OP</t>
  </si>
  <si>
    <t>Bonus diffusion télé/Vox TV/DRTV/Tele Congo/</t>
  </si>
  <si>
    <t>Retour Caisse/Grace</t>
  </si>
  <si>
    <t>Bonus média/Radio Intenert/OP PNR et B/Ville Ossement</t>
  </si>
  <si>
    <t>Bonus média/Télé/telecongo et Vox TV/ OP trafics d'Ivoir</t>
  </si>
  <si>
    <t>Achat produit d'entretient/Bureau PALF</t>
  </si>
  <si>
    <t xml:space="preserve">Achat 04 Bonbonnes d'eau minérale </t>
  </si>
  <si>
    <t>Reglement prestation Entretient bureau/Odile</t>
  </si>
  <si>
    <t>Reglément Facture Congo Telecom du 29/12/21 au 28/01/21</t>
  </si>
  <si>
    <t>Retour caisse/Bonus media DRTV du 21/12/2021</t>
  </si>
  <si>
    <t>Achat 03 Chapeaux enquetes</t>
  </si>
  <si>
    <t>Retour caisse/Bonus media Vox TV/du 27/12/2021</t>
  </si>
  <si>
    <t>Reglement Facture Zanne Labuschagne News Letter/</t>
  </si>
  <si>
    <t>Editing Costs</t>
  </si>
  <si>
    <t>Frais de Transfert Western Union/Facture Zanne</t>
  </si>
  <si>
    <t>Bonus Media /Transmission Radion/Interpellation du 23/12/21</t>
  </si>
  <si>
    <t>Entretien Palmier du Jardin ( Bureau PALF)</t>
  </si>
  <si>
    <t>Bonus Opération dolisie 23/12/2021/Grace</t>
  </si>
  <si>
    <t>Bonus Opération dolisie 23/12/2021/Crépin</t>
  </si>
  <si>
    <t>Bonus du mois décembre 2021/Crépin</t>
  </si>
  <si>
    <t>Bonus du mois décembre 2021/Godfré</t>
  </si>
  <si>
    <t>Prime de fin d'année 2021/Crépin</t>
  </si>
  <si>
    <t>Prime de fin d'année 2021/Evariste</t>
  </si>
  <si>
    <t>Congés fin d'année 2021/20Jours/Evariste</t>
  </si>
  <si>
    <t>Retour Caisse /Crépin sur Budget Me Scrutin</t>
  </si>
  <si>
    <t>Retour Caisse /Godfré sur frais Médicaux</t>
  </si>
  <si>
    <t>Relevé</t>
  </si>
  <si>
    <t>Transfer Fees</t>
  </si>
  <si>
    <t>Reglement Facture Gardiennage Mois de Novembre 2021</t>
  </si>
  <si>
    <t>Retrait especes/appro caisse/bord n°3643579</t>
  </si>
  <si>
    <t>Retrait especes/appro caisse/bord n°3643578</t>
  </si>
  <si>
    <t>Retrait especes/appro caisse/bord n°3643583</t>
  </si>
  <si>
    <t>Paiment Salaire Mois Décembre 2021/Crépin</t>
  </si>
  <si>
    <t>Paiment Salaire Mois Décembre 2021/Grace</t>
  </si>
  <si>
    <t>Paiment Salaire Mois Décembre 2021/Godfré</t>
  </si>
  <si>
    <t>Paiment Salaire Mois Décembre 2021/Evariste</t>
  </si>
  <si>
    <t>Reglement facture honoraire du mois Décembre 2021/I23C/chq n°3643576</t>
  </si>
  <si>
    <t>Reglement facture honoraire du mois Décembre 2021/P29/chq n°3643577</t>
  </si>
  <si>
    <t>Retrait especes/appro caisse/bord n°3643591</t>
  </si>
  <si>
    <t>Reçu Caisse</t>
  </si>
  <si>
    <t>Achat produit pharmaceutiques pour le singe</t>
  </si>
  <si>
    <t>Reçu caisse</t>
  </si>
  <si>
    <t>Achat divers pour perroquets (Eaux, Pots, choux, Carottes,Concombres,Arrachides Papaye, fil de fer)</t>
  </si>
  <si>
    <t>Bonus de 15 gendarmes</t>
  </si>
  <si>
    <t>Transfert tiffany</t>
  </si>
  <si>
    <t>Achat produits pharmaceutiques d'un détenu (Valentin)</t>
  </si>
  <si>
    <t>Location appartements/Operation du 11/12/2021</t>
  </si>
  <si>
    <t>Commission pour l'appartement de la rue Massoukou/OP du 11/12/21</t>
  </si>
  <si>
    <t>Achat boissons Autorités OP du 11/12/21</t>
  </si>
  <si>
    <t>Raçu Caisse</t>
  </si>
  <si>
    <t>Frais de consultation ( Eric MALONGA)</t>
  </si>
  <si>
    <t>Achat produits pharmaceutiques d'un détenu (Eric MALONGA)</t>
  </si>
  <si>
    <t>Frais Impression Document</t>
  </si>
  <si>
    <t>Cumul Frais de Jail Visits Mois Décembre 2021/Godfre</t>
  </si>
  <si>
    <t>Cumul Frais de Transport Local Mois Décembre 2021/Godfre</t>
  </si>
  <si>
    <t xml:space="preserve">Retour Caisse </t>
  </si>
  <si>
    <t>Reçu caisse/Jail visit</t>
  </si>
  <si>
    <t>CONGO</t>
  </si>
  <si>
    <t>Reçu caisse/Visite geôle</t>
  </si>
  <si>
    <t>Impression documents pour procédures EF</t>
  </si>
  <si>
    <t>Cumul frais de jail visit du mois de Décembre 2021/Axel</t>
  </si>
  <si>
    <t>Transfert caisse/mission Madingou</t>
  </si>
  <si>
    <t>Location véhicule 02 Jours le 14 et 15 /12/2021 /Operation Madingou</t>
  </si>
  <si>
    <t>Achat gasoil véhicule loué/Operation Madingou</t>
  </si>
  <si>
    <t>Frais Péages/aller-retour/véhicule</t>
  </si>
  <si>
    <t>Food allowance/14 au 16 déc 2021/ 3 Autorités/Matin et Soir</t>
  </si>
  <si>
    <t>Frais d'hotel/14 au 16 déc 2021/3 Autorités</t>
  </si>
  <si>
    <t>Bonus Autorités intervention gendarmerie Madingou</t>
  </si>
  <si>
    <t>Achat carburant BJ gendarmerie Madingou</t>
  </si>
  <si>
    <t>Retour Caisse /Axel</t>
  </si>
  <si>
    <t>Cumul frais de ration journalière du mois de Décembre 2021/Axel</t>
  </si>
  <si>
    <t>Cumul frais de Transport local du mois de Décembre 2021/Axel</t>
  </si>
  <si>
    <t>B52 - CONGO food allowance du 02 au 04/12/2021 ile Mbamou</t>
  </si>
  <si>
    <t>B52 - CONGO Frais d'Hotel 02 nuités du 02 au 04/12/2021 ile Mbamou</t>
  </si>
  <si>
    <t>versement</t>
  </si>
  <si>
    <t>B52 - CONGO Frais d'hôtel deux nuitées du 13au15/12/2022 à djambala</t>
  </si>
  <si>
    <t>B52 - CONGO Frais d'hôtel  deux nuitées du 15au17/12/2022 à lekana</t>
  </si>
  <si>
    <t>B52 - CONGO Frais d'hôtel deux nuitées du 17au19/12/2022 à Ngo</t>
  </si>
  <si>
    <t>B52 - CONGO Frais d'hôtel deux nuitées du 19au21/12/2022 à inoni</t>
  </si>
  <si>
    <t>Cumul Frais de trust Building Decembre 2021/B52</t>
  </si>
  <si>
    <t>Cumul Frais Ration Journalière Decembre 2021/B52</t>
  </si>
  <si>
    <t>Cumul Frais Transport Local Decembre 2021/B52</t>
  </si>
  <si>
    <t>Reçu de Caisse/de Tiffany</t>
  </si>
  <si>
    <t>Reçu de caisse</t>
  </si>
  <si>
    <t>Taxi :Courses pour la perquisition pendant deux heures</t>
  </si>
  <si>
    <t xml:space="preserve">Achat 2 Boissons pour chaque élément avant l'opération moyennant 500 l'unité pour 6 personnes. </t>
  </si>
  <si>
    <t>Achat Boisson en attendant l'arrivée du traf (Junior)</t>
  </si>
  <si>
    <t>Billets d'avion de Prince et 2 gendarmes à destinationn de Brazzaville</t>
  </si>
  <si>
    <t>Reçu de Tiffany</t>
  </si>
  <si>
    <t>Reçu de P29, reste flash money</t>
  </si>
  <si>
    <t>Bonus des gendarmes première opération 18 éléments</t>
  </si>
  <si>
    <t>Bonus des gendarmes deuxième opération 10 éléments</t>
  </si>
  <si>
    <t>Transfer à Evariste</t>
  </si>
  <si>
    <t>Cumul frais de Trust Building Mois décembre 2021/Crépin</t>
  </si>
  <si>
    <t>Bonus pour deux agents des eaux et forets</t>
  </si>
  <si>
    <t>Carburant BJ pour la première opération</t>
  </si>
  <si>
    <t>Carburant BJ pour la deuxième opération</t>
  </si>
  <si>
    <t>Bonus des deux gendarmes ayant accompagné Prince sur Pointe-Noire</t>
  </si>
  <si>
    <t>Frais d'Hotel 01 Nuitée pour deux gendarmes du 10 au 11/12/2021</t>
  </si>
  <si>
    <t>Reçu de la caisse</t>
  </si>
  <si>
    <t>Reçu de caisse/Pour OP</t>
  </si>
  <si>
    <t xml:space="preserve">Achat Carburant BJ/OP </t>
  </si>
  <si>
    <t>Retour à la caisse</t>
  </si>
  <si>
    <t>Bonus 15 gendarmes ayant participé à l'opération</t>
  </si>
  <si>
    <t>Reçu de Grace</t>
  </si>
  <si>
    <t>Bonus 1 agent EF</t>
  </si>
  <si>
    <t>Raffraichissement pendant le positionnement avec 2 gendarmes en civil et 1 EF, deux boissons à chacun moyennant 1000 l'unité.</t>
  </si>
  <si>
    <t>Frais pour les photos de la planche photographique</t>
  </si>
  <si>
    <t>Frais achat médocs détenus Alexis</t>
  </si>
  <si>
    <t>Frais complement détenus Alexis</t>
  </si>
  <si>
    <t>Cumul frais de Jail visit Mois décembre 2021/Crépin</t>
  </si>
  <si>
    <t>Frais achat produits pharmaceutiques pour la morsure</t>
  </si>
  <si>
    <t>Cumul frais de Transport Local Mois décembre 2021/Crépin</t>
  </si>
  <si>
    <t>Reçu Caisse/ Tiffany</t>
  </si>
  <si>
    <t>Reçu I23C de Tiffany</t>
  </si>
  <si>
    <t xml:space="preserve">Versement </t>
  </si>
  <si>
    <t>Reçu P29 de Tiffany</t>
  </si>
  <si>
    <t>Reçu Crépin de Tiffany</t>
  </si>
  <si>
    <t>TIFFANY GOBERT - CONGO - Food allowance- Mission Pointe Noire du 5/12 au 7/12</t>
  </si>
  <si>
    <t>TIFFANY GOBERT - CONGO - 2 nuits Hôtel- Mission Pointe Noire du 5/12 au 7/12</t>
  </si>
  <si>
    <t>Achat Carburant BJ/Autorité</t>
  </si>
  <si>
    <t>Cumul frais Transport Local mois de Décembre 2021/Tiffany</t>
  </si>
  <si>
    <t>Réçu de caisse</t>
  </si>
  <si>
    <t>Paiement démarcheur (AQUA Immo)</t>
  </si>
  <si>
    <t>Paiement démarcheur (Fabrice le Pontenegrin)</t>
  </si>
  <si>
    <t>Paiement démarcheur (cfr location appartement)</t>
  </si>
  <si>
    <t>Réçu de caisse (reçu de Tiffany, cfr paiement Location appart + démarcheur)</t>
  </si>
  <si>
    <t>Réçu de caisse (reçu de Tiffany pour achat apperitifs)</t>
  </si>
  <si>
    <t>Impression Fiches</t>
  </si>
  <si>
    <t>Location taxi extraction (cfr OP PN)</t>
  </si>
  <si>
    <t>Réçu caisse</t>
  </si>
  <si>
    <t>Cumul Frais de Trust Building Décembre 2021/I23C</t>
  </si>
  <si>
    <t>Cumul Frais de Transport Local (Taxi) Décembre 2021/I23C</t>
  </si>
  <si>
    <t>Achat des jus, Eau minérale et un paquet de biscuit pour les gendarmes lors de l'opération à Point Noire</t>
  </si>
  <si>
    <t>Expédition des cages de Pointe Noire pour Brazzaville à l'agence Trans Bony</t>
  </si>
  <si>
    <t>Cumul Frais de Jail Visit du Mois Décembre 2021/Evariste</t>
  </si>
  <si>
    <t>Recu de Crepin</t>
  </si>
  <si>
    <t>Cumul Frais de Transport Local Décembre 2021/Evariste</t>
  </si>
  <si>
    <t>Recu de caisse</t>
  </si>
  <si>
    <t>Recu de Tiffany</t>
  </si>
  <si>
    <t>Transfert à Crepin</t>
  </si>
  <si>
    <t xml:space="preserve">Recu de caisse </t>
  </si>
  <si>
    <t xml:space="preserve">Recu de grace </t>
  </si>
  <si>
    <t>Remis à Crepin</t>
  </si>
  <si>
    <t>Cumul Frais de Trust Building du Mois Décembre 2021/P29</t>
  </si>
  <si>
    <t>Cumul Frais de Transport Local du Mois Décembre  2021/P29</t>
  </si>
  <si>
    <t>Achat Billets d'Avion retour pour les deux gendarmes sur Brazzaville/Après Escorte du Trafs</t>
  </si>
  <si>
    <t xml:space="preserve">Achat Boissons 5 agents </t>
  </si>
  <si>
    <t>Reçu Godfre/ Tiffany</t>
  </si>
  <si>
    <t>PALF</t>
  </si>
  <si>
    <t>RALFF</t>
  </si>
  <si>
    <t>Achat billet d'avion retour 01 Gendarme BZV-PN /Apres Escorte Detenu</t>
  </si>
  <si>
    <t>Achat boissons et sandwich pour 4 personnes</t>
  </si>
  <si>
    <t>4.5</t>
  </si>
  <si>
    <t>5.8</t>
  </si>
  <si>
    <t>2.1</t>
  </si>
  <si>
    <t>5.2.2</t>
  </si>
  <si>
    <t>5.2.1</t>
  </si>
  <si>
    <t>4.6</t>
  </si>
  <si>
    <t>4.3</t>
  </si>
  <si>
    <t>3.2</t>
  </si>
  <si>
    <t>4.4</t>
  </si>
  <si>
    <t>1.1.1.7</t>
  </si>
  <si>
    <t>1.1.2.1</t>
  </si>
  <si>
    <t>1.1.1.4</t>
  </si>
  <si>
    <t>1.1.1.9</t>
  </si>
  <si>
    <t>Panier fin d'année /Chaque Agents PALF (Riz, Huile, Bons, Banane, Noix de Palmes, Chocolat et Spaghettis)</t>
  </si>
  <si>
    <t>Maintenance Imprimante &amp; Reïnitialisation Système/RICOH</t>
  </si>
  <si>
    <t>Commission Mvt/Frais Fixes/Taxes &amp; Cotisation Web Bank/Compt 34</t>
  </si>
  <si>
    <t>Commission de Mouvement/Taxes/Frais Fixes/Compte 56</t>
  </si>
  <si>
    <t>5.6</t>
  </si>
  <si>
    <t>2.2</t>
  </si>
  <si>
    <t>Location appartement OP 2 nuitées du 6 au 8/12/2021/Pour Operation</t>
  </si>
  <si>
    <t>AXEL - CONGO Food allowance/14 au 16 déc 2021/Axel</t>
  </si>
  <si>
    <t>1.3.2</t>
  </si>
  <si>
    <t>Reçu Caisse/Achat Fruits</t>
  </si>
  <si>
    <t>Achat fruits perroquets (Bananes/Papaye)</t>
  </si>
  <si>
    <t>Reçu Caisse /Frais de Mission Dolisie</t>
  </si>
  <si>
    <t>Reçu Ciasse/Frais Opération Dolisie</t>
  </si>
  <si>
    <t>Transfert P29/Flash Money</t>
  </si>
  <si>
    <t>Transfert I23C/Frais d'Hotel Tarmac 02 nuités prévues</t>
  </si>
  <si>
    <t>Achat Carburant BJ /Opération</t>
  </si>
  <si>
    <t>Achat jus pour Autorités/Raffraichissement</t>
  </si>
  <si>
    <t>Transfert P29/Trust Bulding</t>
  </si>
  <si>
    <t>Transfert Crepin/Achat Papier Rames et Chemise Cartonnées</t>
  </si>
  <si>
    <t>GRACE CONGO - Frais d'Hotel 02 nuitées Mision Dolisie du 22 au 24/12/2021</t>
  </si>
  <si>
    <t>Retour Caisse /</t>
  </si>
  <si>
    <t>Cumul Frais de Transport Local Décembre 2021/Grace</t>
  </si>
  <si>
    <t>Achat billet d'avion aller/retour  pour la DDEF/Brazzaville-Pointre Noire -Brazzaville &amp; Remise 6000frs</t>
  </si>
  <si>
    <t>BALANCE CAISSES ET BANQUE AU 31 Décembre 2021</t>
  </si>
  <si>
    <t>Impression 16 photos format 10x15</t>
  </si>
  <si>
    <t>Impression 22 photos format 10x15</t>
  </si>
  <si>
    <t>Achat carburant OPJ</t>
  </si>
  <si>
    <t>GODFRE - CONGO Food allowance/14 au 16 déc 2021 à Madingou /Godfré</t>
  </si>
  <si>
    <t>AXEL - CONGO Frais d'hotel/14 au 16 déc 2021 à Madingou /Axel</t>
  </si>
  <si>
    <t>GODFRE - CONGO Frais d'hotel/14 au 16 déc 2021 à Madingou /Godfré</t>
  </si>
  <si>
    <t>Achat Crédit Télephonique trafs Prince /Enquête pour aux cibles</t>
  </si>
  <si>
    <t>Frais d'achat d'une cartouche d'encre, deux rames de papier et quinze chemises cartonnées/Gendarmerie</t>
  </si>
  <si>
    <t>CREPIN IBOUILI - CONGO -Frais d'Hotel 03 Nuitées du 05 au 08/12/2021 à Pointe-Noire</t>
  </si>
  <si>
    <t>CREPIN IBOUILI - CONGO - 08 Nuitées à Pointe-Noire, du 08 au 16/12/2021 à Pointe Noire</t>
  </si>
  <si>
    <t>CREPIN IBOUILI - CONGO -Food-Allowance du 22 au 31/12/2021 à Dolisie</t>
  </si>
  <si>
    <t>CREPIN IBOUILI - CONGO - 09 Nuitées à Dolisie du 22 au 31/12/2021</t>
  </si>
  <si>
    <t>EVARISTE - CONGO Frais d'hôtel du 06 au 08 decembre (2 nuités) / Pointe Noire</t>
  </si>
  <si>
    <t>EVARISTE - CONGO Food allowance (du 6 au 11 décembre soit 5 jours)/Pointe Noire</t>
  </si>
  <si>
    <t>EVARISTE - CONGO Frais d'hôtel du 08 au 11 décembre (3 nuités) / Pointe Noire</t>
  </si>
  <si>
    <t>GODFRE - CONGO Food Allowance du 22 au 24/12/2021/Dolisie</t>
  </si>
  <si>
    <t>GODFRE - CONGO Frais d'hotel ( deux nuitées)/Dolisie</t>
  </si>
  <si>
    <t>I23C - CONGO Food allowance mission Pointe Noire-Bouansa du 2 au 9/12/2021</t>
  </si>
  <si>
    <t>I23C - CONGO Paiement 6 nuitées du 2 au 8 décembre 2021 cfr mission Pointe Noire</t>
  </si>
  <si>
    <t>I23C - CONGO Paiement Hôtel du 8 au 9/12/21 à Bouansa</t>
  </si>
  <si>
    <t>I23C - CONGO Paiement hôtel 3 nuitées du 20 au 23 Décembre 2021/Dolisie</t>
  </si>
  <si>
    <t>I23C - CONGO Paiement hôtel 3 nuitées du 15 au 18 décembre 2021/Dolisie</t>
  </si>
  <si>
    <t>I23C - CONGO Paiement Hôtel 2 nuitées du 18 au 20 décembre 2021/Pointe Noire</t>
  </si>
  <si>
    <t>I23C - CONGO Food allowance mission Dolisie-Pointe Noire du 15 au 23 décembre 2021</t>
  </si>
  <si>
    <t>P29 - CONGO Food allowance mission du 03 au 08/12/2021 Dolisie</t>
  </si>
  <si>
    <t>P29 - CONGO Paiement 3 nuitées du 04 au 07/12/2021 Dolisie</t>
  </si>
  <si>
    <t>P29 - CONGO Paiement une nuitée du 07 au 08/12/2021 Dolisie</t>
  </si>
  <si>
    <t>P29 - CONGO Paiement nuitée du 13  au 14/12/2021 Dolisie</t>
  </si>
  <si>
    <t>P29 - CONGO  Paiement 2 nuitées du 14 au 16/12/2021 Makabana</t>
  </si>
  <si>
    <t>P29 - CONGO Paiement 2 nuitées du 16 au 18/12/2021 /Dolisie</t>
  </si>
  <si>
    <t>P29 - CONGO Paiement 2 nuitées du 18 au 20/12/2021/ Mouyondzi</t>
  </si>
  <si>
    <t>Billet avion Pointe Noire- Brazzaville/Tiffany</t>
  </si>
  <si>
    <t>CREPIN IBOUILI - CONGO -  Food-Allowance du 05 au 16/12/2021/Pointe Noire</t>
  </si>
  <si>
    <t>Billet: Pointe Noire-Brazzaville/Crépin</t>
  </si>
  <si>
    <t>Billet: Brazzaville-Dolisie/Crépin</t>
  </si>
  <si>
    <t>Billet Brazzaville-Pointe Noire/Evariste</t>
  </si>
  <si>
    <t>Achat Billet de voyage Pointe Noire-Brazzaville /Evariste</t>
  </si>
  <si>
    <t>Achat billet Brazzaville-Dolisie/Godfré</t>
  </si>
  <si>
    <t>Achat Billet Retour Dolisie-Brazzaville/Godfré</t>
  </si>
  <si>
    <t>Achat Billet Aller Brazzaville-Dolisie/Grace</t>
  </si>
  <si>
    <t>Achat billet Brazzaville-Pointe Noire /I23C</t>
  </si>
  <si>
    <t>Achat billet Pointe Noire-Bouansa (départ pour Bouansa)/I23C</t>
  </si>
  <si>
    <t>Achat Billet Bouansa-Brazzaville (départ pour Brazzaville)/I23C</t>
  </si>
  <si>
    <t>Achat billet Brazza-Dolisie (départ pour Dolisie)/I23C</t>
  </si>
  <si>
    <t>Achat billet Dolisie-Pointe-Noire (suite investigation à PN)/I23C</t>
  </si>
  <si>
    <t>Taxi SARAS-Dolisie (départ pour Dolisie)/I23C</t>
  </si>
  <si>
    <t>Achat billet Brazza-dolisie/P29</t>
  </si>
  <si>
    <t>Achat billet dolisie-Pointe-Noire /P29</t>
  </si>
  <si>
    <t xml:space="preserve"> Achat billet pointe noire-dolisie/P29</t>
  </si>
  <si>
    <t>Achat billet dolisie-brazzaville /P29</t>
  </si>
  <si>
    <t>Achat billet Dolisie-mila mila-Dolisie (Aller/Retour)/P29</t>
  </si>
  <si>
    <t>Achat billet makabana-dolisie/P29</t>
  </si>
  <si>
    <t>Achat billet dolisie-makabana/P29</t>
  </si>
  <si>
    <t>Achat billet bzv-dolisie/P29</t>
  </si>
  <si>
    <t>Achat billet dolisie-mouyondzi/P29</t>
  </si>
  <si>
    <t>Achat billet Mouyondzi-dolisie/P29</t>
  </si>
  <si>
    <t>P29 - CONGO Food allowance mission du 13 au 23/12/2021 à Dolisie, Makabana,Pointe Noire</t>
  </si>
  <si>
    <t>Equipement</t>
  </si>
  <si>
    <t>Taxi Privé Dolisie-Brazzaville (payement taxi extraction P29 et I23C)</t>
  </si>
  <si>
    <t xml:space="preserve">Frais d'Occupation Suite de P29 du 22 au 23 décembre 2021 (cfr OP) </t>
  </si>
  <si>
    <t>Achat billet PN-Saras (départ pour les SARAS)/I23C</t>
  </si>
  <si>
    <t>Taxi bus: Inoni-Brazzaville/B52</t>
  </si>
  <si>
    <t>Taxi: djambala-Ngo/B52</t>
  </si>
  <si>
    <t>Taxi: Ngo-Djambala/B52</t>
  </si>
  <si>
    <t>Achat billet(Brazzaville-Ngo)/B52</t>
  </si>
  <si>
    <t>Billet: Dolisie-Brazzaville/Crepin</t>
  </si>
  <si>
    <t>Achat rames de papier et Chemise cartonnées aux fins de la procédure de la gendarmerie</t>
  </si>
  <si>
    <t>Frais de consultation/Crepin</t>
  </si>
  <si>
    <t>RALFF-CO2773</t>
  </si>
  <si>
    <t>RALFF-CO2774</t>
  </si>
  <si>
    <t>RALFF-CO2775</t>
  </si>
  <si>
    <t>RALFF-CO2776</t>
  </si>
  <si>
    <t>RALFF-CO2777</t>
  </si>
  <si>
    <t>RALFF-CO2778</t>
  </si>
  <si>
    <t>RALFF-CO2779</t>
  </si>
  <si>
    <t>RALFF-CO2780</t>
  </si>
  <si>
    <t>RALFF-CO2781</t>
  </si>
  <si>
    <t>RALFF-CO2782</t>
  </si>
  <si>
    <t>RALFF-CO2783</t>
  </si>
  <si>
    <t>RALFF-CO2784</t>
  </si>
  <si>
    <t>RALFF-CO2785</t>
  </si>
  <si>
    <t>RALFF-CO2786</t>
  </si>
  <si>
    <t>RALFF-CO2787</t>
  </si>
  <si>
    <t>RALFF-CO2788</t>
  </si>
  <si>
    <t>RALFF-CO2789</t>
  </si>
  <si>
    <t>RALFF-CO2790</t>
  </si>
  <si>
    <t>RALFF-CO2791</t>
  </si>
  <si>
    <t>RALFF-CO2792</t>
  </si>
  <si>
    <t>RALFF-CO2793</t>
  </si>
  <si>
    <t>RALFF-CO2794</t>
  </si>
  <si>
    <t>RALFF-CO2795</t>
  </si>
  <si>
    <t>RALFF-CO2796</t>
  </si>
  <si>
    <t>RALFF-CO2797</t>
  </si>
  <si>
    <t>RALFF-CO2798</t>
  </si>
  <si>
    <t>RALFF-CO2799</t>
  </si>
  <si>
    <t>RALFF-CO2800</t>
  </si>
  <si>
    <t>RALFF-CO2801</t>
  </si>
  <si>
    <t>RALFF-CO2802</t>
  </si>
  <si>
    <t>RALFF-CO2803</t>
  </si>
  <si>
    <t>RALFF-CO2804</t>
  </si>
  <si>
    <t>RALFF-CO2805</t>
  </si>
  <si>
    <t>RALFF-CO2806</t>
  </si>
  <si>
    <t>RALFF-CO2807</t>
  </si>
  <si>
    <t>RALFF-CO2808</t>
  </si>
  <si>
    <t>RALFF-CO2809</t>
  </si>
  <si>
    <t>RALFF-CO2810</t>
  </si>
  <si>
    <t>RALFF-CO2811</t>
  </si>
  <si>
    <t>RALFF-CO2812</t>
  </si>
  <si>
    <t>RALFF-CO2813</t>
  </si>
  <si>
    <t>RALFF-CO2814</t>
  </si>
  <si>
    <t>RALFF-CO2815</t>
  </si>
  <si>
    <t>RALFF-CO2816</t>
  </si>
  <si>
    <t>RALFF-CO2817</t>
  </si>
  <si>
    <t>RALFF-CO2818</t>
  </si>
  <si>
    <t>RALFF-CO2819</t>
  </si>
  <si>
    <t>RALFF-CO2820</t>
  </si>
  <si>
    <t>RALFF-CO2821</t>
  </si>
  <si>
    <t>RALFF-CO2822</t>
  </si>
  <si>
    <t>RALFF-CO2823</t>
  </si>
  <si>
    <t>RALFF-CO2824</t>
  </si>
  <si>
    <t>RALFF-CO2825</t>
  </si>
  <si>
    <t>RALFF-CO2826</t>
  </si>
  <si>
    <t>RALFF-CO2827</t>
  </si>
  <si>
    <t>RALFF-CO2828</t>
  </si>
  <si>
    <t>RALFF-CO2829</t>
  </si>
  <si>
    <t>RALFF-CO2830</t>
  </si>
  <si>
    <t>RALFF-CO2831</t>
  </si>
  <si>
    <t>RALFF-CO2832</t>
  </si>
  <si>
    <t>RALFF-CO2833</t>
  </si>
  <si>
    <t>RALFF-CO2834</t>
  </si>
  <si>
    <t>RALFF-CO2835</t>
  </si>
  <si>
    <t>RALFF-CO2836</t>
  </si>
  <si>
    <t>RALFF-CO2837</t>
  </si>
  <si>
    <t>RALFF-CO2838</t>
  </si>
  <si>
    <t>RALFF-CO2839</t>
  </si>
  <si>
    <t>RALFF-CO2840</t>
  </si>
  <si>
    <t>RALFF-CO2841</t>
  </si>
  <si>
    <t>RALFF-CO2842</t>
  </si>
  <si>
    <t>RALFF-CO2843</t>
  </si>
  <si>
    <t>RALFF-CO2844</t>
  </si>
  <si>
    <t>RALFF-CO2845</t>
  </si>
  <si>
    <t>RALFF-CO2846</t>
  </si>
  <si>
    <t>RALFF-CO2847</t>
  </si>
  <si>
    <t>RALFF-CO2848</t>
  </si>
  <si>
    <t>RALFF-CO2849</t>
  </si>
  <si>
    <t>RALFF-CO2850</t>
  </si>
  <si>
    <t>RALFF-CO2851</t>
  </si>
  <si>
    <t>RALFF-CO2852</t>
  </si>
  <si>
    <t>RALFF-CO2853</t>
  </si>
  <si>
    <t>RALFF-CO2854</t>
  </si>
  <si>
    <t>RALFF-CO2855</t>
  </si>
  <si>
    <t>RALFF-CO2856</t>
  </si>
  <si>
    <t>RALFF-CO2857</t>
  </si>
  <si>
    <t>RALFF-CO2858</t>
  </si>
  <si>
    <t>RALFF-CO2859</t>
  </si>
  <si>
    <t>RALFF-CO2860</t>
  </si>
  <si>
    <t>RALFF-CO2861</t>
  </si>
  <si>
    <t>RALFF-CO2862</t>
  </si>
  <si>
    <t>RALFF-CO2863</t>
  </si>
  <si>
    <t>RALFF-CO2864</t>
  </si>
  <si>
    <t>RALFF-CO2865</t>
  </si>
  <si>
    <t>RALFF-CO2866</t>
  </si>
  <si>
    <t>RALFF-CO2867</t>
  </si>
  <si>
    <t>RALFF-CO2868</t>
  </si>
  <si>
    <t>RALFF-CO2869</t>
  </si>
  <si>
    <t>RALFF-CO2870</t>
  </si>
  <si>
    <t>RALFF-CO2871</t>
  </si>
  <si>
    <t>RALFF-CO2872</t>
  </si>
  <si>
    <t>RALFF-CO2873</t>
  </si>
  <si>
    <t>RALFF-CO2874</t>
  </si>
  <si>
    <t>RALFF-CO2875</t>
  </si>
  <si>
    <t>RALFF-CO2876</t>
  </si>
  <si>
    <t>RALFF-CO2877</t>
  </si>
  <si>
    <t>RALFF-CO2878</t>
  </si>
  <si>
    <t>RALFF-CO2879</t>
  </si>
  <si>
    <t>RALFF-CO2880</t>
  </si>
  <si>
    <t>RALFF-CO2881</t>
  </si>
  <si>
    <t>RALFF-CO2882</t>
  </si>
  <si>
    <t>Achat telephone Portable techno T313/Investigation</t>
  </si>
  <si>
    <t>BALANCE 31 Décembre 2021</t>
  </si>
  <si>
    <t>Rent &amp; Utilities</t>
  </si>
  <si>
    <t>Achat credit  teléphonique Airtel/PALF/Deuxieme partie Décembre  2021/Management</t>
  </si>
  <si>
    <t>Achat credit  teléphonique Airtel/PALF/Deuxieme partie Décembre  2021/Legal</t>
  </si>
  <si>
    <t>Achat credit  teléphonique Airtel/PALF/Deuxieme partie Décembre  2021/Investigation</t>
  </si>
  <si>
    <t>GRACE CONGO - Food Allowance Mission Dolisie du 22 au 24/12/2021</t>
  </si>
  <si>
    <t>Achat Billet Retour Dolisie-Brazzaville/Grace</t>
  </si>
  <si>
    <t>Frais Médicaux Détenus IBANDA Valentin</t>
  </si>
  <si>
    <t>B52 - CONGO food allowance  du 13 au 21/12/2022 à djambala</t>
  </si>
  <si>
    <t>P29 - CONGO Paiement une nuitée du 03 au 04/12/2021 Pointe Noire</t>
  </si>
  <si>
    <t>P29 - CONGO Paiement 3 nuitées du 20 au 23/12/2021 /Dolisie</t>
  </si>
  <si>
    <t>Bonus autorité gendarme et /opération à Brazzaville</t>
  </si>
  <si>
    <t>Team Building</t>
  </si>
  <si>
    <t>Acompte Honoraire Contrat N°39/Me Marie Hélène NANITELAMIO MALONGA/Cas Job &amp; Chancel/Brazzaville</t>
  </si>
  <si>
    <t>Paiement Honoraire Me LOCKO Christian /Mois de Décembre 2021</t>
  </si>
  <si>
    <t>Solde Honoraire Contrat N°35/du 28/06/2021/Me Marie Helène NANITELAMIO/ NTABA Barthélémy et OBENE Meldas</t>
  </si>
  <si>
    <t>Acompte Honoraire Contrat N°40 / Me Marie Hélène NANITELAMIO MALONGA/Cas Jonas, Hassan et Valentin</t>
  </si>
  <si>
    <t>Frais de transfert Charden Farell/P29</t>
  </si>
</sst>
</file>

<file path=xl/styles.xml><?xml version="1.0" encoding="utf-8"?>
<styleSheet xmlns="http://schemas.openxmlformats.org/spreadsheetml/2006/main">
  <numFmts count="9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_€_-;\-* #,##0\ _€_-;_-* &quot;-&quot;??\ _€_-;_-@"/>
    <numFmt numFmtId="167" formatCode="[$-409]d\-mmm\-yy;@"/>
    <numFmt numFmtId="168" formatCode="[$-40C]0"/>
    <numFmt numFmtId="169" formatCode="&quot; &quot;#,##0&quot;    &quot;;&quot;-&quot;#,##0&quot;    &quot;;&quot; -&quot;#&quot;    &quot;;&quot; &quot;@&quot; &quot;"/>
    <numFmt numFmtId="170" formatCode="[$-40C]General"/>
    <numFmt numFmtId="171" formatCode="[$]d\ mmm\ yyyy;@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8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23" fillId="0" borderId="0" applyBorder="0" applyProtection="0"/>
  </cellStyleXfs>
  <cellXfs count="3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Fill="1" applyBorder="1" applyAlignment="1"/>
    <xf numFmtId="165" fontId="0" fillId="0" borderId="0" xfId="0" applyNumberFormat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 applyFill="1" applyBorder="1" applyAlignment="1"/>
    <xf numFmtId="165" fontId="13" fillId="0" borderId="0" xfId="0" applyNumberFormat="1" applyFont="1" applyBorder="1" applyAlignment="1">
      <alignment vertical="center"/>
    </xf>
    <xf numFmtId="0" fontId="16" fillId="0" borderId="0" xfId="0" applyFont="1" applyAlignment="1"/>
    <xf numFmtId="0" fontId="4" fillId="0" borderId="0" xfId="0" applyFont="1" applyAlignment="1"/>
    <xf numFmtId="0" fontId="5" fillId="7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 applyAlignment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 applyAlignment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Fill="1" applyBorder="1" applyAlignment="1"/>
    <xf numFmtId="165" fontId="4" fillId="0" borderId="1" xfId="1" applyNumberFormat="1" applyFont="1" applyFill="1" applyBorder="1" applyProtection="1"/>
    <xf numFmtId="165" fontId="19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 applyAlignment="1"/>
    <xf numFmtId="0" fontId="5" fillId="0" borderId="4" xfId="0" applyFont="1" applyFill="1" applyBorder="1" applyAlignment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20" fillId="0" borderId="1" xfId="1" applyNumberFormat="1" applyFont="1" applyBorder="1" applyProtection="1"/>
    <xf numFmtId="165" fontId="20" fillId="0" borderId="0" xfId="1" applyNumberFormat="1" applyFont="1" applyProtection="1"/>
    <xf numFmtId="165" fontId="10" fillId="0" borderId="1" xfId="0" applyNumberFormat="1" applyFont="1" applyBorder="1" applyAlignment="1"/>
    <xf numFmtId="0" fontId="18" fillId="10" borderId="4" xfId="0" applyFont="1" applyFill="1" applyBorder="1" applyAlignment="1"/>
    <xf numFmtId="165" fontId="0" fillId="0" borderId="1" xfId="1" applyNumberFormat="1" applyFont="1" applyBorder="1" applyProtection="1"/>
    <xf numFmtId="165" fontId="4" fillId="0" borderId="1" xfId="0" applyNumberFormat="1" applyFont="1" applyBorder="1" applyAlignment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9" fillId="0" borderId="6" xfId="1" applyNumberFormat="1" applyFont="1" applyBorder="1" applyProtection="1"/>
    <xf numFmtId="165" fontId="19" fillId="0" borderId="1" xfId="1" applyNumberFormat="1" applyFont="1" applyBorder="1" applyAlignment="1" applyProtection="1">
      <alignment vertical="center"/>
    </xf>
    <xf numFmtId="165" fontId="19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9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9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1" fillId="0" borderId="0" xfId="1" applyNumberFormat="1" applyFont="1" applyBorder="1" applyProtection="1">
      <protection locked="0"/>
    </xf>
    <xf numFmtId="0" fontId="6" fillId="0" borderId="1" xfId="0" applyFont="1" applyFill="1" applyBorder="1" applyAlignment="1"/>
    <xf numFmtId="0" fontId="22" fillId="0" borderId="1" xfId="0" applyFont="1" applyBorder="1" applyAlignment="1">
      <alignment vertical="center"/>
    </xf>
    <xf numFmtId="165" fontId="23" fillId="0" borderId="1" xfId="1" applyNumberFormat="1" applyFont="1" applyBorder="1" applyProtection="1">
      <protection locked="0"/>
    </xf>
    <xf numFmtId="165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13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65" fontId="4" fillId="0" borderId="0" xfId="1" applyNumberFormat="1" applyFont="1" applyFill="1" applyBorder="1" applyProtection="1"/>
    <xf numFmtId="165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 applyAlignment="1"/>
    <xf numFmtId="165" fontId="4" fillId="17" borderId="5" xfId="1" applyNumberFormat="1" applyFont="1" applyFill="1" applyBorder="1" applyProtection="1"/>
    <xf numFmtId="165" fontId="4" fillId="17" borderId="5" xfId="0" applyNumberFormat="1" applyFont="1" applyFill="1" applyBorder="1" applyAlignment="1"/>
    <xf numFmtId="165" fontId="4" fillId="0" borderId="3" xfId="1" applyNumberFormat="1" applyFont="1" applyFill="1" applyBorder="1" applyProtection="1"/>
    <xf numFmtId="165" fontId="24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horizontal="center" vertical="center"/>
    </xf>
    <xf numFmtId="165" fontId="23" fillId="0" borderId="1" xfId="1" applyNumberFormat="1" applyFont="1" applyFill="1" applyBorder="1" applyProtection="1"/>
    <xf numFmtId="165" fontId="28" fillId="0" borderId="1" xfId="1" applyNumberFormat="1" applyFont="1" applyFill="1" applyBorder="1" applyProtection="1"/>
    <xf numFmtId="165" fontId="23" fillId="0" borderId="0" xfId="1" applyNumberFormat="1" applyFont="1" applyFill="1" applyBorder="1" applyProtection="1"/>
    <xf numFmtId="165" fontId="5" fillId="17" borderId="4" xfId="1" applyNumberFormat="1" applyFont="1" applyFill="1" applyBorder="1" applyAlignment="1" applyProtection="1">
      <alignment horizontal="left"/>
    </xf>
    <xf numFmtId="165" fontId="5" fillId="17" borderId="5" xfId="1" applyNumberFormat="1" applyFont="1" applyFill="1" applyBorder="1" applyAlignment="1" applyProtection="1">
      <alignment horizontal="left"/>
    </xf>
    <xf numFmtId="165" fontId="4" fillId="17" borderId="1" xfId="0" applyNumberFormat="1" applyFont="1" applyFill="1" applyBorder="1" applyAlignment="1"/>
    <xf numFmtId="165" fontId="29" fillId="0" borderId="1" xfId="1" applyNumberFormat="1" applyFont="1" applyFill="1" applyBorder="1" applyProtection="1"/>
    <xf numFmtId="3" fontId="24" fillId="0" borderId="1" xfId="0" applyNumberFormat="1" applyFont="1" applyFill="1" applyBorder="1" applyAlignment="1">
      <alignment vertical="center"/>
    </xf>
    <xf numFmtId="165" fontId="29" fillId="0" borderId="0" xfId="1" applyNumberFormat="1" applyFont="1" applyFill="1" applyBorder="1" applyProtection="1"/>
    <xf numFmtId="165" fontId="10" fillId="0" borderId="1" xfId="0" applyNumberFormat="1" applyFont="1" applyFill="1" applyBorder="1" applyAlignment="1"/>
    <xf numFmtId="0" fontId="18" fillId="17" borderId="4" xfId="0" applyFont="1" applyFill="1" applyBorder="1" applyAlignment="1"/>
    <xf numFmtId="165" fontId="30" fillId="0" borderId="3" xfId="1" applyNumberFormat="1" applyFont="1" applyFill="1" applyBorder="1" applyProtection="1"/>
    <xf numFmtId="165" fontId="28" fillId="0" borderId="6" xfId="1" applyNumberFormat="1" applyFont="1" applyFill="1" applyBorder="1" applyProtection="1"/>
    <xf numFmtId="165" fontId="28" fillId="18" borderId="1" xfId="1" applyNumberFormat="1" applyFont="1" applyFill="1" applyBorder="1" applyProtection="1"/>
    <xf numFmtId="165" fontId="28" fillId="18" borderId="1" xfId="1" applyNumberFormat="1" applyFont="1" applyFill="1" applyBorder="1" applyAlignment="1" applyProtection="1">
      <alignment vertical="center"/>
    </xf>
    <xf numFmtId="165" fontId="31" fillId="0" borderId="6" xfId="1" applyNumberFormat="1" applyFont="1" applyFill="1" applyBorder="1" applyProtection="1"/>
    <xf numFmtId="165" fontId="31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vertical="center"/>
    </xf>
    <xf numFmtId="165" fontId="24" fillId="0" borderId="0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Fill="1" applyBorder="1" applyAlignment="1"/>
    <xf numFmtId="165" fontId="19" fillId="0" borderId="6" xfId="1" applyNumberFormat="1" applyFont="1" applyFill="1" applyBorder="1" applyProtection="1"/>
    <xf numFmtId="165" fontId="19" fillId="0" borderId="1" xfId="0" applyNumberFormat="1" applyFont="1" applyFill="1" applyBorder="1" applyAlignment="1"/>
    <xf numFmtId="165" fontId="7" fillId="0" borderId="0" xfId="0" applyNumberFormat="1" applyFont="1" applyAlignment="1">
      <alignment vertical="center"/>
    </xf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7" fillId="22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 applyAlignment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/>
    <xf numFmtId="0" fontId="22" fillId="21" borderId="1" xfId="0" applyFont="1" applyFill="1" applyBorder="1" applyAlignment="1">
      <alignment vertical="center"/>
    </xf>
    <xf numFmtId="165" fontId="23" fillId="21" borderId="1" xfId="1" applyNumberFormat="1" applyFont="1" applyFill="1" applyBorder="1" applyProtection="1">
      <protection locked="0"/>
    </xf>
    <xf numFmtId="165" fontId="24" fillId="21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9" fillId="21" borderId="1" xfId="1" applyNumberFormat="1" applyFont="1" applyFill="1" applyBorder="1" applyProtection="1"/>
    <xf numFmtId="165" fontId="4" fillId="21" borderId="1" xfId="0" applyNumberFormat="1" applyFont="1" applyFill="1" applyBorder="1" applyAlignment="1"/>
    <xf numFmtId="165" fontId="4" fillId="0" borderId="1" xfId="1" applyNumberFormat="1" applyFont="1" applyBorder="1" applyProtection="1"/>
    <xf numFmtId="165" fontId="4" fillId="21" borderId="1" xfId="1" applyNumberFormat="1" applyFont="1" applyFill="1" applyBorder="1" applyProtection="1"/>
    <xf numFmtId="165" fontId="19" fillId="5" borderId="1" xfId="0" applyNumberFormat="1" applyFont="1" applyFill="1" applyBorder="1" applyAlignment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0" fontId="5" fillId="0" borderId="1" xfId="0" applyFont="1" applyFill="1" applyBorder="1" applyAlignment="1"/>
    <xf numFmtId="0" fontId="5" fillId="5" borderId="1" xfId="0" applyFont="1" applyFill="1" applyBorder="1" applyAlignment="1"/>
    <xf numFmtId="0" fontId="5" fillId="21" borderId="1" xfId="0" applyFont="1" applyFill="1" applyBorder="1" applyAlignment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5" fontId="19" fillId="0" borderId="3" xfId="1" applyNumberFormat="1" applyFont="1" applyFill="1" applyBorder="1" applyProtection="1"/>
    <xf numFmtId="0" fontId="33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35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165" fontId="34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40" fillId="0" borderId="4" xfId="0" applyFont="1" applyFill="1" applyBorder="1" applyAlignment="1"/>
    <xf numFmtId="165" fontId="19" fillId="0" borderId="1" xfId="0" applyNumberFormat="1" applyFont="1" applyBorder="1" applyAlignment="1"/>
    <xf numFmtId="0" fontId="40" fillId="0" borderId="0" xfId="0" applyFont="1" applyFill="1" applyBorder="1" applyAlignment="1"/>
    <xf numFmtId="0" fontId="40" fillId="0" borderId="1" xfId="0" applyFont="1" applyFill="1" applyBorder="1" applyAlignment="1"/>
    <xf numFmtId="165" fontId="19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9" fillId="22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13" fillId="0" borderId="0" xfId="0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65" fontId="24" fillId="0" borderId="1" xfId="1" applyNumberFormat="1" applyFont="1" applyFill="1" applyBorder="1" applyProtection="1">
      <protection locked="0"/>
    </xf>
    <xf numFmtId="165" fontId="19" fillId="21" borderId="1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168" fontId="36" fillId="0" borderId="1" xfId="2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14" fontId="41" fillId="0" borderId="1" xfId="3" applyNumberFormat="1" applyFont="1" applyFill="1" applyBorder="1"/>
    <xf numFmtId="165" fontId="5" fillId="0" borderId="3" xfId="1" applyNumberFormat="1" applyFont="1" applyFill="1" applyBorder="1" applyAlignment="1" applyProtection="1">
      <alignment horizontal="center" vertical="center" wrapText="1"/>
    </xf>
    <xf numFmtId="14" fontId="36" fillId="0" borderId="1" xfId="0" applyNumberFormat="1" applyFont="1" applyFill="1" applyBorder="1" applyAlignment="1">
      <alignment vertical="center"/>
    </xf>
    <xf numFmtId="3" fontId="36" fillId="0" borderId="1" xfId="1" applyNumberFormat="1" applyFont="1" applyFill="1" applyBorder="1" applyAlignment="1" applyProtection="1">
      <alignment horizontal="right"/>
    </xf>
    <xf numFmtId="0" fontId="36" fillId="5" borderId="1" xfId="0" applyFont="1" applyFill="1" applyBorder="1" applyAlignment="1">
      <alignment vertical="center"/>
    </xf>
    <xf numFmtId="0" fontId="36" fillId="19" borderId="1" xfId="0" applyFont="1" applyFill="1" applyBorder="1" applyAlignment="1">
      <alignment vertical="center"/>
    </xf>
    <xf numFmtId="0" fontId="36" fillId="23" borderId="1" xfId="0" applyFont="1" applyFill="1" applyBorder="1" applyAlignment="1">
      <alignment vertical="center"/>
    </xf>
    <xf numFmtId="41" fontId="36" fillId="23" borderId="1" xfId="4" applyFont="1" applyFill="1" applyBorder="1" applyAlignment="1">
      <alignment vertical="center"/>
    </xf>
    <xf numFmtId="3" fontId="36" fillId="0" borderId="1" xfId="1" applyNumberFormat="1" applyFont="1" applyFill="1" applyBorder="1" applyAlignment="1" applyProtection="1">
      <alignment horizontal="right" vertical="center"/>
    </xf>
    <xf numFmtId="165" fontId="36" fillId="0" borderId="1" xfId="1" applyNumberFormat="1" applyFont="1" applyFill="1" applyBorder="1" applyAlignment="1" applyProtection="1">
      <alignment vertical="center"/>
    </xf>
    <xf numFmtId="0" fontId="42" fillId="21" borderId="1" xfId="0" applyFont="1" applyFill="1" applyBorder="1" applyAlignment="1">
      <alignment vertical="center"/>
    </xf>
    <xf numFmtId="165" fontId="36" fillId="0" borderId="1" xfId="0" applyNumberFormat="1" applyFont="1" applyFill="1" applyBorder="1" applyAlignment="1">
      <alignment vertical="center"/>
    </xf>
    <xf numFmtId="165" fontId="43" fillId="0" borderId="1" xfId="0" applyNumberFormat="1" applyFont="1" applyFill="1" applyBorder="1" applyAlignment="1">
      <alignment vertical="center"/>
    </xf>
    <xf numFmtId="165" fontId="36" fillId="0" borderId="1" xfId="1" applyNumberFormat="1" applyFont="1" applyFill="1" applyBorder="1" applyAlignment="1">
      <alignment vertical="center"/>
    </xf>
    <xf numFmtId="166" fontId="36" fillId="0" borderId="1" xfId="0" applyNumberFormat="1" applyFont="1" applyFill="1" applyBorder="1" applyAlignment="1">
      <alignment vertical="center"/>
    </xf>
    <xf numFmtId="0" fontId="36" fillId="12" borderId="1" xfId="0" applyFont="1" applyFill="1" applyBorder="1" applyAlignment="1">
      <alignment vertical="center"/>
    </xf>
    <xf numFmtId="165" fontId="36" fillId="12" borderId="1" xfId="1" applyNumberFormat="1" applyFont="1" applyFill="1" applyBorder="1" applyAlignment="1" applyProtection="1">
      <alignment vertical="center"/>
    </xf>
    <xf numFmtId="0" fontId="36" fillId="12" borderId="1" xfId="0" applyFont="1" applyFill="1" applyBorder="1" applyAlignment="1">
      <alignment horizontal="left" vertical="center"/>
    </xf>
    <xf numFmtId="0" fontId="36" fillId="0" borderId="1" xfId="2" applyFont="1" applyFill="1" applyBorder="1" applyAlignment="1">
      <alignment vertical="center"/>
    </xf>
    <xf numFmtId="168" fontId="36" fillId="0" borderId="1" xfId="2" applyNumberFormat="1" applyFont="1" applyFill="1" applyBorder="1" applyAlignment="1">
      <alignment vertical="center" wrapText="1"/>
    </xf>
    <xf numFmtId="0" fontId="36" fillId="0" borderId="1" xfId="2" applyFont="1" applyFill="1" applyBorder="1" applyAlignment="1" applyProtection="1">
      <alignment vertical="center"/>
    </xf>
    <xf numFmtId="168" fontId="36" fillId="0" borderId="1" xfId="2" applyNumberFormat="1" applyFont="1" applyFill="1" applyBorder="1" applyAlignment="1" applyProtection="1">
      <alignment vertical="center"/>
    </xf>
    <xf numFmtId="168" fontId="36" fillId="0" borderId="1" xfId="2" applyNumberFormat="1" applyFont="1" applyFill="1" applyBorder="1" applyAlignment="1" applyProtection="1">
      <alignment vertical="center" wrapText="1"/>
    </xf>
    <xf numFmtId="165" fontId="36" fillId="0" borderId="1" xfId="1" applyNumberFormat="1" applyFont="1" applyFill="1" applyBorder="1" applyAlignment="1">
      <alignment horizontal="left" vertical="center" wrapText="1"/>
    </xf>
    <xf numFmtId="165" fontId="36" fillId="0" borderId="1" xfId="1" applyNumberFormat="1" applyFont="1" applyFill="1" applyBorder="1" applyAlignment="1">
      <alignment horizontal="right"/>
    </xf>
    <xf numFmtId="169" fontId="36" fillId="0" borderId="1" xfId="6" applyNumberFormat="1" applyFont="1" applyFill="1" applyBorder="1" applyAlignment="1">
      <alignment horizontal="right" wrapText="1"/>
    </xf>
    <xf numFmtId="0" fontId="36" fillId="0" borderId="1" xfId="0" applyFont="1" applyFill="1" applyBorder="1" applyAlignment="1">
      <alignment horizontal="right"/>
    </xf>
    <xf numFmtId="165" fontId="36" fillId="0" borderId="1" xfId="0" applyNumberFormat="1" applyFont="1" applyFill="1" applyBorder="1" applyAlignment="1">
      <alignment horizontal="right"/>
    </xf>
    <xf numFmtId="169" fontId="36" fillId="0" borderId="1" xfId="6" applyNumberFormat="1" applyFont="1" applyFill="1" applyBorder="1" applyAlignment="1" applyProtection="1">
      <alignment horizontal="right" wrapText="1"/>
    </xf>
    <xf numFmtId="165" fontId="36" fillId="0" borderId="1" xfId="0" applyNumberFormat="1" applyFont="1" applyFill="1" applyBorder="1" applyAlignment="1">
      <alignment horizontal="left" vertical="center"/>
    </xf>
    <xf numFmtId="0" fontId="36" fillId="0" borderId="1" xfId="2" applyFont="1" applyFill="1" applyBorder="1" applyAlignment="1">
      <alignment horizontal="left" vertical="center"/>
    </xf>
    <xf numFmtId="0" fontId="36" fillId="0" borderId="1" xfId="2" applyFont="1" applyFill="1" applyBorder="1" applyAlignment="1" applyProtection="1">
      <alignment horizontal="left" vertical="center"/>
    </xf>
    <xf numFmtId="3" fontId="36" fillId="12" borderId="1" xfId="1" applyNumberFormat="1" applyFont="1" applyFill="1" applyBorder="1" applyAlignment="1" applyProtection="1">
      <alignment horizontal="right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/>
    <xf numFmtId="165" fontId="36" fillId="0" borderId="1" xfId="1" applyNumberFormat="1" applyFont="1" applyFill="1" applyBorder="1" applyAlignment="1">
      <alignment horizontal="right" vertical="center"/>
    </xf>
    <xf numFmtId="165" fontId="36" fillId="0" borderId="1" xfId="0" applyNumberFormat="1" applyFont="1" applyFill="1" applyBorder="1" applyAlignment="1">
      <alignment horizontal="right" vertical="center"/>
    </xf>
    <xf numFmtId="0" fontId="36" fillId="0" borderId="1" xfId="0" applyFont="1" applyFill="1" applyBorder="1" applyAlignment="1">
      <alignment horizontal="right" vertical="center"/>
    </xf>
    <xf numFmtId="169" fontId="36" fillId="0" borderId="1" xfId="6" applyNumberFormat="1" applyFont="1" applyFill="1" applyBorder="1" applyAlignment="1">
      <alignment horizontal="right" vertical="center" wrapText="1"/>
    </xf>
    <xf numFmtId="169" fontId="36" fillId="0" borderId="1" xfId="6" applyNumberFormat="1" applyFont="1" applyFill="1" applyBorder="1" applyAlignment="1" applyProtection="1">
      <alignment horizontal="right" vertical="center" wrapText="1"/>
    </xf>
    <xf numFmtId="169" fontId="36" fillId="0" borderId="1" xfId="6" applyNumberFormat="1" applyFont="1" applyFill="1" applyBorder="1" applyAlignment="1">
      <alignment horizontal="right" vertical="center"/>
    </xf>
    <xf numFmtId="0" fontId="36" fillId="0" borderId="1" xfId="2" applyFont="1" applyFill="1" applyBorder="1" applyAlignment="1" applyProtection="1"/>
    <xf numFmtId="0" fontId="36" fillId="0" borderId="1" xfId="0" applyFont="1" applyFill="1" applyBorder="1" applyAlignment="1"/>
    <xf numFmtId="0" fontId="36" fillId="0" borderId="1" xfId="0" applyFont="1" applyBorder="1" applyAlignment="1">
      <alignment vertical="center"/>
    </xf>
    <xf numFmtId="0" fontId="36" fillId="0" borderId="1" xfId="0" applyFont="1" applyBorder="1"/>
    <xf numFmtId="165" fontId="36" fillId="0" borderId="1" xfId="1" applyNumberFormat="1" applyFont="1" applyBorder="1"/>
    <xf numFmtId="0" fontId="36" fillId="0" borderId="1" xfId="0" applyFont="1" applyBorder="1" applyAlignment="1"/>
    <xf numFmtId="168" fontId="36" fillId="0" borderId="1" xfId="2" applyNumberFormat="1" applyFont="1" applyFill="1" applyBorder="1" applyAlignment="1">
      <alignment vertical="top"/>
    </xf>
    <xf numFmtId="170" fontId="36" fillId="0" borderId="1" xfId="2" applyNumberFormat="1" applyFont="1" applyFill="1" applyBorder="1" applyAlignment="1">
      <alignment vertical="top"/>
    </xf>
    <xf numFmtId="169" fontId="36" fillId="0" borderId="1" xfId="6" applyNumberFormat="1" applyFont="1" applyFill="1" applyBorder="1" applyAlignment="1">
      <alignment vertical="top" wrapText="1"/>
    </xf>
    <xf numFmtId="169" fontId="36" fillId="0" borderId="1" xfId="6" applyNumberFormat="1" applyFont="1" applyFill="1" applyBorder="1" applyAlignment="1">
      <alignment vertical="top"/>
    </xf>
    <xf numFmtId="169" fontId="36" fillId="0" borderId="1" xfId="6" applyNumberFormat="1" applyFont="1" applyFill="1" applyBorder="1" applyAlignment="1">
      <alignment horizontal="right" vertical="top" wrapText="1"/>
    </xf>
    <xf numFmtId="170" fontId="36" fillId="0" borderId="1" xfId="2" applyNumberFormat="1" applyFont="1" applyFill="1" applyBorder="1" applyAlignment="1"/>
    <xf numFmtId="171" fontId="36" fillId="0" borderId="1" xfId="0" applyNumberFormat="1" applyFont="1" applyFill="1" applyBorder="1" applyAlignment="1">
      <alignment horizontal="center" vertical="center"/>
    </xf>
    <xf numFmtId="171" fontId="36" fillId="0" borderId="1" xfId="2" applyNumberFormat="1" applyFont="1" applyFill="1" applyBorder="1" applyAlignment="1">
      <alignment horizontal="center" vertical="center" wrapText="1"/>
    </xf>
    <xf numFmtId="171" fontId="36" fillId="0" borderId="1" xfId="0" applyNumberFormat="1" applyFont="1" applyFill="1" applyBorder="1" applyAlignment="1">
      <alignment horizontal="center"/>
    </xf>
    <xf numFmtId="171" fontId="36" fillId="0" borderId="1" xfId="2" applyNumberFormat="1" applyFont="1" applyFill="1" applyBorder="1" applyAlignment="1">
      <alignment horizontal="center" vertical="center"/>
    </xf>
    <xf numFmtId="171" fontId="36" fillId="0" borderId="1" xfId="0" applyNumberFormat="1" applyFont="1" applyBorder="1" applyAlignment="1">
      <alignment horizontal="center"/>
    </xf>
    <xf numFmtId="171" fontId="36" fillId="0" borderId="1" xfId="2" applyNumberFormat="1" applyFont="1" applyFill="1" applyBorder="1" applyAlignment="1" applyProtection="1">
      <alignment horizontal="center" vertical="center" wrapText="1"/>
    </xf>
    <xf numFmtId="171" fontId="36" fillId="0" borderId="1" xfId="2" applyNumberFormat="1" applyFont="1" applyFill="1" applyBorder="1" applyAlignment="1">
      <alignment horizontal="center"/>
    </xf>
    <xf numFmtId="3" fontId="36" fillId="0" borderId="1" xfId="1" applyNumberFormat="1" applyFont="1" applyFill="1" applyBorder="1" applyAlignment="1" applyProtection="1"/>
    <xf numFmtId="3" fontId="36" fillId="12" borderId="1" xfId="1" applyNumberFormat="1" applyFont="1" applyFill="1" applyBorder="1" applyAlignment="1" applyProtection="1"/>
    <xf numFmtId="165" fontId="36" fillId="0" borderId="1" xfId="1" applyNumberFormat="1" applyFont="1" applyFill="1" applyBorder="1" applyAlignment="1"/>
    <xf numFmtId="165" fontId="36" fillId="0" borderId="1" xfId="0" applyNumberFormat="1" applyFont="1" applyFill="1" applyBorder="1" applyAlignment="1"/>
    <xf numFmtId="165" fontId="36" fillId="0" borderId="1" xfId="1" applyNumberFormat="1" applyFont="1" applyBorder="1" applyAlignment="1"/>
    <xf numFmtId="169" fontId="36" fillId="0" borderId="1" xfId="6" applyNumberFormat="1" applyFont="1" applyFill="1" applyBorder="1" applyAlignment="1" applyProtection="1">
      <alignment wrapText="1"/>
    </xf>
    <xf numFmtId="169" fontId="36" fillId="0" borderId="1" xfId="6" applyNumberFormat="1" applyFont="1" applyFill="1" applyBorder="1" applyAlignment="1">
      <alignment wrapText="1"/>
    </xf>
    <xf numFmtId="169" fontId="36" fillId="0" borderId="1" xfId="6" applyNumberFormat="1" applyFont="1" applyFill="1" applyBorder="1" applyAlignment="1"/>
    <xf numFmtId="168" fontId="36" fillId="0" borderId="1" xfId="2" applyNumberFormat="1" applyFont="1" applyFill="1" applyBorder="1" applyAlignment="1">
      <alignment wrapText="1"/>
    </xf>
    <xf numFmtId="0" fontId="36" fillId="0" borderId="1" xfId="0" applyFont="1" applyBorder="1" applyAlignment="1">
      <alignment horizontal="center" vertical="center"/>
    </xf>
    <xf numFmtId="0" fontId="36" fillId="12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171" fontId="36" fillId="12" borderId="1" xfId="0" applyNumberFormat="1" applyFont="1" applyFill="1" applyBorder="1" applyAlignment="1">
      <alignment horizontal="center" vertical="center"/>
    </xf>
    <xf numFmtId="3" fontId="34" fillId="0" borderId="0" xfId="0" applyNumberFormat="1" applyFont="1"/>
    <xf numFmtId="3" fontId="44" fillId="24" borderId="1" xfId="1" applyNumberFormat="1" applyFont="1" applyFill="1" applyBorder="1" applyAlignment="1" applyProtection="1">
      <alignment horizontal="right" vertical="center"/>
    </xf>
    <xf numFmtId="0" fontId="45" fillId="0" borderId="0" xfId="0" applyFont="1"/>
    <xf numFmtId="0" fontId="43" fillId="0" borderId="1" xfId="0" applyFont="1" applyFill="1" applyBorder="1" applyAlignment="1">
      <alignment vertical="center"/>
    </xf>
    <xf numFmtId="165" fontId="36" fillId="0" borderId="1" xfId="1" applyNumberFormat="1" applyFont="1" applyFill="1" applyBorder="1"/>
    <xf numFmtId="165" fontId="36" fillId="0" borderId="1" xfId="1" applyNumberFormat="1" applyFont="1" applyFill="1" applyBorder="1" applyAlignment="1">
      <alignment horizontal="left"/>
    </xf>
    <xf numFmtId="168" fontId="36" fillId="0" borderId="1" xfId="0" applyNumberFormat="1" applyFont="1" applyFill="1" applyBorder="1" applyAlignment="1">
      <alignment vertical="center"/>
    </xf>
    <xf numFmtId="170" fontId="36" fillId="0" borderId="1" xfId="2" applyNumberFormat="1" applyFont="1" applyFill="1" applyBorder="1" applyAlignment="1">
      <alignment horizontal="center"/>
    </xf>
    <xf numFmtId="170" fontId="36" fillId="0" borderId="1" xfId="2" applyNumberFormat="1" applyFont="1" applyFill="1" applyBorder="1" applyAlignment="1">
      <alignment vertical="center"/>
    </xf>
    <xf numFmtId="169" fontId="36" fillId="0" borderId="1" xfId="6" applyNumberFormat="1" applyFont="1" applyFill="1" applyBorder="1" applyAlignment="1">
      <alignment vertical="center" wrapText="1"/>
    </xf>
    <xf numFmtId="169" fontId="36" fillId="0" borderId="1" xfId="6" applyNumberFormat="1" applyFont="1" applyFill="1" applyBorder="1" applyAlignment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7" fontId="5" fillId="0" borderId="11" xfId="0" applyNumberFormat="1" applyFont="1" applyFill="1" applyBorder="1" applyAlignment="1">
      <alignment horizontal="center" vertical="center"/>
    </xf>
    <xf numFmtId="167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vertical="center"/>
    </xf>
    <xf numFmtId="0" fontId="36" fillId="20" borderId="1" xfId="0" applyFont="1" applyFill="1" applyBorder="1" applyAlignment="1">
      <alignment horizontal="left" vertical="center"/>
    </xf>
    <xf numFmtId="0" fontId="43" fillId="20" borderId="1" xfId="0" applyFont="1" applyFill="1" applyBorder="1" applyAlignment="1">
      <alignment horizontal="center" vertical="center"/>
    </xf>
  </cellXfs>
  <cellStyles count="7">
    <cellStyle name="Excel Built-in Comma" xfId="6"/>
    <cellStyle name="Excel Built-in Normal" xfId="2"/>
    <cellStyle name="Milliers" xfId="1" builtinId="3"/>
    <cellStyle name="Milliers [0]" xfId="4" builtinId="6"/>
    <cellStyle name="Milliers 3" xfId="5"/>
    <cellStyle name="Normal" xfId="0" builtinId="0"/>
    <cellStyle name="Normal_Total expenses by date" xfId="3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CREPIN%20du%2031-08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ted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lff\AppData\Local\Microsoft\Windows\INetCache\Content.Outlook\BTO9MOI8\RAPPORT%20FINANCIER%20JUILL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comptable_Dalia_au_21_Aout_2020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Evariste%20du%2021%20ao&#251;t%202020%20vf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21_08_20_%20Herick%20_Harmonis&#233;e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i23c%20au%2019%20Ao&#251;t%202020%20corri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%20PALF%20JB%20actualis&#233;e%20ce%2021.08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%20comptable_%20Jospin%20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P29-Comptabilit&#2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Shely%20A%20(1)%20(1)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4594.384950694446" createdVersion="3" refreshedVersion="3" minRefreshableVersion="3" recordCount="431">
  <cacheSource type="worksheet">
    <worksheetSource ref="A11:O442" sheet="DATA  Décembre 2021"/>
  </cacheSource>
  <cacheFields count="15">
    <cacheField name="Date" numFmtId="171">
      <sharedItems containsSemiMixedTypes="0" containsNonDate="0" containsDate="1" containsString="0" minDate="2021-12-01T00:00:00" maxDate="2022-01-01T00:00:00"/>
    </cacheField>
    <cacheField name="Details" numFmtId="0">
      <sharedItems/>
    </cacheField>
    <cacheField name="Type de dépenses" numFmtId="0">
      <sharedItems containsBlank="1" count="20">
        <m/>
        <s v="Versement"/>
        <s v="Personnel"/>
        <s v="Office Materials"/>
        <s v="Transfer Fees"/>
        <s v="Transport"/>
        <s v="Travel Subsistence"/>
        <s v="Bonus"/>
        <s v="Rent &amp; Utilities"/>
        <s v="Equipement"/>
        <s v="Flight"/>
        <s v="Versement "/>
        <s v="Trust Building"/>
        <s v="Services"/>
        <s v="Telephone"/>
        <s v="Jail Visits"/>
        <s v="Lawyer Fees"/>
        <s v="Internet"/>
        <s v="Editing Costs"/>
        <s v="Travel Substence" u="1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4000" maxValue="2000000"/>
    </cacheField>
    <cacheField name="Spent" numFmtId="0">
      <sharedItems containsString="0" containsBlank="1" containsNumber="1" containsInteger="1" minValue="400" maxValue="2000000"/>
    </cacheField>
    <cacheField name="Balance" numFmtId="165">
      <sharedItems containsSemiMixedTypes="0" containsString="0" containsNumber="1" containsInteger="1" minValue="10222494" maxValue="25027160"/>
    </cacheField>
    <cacheField name="Name" numFmtId="0">
      <sharedItems containsBlank="1" count="13">
        <m/>
        <s v="Caisse"/>
        <s v="BCI"/>
        <s v="BCI-Sous Compte"/>
        <s v="B52"/>
        <s v="Crépin"/>
        <s v="i23c"/>
        <s v="Godfré"/>
        <s v="P29"/>
        <s v="Evariste"/>
        <s v="Grace"/>
        <s v="Axel"/>
        <s v="Tiffany"/>
      </sharedItems>
    </cacheField>
    <cacheField name="Receipt" numFmtId="0">
      <sharedItems containsBlank="1" containsMixedTypes="1" containsNumber="1" containsInteger="1" minValue="3643578" maxValue="3654464"/>
    </cacheField>
    <cacheField name="Donor" numFmtId="0">
      <sharedItems containsBlank="1" count="3">
        <m/>
        <s v="Wildcat"/>
        <s v="UE"/>
      </sharedItems>
    </cacheField>
    <cacheField name="Project" numFmtId="0">
      <sharedItems containsBlank="1"/>
    </cacheField>
    <cacheField name="Country" numFmtId="0">
      <sharedItems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1">
  <r>
    <d v="2021-12-01T00:00:00"/>
    <s v="Solde au 01/12/2021"/>
    <x v="0"/>
    <m/>
    <m/>
    <m/>
    <n v="23367297"/>
    <x v="0"/>
    <m/>
    <x v="0"/>
    <m/>
    <s v="CONGO"/>
    <m/>
    <m/>
    <m/>
  </r>
  <r>
    <d v="2021-12-01T00:00:00"/>
    <s v="B52"/>
    <x v="1"/>
    <m/>
    <m/>
    <n v="15000"/>
    <n v="23352297"/>
    <x v="1"/>
    <s v="Décharge"/>
    <x v="0"/>
    <m/>
    <s v="CONGO"/>
    <m/>
    <m/>
    <m/>
  </r>
  <r>
    <d v="2021-12-01T00:00:00"/>
    <s v="Crepin"/>
    <x v="1"/>
    <m/>
    <m/>
    <n v="15000"/>
    <n v="23337297"/>
    <x v="1"/>
    <s v="Décharge"/>
    <x v="0"/>
    <m/>
    <s v="CONGO"/>
    <m/>
    <m/>
    <m/>
  </r>
  <r>
    <d v="2021-12-01T00:00:00"/>
    <s v="Reglement loyer Tiffany mois de Décembre  2021/400USD"/>
    <x v="2"/>
    <s v="Management"/>
    <m/>
    <n v="232691"/>
    <n v="23104606"/>
    <x v="1"/>
    <s v="Oui"/>
    <x v="1"/>
    <s v="PALF"/>
    <s v="CONGO"/>
    <m/>
    <m/>
    <m/>
  </r>
  <r>
    <d v="2021-12-01T00:00:00"/>
    <s v="I23C"/>
    <x v="1"/>
    <m/>
    <m/>
    <n v="200000"/>
    <n v="22904606"/>
    <x v="1"/>
    <s v="Décharge"/>
    <x v="0"/>
    <m/>
    <s v="CONGO"/>
    <m/>
    <m/>
    <m/>
  </r>
  <r>
    <d v="2021-12-01T00:00:00"/>
    <s v="B52"/>
    <x v="1"/>
    <m/>
    <m/>
    <n v="62000"/>
    <n v="22842606"/>
    <x v="1"/>
    <s v="Décharge"/>
    <x v="0"/>
    <m/>
    <s v="CONGO"/>
    <m/>
    <m/>
    <m/>
  </r>
  <r>
    <d v="2021-12-01T00:00:00"/>
    <s v="Achat USB 2,0 Adaptateur/Appareil Photo"/>
    <x v="3"/>
    <s v="Office"/>
    <m/>
    <n v="10000"/>
    <n v="22832606"/>
    <x v="1"/>
    <s v="Oui"/>
    <x v="2"/>
    <s v="RALFF"/>
    <s v="CONGO"/>
    <s v="RALFF-CO2773"/>
    <s v="3.2"/>
    <m/>
  </r>
  <r>
    <d v="2021-12-01T00:00:00"/>
    <s v="Commission Mvt/Frais Fixes/Taxes &amp; Cotisation Web Bank/Compt 34"/>
    <x v="4"/>
    <s v="Office"/>
    <m/>
    <n v="23345"/>
    <n v="22809261"/>
    <x v="2"/>
    <s v="Relevé"/>
    <x v="1"/>
    <s v="PALF"/>
    <s v="CONGO"/>
    <m/>
    <m/>
    <m/>
  </r>
  <r>
    <d v="2021-12-01T00:00:00"/>
    <s v="Commission de Mouvement/Taxes/Frais Fixes/Compte 56"/>
    <x v="4"/>
    <s v="Office"/>
    <m/>
    <n v="14701"/>
    <n v="22794560"/>
    <x v="3"/>
    <s v="Relevé"/>
    <x v="2"/>
    <s v="RALFF"/>
    <s v="CONGO"/>
    <s v="RALFF-CO2774"/>
    <s v="5.6"/>
    <m/>
  </r>
  <r>
    <d v="2021-12-01T00:00:00"/>
    <s v="Reçu Caisse"/>
    <x v="1"/>
    <m/>
    <n v="15000"/>
    <m/>
    <n v="22809560"/>
    <x v="4"/>
    <s v="Décharge"/>
    <x v="0"/>
    <m/>
    <s v="CONGO"/>
    <m/>
    <m/>
    <m/>
  </r>
  <r>
    <d v="2021-12-01T00:00:00"/>
    <s v="Reçu Caisse"/>
    <x v="1"/>
    <m/>
    <n v="62000"/>
    <m/>
    <n v="22871560"/>
    <x v="4"/>
    <s v="Décharge"/>
    <x v="0"/>
    <m/>
    <s v="CONGO"/>
    <m/>
    <m/>
    <m/>
  </r>
  <r>
    <d v="2021-12-01T00:00:00"/>
    <s v="Reçu de Caisse/de Tiffany"/>
    <x v="1"/>
    <m/>
    <n v="15000"/>
    <m/>
    <n v="22886560"/>
    <x v="5"/>
    <s v="Décharge"/>
    <x v="0"/>
    <m/>
    <s v="CONGO"/>
    <m/>
    <m/>
    <m/>
  </r>
  <r>
    <d v="2021-12-01T00:00:00"/>
    <s v="Réçu de caisse"/>
    <x v="1"/>
    <m/>
    <n v="200000"/>
    <m/>
    <n v="23086560"/>
    <x v="6"/>
    <s v="Décharge"/>
    <x v="0"/>
    <m/>
    <s v="CONGO"/>
    <m/>
    <m/>
    <m/>
  </r>
  <r>
    <d v="2021-12-02T00:00:00"/>
    <s v="Achat billet Brazzaville-Pointe Noire /I23C"/>
    <x v="5"/>
    <s v="Investigation"/>
    <m/>
    <n v="15000"/>
    <n v="23071560"/>
    <x v="6"/>
    <s v="Oui"/>
    <x v="2"/>
    <s v="RALFF"/>
    <s v="CONGO"/>
    <s v="RALFF-CO2775"/>
    <s v="2.2"/>
    <m/>
  </r>
  <r>
    <d v="2021-12-02T00:00:00"/>
    <s v="Godfre"/>
    <x v="1"/>
    <m/>
    <m/>
    <n v="20000"/>
    <n v="23051560"/>
    <x v="1"/>
    <s v="Décharge"/>
    <x v="0"/>
    <m/>
    <s v="CONGO"/>
    <m/>
    <m/>
    <m/>
  </r>
  <r>
    <d v="2021-12-02T00:00:00"/>
    <s v="Impression 16 photos format 10x15"/>
    <x v="3"/>
    <s v="Office"/>
    <m/>
    <n v="4800"/>
    <n v="23046760"/>
    <x v="1"/>
    <s v="Oui"/>
    <x v="1"/>
    <s v="PALF"/>
    <s v="CONGO"/>
    <m/>
    <m/>
    <m/>
  </r>
  <r>
    <d v="2021-12-02T00:00:00"/>
    <s v="Achat consommable Bureau (lait, Café, Lipton)"/>
    <x v="3"/>
    <s v="Office"/>
    <m/>
    <n v="19600"/>
    <n v="23027160"/>
    <x v="1"/>
    <s v="Oui"/>
    <x v="2"/>
    <s v="RALFF"/>
    <s v="CONGO"/>
    <s v="RALFF-CO2776"/>
    <s v="4.3"/>
    <m/>
  </r>
  <r>
    <d v="2021-12-02T00:00:00"/>
    <s v="BCI sous Compte-3643578"/>
    <x v="1"/>
    <m/>
    <n v="2000000"/>
    <m/>
    <n v="25027160"/>
    <x v="1"/>
    <s v="Décharge"/>
    <x v="0"/>
    <m/>
    <s v="CONGO"/>
    <m/>
    <m/>
    <m/>
  </r>
  <r>
    <d v="2021-12-02T00:00:00"/>
    <s v="P29"/>
    <x v="1"/>
    <m/>
    <m/>
    <n v="150000"/>
    <n v="24877160"/>
    <x v="1"/>
    <s v="Décharge"/>
    <x v="0"/>
    <m/>
    <s v="CONGO"/>
    <m/>
    <m/>
    <m/>
  </r>
  <r>
    <d v="2021-12-02T00:00:00"/>
    <s v="Retrait especes/appro caisse/bord n°3643578"/>
    <x v="1"/>
    <m/>
    <m/>
    <n v="2000000"/>
    <n v="22877160"/>
    <x v="3"/>
    <n v="3643578"/>
    <x v="0"/>
    <m/>
    <s v="CONGO"/>
    <m/>
    <m/>
    <m/>
  </r>
  <r>
    <d v="2021-12-02T00:00:00"/>
    <s v="Reçu Caisse"/>
    <x v="1"/>
    <m/>
    <n v="20000"/>
    <m/>
    <n v="22897160"/>
    <x v="7"/>
    <s v="Décharge"/>
    <x v="0"/>
    <m/>
    <s v="CONGO"/>
    <m/>
    <m/>
    <m/>
  </r>
  <r>
    <d v="2021-12-02T00:00:00"/>
    <s v="B52 - CONGO food allowance du 02 au 04/12/2021 ile Mbamou"/>
    <x v="6"/>
    <s v="Investigation"/>
    <m/>
    <n v="20000"/>
    <n v="22877160"/>
    <x v="4"/>
    <s v="Décharge"/>
    <x v="1"/>
    <s v="PALF"/>
    <s v="CONGO"/>
    <m/>
    <m/>
    <m/>
  </r>
  <r>
    <d v="2021-12-02T00:00:00"/>
    <s v="I23C - CONGO Food allowance mission Pointe Noire-Bouansa du 2 au 9/12/2021"/>
    <x v="6"/>
    <s v="Investigation"/>
    <m/>
    <n v="70000"/>
    <n v="22807160"/>
    <x v="6"/>
    <s v="Décharge"/>
    <x v="2"/>
    <s v="RALFF"/>
    <s v="CONGO"/>
    <s v="RALFF-CO2777"/>
    <s v="1.3.2"/>
    <m/>
  </r>
  <r>
    <d v="2021-12-02T00:00:00"/>
    <s v="Recu de caisse"/>
    <x v="1"/>
    <m/>
    <n v="150000"/>
    <m/>
    <n v="22957160"/>
    <x v="8"/>
    <s v="Décharge"/>
    <x v="0"/>
    <m/>
    <s v="CONGO"/>
    <m/>
    <m/>
    <m/>
  </r>
  <r>
    <d v="2021-12-03T00:00:00"/>
    <s v="P29 - CONGO Food allowance mission du 03 au 08/12/2021 Dolisie"/>
    <x v="6"/>
    <s v="Investigation"/>
    <m/>
    <n v="50000"/>
    <n v="22907160"/>
    <x v="8"/>
    <s v="Décharge"/>
    <x v="2"/>
    <s v="RALFF"/>
    <s v="CONGO"/>
    <s v="RALFF-CO2778"/>
    <s v="1.3.2"/>
    <m/>
  </r>
  <r>
    <d v="2021-12-03T00:00:00"/>
    <s v="Evariste"/>
    <x v="1"/>
    <m/>
    <m/>
    <n v="15000"/>
    <n v="22892160"/>
    <x v="1"/>
    <s v="Décharge"/>
    <x v="0"/>
    <m/>
    <s v="CONGO"/>
    <m/>
    <m/>
    <m/>
  </r>
  <r>
    <d v="2021-12-03T00:00:00"/>
    <s v="Crepin"/>
    <x v="1"/>
    <m/>
    <m/>
    <n v="15000"/>
    <n v="22877160"/>
    <x v="1"/>
    <s v="Décharge"/>
    <x v="0"/>
    <m/>
    <s v="CONGO"/>
    <m/>
    <m/>
    <m/>
  </r>
  <r>
    <d v="2021-12-03T00:00:00"/>
    <s v="Achat Carte téléphonique + Sim /Eric"/>
    <x v="3"/>
    <s v="Office"/>
    <m/>
    <n v="5300"/>
    <n v="22871860"/>
    <x v="1"/>
    <s v="Oui"/>
    <x v="2"/>
    <s v="RALFF"/>
    <s v="CONGO"/>
    <s v="RALFF-CO2779"/>
    <s v="4.6"/>
    <m/>
  </r>
  <r>
    <d v="2021-12-03T00:00:00"/>
    <s v="Bonus Opération Lifoula /Grace/Equipe Guet"/>
    <x v="7"/>
    <s v="Operation"/>
    <m/>
    <n v="10000"/>
    <n v="22861860"/>
    <x v="1"/>
    <s v="Décharge"/>
    <x v="1"/>
    <s v="PALF"/>
    <s v="CONGO"/>
    <m/>
    <m/>
    <m/>
  </r>
  <r>
    <d v="2021-12-03T00:00:00"/>
    <s v="Bonus Opération Lifoula /Axel/Equipe 2"/>
    <x v="7"/>
    <s v="Operation"/>
    <m/>
    <n v="15000"/>
    <n v="22846860"/>
    <x v="1"/>
    <s v="Décharge"/>
    <x v="1"/>
    <s v="PALF"/>
    <s v="CONGO"/>
    <m/>
    <m/>
    <m/>
  </r>
  <r>
    <d v="2021-12-03T00:00:00"/>
    <s v="Bonus Opération Lifoula /Crépin/Equipe 1"/>
    <x v="7"/>
    <s v="Operation"/>
    <m/>
    <n v="30000"/>
    <n v="22816860"/>
    <x v="1"/>
    <s v="Décharge"/>
    <x v="1"/>
    <s v="PALF"/>
    <s v="CONGO"/>
    <m/>
    <m/>
    <m/>
  </r>
  <r>
    <d v="2021-12-03T00:00:00"/>
    <s v="Grace"/>
    <x v="1"/>
    <m/>
    <m/>
    <n v="5000"/>
    <n v="22811860"/>
    <x v="1"/>
    <s v="Décharge"/>
    <x v="0"/>
    <m/>
    <s v="CONGO"/>
    <m/>
    <m/>
    <m/>
  </r>
  <r>
    <d v="2021-12-03T00:00:00"/>
    <s v="Reçu de caisse"/>
    <x v="1"/>
    <m/>
    <n v="15000"/>
    <m/>
    <n v="22826860"/>
    <x v="5"/>
    <s v="Décharge"/>
    <x v="0"/>
    <m/>
    <s v="CONGO"/>
    <m/>
    <m/>
    <m/>
  </r>
  <r>
    <d v="2021-12-03T00:00:00"/>
    <s v="Paiement démarcheur (AQUA Immo)"/>
    <x v="5"/>
    <s v="Investigation"/>
    <m/>
    <n v="10000"/>
    <n v="22816860"/>
    <x v="6"/>
    <s v="Oui"/>
    <x v="1"/>
    <s v="PALF"/>
    <s v="CONGO"/>
    <m/>
    <m/>
    <m/>
  </r>
  <r>
    <d v="2021-12-03T00:00:00"/>
    <s v="Paiement démarcheur (Fabrice le Pontenegrin)"/>
    <x v="5"/>
    <s v="Investigation"/>
    <m/>
    <n v="5000"/>
    <n v="22811860"/>
    <x v="6"/>
    <s v="Oui"/>
    <x v="1"/>
    <s v="PALF"/>
    <s v="CONGO"/>
    <m/>
    <m/>
    <m/>
  </r>
  <r>
    <d v="2021-12-03T00:00:00"/>
    <s v="Reçu de la caisse"/>
    <x v="1"/>
    <m/>
    <n v="15000"/>
    <m/>
    <n v="22826860"/>
    <x v="9"/>
    <s v="Décharge"/>
    <x v="0"/>
    <m/>
    <s v="CONGO"/>
    <m/>
    <m/>
    <m/>
  </r>
  <r>
    <d v="2021-12-03T00:00:00"/>
    <s v="Achat billet Brazza-dolisie/P29"/>
    <x v="5"/>
    <s v="Investigation"/>
    <m/>
    <n v="10000"/>
    <n v="22816860"/>
    <x v="8"/>
    <s v="Oui"/>
    <x v="2"/>
    <s v="RALFF"/>
    <s v="CONGO"/>
    <s v="RALFF-CO2780"/>
    <s v="2.2"/>
    <m/>
  </r>
  <r>
    <d v="2021-12-03T00:00:00"/>
    <s v="Reçu Caisse/Achat Fruits"/>
    <x v="1"/>
    <m/>
    <n v="5000"/>
    <m/>
    <n v="22821860"/>
    <x v="10"/>
    <s v="Décharge"/>
    <x v="0"/>
    <m/>
    <s v="CONGO"/>
    <m/>
    <m/>
    <m/>
  </r>
  <r>
    <d v="2021-12-03T00:00:00"/>
    <s v="Achat fruits perroquets (Bananes/Papaye)"/>
    <x v="3"/>
    <s v="Office"/>
    <m/>
    <n v="3000"/>
    <n v="22818860"/>
    <x v="10"/>
    <s v="Oui"/>
    <x v="1"/>
    <s v="PALF"/>
    <s v="CONGO"/>
    <m/>
    <m/>
    <m/>
  </r>
  <r>
    <d v="2021-12-04T00:00:00"/>
    <s v="Bonus autorité gendarme et /opération à Brazzaville"/>
    <x v="7"/>
    <s v="Operation"/>
    <m/>
    <n v="50000"/>
    <n v="22768860"/>
    <x v="1"/>
    <s v="Oui"/>
    <x v="1"/>
    <s v="PALF"/>
    <s v="CONGO"/>
    <m/>
    <m/>
    <m/>
  </r>
  <r>
    <d v="2021-12-04T00:00:00"/>
    <s v="Godfre"/>
    <x v="1"/>
    <m/>
    <m/>
    <n v="10000"/>
    <n v="22758860"/>
    <x v="1"/>
    <s v="Décharge"/>
    <x v="0"/>
    <m/>
    <s v="CONGO"/>
    <m/>
    <m/>
    <m/>
  </r>
  <r>
    <d v="2021-12-04T00:00:00"/>
    <s v="Axel"/>
    <x v="1"/>
    <m/>
    <m/>
    <n v="4000"/>
    <n v="22754860"/>
    <x v="1"/>
    <s v="Décharge"/>
    <x v="0"/>
    <m/>
    <s v="CONGO"/>
    <m/>
    <m/>
    <m/>
  </r>
  <r>
    <d v="2021-12-04T00:00:00"/>
    <s v="Achat Carburant Groupe Electrogène /Bureu PALF"/>
    <x v="8"/>
    <s v="Office"/>
    <m/>
    <n v="25000"/>
    <n v="22729860"/>
    <x v="1"/>
    <s v="Oui"/>
    <x v="2"/>
    <s v="RALFF"/>
    <s v="CONGO"/>
    <s v="RALFF-CO2781"/>
    <s v="4.4"/>
    <m/>
  </r>
  <r>
    <d v="2021-12-04T00:00:00"/>
    <s v="Crepin"/>
    <x v="1"/>
    <m/>
    <m/>
    <n v="25000"/>
    <n v="22704860"/>
    <x v="1"/>
    <s v="Décharge"/>
    <x v="0"/>
    <m/>
    <s v="CONGO"/>
    <m/>
    <m/>
    <m/>
  </r>
  <r>
    <d v="2021-12-04T00:00:00"/>
    <s v="Bonus Opération Lifoula /Godfré/Equipe 2"/>
    <x v="7"/>
    <s v="Operation"/>
    <m/>
    <n v="15000"/>
    <n v="22689860"/>
    <x v="1"/>
    <s v="Décharge"/>
    <x v="1"/>
    <s v="PALF"/>
    <s v="CONGO"/>
    <m/>
    <m/>
    <m/>
  </r>
  <r>
    <d v="2021-12-04T00:00:00"/>
    <s v="Achat 02 Rames A4 et Paquet et 20 Chemise/Procedure Gendarmerie"/>
    <x v="3"/>
    <s v="Office"/>
    <m/>
    <n v="8000"/>
    <n v="22681860"/>
    <x v="1"/>
    <s v="Oui"/>
    <x v="1"/>
    <s v="PALF"/>
    <s v="CONGO"/>
    <m/>
    <m/>
    <m/>
  </r>
  <r>
    <d v="2021-12-04T00:00:00"/>
    <s v="Achat 01 grande Cage/Singe"/>
    <x v="9"/>
    <s v="Operation"/>
    <m/>
    <n v="69900"/>
    <n v="22611960"/>
    <x v="1"/>
    <s v="Oui"/>
    <x v="1"/>
    <s v="PALF"/>
    <s v="CONGO"/>
    <m/>
    <m/>
    <m/>
  </r>
  <r>
    <d v="2021-12-04T00:00:00"/>
    <s v="Achat 02 billet d'avion Brazzaville-Pointe Noire/Tiffany&amp;Crépin/Operation"/>
    <x v="10"/>
    <s v="Operation"/>
    <m/>
    <n v="80000"/>
    <n v="22531960"/>
    <x v="1"/>
    <s v="Oui"/>
    <x v="2"/>
    <s v="RALFF"/>
    <s v="CONGO"/>
    <s v="RALFF-CO2782"/>
    <s v="2.1"/>
    <m/>
  </r>
  <r>
    <d v="2021-12-04T00:00:00"/>
    <s v="Achat 01 Cage/Perroquet"/>
    <x v="9"/>
    <s v="Operation"/>
    <m/>
    <n v="36000"/>
    <n v="22495960"/>
    <x v="1"/>
    <s v="Oui"/>
    <x v="1"/>
    <s v="PALF"/>
    <s v="CONGO"/>
    <m/>
    <m/>
    <m/>
  </r>
  <r>
    <d v="2021-12-04T00:00:00"/>
    <s v="Reçu Caisse"/>
    <x v="1"/>
    <m/>
    <n v="10000"/>
    <m/>
    <n v="22505960"/>
    <x v="7"/>
    <s v="Décharge"/>
    <x v="0"/>
    <m/>
    <s v="CONGO"/>
    <m/>
    <m/>
    <m/>
  </r>
  <r>
    <d v="2021-12-04T00:00:00"/>
    <s v="Achat produit pharmaceutiques pour le singe"/>
    <x v="3"/>
    <s v="Office"/>
    <m/>
    <n v="1950"/>
    <n v="22504010"/>
    <x v="7"/>
    <s v="Oui"/>
    <x v="1"/>
    <s v="PALF"/>
    <s v="CONGO"/>
    <m/>
    <m/>
    <m/>
  </r>
  <r>
    <d v="2021-12-04T00:00:00"/>
    <s v="B52 - CONGO Frais d'Hotel 02 nuités du 02 au 04/12/2021 ile Mbamou"/>
    <x v="6"/>
    <s v="Investigation"/>
    <m/>
    <n v="30000"/>
    <n v="22474010"/>
    <x v="4"/>
    <s v="Oui"/>
    <x v="1"/>
    <s v="PALF"/>
    <s v="CONGO"/>
    <m/>
    <m/>
    <m/>
  </r>
  <r>
    <d v="2021-12-04T00:00:00"/>
    <s v="Reçu de caisse"/>
    <x v="1"/>
    <m/>
    <n v="25000"/>
    <m/>
    <n v="22499010"/>
    <x v="5"/>
    <s v="Décharge"/>
    <x v="0"/>
    <m/>
    <s v="CONGO"/>
    <m/>
    <m/>
    <m/>
  </r>
  <r>
    <d v="2021-12-04T00:00:00"/>
    <s v="Achat carburant OPJ"/>
    <x v="5"/>
    <s v="Operation"/>
    <m/>
    <n v="25000"/>
    <n v="22474010"/>
    <x v="5"/>
    <s v="Oui"/>
    <x v="1"/>
    <s v="PALF"/>
    <s v="CONGO"/>
    <m/>
    <m/>
    <m/>
  </r>
  <r>
    <d v="2021-12-04T00:00:00"/>
    <s v="Achat billet dolisie-Pointe-Noire /P29"/>
    <x v="5"/>
    <s v="Investigation"/>
    <m/>
    <n v="5000"/>
    <n v="22469010"/>
    <x v="8"/>
    <s v="Oui"/>
    <x v="2"/>
    <s v="RALFF"/>
    <s v="CONGO"/>
    <s v="RALFF-CO2783"/>
    <s v="2.2"/>
    <m/>
  </r>
  <r>
    <d v="2021-12-04T00:00:00"/>
    <s v="P29 - CONGO Paiement une nuitée du 03 au 04/12/2021 Pointe Noire"/>
    <x v="6"/>
    <s v="Investigation"/>
    <m/>
    <n v="15000"/>
    <n v="22454010"/>
    <x v="8"/>
    <s v="Oui"/>
    <x v="2"/>
    <s v="RALFF"/>
    <s v="CONGO"/>
    <s v="RALFF-CO2784"/>
    <s v="1.3.2"/>
    <m/>
  </r>
  <r>
    <d v="2021-12-04T00:00:00"/>
    <s v="Reçu caisse/Jail visit"/>
    <x v="1"/>
    <m/>
    <n v="4000"/>
    <m/>
    <n v="22458010"/>
    <x v="11"/>
    <s v="Décharge"/>
    <x v="0"/>
    <m/>
    <s v="CONGO"/>
    <m/>
    <m/>
    <m/>
  </r>
  <r>
    <d v="2021-12-05T00:00:00"/>
    <s v="Tiffany/Opération"/>
    <x v="1"/>
    <m/>
    <m/>
    <n v="733000"/>
    <n v="21725010"/>
    <x v="1"/>
    <s v="Décharge"/>
    <x v="0"/>
    <m/>
    <s v="CONGO"/>
    <m/>
    <m/>
    <m/>
  </r>
  <r>
    <d v="2021-12-05T00:00:00"/>
    <s v="Tiffany"/>
    <x v="1"/>
    <m/>
    <m/>
    <n v="185000"/>
    <n v="21540010"/>
    <x v="1"/>
    <s v="Décharge"/>
    <x v="0"/>
    <m/>
    <s v="CONGO"/>
    <m/>
    <m/>
    <m/>
  </r>
  <r>
    <d v="2021-12-05T00:00:00"/>
    <s v="Crepin"/>
    <x v="1"/>
    <m/>
    <m/>
    <n v="185000"/>
    <n v="21355010"/>
    <x v="1"/>
    <s v="Décharge"/>
    <x v="0"/>
    <m/>
    <s v="CONGO"/>
    <m/>
    <m/>
    <m/>
  </r>
  <r>
    <d v="2021-12-05T00:00:00"/>
    <s v="Evariste"/>
    <x v="1"/>
    <m/>
    <m/>
    <n v="136000"/>
    <n v="21219010"/>
    <x v="1"/>
    <s v="Décharge"/>
    <x v="0"/>
    <m/>
    <s v="CONGO"/>
    <m/>
    <m/>
    <m/>
  </r>
  <r>
    <d v="2021-12-05T00:00:00"/>
    <s v="I23c"/>
    <x v="1"/>
    <m/>
    <m/>
    <n v="45000"/>
    <n v="21174010"/>
    <x v="1"/>
    <s v="Décharge"/>
    <x v="0"/>
    <m/>
    <s v="CONGO"/>
    <m/>
    <m/>
    <m/>
  </r>
  <r>
    <d v="2021-12-05T00:00:00"/>
    <s v="P29"/>
    <x v="1"/>
    <m/>
    <m/>
    <n v="53000"/>
    <n v="21121010"/>
    <x v="1"/>
    <s v="Décharge"/>
    <x v="0"/>
    <m/>
    <s v="CONGO"/>
    <m/>
    <m/>
    <m/>
  </r>
  <r>
    <d v="2021-12-05T00:00:00"/>
    <s v="Reçu de caisse"/>
    <x v="1"/>
    <m/>
    <n v="185000"/>
    <m/>
    <n v="21306010"/>
    <x v="5"/>
    <s v="Décharge"/>
    <x v="0"/>
    <m/>
    <s v="CONGO"/>
    <m/>
    <m/>
    <m/>
  </r>
  <r>
    <d v="2021-12-05T00:00:00"/>
    <s v="CREPIN IBOUILI - CONGO -  Food-Allowance du 05 au 16/12/2021/Pointe Noire"/>
    <x v="6"/>
    <s v="Management"/>
    <m/>
    <n v="110000"/>
    <n v="21196010"/>
    <x v="5"/>
    <s v="Décharge"/>
    <x v="2"/>
    <s v="RALFF"/>
    <s v="CONGO"/>
    <s v="RALFF-CO2785"/>
    <s v="1.3.2"/>
    <m/>
  </r>
  <r>
    <d v="2021-12-05T00:00:00"/>
    <s v="Reçu Caisse/ Tiffany"/>
    <x v="1"/>
    <m/>
    <n v="733000"/>
    <m/>
    <n v="21929010"/>
    <x v="12"/>
    <s v="Décharge"/>
    <x v="0"/>
    <m/>
    <s v="CONGO"/>
    <m/>
    <m/>
    <m/>
  </r>
  <r>
    <d v="2021-12-05T00:00:00"/>
    <s v="Reçu Caisse/ Tiffany"/>
    <x v="1"/>
    <m/>
    <n v="185000"/>
    <m/>
    <n v="22114010"/>
    <x v="12"/>
    <s v="Décharge"/>
    <x v="0"/>
    <m/>
    <s v="CONGO"/>
    <m/>
    <m/>
    <m/>
  </r>
  <r>
    <d v="2021-12-05T00:00:00"/>
    <s v="Reçu de la caisse"/>
    <x v="1"/>
    <m/>
    <n v="136000"/>
    <m/>
    <n v="22250010"/>
    <x v="9"/>
    <s v="Décharge"/>
    <x v="0"/>
    <m/>
    <s v="CONGO"/>
    <m/>
    <m/>
    <m/>
  </r>
  <r>
    <d v="2021-12-05T00:00:00"/>
    <s v="Billet Brazzaville-Pointe Noire/Evariste"/>
    <x v="5"/>
    <s v="Media"/>
    <m/>
    <n v="15000"/>
    <n v="22235010"/>
    <x v="9"/>
    <s v="Oui"/>
    <x v="2"/>
    <s v="RALFF"/>
    <s v="CONGO"/>
    <s v="RALFF-CO2786"/>
    <s v="2.2"/>
    <m/>
  </r>
  <r>
    <d v="2021-12-06T00:00:00"/>
    <s v="Achat billet d'avion aller/retour  pour la DDEF/Brazzaville-Pointre Noire -Brazzaville &amp; Remise 6000frs"/>
    <x v="10"/>
    <s v="Operation"/>
    <m/>
    <n v="74000"/>
    <n v="22161010"/>
    <x v="1"/>
    <s v="Oui"/>
    <x v="1"/>
    <s v="PALF"/>
    <s v="CONGO"/>
    <m/>
    <m/>
    <m/>
  </r>
  <r>
    <d v="2021-12-06T00:00:00"/>
    <s v="Axel"/>
    <x v="1"/>
    <m/>
    <m/>
    <n v="30000"/>
    <n v="22131010"/>
    <x v="1"/>
    <s v="Décharge"/>
    <x v="0"/>
    <m/>
    <s v="CONGO"/>
    <m/>
    <m/>
    <m/>
  </r>
  <r>
    <d v="2021-12-06T00:00:00"/>
    <s v="Axel"/>
    <x v="1"/>
    <m/>
    <m/>
    <n v="11000"/>
    <n v="22120010"/>
    <x v="1"/>
    <s v="Décharge"/>
    <x v="0"/>
    <m/>
    <s v="CONGO"/>
    <m/>
    <m/>
    <m/>
  </r>
  <r>
    <d v="2021-12-06T00:00:00"/>
    <s v="Godfre"/>
    <x v="1"/>
    <m/>
    <m/>
    <n v="20000"/>
    <n v="22100010"/>
    <x v="1"/>
    <s v="Décharge"/>
    <x v="0"/>
    <m/>
    <s v="CONGO"/>
    <m/>
    <m/>
    <m/>
  </r>
  <r>
    <d v="2021-12-06T00:00:00"/>
    <s v="Godfre"/>
    <x v="1"/>
    <m/>
    <m/>
    <n v="6000"/>
    <n v="22094010"/>
    <x v="1"/>
    <s v="Décharge"/>
    <x v="0"/>
    <m/>
    <s v="CONGO"/>
    <m/>
    <m/>
    <m/>
  </r>
  <r>
    <d v="2021-12-06T00:00:00"/>
    <s v="Reçu caisse"/>
    <x v="1"/>
    <m/>
    <n v="20000"/>
    <m/>
    <n v="22114010"/>
    <x v="7"/>
    <s v="Décharge"/>
    <x v="0"/>
    <m/>
    <s v="CONGO"/>
    <m/>
    <m/>
    <m/>
  </r>
  <r>
    <d v="2021-12-06T00:00:00"/>
    <s v="Reçu Caisse"/>
    <x v="1"/>
    <m/>
    <n v="6000"/>
    <m/>
    <n v="22120010"/>
    <x v="7"/>
    <s v="Décharge"/>
    <x v="0"/>
    <m/>
    <s v="CONGO"/>
    <m/>
    <m/>
    <m/>
  </r>
  <r>
    <d v="2021-12-06T00:00:00"/>
    <s v="Achat divers pour perroquets (Eaux, Pots, choux, Carottes,Concombres,Arrachides Papaye, fil de fer)"/>
    <x v="3"/>
    <s v="Office"/>
    <m/>
    <n v="7400"/>
    <n v="22112610"/>
    <x v="7"/>
    <s v="Oui"/>
    <x v="1"/>
    <s v="PALF"/>
    <s v="CONGO"/>
    <m/>
    <m/>
    <m/>
  </r>
  <r>
    <d v="2021-12-06T00:00:00"/>
    <s v="Reçu I23C de Tiffany"/>
    <x v="11"/>
    <m/>
    <m/>
    <n v="90000"/>
    <n v="22022610"/>
    <x v="12"/>
    <s v="Décharge"/>
    <x v="0"/>
    <m/>
    <s v="CONGO"/>
    <m/>
    <m/>
    <m/>
  </r>
  <r>
    <d v="2021-12-06T00:00:00"/>
    <s v="Reçu P29 de Tiffany"/>
    <x v="11"/>
    <m/>
    <m/>
    <n v="300000"/>
    <n v="21722610"/>
    <x v="12"/>
    <s v="Décharge"/>
    <x v="0"/>
    <m/>
    <s v="CONGO"/>
    <m/>
    <m/>
    <m/>
  </r>
  <r>
    <d v="2021-12-06T00:00:00"/>
    <s v="Reçu I23C de Tiffany"/>
    <x v="11"/>
    <m/>
    <m/>
    <n v="10000"/>
    <n v="21712610"/>
    <x v="12"/>
    <s v="Décharge"/>
    <x v="0"/>
    <m/>
    <s v="CONGO"/>
    <m/>
    <m/>
    <m/>
  </r>
  <r>
    <d v="2021-12-06T00:00:00"/>
    <s v="Location appartement OP 2 nuitées du 6 au 8/12/2021/Pour Operation"/>
    <x v="6"/>
    <s v="Operation"/>
    <m/>
    <n v="70000"/>
    <n v="21642610"/>
    <x v="6"/>
    <s v="Oui"/>
    <x v="1"/>
    <s v="PALF"/>
    <s v="CONGO"/>
    <m/>
    <m/>
    <m/>
  </r>
  <r>
    <d v="2021-12-06T00:00:00"/>
    <s v="Paiement démarcheur (cfr location appartement)"/>
    <x v="5"/>
    <s v="Investigation"/>
    <m/>
    <n v="17500"/>
    <n v="21625110"/>
    <x v="6"/>
    <s v="Oui"/>
    <x v="1"/>
    <s v="PALF"/>
    <s v="CONGO"/>
    <m/>
    <m/>
    <m/>
  </r>
  <r>
    <d v="2021-12-06T00:00:00"/>
    <s v="Réçu de caisse (reçu de Tiffany, cfr paiement Location appart + démarcheur)"/>
    <x v="1"/>
    <m/>
    <n v="90000"/>
    <m/>
    <n v="21715110"/>
    <x v="6"/>
    <s v="Décharge"/>
    <x v="0"/>
    <m/>
    <s v="CONGO"/>
    <m/>
    <m/>
    <m/>
  </r>
  <r>
    <d v="2021-12-06T00:00:00"/>
    <s v="Réçu de caisse (reçu de Tiffany pour achat apperitifs)"/>
    <x v="1"/>
    <m/>
    <n v="10000"/>
    <m/>
    <n v="21725110"/>
    <x v="6"/>
    <s v="Décharge"/>
    <x v="0"/>
    <m/>
    <s v="CONGO"/>
    <m/>
    <m/>
    <m/>
  </r>
  <r>
    <d v="2021-12-06T00:00:00"/>
    <s v="Réçu de caisse"/>
    <x v="1"/>
    <m/>
    <n v="45000"/>
    <m/>
    <n v="21770110"/>
    <x v="6"/>
    <s v="Décharge"/>
    <x v="0"/>
    <m/>
    <s v="CONGO"/>
    <m/>
    <m/>
    <m/>
  </r>
  <r>
    <d v="2021-12-06T00:00:00"/>
    <s v="Impression Fiches"/>
    <x v="12"/>
    <s v="Investigation"/>
    <m/>
    <n v="1300"/>
    <n v="21768810"/>
    <x v="6"/>
    <s v="Oui"/>
    <x v="1"/>
    <s v="PALF"/>
    <s v="CONGO"/>
    <m/>
    <m/>
    <m/>
  </r>
  <r>
    <d v="2021-12-06T00:00:00"/>
    <s v="Recu de caisse"/>
    <x v="1"/>
    <m/>
    <n v="53000"/>
    <m/>
    <n v="21821810"/>
    <x v="8"/>
    <s v="Décharge"/>
    <x v="0"/>
    <m/>
    <s v="CONGO"/>
    <m/>
    <m/>
    <m/>
  </r>
  <r>
    <d v="2021-12-06T00:00:00"/>
    <s v="Recu de Tiffany"/>
    <x v="1"/>
    <m/>
    <n v="300000"/>
    <m/>
    <n v="22121810"/>
    <x v="8"/>
    <s v="Décharge"/>
    <x v="0"/>
    <m/>
    <s v="CONGO"/>
    <m/>
    <m/>
    <m/>
  </r>
  <r>
    <d v="2021-12-06T00:00:00"/>
    <s v="Reçu caisse"/>
    <x v="1"/>
    <m/>
    <n v="30000"/>
    <m/>
    <n v="22151810"/>
    <x v="11"/>
    <s v="Décharge"/>
    <x v="0"/>
    <m/>
    <s v="CONGO"/>
    <m/>
    <m/>
    <m/>
  </r>
  <r>
    <d v="2021-12-06T00:00:00"/>
    <s v="Reçu caisse/Visite geôle"/>
    <x v="1"/>
    <m/>
    <n v="11000"/>
    <m/>
    <n v="22162810"/>
    <x v="11"/>
    <s v="Décharge"/>
    <x v="0"/>
    <m/>
    <s v="CONGO"/>
    <m/>
    <m/>
    <m/>
  </r>
  <r>
    <d v="2021-12-06T00:00:00"/>
    <s v="EVARISTE - CONGO Food allowance (du 6 au 11 décembre soit 5 jours)/Pointe Noire"/>
    <x v="6"/>
    <s v="Media"/>
    <m/>
    <n v="50000"/>
    <n v="22112810"/>
    <x v="9"/>
    <s v="Décharge"/>
    <x v="2"/>
    <s v="RALFF"/>
    <s v="CONGO"/>
    <s v="RALFF-CO2787"/>
    <s v="1.3.2"/>
    <m/>
  </r>
  <r>
    <d v="2021-12-07T00:00:00"/>
    <s v="BCI sous Compte-3643579"/>
    <x v="1"/>
    <m/>
    <n v="2000000"/>
    <m/>
    <n v="24112810"/>
    <x v="1"/>
    <s v="Décharge"/>
    <x v="0"/>
    <m/>
    <s v="CONGO"/>
    <m/>
    <m/>
    <m/>
  </r>
  <r>
    <d v="2021-12-07T00:00:00"/>
    <s v="B52"/>
    <x v="1"/>
    <m/>
    <m/>
    <n v="10000"/>
    <n v="24102810"/>
    <x v="1"/>
    <s v="Décharge"/>
    <x v="0"/>
    <m/>
    <s v="CONGO"/>
    <m/>
    <m/>
    <m/>
  </r>
  <r>
    <d v="2021-12-07T00:00:00"/>
    <s v="MOD chargement des Serrures pour 18 Portes du Bureau/PALF"/>
    <x v="13"/>
    <s v="Office"/>
    <m/>
    <n v="15000"/>
    <n v="24087810"/>
    <x v="1"/>
    <s v="Oui"/>
    <x v="1"/>
    <s v="PALF"/>
    <s v="CONGO"/>
    <m/>
    <m/>
    <m/>
  </r>
  <r>
    <d v="2021-12-07T00:00:00"/>
    <s v="Frais de Transport des perroquets/par la DDEF/"/>
    <x v="5"/>
    <s v="Operation"/>
    <m/>
    <n v="20000"/>
    <n v="24067810"/>
    <x v="1"/>
    <s v="Oui"/>
    <x v="1"/>
    <s v="PALF"/>
    <s v="CONGO"/>
    <m/>
    <m/>
    <m/>
  </r>
  <r>
    <d v="2021-12-07T00:00:00"/>
    <s v="Reglement Facture Gardiennage Mois de Novembre 2021"/>
    <x v="13"/>
    <s v="Office"/>
    <m/>
    <n v="260000"/>
    <n v="23807810"/>
    <x v="2"/>
    <n v="3654464"/>
    <x v="1"/>
    <s v="PALF"/>
    <s v="CONGO"/>
    <m/>
    <m/>
    <m/>
  </r>
  <r>
    <d v="2021-12-07T00:00:00"/>
    <s v="Retrait especes/appro caisse/bord n°3643579"/>
    <x v="1"/>
    <m/>
    <m/>
    <n v="2000000"/>
    <n v="21807810"/>
    <x v="3"/>
    <n v="3643579"/>
    <x v="0"/>
    <m/>
    <s v="CONGO"/>
    <m/>
    <m/>
    <m/>
  </r>
  <r>
    <d v="2021-12-07T00:00:00"/>
    <s v="Reçu Caisse"/>
    <x v="1"/>
    <m/>
    <n v="10000"/>
    <m/>
    <n v="21817810"/>
    <x v="4"/>
    <s v="Décharge"/>
    <x v="0"/>
    <m/>
    <s v="CONGO"/>
    <m/>
    <m/>
    <m/>
  </r>
  <r>
    <d v="2021-12-07T00:00:00"/>
    <s v="Taxi :Courses pour la perquisition pendant deux heures"/>
    <x v="5"/>
    <s v="Operation"/>
    <m/>
    <n v="6000"/>
    <n v="21811810"/>
    <x v="5"/>
    <s v="Oui"/>
    <x v="1"/>
    <s v="PALF"/>
    <s v="CONGO"/>
    <m/>
    <m/>
    <m/>
  </r>
  <r>
    <d v="2021-12-07T00:00:00"/>
    <s v="Achat 2 Boissons pour chaque élément avant l'opération moyennant 500 l'unité pour 6 personnes. "/>
    <x v="6"/>
    <s v="Operation"/>
    <m/>
    <n v="6000"/>
    <n v="21805810"/>
    <x v="5"/>
    <s v="Décharge"/>
    <x v="1"/>
    <s v="PALF"/>
    <s v="CONGO"/>
    <m/>
    <m/>
    <m/>
  </r>
  <r>
    <d v="2021-12-07T00:00:00"/>
    <s v="Achat Boisson en attendant l'arrivée du traf (Junior)"/>
    <x v="6"/>
    <s v="Operation"/>
    <m/>
    <n v="4000"/>
    <n v="21801810"/>
    <x v="5"/>
    <s v="Décharge"/>
    <x v="1"/>
    <s v="PALF"/>
    <s v="CONGO"/>
    <m/>
    <m/>
    <m/>
  </r>
  <r>
    <d v="2021-12-07T00:00:00"/>
    <s v="Achat Boissons 5 agents "/>
    <x v="6"/>
    <s v="Operation"/>
    <m/>
    <n v="3000"/>
    <n v="21798810"/>
    <x v="12"/>
    <s v="Décharge"/>
    <x v="1"/>
    <s v="PALF"/>
    <s v="CONGO"/>
    <m/>
    <m/>
    <m/>
  </r>
  <r>
    <d v="2021-12-07T00:00:00"/>
    <s v="Reçu Crépin de Tiffany"/>
    <x v="11"/>
    <m/>
    <m/>
    <n v="250000"/>
    <n v="21548810"/>
    <x v="12"/>
    <s v="Décharge"/>
    <x v="0"/>
    <m/>
    <s v="CONGO"/>
    <m/>
    <m/>
    <m/>
  </r>
  <r>
    <d v="2021-12-07T00:00:00"/>
    <s v="Billet avion Pointe Noire- Brazzaville/Tiffany"/>
    <x v="10"/>
    <s v="Management"/>
    <m/>
    <n v="40000"/>
    <n v="21508810"/>
    <x v="12"/>
    <s v="Oui"/>
    <x v="2"/>
    <s v="RALFF"/>
    <s v="CONGO"/>
    <s v="RALFF-CO2788"/>
    <s v="2.1"/>
    <m/>
  </r>
  <r>
    <d v="2021-12-07T00:00:00"/>
    <s v="TIFFANY GOBERT - CONGO - Food allowance- Mission Pointe Noire du 5/12 au 7/12"/>
    <x v="6"/>
    <s v="Management"/>
    <m/>
    <n v="20000"/>
    <n v="21488810"/>
    <x v="12"/>
    <s v="Décharge"/>
    <x v="2"/>
    <s v="RALFF"/>
    <s v="CONGO"/>
    <s v="RALFF-CO2789"/>
    <s v="1.3.2"/>
    <m/>
  </r>
  <r>
    <d v="2021-12-07T00:00:00"/>
    <s v="TIFFANY GOBERT - CONGO - 2 nuits Hôtel- Mission Pointe Noire du 5/12 au 7/12"/>
    <x v="6"/>
    <s v="Management"/>
    <m/>
    <n v="30000"/>
    <n v="21458810"/>
    <x v="12"/>
    <s v="Oui"/>
    <x v="2"/>
    <s v="RALFF"/>
    <s v="CONGO"/>
    <s v="RALFF-CO2790"/>
    <s v="1.3.2"/>
    <m/>
  </r>
  <r>
    <d v="2021-12-07T00:00:00"/>
    <s v="Impression Fiches"/>
    <x v="12"/>
    <s v="Investigation"/>
    <m/>
    <n v="750"/>
    <n v="21458060"/>
    <x v="6"/>
    <s v="Oui"/>
    <x v="1"/>
    <s v="PALF"/>
    <s v="CONGO"/>
    <m/>
    <m/>
    <m/>
  </r>
  <r>
    <d v="2021-12-07T00:00:00"/>
    <s v="Location taxi extraction (cfr OP PN)"/>
    <x v="5"/>
    <s v="Operation"/>
    <m/>
    <n v="5000"/>
    <n v="21453060"/>
    <x v="6"/>
    <s v="Oui"/>
    <x v="1"/>
    <s v="PALF"/>
    <s v="CONGO"/>
    <m/>
    <m/>
    <m/>
  </r>
  <r>
    <d v="2021-12-07T00:00:00"/>
    <s v="Achat des jus, Eau minérale et un paquet de biscuit pour les gendarmes lors de l'opération à Point Noire"/>
    <x v="6"/>
    <s v="Operation"/>
    <m/>
    <n v="6000"/>
    <n v="21447060"/>
    <x v="9"/>
    <s v="Oui"/>
    <x v="1"/>
    <s v="PALF"/>
    <s v="CONGO"/>
    <m/>
    <m/>
    <m/>
  </r>
  <r>
    <d v="2021-12-07T00:00:00"/>
    <s v="P29 - CONGO Paiement 3 nuitées du 04 au 07/12/2021 Dolisie"/>
    <x v="6"/>
    <s v="Investigation"/>
    <m/>
    <n v="45000"/>
    <n v="21402060"/>
    <x v="8"/>
    <s v="Oui"/>
    <x v="2"/>
    <s v="RALFF"/>
    <s v="CONGO"/>
    <s v="RALFF-CO2791"/>
    <s v="1.3.2"/>
    <m/>
  </r>
  <r>
    <d v="2021-12-07T00:00:00"/>
    <s v="Transfert à Crepin"/>
    <x v="1"/>
    <m/>
    <m/>
    <n v="240000"/>
    <n v="21162060"/>
    <x v="8"/>
    <s v="Décharge"/>
    <x v="0"/>
    <m/>
    <s v="CONGO"/>
    <m/>
    <m/>
    <m/>
  </r>
  <r>
    <d v="2021-12-07T00:00:00"/>
    <s v=" Achat billet pointe noire-dolisie/P29"/>
    <x v="5"/>
    <s v="Investigation"/>
    <m/>
    <n v="5000"/>
    <n v="21157060"/>
    <x v="8"/>
    <s v="Oui"/>
    <x v="2"/>
    <s v="RALFF"/>
    <s v="CONGO"/>
    <s v="RALFF-CO2792"/>
    <s v="2.2"/>
    <m/>
  </r>
  <r>
    <d v="2021-12-08T00:00:00"/>
    <s v="Crepin"/>
    <x v="1"/>
    <m/>
    <m/>
    <n v="250000"/>
    <n v="20907060"/>
    <x v="1"/>
    <s v="Décharge"/>
    <x v="0"/>
    <m/>
    <s v="CONGO"/>
    <m/>
    <m/>
    <m/>
  </r>
  <r>
    <d v="2021-12-08T00:00:00"/>
    <s v="Frais de transfert Charden Farell/Evariste remettre à crepin"/>
    <x v="4"/>
    <s v="Office"/>
    <m/>
    <n v="7500"/>
    <n v="20899560"/>
    <x v="1"/>
    <s v="Oui"/>
    <x v="2"/>
    <s v="RALFF"/>
    <s v="CONGO"/>
    <s v="RALFF-CO2793"/>
    <s v="5.6"/>
    <m/>
  </r>
  <r>
    <d v="2021-12-08T00:00:00"/>
    <s v="Godfre"/>
    <x v="1"/>
    <m/>
    <m/>
    <n v="160000"/>
    <n v="20739560"/>
    <x v="1"/>
    <s v="Décharge"/>
    <x v="0"/>
    <m/>
    <s v="CONGO"/>
    <m/>
    <m/>
    <m/>
  </r>
  <r>
    <d v="2021-12-08T00:00:00"/>
    <s v="Tiffany /Achat Carburant BJ/OP 5 BZ "/>
    <x v="1"/>
    <m/>
    <m/>
    <n v="25000"/>
    <n v="20714560"/>
    <x v="1"/>
    <s v="Décharge"/>
    <x v="0"/>
    <m/>
    <s v="CONGO"/>
    <m/>
    <m/>
    <m/>
  </r>
  <r>
    <d v="2021-12-08T00:00:00"/>
    <s v="Bonus Autorité/logistique Detenu à Brazzaville"/>
    <x v="7"/>
    <s v="Operation"/>
    <m/>
    <n v="20000"/>
    <n v="20694560"/>
    <x v="1"/>
    <s v="Décharge"/>
    <x v="1"/>
    <s v="PALF"/>
    <s v="CONGO"/>
    <m/>
    <m/>
    <m/>
  </r>
  <r>
    <d v="2021-12-08T00:00:00"/>
    <s v="Achat Crédit Télephonique trafs Prince /Enquête pour aux cibles"/>
    <x v="14"/>
    <s v="Operation"/>
    <m/>
    <n v="5000"/>
    <n v="20689560"/>
    <x v="1"/>
    <s v="Décharge"/>
    <x v="1"/>
    <s v="PALF"/>
    <s v="CONGO"/>
    <m/>
    <m/>
    <m/>
  </r>
  <r>
    <d v="2021-12-08T00:00:00"/>
    <s v="Reçu Caisse"/>
    <x v="1"/>
    <m/>
    <n v="160000"/>
    <m/>
    <n v="20849560"/>
    <x v="7"/>
    <s v="Décharge"/>
    <x v="0"/>
    <m/>
    <s v="CONGO"/>
    <m/>
    <m/>
    <m/>
  </r>
  <r>
    <d v="2021-12-08T00:00:00"/>
    <s v="Billets d'avion de Prince et 2 gendarmes à destinationn de Brazzaville"/>
    <x v="10"/>
    <s v="Operation"/>
    <m/>
    <n v="120000"/>
    <n v="20729560"/>
    <x v="5"/>
    <s v="Oui"/>
    <x v="1"/>
    <s v="PALF"/>
    <s v="CONGO"/>
    <m/>
    <m/>
    <m/>
  </r>
  <r>
    <d v="2021-12-08T00:00:00"/>
    <s v="Reçu de Tiffany"/>
    <x v="1"/>
    <m/>
    <n v="250000"/>
    <m/>
    <n v="20979560"/>
    <x v="5"/>
    <s v="Décharge"/>
    <x v="0"/>
    <m/>
    <s v="CONGO"/>
    <m/>
    <m/>
    <m/>
  </r>
  <r>
    <d v="2021-12-08T00:00:00"/>
    <s v="Reçu de caisse"/>
    <x v="1"/>
    <m/>
    <n v="250000"/>
    <m/>
    <n v="21229560"/>
    <x v="5"/>
    <s v="Décharge"/>
    <x v="0"/>
    <m/>
    <s v="CONGO"/>
    <m/>
    <m/>
    <m/>
  </r>
  <r>
    <d v="2021-12-08T00:00:00"/>
    <s v="Reçu de P29, reste flash money"/>
    <x v="1"/>
    <m/>
    <n v="240000"/>
    <m/>
    <n v="21469560"/>
    <x v="5"/>
    <s v="Décharge"/>
    <x v="0"/>
    <m/>
    <s v="CONGO"/>
    <m/>
    <m/>
    <m/>
  </r>
  <r>
    <d v="2021-12-08T00:00:00"/>
    <s v="Bonus des gendarmes première opération 18 éléments"/>
    <x v="7"/>
    <s v="Operation"/>
    <m/>
    <n v="180000"/>
    <n v="21289560"/>
    <x v="5"/>
    <s v="Oui"/>
    <x v="1"/>
    <s v="PALF"/>
    <s v="CONGO"/>
    <m/>
    <m/>
    <m/>
  </r>
  <r>
    <d v="2021-12-08T00:00:00"/>
    <s v="Bonus des gendarmes deuxième opération 10 éléments"/>
    <x v="7"/>
    <s v="Operation"/>
    <m/>
    <n v="100000"/>
    <n v="21189560"/>
    <x v="5"/>
    <s v="Oui"/>
    <x v="1"/>
    <s v="PALF"/>
    <s v="CONGO"/>
    <m/>
    <m/>
    <m/>
  </r>
  <r>
    <d v="2021-12-08T00:00:00"/>
    <s v="CREPIN IBOUILI - CONGO -Frais d'Hotel 03 Nuitées du 05 au 08/12/2021 à Pointe-Noire"/>
    <x v="6"/>
    <s v="Management"/>
    <m/>
    <n v="45000"/>
    <n v="21144560"/>
    <x v="5"/>
    <s v="Oui"/>
    <x v="2"/>
    <s v="RALFF"/>
    <s v="CONGO"/>
    <s v="RALFF-CO2794"/>
    <s v="1.3.2"/>
    <m/>
  </r>
  <r>
    <d v="2021-12-08T00:00:00"/>
    <s v="Reçu Caisse/ Tiffany"/>
    <x v="1"/>
    <m/>
    <n v="25000"/>
    <m/>
    <n v="21169560"/>
    <x v="12"/>
    <s v="Décharge"/>
    <x v="0"/>
    <m/>
    <s v="CONGO"/>
    <m/>
    <m/>
    <m/>
  </r>
  <r>
    <d v="2021-12-08T00:00:00"/>
    <s v="I23C - CONGO Paiement 6 nuitées du 2 au 8 décembre 2021 cfr mission Pointe Noire"/>
    <x v="6"/>
    <s v="Investigation"/>
    <m/>
    <n v="90000"/>
    <n v="21079560"/>
    <x v="6"/>
    <s v="Oui"/>
    <x v="2"/>
    <s v="RALFF"/>
    <s v="CONGO"/>
    <s v="RALFF-CO2795"/>
    <s v="1.3.2"/>
    <m/>
  </r>
  <r>
    <d v="2021-12-08T00:00:00"/>
    <s v="Achat billet Pointe Noire-Bouansa (départ pour Bouansa)/I23C"/>
    <x v="5"/>
    <s v="Investigation"/>
    <m/>
    <n v="8000"/>
    <n v="21071560"/>
    <x v="6"/>
    <s v="Oui"/>
    <x v="2"/>
    <s v="RALFF"/>
    <s v="CONGO"/>
    <s v="RALFF-CO2796"/>
    <s v="2.2"/>
    <m/>
  </r>
  <r>
    <d v="2021-12-08T00:00:00"/>
    <s v="EVARISTE - CONGO Frais d'hôtel du 06 au 08 decembre (2 nuités) / Pointe Noire"/>
    <x v="6"/>
    <s v="Media"/>
    <m/>
    <n v="30000"/>
    <n v="21041560"/>
    <x v="9"/>
    <s v="Oui"/>
    <x v="2"/>
    <s v="RALFF"/>
    <s v="CONGO"/>
    <s v="RALFF-CO2797"/>
    <s v="1.3.2"/>
    <m/>
  </r>
  <r>
    <d v="2021-12-08T00:00:00"/>
    <s v="P29 - CONGO Paiement une nuitée du 07 au 08/12/2021 Dolisie"/>
    <x v="6"/>
    <s v="Investigation"/>
    <m/>
    <n v="15000"/>
    <n v="21026560"/>
    <x v="8"/>
    <s v="Oui"/>
    <x v="2"/>
    <s v="RALFF"/>
    <s v="CONGO"/>
    <s v="RALFF-CO2798"/>
    <s v="1.3.2"/>
    <m/>
  </r>
  <r>
    <d v="2021-12-08T00:00:00"/>
    <s v="Achat billet dolisie-brazzaville /P29"/>
    <x v="5"/>
    <s v="Investigation"/>
    <m/>
    <n v="10000"/>
    <n v="21016560"/>
    <x v="8"/>
    <s v="Oui"/>
    <x v="2"/>
    <s v="RALFF"/>
    <s v="CONGO"/>
    <s v="RALFF-CO2799"/>
    <s v="2.2"/>
    <m/>
  </r>
  <r>
    <d v="2021-12-08T00:00:00"/>
    <s v="Impression documents pour procédures EF"/>
    <x v="3"/>
    <s v="Legal"/>
    <m/>
    <n v="650"/>
    <n v="21015910"/>
    <x v="11"/>
    <s v="Oui"/>
    <x v="1"/>
    <s v="PALF"/>
    <s v="CONGO"/>
    <m/>
    <m/>
    <m/>
  </r>
  <r>
    <d v="2021-12-09T00:00:00"/>
    <s v="Frais d'hotel 01 Nuitée 02 autorités/Logistique detenu à Brazzaville"/>
    <x v="6"/>
    <s v="Operation"/>
    <m/>
    <n v="70000"/>
    <n v="20945910"/>
    <x v="1"/>
    <s v="Oui"/>
    <x v="1"/>
    <s v="PALF"/>
    <s v="CONGO"/>
    <m/>
    <m/>
    <m/>
  </r>
  <r>
    <d v="2021-12-09T00:00:00"/>
    <s v="Godfre"/>
    <x v="1"/>
    <m/>
    <m/>
    <n v="80000"/>
    <n v="20865910"/>
    <x v="1"/>
    <s v="Décharge"/>
    <x v="0"/>
    <m/>
    <s v="CONGO"/>
    <m/>
    <m/>
    <m/>
  </r>
  <r>
    <d v="2021-12-09T00:00:00"/>
    <s v="Grace"/>
    <x v="1"/>
    <m/>
    <m/>
    <n v="20000"/>
    <n v="20845910"/>
    <x v="1"/>
    <s v="Décharge"/>
    <x v="0"/>
    <m/>
    <s v="CONGO"/>
    <m/>
    <m/>
    <m/>
  </r>
  <r>
    <d v="2021-12-09T00:00:00"/>
    <s v="Impression 22 photos format 10x15"/>
    <x v="3"/>
    <s v="Office"/>
    <m/>
    <n v="6600"/>
    <n v="20839310"/>
    <x v="1"/>
    <s v="Oui"/>
    <x v="1"/>
    <s v="PALF"/>
    <s v="CONGO"/>
    <m/>
    <m/>
    <m/>
  </r>
  <r>
    <d v="2021-12-09T00:00:00"/>
    <s v="Axel"/>
    <x v="1"/>
    <m/>
    <m/>
    <n v="20000"/>
    <n v="20819310"/>
    <x v="1"/>
    <s v="Décharge"/>
    <x v="0"/>
    <m/>
    <s v="CONGO"/>
    <m/>
    <m/>
    <m/>
  </r>
  <r>
    <d v="2021-12-09T00:00:00"/>
    <s v="B52"/>
    <x v="1"/>
    <m/>
    <m/>
    <n v="15000"/>
    <n v="20804310"/>
    <x v="1"/>
    <s v="Décharge"/>
    <x v="0"/>
    <m/>
    <s v="CONGO"/>
    <m/>
    <m/>
    <m/>
  </r>
  <r>
    <d v="2021-12-09T00:00:00"/>
    <s v="Frais de Test covid /Axel"/>
    <x v="2"/>
    <s v="Team Building"/>
    <m/>
    <n v="20000"/>
    <n v="20784310"/>
    <x v="1"/>
    <s v="Oui"/>
    <x v="1"/>
    <s v="PALF"/>
    <s v="CONGO"/>
    <m/>
    <m/>
    <m/>
  </r>
  <r>
    <d v="2021-12-09T00:00:00"/>
    <s v="Achat billet d'avion retour 01 Gendarme BZV-PN /Apres Escorte Detenu"/>
    <x v="10"/>
    <s v="Operation"/>
    <m/>
    <n v="40000"/>
    <n v="20744310"/>
    <x v="1"/>
    <s v="Oui"/>
    <x v="1"/>
    <s v="PALF"/>
    <s v="CONGO"/>
    <m/>
    <m/>
    <m/>
  </r>
  <r>
    <d v="2021-12-09T00:00:00"/>
    <s v="Achat Pièces Baguettes 15*n)4 &amp; 5*n°10/Operation"/>
    <x v="3"/>
    <s v="Operation"/>
    <m/>
    <n v="2250"/>
    <n v="20742060"/>
    <x v="1"/>
    <s v="Oui"/>
    <x v="1"/>
    <s v="PALF"/>
    <s v="CONGO"/>
    <m/>
    <m/>
    <m/>
  </r>
  <r>
    <d v="2021-12-09T00:00:00"/>
    <s v="Maintenance Imprimante &amp; Reïnitialisation Système/RICOH"/>
    <x v="13"/>
    <s v="Office"/>
    <m/>
    <n v="15000"/>
    <n v="20727060"/>
    <x v="1"/>
    <s v="Oui"/>
    <x v="1"/>
    <s v="PALF"/>
    <s v="CONGO"/>
    <m/>
    <m/>
    <m/>
  </r>
  <r>
    <d v="2021-12-09T00:00:00"/>
    <s v="Bonus de 15 gendarmes"/>
    <x v="7"/>
    <s v="Operation"/>
    <m/>
    <n v="150000"/>
    <n v="20577060"/>
    <x v="7"/>
    <s v="Oui"/>
    <x v="1"/>
    <s v="PALF"/>
    <s v="CONGO"/>
    <m/>
    <m/>
    <m/>
  </r>
  <r>
    <d v="2021-12-09T00:00:00"/>
    <s v="Reçu Caisse"/>
    <x v="1"/>
    <m/>
    <n v="80000"/>
    <m/>
    <n v="20657060"/>
    <x v="7"/>
    <s v="Décharge"/>
    <x v="0"/>
    <m/>
    <s v="CONGO"/>
    <m/>
    <m/>
    <m/>
  </r>
  <r>
    <d v="2021-12-09T00:00:00"/>
    <s v="Transfert tiffany"/>
    <x v="1"/>
    <m/>
    <m/>
    <n v="57180"/>
    <n v="20599880"/>
    <x v="7"/>
    <s v="Décharge"/>
    <x v="0"/>
    <m/>
    <s v="CONGO"/>
    <m/>
    <m/>
    <m/>
  </r>
  <r>
    <d v="2021-12-09T00:00:00"/>
    <s v="Achat produits pharmaceutiques d'un détenu (Valentin)"/>
    <x v="15"/>
    <s v="Legal"/>
    <m/>
    <n v="22820"/>
    <n v="20577060"/>
    <x v="7"/>
    <s v="Décharge"/>
    <x v="1"/>
    <s v="PALF"/>
    <s v="CONGO"/>
    <m/>
    <m/>
    <m/>
  </r>
  <r>
    <d v="2021-12-09T00:00:00"/>
    <s v="Reçu Caisse"/>
    <x v="1"/>
    <m/>
    <n v="15000"/>
    <m/>
    <n v="20592060"/>
    <x v="4"/>
    <s v="Décharge"/>
    <x v="0"/>
    <m/>
    <s v="CONGO"/>
    <m/>
    <m/>
    <m/>
  </r>
  <r>
    <d v="2021-12-09T00:00:00"/>
    <s v="Reçu Godfre/ Tiffany"/>
    <x v="1"/>
    <m/>
    <n v="57180"/>
    <m/>
    <n v="20649240"/>
    <x v="12"/>
    <s v="Décharge"/>
    <x v="0"/>
    <m/>
    <s v="CONGO"/>
    <m/>
    <m/>
    <m/>
  </r>
  <r>
    <d v="2021-12-09T00:00:00"/>
    <s v="Frais Médicaux Détenus IBANDA Valentin"/>
    <x v="15"/>
    <s v="Legal"/>
    <m/>
    <n v="30000"/>
    <n v="20619240"/>
    <x v="12"/>
    <s v="Oui"/>
    <x v="1"/>
    <s v="PALF"/>
    <s v="CONGO"/>
    <m/>
    <m/>
    <m/>
  </r>
  <r>
    <d v="2021-12-09T00:00:00"/>
    <s v="I23C - CONGO Paiement Hôtel du 8 au 9/12/21 à Bouansa"/>
    <x v="6"/>
    <s v="Investigation"/>
    <m/>
    <n v="15000"/>
    <n v="20604240"/>
    <x v="6"/>
    <s v="Oui"/>
    <x v="2"/>
    <s v="RALFF"/>
    <s v="CONGO"/>
    <s v="RALFF-CO2800"/>
    <s v="1.3.2"/>
    <m/>
  </r>
  <r>
    <d v="2021-12-09T00:00:00"/>
    <s v="Achat Billet Bouansa-Brazzaville (départ pour Brazzaville)/I23C"/>
    <x v="5"/>
    <s v="Investigation"/>
    <m/>
    <n v="8000"/>
    <n v="20596240"/>
    <x v="6"/>
    <s v="Oui"/>
    <x v="2"/>
    <s v="RALFF"/>
    <s v="CONGO"/>
    <s v="RALFF-CO2801"/>
    <s v="2.2"/>
    <m/>
  </r>
  <r>
    <d v="2021-12-09T00:00:00"/>
    <s v="Reçu Caisse"/>
    <x v="1"/>
    <m/>
    <n v="20000"/>
    <m/>
    <n v="20616240"/>
    <x v="10"/>
    <s v="Décharge"/>
    <x v="0"/>
    <m/>
    <s v="CONGO"/>
    <m/>
    <m/>
    <m/>
  </r>
  <r>
    <d v="2021-12-09T00:00:00"/>
    <s v="Reçu caisse"/>
    <x v="1"/>
    <m/>
    <n v="20000"/>
    <m/>
    <n v="20636240"/>
    <x v="11"/>
    <s v="Décharge"/>
    <x v="0"/>
    <m/>
    <s v="CONGO"/>
    <m/>
    <m/>
    <m/>
  </r>
  <r>
    <d v="2021-12-10T00:00:00"/>
    <s v="Godfre"/>
    <x v="1"/>
    <m/>
    <m/>
    <n v="30000"/>
    <n v="20606240"/>
    <x v="1"/>
    <s v="Décharge"/>
    <x v="0"/>
    <m/>
    <s v="CONGO"/>
    <m/>
    <m/>
    <m/>
  </r>
  <r>
    <d v="2021-12-10T00:00:00"/>
    <s v="I23c"/>
    <x v="1"/>
    <m/>
    <m/>
    <n v="47000"/>
    <n v="20559240"/>
    <x v="1"/>
    <s v="Décharge"/>
    <x v="0"/>
    <m/>
    <s v="CONGO"/>
    <m/>
    <m/>
    <m/>
  </r>
  <r>
    <d v="2021-12-10T00:00:00"/>
    <s v="I23c"/>
    <x v="1"/>
    <m/>
    <m/>
    <n v="20000"/>
    <n v="20539240"/>
    <x v="1"/>
    <s v="Décharge"/>
    <x v="0"/>
    <m/>
    <s v="CONGO"/>
    <m/>
    <m/>
    <m/>
  </r>
  <r>
    <d v="2021-12-10T00:00:00"/>
    <s v="Achat 03 billet d'avion Aller/02 Gendarmes/01 Detenu Escorté"/>
    <x v="10"/>
    <s v="Operation"/>
    <m/>
    <n v="120000"/>
    <n v="20419240"/>
    <x v="1"/>
    <s v="Oui"/>
    <x v="1"/>
    <s v="PALF"/>
    <s v="CONGO"/>
    <m/>
    <m/>
    <m/>
  </r>
  <r>
    <d v="2021-12-10T00:00:00"/>
    <s v="Acompte Honoraire Contrat N°39/Me Hélène/Cas Job &amp; Chancel/Brazzaville"/>
    <x v="16"/>
    <s v="Legal"/>
    <m/>
    <n v="200000"/>
    <n v="20219240"/>
    <x v="3"/>
    <n v="3643580"/>
    <x v="2"/>
    <s v="RALFF"/>
    <s v="CONGO"/>
    <s v="RALFF-CO2802"/>
    <s v="5.2.2"/>
    <m/>
  </r>
  <r>
    <d v="2021-12-10T00:00:00"/>
    <s v="Paiement Honoraire Me LOCKO/Mois de Décembre 2021"/>
    <x v="16"/>
    <s v="Legal"/>
    <m/>
    <n v="150000"/>
    <n v="20069240"/>
    <x v="3"/>
    <n v="3643581"/>
    <x v="2"/>
    <s v="RALFF"/>
    <s v="CONGO"/>
    <s v="RALFF-CO2803"/>
    <s v="5.2.1"/>
    <m/>
  </r>
  <r>
    <d v="2021-12-10T00:00:00"/>
    <s v="Reçu Caisse"/>
    <x v="1"/>
    <m/>
    <n v="30000"/>
    <m/>
    <n v="20099240"/>
    <x v="7"/>
    <s v="Décharge"/>
    <x v="0"/>
    <m/>
    <s v="CONGO"/>
    <m/>
    <m/>
    <m/>
  </r>
  <r>
    <d v="2021-12-10T00:00:00"/>
    <s v="Transfer à Evariste"/>
    <x v="1"/>
    <m/>
    <m/>
    <n v="80000"/>
    <n v="20019240"/>
    <x v="5"/>
    <s v="Décharge"/>
    <x v="0"/>
    <m/>
    <s v="CONGO"/>
    <m/>
    <m/>
    <m/>
  </r>
  <r>
    <d v="2021-12-10T00:00:00"/>
    <s v="Cumul frais de Trust Building Mois décembre 2021/Crépin"/>
    <x v="12"/>
    <s v="Investigation"/>
    <m/>
    <n v="9500"/>
    <n v="20009740"/>
    <x v="5"/>
    <s v="Décharge"/>
    <x v="1"/>
    <s v="PALF"/>
    <s v="CONGO"/>
    <m/>
    <m/>
    <m/>
  </r>
  <r>
    <d v="2021-12-10T00:00:00"/>
    <s v="Bonus pour deux agents des eaux et forets"/>
    <x v="7"/>
    <s v="Operation"/>
    <m/>
    <n v="20000"/>
    <n v="19989740"/>
    <x v="5"/>
    <s v="Oui"/>
    <x v="1"/>
    <s v="PALF"/>
    <s v="CONGO"/>
    <m/>
    <m/>
    <m/>
  </r>
  <r>
    <d v="2021-12-10T00:00:00"/>
    <s v="Carburant BJ pour la première opération"/>
    <x v="5"/>
    <s v="Operation"/>
    <m/>
    <n v="25000"/>
    <n v="19964740"/>
    <x v="5"/>
    <s v="Oui"/>
    <x v="1"/>
    <s v="PALF"/>
    <s v="CONGO"/>
    <m/>
    <m/>
    <m/>
  </r>
  <r>
    <d v="2021-12-10T00:00:00"/>
    <s v="Carburant BJ pour la deuxième opération"/>
    <x v="5"/>
    <s v="Operation"/>
    <m/>
    <n v="25000"/>
    <n v="19939740"/>
    <x v="5"/>
    <s v="Oui"/>
    <x v="1"/>
    <s v="PALF"/>
    <s v="CONGO"/>
    <m/>
    <m/>
    <m/>
  </r>
  <r>
    <d v="2021-12-10T00:00:00"/>
    <s v="Bonus des deux gendarmes ayant accompagné Prince sur Pointe-Noire"/>
    <x v="7"/>
    <s v="Operation"/>
    <m/>
    <n v="20000"/>
    <n v="19919740"/>
    <x v="5"/>
    <s v="Décharge"/>
    <x v="1"/>
    <s v="PALF"/>
    <s v="CONGO"/>
    <m/>
    <m/>
    <m/>
  </r>
  <r>
    <d v="2021-12-10T00:00:00"/>
    <s v="Achat Carburant BJ/Autorité"/>
    <x v="5"/>
    <s v="Operation"/>
    <m/>
    <n v="25000"/>
    <n v="19894740"/>
    <x v="12"/>
    <s v="Oui"/>
    <x v="1"/>
    <s v="PALF"/>
    <s v="CONGO"/>
    <m/>
    <m/>
    <m/>
  </r>
  <r>
    <d v="2021-12-10T00:00:00"/>
    <s v="Réçu de caisse"/>
    <x v="1"/>
    <m/>
    <n v="47000"/>
    <m/>
    <n v="19941740"/>
    <x v="6"/>
    <s v="Décharge"/>
    <x v="0"/>
    <m/>
    <s v="CONGO"/>
    <m/>
    <m/>
    <m/>
  </r>
  <r>
    <d v="2021-12-10T00:00:00"/>
    <s v="Réçu de caisse"/>
    <x v="1"/>
    <m/>
    <n v="20000"/>
    <m/>
    <n v="19961740"/>
    <x v="6"/>
    <s v="Décharge"/>
    <x v="0"/>
    <m/>
    <s v="CONGO"/>
    <m/>
    <m/>
    <m/>
  </r>
  <r>
    <d v="2021-12-11T00:00:00"/>
    <s v="Expédition des cages de Pointe Noire pour Brazzaville à l'agence Trans Bony"/>
    <x v="5"/>
    <s v="Media"/>
    <m/>
    <n v="5000"/>
    <n v="19956740"/>
    <x v="9"/>
    <s v="Oui"/>
    <x v="1"/>
    <s v="PALF"/>
    <s v="CONGO"/>
    <m/>
    <m/>
    <m/>
  </r>
  <r>
    <d v="2021-12-10T00:00:00"/>
    <s v="Achat Billet de voyage Pointe Noire-Brazzaville /Evariste"/>
    <x v="5"/>
    <s v="Media"/>
    <m/>
    <n v="15000"/>
    <n v="19941740"/>
    <x v="9"/>
    <s v="Oui"/>
    <x v="2"/>
    <s v="RALFF"/>
    <s v="CONGO"/>
    <s v="RALFF-CO2804"/>
    <s v="2.2"/>
    <m/>
  </r>
  <r>
    <d v="2021-12-10T00:00:00"/>
    <s v="Cumul Frais de Jail Visit du Mois Décembre 2021/Evariste"/>
    <x v="15"/>
    <s v="Legal"/>
    <m/>
    <n v="24450"/>
    <n v="19917290"/>
    <x v="9"/>
    <s v="Décharge"/>
    <x v="1"/>
    <s v="PALF"/>
    <s v="CONGO"/>
    <m/>
    <m/>
    <m/>
  </r>
  <r>
    <d v="2021-12-10T00:00:00"/>
    <s v="Recu de Crepin"/>
    <x v="1"/>
    <m/>
    <n v="80000"/>
    <m/>
    <n v="19997290"/>
    <x v="9"/>
    <s v="Décharge"/>
    <x v="0"/>
    <m/>
    <s v="CONGO"/>
    <m/>
    <m/>
    <m/>
  </r>
  <r>
    <d v="2021-12-11T00:00:00"/>
    <s v="EVARISTE - CONGO Frais d'hôtel du 08 au 11 décembre (3 nuités) / Pointe Noire"/>
    <x v="6"/>
    <s v="Media"/>
    <m/>
    <n v="45000"/>
    <n v="19952290"/>
    <x v="9"/>
    <s v="Oui"/>
    <x v="2"/>
    <s v="RALFF"/>
    <s v="CONGO"/>
    <s v="RALFF-CO2805"/>
    <s v="1.3.2"/>
    <m/>
  </r>
  <r>
    <d v="2021-12-11T00:00:00"/>
    <s v="Godfre"/>
    <x v="1"/>
    <m/>
    <m/>
    <n v="150000"/>
    <n v="19802290"/>
    <x v="1"/>
    <s v="Décharge"/>
    <x v="0"/>
    <m/>
    <s v="CONGO"/>
    <m/>
    <m/>
    <m/>
  </r>
  <r>
    <d v="2021-12-11T00:00:00"/>
    <s v="I23c"/>
    <x v="1"/>
    <m/>
    <m/>
    <n v="12000"/>
    <n v="19790290"/>
    <x v="1"/>
    <s v="Décharge"/>
    <x v="0"/>
    <m/>
    <s v="CONGO"/>
    <m/>
    <m/>
    <m/>
  </r>
  <r>
    <d v="2021-12-11T00:00:00"/>
    <s v="P29"/>
    <x v="1"/>
    <m/>
    <m/>
    <n v="180000"/>
    <n v="19610290"/>
    <x v="1"/>
    <s v="Décharge"/>
    <x v="0"/>
    <m/>
    <s v="CONGO"/>
    <m/>
    <m/>
    <m/>
  </r>
  <r>
    <d v="2021-12-11T00:00:00"/>
    <s v="B52"/>
    <x v="1"/>
    <m/>
    <m/>
    <n v="180000"/>
    <n v="19430290"/>
    <x v="1"/>
    <s v="Décharge"/>
    <x v="0"/>
    <m/>
    <s v="CONGO"/>
    <m/>
    <m/>
    <m/>
  </r>
  <r>
    <d v="2021-12-11T00:00:00"/>
    <s v="Divers Operation (Jus, Eau minerale et Biscuit)"/>
    <x v="12"/>
    <s v="Operation"/>
    <m/>
    <n v="9300"/>
    <n v="19420990"/>
    <x v="1"/>
    <s v="Oui"/>
    <x v="1"/>
    <s v="PALF"/>
    <s v="CONGO"/>
    <m/>
    <m/>
    <m/>
  </r>
  <r>
    <d v="2021-12-11T00:00:00"/>
    <s v="Bonus Autorités/BJ/11 Gendarmes/OP du 11/12/2021"/>
    <x v="7"/>
    <s v="Operation"/>
    <m/>
    <n v="110000"/>
    <n v="19310990"/>
    <x v="1"/>
    <s v="Oui"/>
    <x v="1"/>
    <s v="PALF"/>
    <s v="CONGO"/>
    <m/>
    <m/>
    <m/>
  </r>
  <r>
    <d v="2021-12-11T00:00:00"/>
    <s v="Bonus Autorités/Elements de la Section de Recherche/05 Gendarmes/ OP du 11/12/2021"/>
    <x v="7"/>
    <s v="Operation"/>
    <m/>
    <n v="50000"/>
    <n v="19260990"/>
    <x v="1"/>
    <s v="Oui"/>
    <x v="1"/>
    <s v="PALF"/>
    <s v="CONGO"/>
    <m/>
    <m/>
    <m/>
  </r>
  <r>
    <d v="2021-12-11T00:00:00"/>
    <s v="Achat 02 Rames A4 et Paquet et 20 Chemise/Procedure Gendarmerie"/>
    <x v="3"/>
    <s v="Office"/>
    <m/>
    <n v="8000"/>
    <n v="19252990"/>
    <x v="1"/>
    <s v="Oui"/>
    <x v="1"/>
    <s v="PALF"/>
    <s v="CONGO"/>
    <m/>
    <m/>
    <m/>
  </r>
  <r>
    <d v="2021-12-11T00:00:00"/>
    <s v="Reçu Caisse"/>
    <x v="1"/>
    <m/>
    <n v="150000"/>
    <m/>
    <n v="19402990"/>
    <x v="7"/>
    <s v="Décharge"/>
    <x v="0"/>
    <m/>
    <s v="CONGO"/>
    <m/>
    <m/>
    <m/>
  </r>
  <r>
    <d v="2021-12-11T00:00:00"/>
    <s v="Location appartements/Operation du 11/12/2021"/>
    <x v="6"/>
    <s v="Operation"/>
    <m/>
    <n v="100000"/>
    <n v="19302990"/>
    <x v="7"/>
    <s v="Oui"/>
    <x v="1"/>
    <s v="PALF"/>
    <s v="CONGO"/>
    <m/>
    <m/>
    <m/>
  </r>
  <r>
    <d v="2021-12-11T00:00:00"/>
    <s v="Commission pour l'appartement de la rue Massoukou/OP du 11/12/21"/>
    <x v="5"/>
    <s v="Operation"/>
    <m/>
    <n v="50000"/>
    <n v="19252990"/>
    <x v="7"/>
    <s v="Oui"/>
    <x v="1"/>
    <s v="PALF"/>
    <s v="CONGO"/>
    <m/>
    <m/>
    <m/>
  </r>
  <r>
    <d v="2021-12-11T00:00:00"/>
    <s v="Achat boissons Autorités OP du 11/12/21"/>
    <x v="6"/>
    <s v="Operation"/>
    <m/>
    <n v="1500"/>
    <n v="19251490"/>
    <x v="7"/>
    <s v="Décharge"/>
    <x v="1"/>
    <s v="PALF"/>
    <s v="CONGO"/>
    <m/>
    <m/>
    <m/>
  </r>
  <r>
    <d v="2021-12-11T00:00:00"/>
    <s v="Reçu Caisse"/>
    <x v="1"/>
    <m/>
    <n v="180000"/>
    <m/>
    <n v="19431490"/>
    <x v="4"/>
    <s v="Décharge"/>
    <x v="0"/>
    <m/>
    <s v="CONGO"/>
    <m/>
    <m/>
    <m/>
  </r>
  <r>
    <d v="2021-12-11T00:00:00"/>
    <s v="Achat Billets d'Avion retour pour les deux gendarmes sur Brazzaville/Après Escorte du Trafs"/>
    <x v="10"/>
    <s v="Operation"/>
    <m/>
    <n v="80000"/>
    <n v="19351490"/>
    <x v="5"/>
    <s v="Oui"/>
    <x v="1"/>
    <s v="PALF"/>
    <s v="CONGO"/>
    <m/>
    <m/>
    <m/>
  </r>
  <r>
    <d v="2021-12-11T00:00:00"/>
    <s v="Frais d'Hotel 01 Nuitée pour deux gendarmes du 10 au 11/12/2021"/>
    <x v="6"/>
    <s v="Operation"/>
    <m/>
    <n v="30000"/>
    <n v="19321490"/>
    <x v="5"/>
    <s v="Oui"/>
    <x v="1"/>
    <s v="PALF"/>
    <s v="CONGO"/>
    <m/>
    <m/>
    <m/>
  </r>
  <r>
    <d v="2021-12-11T00:00:00"/>
    <s v="Réçu de caisse"/>
    <x v="1"/>
    <m/>
    <n v="12000"/>
    <m/>
    <n v="19333490"/>
    <x v="6"/>
    <s v="Décharge"/>
    <x v="0"/>
    <m/>
    <s v="CONGO"/>
    <m/>
    <m/>
    <m/>
  </r>
  <r>
    <d v="2021-12-11T00:00:00"/>
    <s v="Recu de caisse"/>
    <x v="1"/>
    <m/>
    <n v="180000"/>
    <m/>
    <n v="19513490"/>
    <x v="8"/>
    <s v="Décharge"/>
    <x v="0"/>
    <m/>
    <s v="CONGO"/>
    <m/>
    <m/>
    <m/>
  </r>
  <r>
    <d v="2021-12-12T00:00:00"/>
    <s v="Achat billet bzv-dolisie/P29"/>
    <x v="5"/>
    <s v="Investigation"/>
    <m/>
    <n v="10000"/>
    <n v="19503490"/>
    <x v="8"/>
    <s v="Oui"/>
    <x v="2"/>
    <s v="RALFF"/>
    <s v="CONGO"/>
    <s v="RALFF-CO2806"/>
    <s v="2.2"/>
    <m/>
  </r>
  <r>
    <d v="2021-12-12T00:00:00"/>
    <s v="Axel"/>
    <x v="1"/>
    <m/>
    <m/>
    <n v="8000"/>
    <n v="19495490"/>
    <x v="1"/>
    <s v="Décharge"/>
    <x v="0"/>
    <m/>
    <s v="CONGO"/>
    <m/>
    <m/>
    <m/>
  </r>
  <r>
    <d v="2021-12-12T00:00:00"/>
    <s v="Godfre"/>
    <x v="1"/>
    <m/>
    <m/>
    <n v="8000"/>
    <n v="19487490"/>
    <x v="1"/>
    <s v="Décharge"/>
    <x v="0"/>
    <m/>
    <s v="CONGO"/>
    <m/>
    <m/>
    <m/>
  </r>
  <r>
    <d v="2021-12-12T00:00:00"/>
    <s v="Reçu Caisse"/>
    <x v="1"/>
    <m/>
    <n v="8000"/>
    <m/>
    <n v="19495490"/>
    <x v="7"/>
    <s v="Décharge"/>
    <x v="0"/>
    <m/>
    <s v="CONGO"/>
    <m/>
    <m/>
    <m/>
  </r>
  <r>
    <d v="2021-12-12T00:00:00"/>
    <s v="Achat billet(Brazzaville-Ngo)/B52"/>
    <x v="5"/>
    <s v="Investigation"/>
    <m/>
    <n v="6000"/>
    <n v="19489490"/>
    <x v="4"/>
    <s v="Oui"/>
    <x v="1"/>
    <s v="PALF"/>
    <s v="CONGO"/>
    <m/>
    <m/>
    <m/>
  </r>
  <r>
    <d v="2021-12-12T00:00:00"/>
    <s v="Reçu caisse/Jail visit"/>
    <x v="1"/>
    <m/>
    <n v="8000"/>
    <m/>
    <n v="19497490"/>
    <x v="11"/>
    <s v="Décharge"/>
    <x v="0"/>
    <m/>
    <s v="CONGO"/>
    <m/>
    <m/>
    <m/>
  </r>
  <r>
    <d v="2021-12-12T00:00:00"/>
    <s v="Cumul frais de jail visit du mois de Décembre 2021/Axel"/>
    <x v="15"/>
    <s v="Legal"/>
    <m/>
    <n v="27000"/>
    <n v="19470490"/>
    <x v="11"/>
    <s v="Décharge"/>
    <x v="1"/>
    <s v="PALF"/>
    <s v="CONGO"/>
    <m/>
    <m/>
    <m/>
  </r>
  <r>
    <d v="2021-12-13T00:00:00"/>
    <s v="P29 - CONGO Food allowance mission du 13 au 23/12/2021 à Dolisie, Makabana,Pointe Noire"/>
    <x v="6"/>
    <s v="Investigation"/>
    <m/>
    <n v="100000"/>
    <n v="19370490"/>
    <x v="8"/>
    <s v="Décharge"/>
    <x v="2"/>
    <s v="RALFF"/>
    <s v="CONGO"/>
    <s v="RALFF-CO2807"/>
    <s v="1.3.2"/>
    <m/>
  </r>
  <r>
    <d v="2021-12-13T00:00:00"/>
    <s v="Evariste"/>
    <x v="1"/>
    <m/>
    <m/>
    <n v="15000"/>
    <n v="19355490"/>
    <x v="1"/>
    <s v="Décharge"/>
    <x v="0"/>
    <m/>
    <s v="CONGO"/>
    <m/>
    <m/>
    <m/>
  </r>
  <r>
    <d v="2021-12-13T00:00:00"/>
    <s v="Achat Divers pour OP Madingou "/>
    <x v="3"/>
    <s v="Office"/>
    <m/>
    <n v="4250"/>
    <n v="19351240"/>
    <x v="1"/>
    <s v="Oui"/>
    <x v="1"/>
    <s v="PALF"/>
    <s v="CONGO"/>
    <m/>
    <m/>
    <m/>
  </r>
  <r>
    <d v="2021-12-13T00:00:00"/>
    <s v="Appro Caisse/BCI-34"/>
    <x v="1"/>
    <m/>
    <n v="2000000"/>
    <m/>
    <n v="21351240"/>
    <x v="1"/>
    <s v="Décharge"/>
    <x v="0"/>
    <m/>
    <s v="CONGO"/>
    <m/>
    <m/>
    <m/>
  </r>
  <r>
    <d v="2021-12-13T00:00:00"/>
    <s v="Achat 02 Ampoules Bureaux"/>
    <x v="3"/>
    <s v="Office"/>
    <m/>
    <n v="2000"/>
    <n v="21349240"/>
    <x v="1"/>
    <s v="Oui"/>
    <x v="2"/>
    <s v="RALFF"/>
    <s v="CONGO"/>
    <s v="RALFF-CO2808"/>
    <s v="4.3"/>
    <m/>
  </r>
  <r>
    <d v="2021-12-13T00:00:00"/>
    <s v="Bonus Media porté sur OP du 28/11/2021"/>
    <x v="7"/>
    <s v="Media"/>
    <m/>
    <n v="45000"/>
    <n v="21304240"/>
    <x v="1"/>
    <s v="Décharge"/>
    <x v="1"/>
    <s v="PALF"/>
    <s v="CONGO"/>
    <m/>
    <m/>
    <m/>
  </r>
  <r>
    <d v="2021-12-13T00:00:00"/>
    <s v="Bonus Media porté sur OP du 3, 4 et 6 Décembre 2021/Telecongo"/>
    <x v="7"/>
    <s v="Media"/>
    <m/>
    <n v="150000"/>
    <n v="21154240"/>
    <x v="1"/>
    <s v="Décharge"/>
    <x v="1"/>
    <s v="PALF"/>
    <s v="CONGO"/>
    <m/>
    <m/>
    <m/>
  </r>
  <r>
    <d v="2021-12-13T00:00:00"/>
    <s v="Crepin"/>
    <x v="1"/>
    <m/>
    <m/>
    <n v="183500"/>
    <n v="20970740"/>
    <x v="1"/>
    <s v="Décharge"/>
    <x v="0"/>
    <m/>
    <s v="CONGO"/>
    <m/>
    <m/>
    <m/>
  </r>
  <r>
    <d v="2021-12-13T00:00:00"/>
    <s v="Frais de Transfert Charden Farell/Crepin"/>
    <x v="4"/>
    <s v="Office"/>
    <m/>
    <n v="5505"/>
    <n v="20965235"/>
    <x v="1"/>
    <s v="Oui"/>
    <x v="2"/>
    <s v="RALFF"/>
    <s v="CONGO"/>
    <s v="RALFF-CO2809"/>
    <s v="5.6"/>
    <m/>
  </r>
  <r>
    <d v="2021-12-13T00:00:00"/>
    <s v="Axel"/>
    <x v="1"/>
    <m/>
    <m/>
    <n v="677000"/>
    <n v="20288235"/>
    <x v="1"/>
    <s v="Décharge"/>
    <x v="0"/>
    <m/>
    <s v="CONGO"/>
    <m/>
    <m/>
    <m/>
  </r>
  <r>
    <d v="2021-12-13T00:00:00"/>
    <s v="Retrait especes/appro caisse/bord n°3643579"/>
    <x v="1"/>
    <m/>
    <m/>
    <n v="2000000"/>
    <n v="18288235"/>
    <x v="2"/>
    <n v="3643579"/>
    <x v="0"/>
    <m/>
    <s v="CONGO"/>
    <m/>
    <m/>
    <m/>
  </r>
  <r>
    <d v="2021-12-13T00:00:00"/>
    <s v="Taxi: Ngo-Djambala/B52"/>
    <x v="5"/>
    <s v="Investigation"/>
    <m/>
    <n v="4000"/>
    <n v="18284235"/>
    <x v="4"/>
    <s v="Oui"/>
    <x v="1"/>
    <s v="PALF"/>
    <s v="CONGO"/>
    <m/>
    <m/>
    <m/>
  </r>
  <r>
    <d v="2021-12-13T00:00:00"/>
    <s v="B52 - CONGO food allowance  du 13 au 21/12/2022 à djambala"/>
    <x v="6"/>
    <s v="Investigation"/>
    <m/>
    <n v="80000"/>
    <n v="18204235"/>
    <x v="4"/>
    <s v="Décharge"/>
    <x v="1"/>
    <s v="PALF"/>
    <s v="CONGO"/>
    <m/>
    <m/>
    <m/>
  </r>
  <r>
    <d v="2021-12-13T00:00:00"/>
    <s v="Reçu de la caisse"/>
    <x v="1"/>
    <m/>
    <n v="15000"/>
    <m/>
    <n v="18219235"/>
    <x v="9"/>
    <s v="Décharge"/>
    <x v="0"/>
    <m/>
    <s v="CONGO"/>
    <m/>
    <m/>
    <m/>
  </r>
  <r>
    <d v="2021-12-14T00:00:00"/>
    <s v="Crepin"/>
    <x v="1"/>
    <m/>
    <m/>
    <n v="62000"/>
    <n v="18157235"/>
    <x v="1"/>
    <s v="Décharge"/>
    <x v="0"/>
    <m/>
    <s v="CONGO"/>
    <m/>
    <m/>
    <m/>
  </r>
  <r>
    <d v="2021-12-14T00:00:00"/>
    <s v="Frais de Transfert Charden Farell/Crepin"/>
    <x v="4"/>
    <s v="Office"/>
    <m/>
    <n v="1860"/>
    <n v="18155375"/>
    <x v="1"/>
    <s v="Oui"/>
    <x v="2"/>
    <s v="RALFF"/>
    <s v="CONGO"/>
    <s v="RALFF-CO2810"/>
    <s v="5.6"/>
    <m/>
  </r>
  <r>
    <d v="2021-12-14T00:00:00"/>
    <s v="Reglement Facture d'Eau/LCDE"/>
    <x v="8"/>
    <s v="Office"/>
    <m/>
    <n v="12750"/>
    <n v="18142625"/>
    <x v="1"/>
    <s v="Oui"/>
    <x v="2"/>
    <s v="RALFF"/>
    <s v="CONGO"/>
    <s v="RALFF-CO2811"/>
    <s v="4.4"/>
    <m/>
  </r>
  <r>
    <d v="2021-12-14T00:00:00"/>
    <s v="I23c"/>
    <x v="1"/>
    <m/>
    <m/>
    <n v="180000"/>
    <n v="17962625"/>
    <x v="1"/>
    <s v="Décharge"/>
    <x v="0"/>
    <m/>
    <s v="CONGO"/>
    <m/>
    <m/>
    <m/>
  </r>
  <r>
    <d v="2021-12-14T00:00:00"/>
    <s v="Grace"/>
    <x v="1"/>
    <m/>
    <m/>
    <n v="20000"/>
    <n v="17942625"/>
    <x v="1"/>
    <s v="Décharge"/>
    <x v="0"/>
    <m/>
    <s v="CONGO"/>
    <m/>
    <m/>
    <m/>
  </r>
  <r>
    <d v="2021-12-14T00:00:00"/>
    <s v="Achat Carte téléphonique MTN / Tiffany"/>
    <x v="14"/>
    <s v="Management"/>
    <m/>
    <n v="5000"/>
    <n v="17937625"/>
    <x v="1"/>
    <s v="Oui"/>
    <x v="2"/>
    <s v="RALFF"/>
    <s v="CONGO"/>
    <s v="RALFF-CO2812"/>
    <s v="4.6"/>
    <m/>
  </r>
  <r>
    <d v="2021-12-14T00:00:00"/>
    <s v="Carburant BJ/Operation du 11/12/2021"/>
    <x v="5"/>
    <s v="Operation"/>
    <m/>
    <n v="25000"/>
    <n v="17912625"/>
    <x v="1"/>
    <s v="Oui"/>
    <x v="1"/>
    <s v="PALF"/>
    <s v="CONGO"/>
    <m/>
    <m/>
    <m/>
  </r>
  <r>
    <d v="2021-12-14T00:00:00"/>
    <s v="Reçu de la caisse"/>
    <x v="1"/>
    <m/>
    <n v="183500"/>
    <m/>
    <n v="18096125"/>
    <x v="5"/>
    <s v="Décharge"/>
    <x v="0"/>
    <m/>
    <s v="CONGO"/>
    <m/>
    <m/>
    <m/>
  </r>
  <r>
    <d v="2021-12-14T00:00:00"/>
    <s v="Frais d'achat d'une cartouche d'encre, deux rames de papier et quinze chemises cartonnées/Gendarmerie"/>
    <x v="3"/>
    <s v="Legal"/>
    <m/>
    <n v="65000"/>
    <n v="18031125"/>
    <x v="5"/>
    <s v="Oui"/>
    <x v="1"/>
    <s v="PALF"/>
    <s v="CONGO"/>
    <m/>
    <m/>
    <m/>
  </r>
  <r>
    <d v="2021-12-14T00:00:00"/>
    <s v="Réçu caisse"/>
    <x v="1"/>
    <m/>
    <n v="180000"/>
    <m/>
    <n v="18211125"/>
    <x v="6"/>
    <s v="Décharge"/>
    <x v="0"/>
    <m/>
    <s v="CONGO"/>
    <m/>
    <m/>
    <m/>
  </r>
  <r>
    <d v="2021-12-14T00:00:00"/>
    <s v="Achat billet Brazza-Dolisie (départ pour Dolisie)/I23C"/>
    <x v="5"/>
    <s v="Investigation"/>
    <m/>
    <n v="10000"/>
    <n v="18201125"/>
    <x v="6"/>
    <s v="Oui"/>
    <x v="2"/>
    <s v="RALFF"/>
    <s v="CONGO"/>
    <s v="RALFF-CO2813"/>
    <s v="2.2"/>
    <m/>
  </r>
  <r>
    <d v="2021-12-14T00:00:00"/>
    <s v="P29 - CONGO Paiement nuitée du 13  au 14/12/2021 Dolisie"/>
    <x v="6"/>
    <s v="Investigation"/>
    <m/>
    <n v="15000"/>
    <n v="18186125"/>
    <x v="8"/>
    <s v="Oui"/>
    <x v="2"/>
    <s v="RALFF"/>
    <s v="CONGO"/>
    <s v="RALFF-CO2814"/>
    <s v="1.3.2"/>
    <m/>
  </r>
  <r>
    <d v="2021-12-14T00:00:00"/>
    <s v="Achat billet dolisie-makabana/P29"/>
    <x v="5"/>
    <s v="Investigation"/>
    <m/>
    <n v="8000"/>
    <n v="18178125"/>
    <x v="8"/>
    <s v="Oui"/>
    <x v="2"/>
    <s v="RALFF"/>
    <s v="CONGO"/>
    <s v="RALFF-CO2815"/>
    <s v="2.2"/>
    <m/>
  </r>
  <r>
    <d v="2021-12-14T00:00:00"/>
    <s v="Reçu Caisse"/>
    <x v="1"/>
    <m/>
    <n v="20000"/>
    <m/>
    <n v="18198125"/>
    <x v="10"/>
    <s v="Décharge"/>
    <x v="0"/>
    <m/>
    <s v="CONGO"/>
    <m/>
    <m/>
    <m/>
  </r>
  <r>
    <d v="2021-12-14T00:00:00"/>
    <s v="Transfert caisse/mission Madingou"/>
    <x v="1"/>
    <m/>
    <n v="677000"/>
    <m/>
    <n v="18875125"/>
    <x v="11"/>
    <s v="Décharge"/>
    <x v="0"/>
    <m/>
    <s v="CONGO"/>
    <m/>
    <m/>
    <m/>
  </r>
  <r>
    <d v="2021-12-14T00:00:00"/>
    <s v="Location véhicule 02 Jours le 14 et 15 /12/2021 /Operation Madingou"/>
    <x v="5"/>
    <s v="Operation"/>
    <m/>
    <n v="400000"/>
    <n v="18475125"/>
    <x v="11"/>
    <s v="Oui"/>
    <x v="1"/>
    <s v="PALF"/>
    <s v="CONGO"/>
    <m/>
    <m/>
    <m/>
  </r>
  <r>
    <d v="2021-12-14T00:00:00"/>
    <s v="Achat gasoil véhicule loué/Operation Madingou"/>
    <x v="5"/>
    <s v="Operation"/>
    <m/>
    <n v="100000"/>
    <n v="18375125"/>
    <x v="11"/>
    <s v="Oui"/>
    <x v="1"/>
    <s v="PALF"/>
    <s v="CONGO"/>
    <m/>
    <m/>
    <m/>
  </r>
  <r>
    <d v="2021-12-14T00:00:00"/>
    <s v="Frais Péages/aller-retour/véhicule"/>
    <x v="5"/>
    <s v="Legal"/>
    <m/>
    <n v="12000"/>
    <n v="18363125"/>
    <x v="11"/>
    <s v="Oui"/>
    <x v="1"/>
    <s v="PALF"/>
    <s v="CONGO"/>
    <m/>
    <m/>
    <m/>
  </r>
  <r>
    <d v="2021-12-14T00:00:00"/>
    <s v="Food allowance/14 au 16 déc 2021/ 3 Autorités/Matin et Soir"/>
    <x v="6"/>
    <s v="Legal"/>
    <m/>
    <n v="60000"/>
    <n v="18303125"/>
    <x v="11"/>
    <s v="Décharge"/>
    <x v="1"/>
    <s v="PALF"/>
    <s v="CONGO"/>
    <m/>
    <m/>
    <m/>
  </r>
  <r>
    <d v="2021-12-14T00:00:00"/>
    <s v="GODFRE - CONGO Food allowance/14 au 16 déc 2021 à Madingou /Godfré"/>
    <x v="6"/>
    <s v="Legal"/>
    <m/>
    <n v="20000"/>
    <n v="18283125"/>
    <x v="11"/>
    <s v="Décharge"/>
    <x v="2"/>
    <s v="RALFF"/>
    <s v="CONGO"/>
    <s v="RALFF-CO2816"/>
    <s v="1.3.2"/>
    <m/>
  </r>
  <r>
    <d v="2021-12-14T00:00:00"/>
    <s v="AXEL - CONGO Food allowance/14 au 16 déc 2021/Axel"/>
    <x v="6"/>
    <s v="Legal"/>
    <m/>
    <n v="20000"/>
    <n v="18263125"/>
    <x v="11"/>
    <s v="Décharge"/>
    <x v="1"/>
    <s v="PALF"/>
    <s v="CONGO"/>
    <m/>
    <m/>
    <m/>
  </r>
  <r>
    <d v="2021-12-15T00:00:00"/>
    <s v="Achat credit  teléphonique MTN/PALF/Deuxieme partie Décembre 2021/Management"/>
    <x v="14"/>
    <s v="Management"/>
    <m/>
    <n v="5000"/>
    <n v="18258125"/>
    <x v="1"/>
    <s v="Oui"/>
    <x v="2"/>
    <s v="RALFF"/>
    <s v="CONGO"/>
    <s v="RALFF-CO2817"/>
    <s v="4.6"/>
    <m/>
  </r>
  <r>
    <d v="2021-12-15T00:00:00"/>
    <s v="Achat credit  teléphonique MTN/PALF/Deuxieme partie Décembre 2021/Legal"/>
    <x v="14"/>
    <s v="Legal"/>
    <m/>
    <n v="15000"/>
    <n v="18243125"/>
    <x v="1"/>
    <s v="Oui"/>
    <x v="2"/>
    <s v="RALFF"/>
    <s v="CONGO"/>
    <s v="RALFF-CO2818"/>
    <s v="4.6"/>
    <m/>
  </r>
  <r>
    <d v="2021-12-15T00:00:00"/>
    <s v="Achat credit  teléphonique MTN/PALF/Deuxieme partie Décembre 2021/Legal Volontaire"/>
    <x v="14"/>
    <s v="Legal"/>
    <m/>
    <n v="10000"/>
    <n v="18233125"/>
    <x v="1"/>
    <s v="Oui"/>
    <x v="1"/>
    <s v="PALF"/>
    <s v="CONGO"/>
    <m/>
    <m/>
    <m/>
  </r>
  <r>
    <d v="2021-12-15T00:00:00"/>
    <s v="Achat credit  teléphonique MTN/PALF/Deuxieme partie Décembre 2021/Investigation"/>
    <x v="14"/>
    <s v="Investigation"/>
    <m/>
    <n v="20000"/>
    <n v="18213125"/>
    <x v="1"/>
    <s v="Oui"/>
    <x v="2"/>
    <s v="RALFF"/>
    <s v="CONGO"/>
    <s v="RALFF-CO2819"/>
    <s v="4.6"/>
    <m/>
  </r>
  <r>
    <d v="2021-12-15T00:00:00"/>
    <s v="Achat credit  teléphonique MTN/PALF/Deuxieme partie Décembre 2021/Investigation Volontaire"/>
    <x v="14"/>
    <s v="Investigation"/>
    <m/>
    <n v="10000"/>
    <n v="18203125"/>
    <x v="1"/>
    <s v="Oui"/>
    <x v="1"/>
    <s v="PALF"/>
    <s v="CONGO"/>
    <m/>
    <m/>
    <m/>
  </r>
  <r>
    <d v="2021-12-15T00:00:00"/>
    <s v="Achat credit  teléphonique MTN/PALF/Deuxieme partie Décembre 2021/Media"/>
    <x v="14"/>
    <s v="Media"/>
    <m/>
    <n v="10000"/>
    <n v="18193125"/>
    <x v="1"/>
    <s v="Oui"/>
    <x v="2"/>
    <s v="RALFF"/>
    <s v="CONGO"/>
    <s v="RALFF-CO2820"/>
    <s v="4.6"/>
    <m/>
  </r>
  <r>
    <d v="2021-12-15T00:00:00"/>
    <s v="Achat credit  teléphonique Airtel/PALF/Deuxieme partie Décembre  2021/Management"/>
    <x v="14"/>
    <s v="Management"/>
    <m/>
    <n v="5000"/>
    <n v="18188125"/>
    <x v="1"/>
    <s v="Oui"/>
    <x v="2"/>
    <s v="RALFF"/>
    <s v="CONGO"/>
    <s v="RALFF-CO2821"/>
    <s v="4.6"/>
    <m/>
  </r>
  <r>
    <d v="2021-12-15T00:00:00"/>
    <s v="Achat credit  teléphonique Airtel/PALF/Deuxieme partie Décembre  2021/Legal"/>
    <x v="14"/>
    <s v="Legal"/>
    <m/>
    <n v="5000"/>
    <n v="18183125"/>
    <x v="1"/>
    <s v="Oui"/>
    <x v="2"/>
    <s v="RALFF"/>
    <s v="CONGO"/>
    <s v="RALFF-CO2822"/>
    <s v="4.6"/>
    <m/>
  </r>
  <r>
    <d v="2021-12-15T00:00:00"/>
    <s v="Achat credit  teléphonique Airtel/PALF/Deuxieme partie Décembre  2021/Investigation"/>
    <x v="14"/>
    <s v="Investigation"/>
    <m/>
    <n v="10000"/>
    <n v="18173125"/>
    <x v="1"/>
    <s v="Oui"/>
    <x v="2"/>
    <s v="RALFF"/>
    <s v="CONGO"/>
    <s v="RALFF-CO2823"/>
    <s v="4.6"/>
    <m/>
  </r>
  <r>
    <d v="2021-12-15T00:00:00"/>
    <s v="P29"/>
    <x v="1"/>
    <m/>
    <m/>
    <n v="112000"/>
    <n v="18061125"/>
    <x v="1"/>
    <s v="Décharge"/>
    <x v="0"/>
    <m/>
    <s v="CONGO"/>
    <m/>
    <m/>
    <m/>
  </r>
  <r>
    <d v="2021-12-15T00:00:00"/>
    <s v="B52"/>
    <x v="1"/>
    <m/>
    <m/>
    <n v="89000"/>
    <n v="17972125"/>
    <x v="1"/>
    <s v="Décharge"/>
    <x v="0"/>
    <m/>
    <s v="CONGO"/>
    <m/>
    <m/>
    <m/>
  </r>
  <r>
    <d v="2021-12-15T00:00:00"/>
    <s v="Bonus Media Portant sur OP du 3,4, et 6 dec 21"/>
    <x v="7"/>
    <s v="Media"/>
    <m/>
    <n v="39000"/>
    <n v="17933125"/>
    <x v="1"/>
    <s v="Décharge"/>
    <x v="1"/>
    <s v="PALF"/>
    <s v="CONGO"/>
    <m/>
    <m/>
    <m/>
  </r>
  <r>
    <d v="2021-12-15T00:00:00"/>
    <s v="Frais de Transfert Charden Farell et Maouene Express/B52 &amp; P29"/>
    <x v="4"/>
    <s v="Office"/>
    <m/>
    <n v="5470"/>
    <n v="17927655"/>
    <x v="1"/>
    <s v="Oui"/>
    <x v="2"/>
    <s v="RALFF"/>
    <s v="CONGO"/>
    <s v="RALFF-CO2824"/>
    <s v="5.6"/>
    <m/>
  </r>
  <r>
    <d v="2021-12-15T00:00:00"/>
    <s v="B52 - CONGO Frais d'hôtel deux nuitées du 13au15/12/2022 à djambala"/>
    <x v="6"/>
    <s v="Investigation"/>
    <m/>
    <n v="30000"/>
    <n v="17897655"/>
    <x v="4"/>
    <s v="Oui"/>
    <x v="1"/>
    <s v="PALF"/>
    <s v="CONGO"/>
    <m/>
    <m/>
    <m/>
  </r>
  <r>
    <d v="2021-12-15T00:00:00"/>
    <s v="Reçu de caisse"/>
    <x v="1"/>
    <m/>
    <n v="62000"/>
    <m/>
    <n v="17959655"/>
    <x v="5"/>
    <s v="Décharge"/>
    <x v="0"/>
    <m/>
    <s v="CONGO"/>
    <m/>
    <m/>
    <m/>
  </r>
  <r>
    <d v="2021-12-15T00:00:00"/>
    <s v="Billet: Pointe Noire-Brazzaville/Crépin"/>
    <x v="5"/>
    <s v="Legal"/>
    <m/>
    <n v="15000"/>
    <n v="17944655"/>
    <x v="5"/>
    <s v="Oui"/>
    <x v="2"/>
    <s v="RALFF"/>
    <s v="CONGO"/>
    <s v="RALFF-CO2825"/>
    <s v="2.2"/>
    <m/>
  </r>
  <r>
    <d v="2021-12-15T00:00:00"/>
    <s v="I23C - CONGO Food allowance mission Dolisie-Pointe Noire du 15 au 23 décembre 2021"/>
    <x v="6"/>
    <s v="Investigation"/>
    <m/>
    <n v="80000"/>
    <n v="17864655"/>
    <x v="6"/>
    <s v="Décharge"/>
    <x v="2"/>
    <s v="RALFF"/>
    <s v="CONGO"/>
    <s v="RALFF-CO2826"/>
    <s v="1.3.2"/>
    <m/>
  </r>
  <r>
    <d v="2021-12-15T00:00:00"/>
    <s v="Recu de caisse "/>
    <x v="1"/>
    <m/>
    <n v="112000"/>
    <m/>
    <n v="17976655"/>
    <x v="8"/>
    <s v="Décharge"/>
    <x v="0"/>
    <m/>
    <s v="CONGO"/>
    <m/>
    <m/>
    <m/>
  </r>
  <r>
    <d v="2021-12-16T00:00:00"/>
    <s v="Frais de Location Voiture/01 jour /OP Madingou du 15 au 16/12/21"/>
    <x v="5"/>
    <s v="Operation"/>
    <m/>
    <n v="200000"/>
    <n v="17776655"/>
    <x v="1"/>
    <s v="Oui"/>
    <x v="1"/>
    <s v="PALF"/>
    <s v="CONGO"/>
    <m/>
    <m/>
    <m/>
  </r>
  <r>
    <d v="2021-12-16T00:00:00"/>
    <s v="Axel"/>
    <x v="1"/>
    <m/>
    <m/>
    <n v="375000"/>
    <n v="17401655"/>
    <x v="1"/>
    <s v="Décharge"/>
    <x v="0"/>
    <m/>
    <s v="CONGO"/>
    <m/>
    <m/>
    <m/>
  </r>
  <r>
    <d v="2021-12-16T00:00:00"/>
    <s v="Frais de Transfert Charden Farell /Axel"/>
    <x v="4"/>
    <s v="Office"/>
    <m/>
    <n v="11250"/>
    <n v="17390405"/>
    <x v="1"/>
    <s v="Oui"/>
    <x v="2"/>
    <s v="RALFF"/>
    <s v="CONGO"/>
    <s v="RALFF-CO2827"/>
    <s v="5.6"/>
    <m/>
  </r>
  <r>
    <d v="2021-12-16T00:00:00"/>
    <s v="Achat Crédit Télephonique/tiffany Roaming"/>
    <x v="14"/>
    <s v="Management"/>
    <m/>
    <n v="30000"/>
    <n v="17360405"/>
    <x v="1"/>
    <s v="Oui"/>
    <x v="2"/>
    <s v="RALFF"/>
    <s v="CONGO"/>
    <s v="RALFF-CO2828"/>
    <s v="4.6"/>
    <m/>
  </r>
  <r>
    <d v="2021-12-16T00:00:00"/>
    <s v="Tiffany"/>
    <x v="1"/>
    <m/>
    <m/>
    <n v="100000"/>
    <n v="17260405"/>
    <x v="1"/>
    <s v="Décharge"/>
    <x v="0"/>
    <m/>
    <s v="CONGO"/>
    <m/>
    <m/>
    <m/>
  </r>
  <r>
    <d v="2021-12-16T00:00:00"/>
    <s v="Grace"/>
    <x v="1"/>
    <m/>
    <m/>
    <n v="25000"/>
    <n v="17235405"/>
    <x v="1"/>
    <s v="Décharge"/>
    <x v="0"/>
    <m/>
    <s v="CONGO"/>
    <m/>
    <m/>
    <m/>
  </r>
  <r>
    <d v="2021-12-16T00:00:00"/>
    <s v="Acompte Honoraire Contrat N°40 / Me Hélène /Cas Jonas, Hassan et Valentin"/>
    <x v="16"/>
    <s v="Legal"/>
    <m/>
    <n v="200000"/>
    <n v="17035405"/>
    <x v="3"/>
    <n v="3643582"/>
    <x v="2"/>
    <s v="RALFF"/>
    <s v="CONGO"/>
    <s v="RALFF-CO2829"/>
    <s v="5.2.2"/>
    <m/>
  </r>
  <r>
    <d v="2021-12-16T00:00:00"/>
    <s v="Reçu Caisse"/>
    <x v="1"/>
    <m/>
    <n v="89000"/>
    <m/>
    <n v="17124405"/>
    <x v="4"/>
    <s v="Décharge"/>
    <x v="0"/>
    <m/>
    <s v="CONGO"/>
    <m/>
    <m/>
    <m/>
  </r>
  <r>
    <d v="2021-12-16T00:00:00"/>
    <s v="CREPIN IBOUILI - CONGO - 08 Nuitées à Pointe-Noire, du 08 au 16/12/2021 à Pointe Noire"/>
    <x v="6"/>
    <s v="Management"/>
    <m/>
    <n v="120000"/>
    <n v="17004405"/>
    <x v="5"/>
    <s v="Oui"/>
    <x v="2"/>
    <s v="RALFF"/>
    <s v="CONGO"/>
    <s v="RALFF-CO2830"/>
    <s v="1.3.2"/>
    <m/>
  </r>
  <r>
    <d v="2021-12-16T00:00:00"/>
    <s v="Cumul frais Transport Local mois de Décembre 2021/Tiffany"/>
    <x v="5"/>
    <s v="Management"/>
    <m/>
    <n v="47700"/>
    <n v="16956705"/>
    <x v="12"/>
    <s v="Décharge"/>
    <x v="2"/>
    <s v="RALFF"/>
    <s v="CONGO"/>
    <s v="RALFF-CO2831"/>
    <s v="2.2"/>
    <m/>
  </r>
  <r>
    <d v="2021-12-16T00:00:00"/>
    <s v="Reçu Caisse/ Tiffany"/>
    <x v="11"/>
    <m/>
    <n v="100000"/>
    <m/>
    <n v="17056705"/>
    <x v="12"/>
    <s v="Décharge"/>
    <x v="0"/>
    <m/>
    <s v="CONGO"/>
    <m/>
    <m/>
    <m/>
  </r>
  <r>
    <d v="2021-12-16T00:00:00"/>
    <s v="P29 - CONGO  Paiement 2 nuitées du 14 au 16/12/2021 Makabana"/>
    <x v="6"/>
    <s v="Investigation"/>
    <m/>
    <n v="30000"/>
    <n v="17026705"/>
    <x v="8"/>
    <s v="Oui"/>
    <x v="2"/>
    <s v="RALFF"/>
    <s v="CONGO"/>
    <s v="RALFF-CO2832"/>
    <s v="1.3.2"/>
    <m/>
  </r>
  <r>
    <d v="2021-12-16T00:00:00"/>
    <s v="Achat billet makabana-dolisie/P29"/>
    <x v="5"/>
    <s v="Investigation"/>
    <m/>
    <n v="8000"/>
    <n v="17018705"/>
    <x v="8"/>
    <s v="Oui"/>
    <x v="2"/>
    <s v="RALFF"/>
    <s v="CONGO"/>
    <s v="RALFF-CO2833"/>
    <s v="2.2"/>
    <m/>
  </r>
  <r>
    <d v="2021-12-16T00:00:00"/>
    <s v="Reçu Caisse"/>
    <x v="1"/>
    <m/>
    <n v="25000"/>
    <m/>
    <n v="17043705"/>
    <x v="10"/>
    <s v="Décharge"/>
    <x v="0"/>
    <m/>
    <s v="CONGO"/>
    <m/>
    <m/>
    <m/>
  </r>
  <r>
    <d v="2021-12-16T00:00:00"/>
    <s v="Frais d'hotel/14 au 16 déc 2021/3 Autorités"/>
    <x v="6"/>
    <s v="Legal"/>
    <m/>
    <n v="90000"/>
    <n v="16953705"/>
    <x v="11"/>
    <s v="Oui"/>
    <x v="1"/>
    <s v="PALF"/>
    <s v="CONGO"/>
    <m/>
    <m/>
    <m/>
  </r>
  <r>
    <d v="2021-12-16T00:00:00"/>
    <s v="GODFRE - CONGO Frais d'hotel/14 au 16 déc 2021 à Madingou /Godfré"/>
    <x v="6"/>
    <s v="Legal"/>
    <m/>
    <n v="30000"/>
    <n v="16923705"/>
    <x v="11"/>
    <s v="Oui"/>
    <x v="2"/>
    <s v="RALFF"/>
    <s v="CONGO"/>
    <s v="RALFF-CO2834"/>
    <s v="1.3.2"/>
    <m/>
  </r>
  <r>
    <d v="2021-12-16T00:00:00"/>
    <s v="AXEL - CONGO Frais d'hotel/14 au 16 déc 2021 à Madingou /Axel"/>
    <x v="6"/>
    <s v="Legal"/>
    <m/>
    <n v="30000"/>
    <n v="16893705"/>
    <x v="11"/>
    <s v="Oui"/>
    <x v="1"/>
    <s v="PALF"/>
    <s v="CONGO"/>
    <m/>
    <m/>
    <m/>
  </r>
  <r>
    <d v="2021-12-16T00:00:00"/>
    <s v="Transfert caisse/mission Madingou"/>
    <x v="1"/>
    <m/>
    <n v="375000"/>
    <m/>
    <n v="17268705"/>
    <x v="11"/>
    <s v="Décharge"/>
    <x v="0"/>
    <m/>
    <s v="CONGO"/>
    <m/>
    <m/>
    <m/>
  </r>
  <r>
    <d v="2021-12-16T00:00:00"/>
    <s v="Bonus Autorités intervention gendarmerie Madingou"/>
    <x v="7"/>
    <s v="Operation"/>
    <m/>
    <n v="100000"/>
    <n v="17168705"/>
    <x v="11"/>
    <s v="Décharge"/>
    <x v="1"/>
    <s v="PALF"/>
    <s v="CONGO"/>
    <m/>
    <m/>
    <m/>
  </r>
  <r>
    <d v="2021-12-16T00:00:00"/>
    <s v="Achat carburant BJ gendarmerie Madingou"/>
    <x v="5"/>
    <s v="Operation"/>
    <m/>
    <n v="25000"/>
    <n v="17143705"/>
    <x v="11"/>
    <s v="Oui"/>
    <x v="1"/>
    <s v="PALF"/>
    <s v="CONGO"/>
    <m/>
    <m/>
    <m/>
  </r>
  <r>
    <d v="2021-12-16T00:00:00"/>
    <s v="Retour Caisse /Axel"/>
    <x v="1"/>
    <m/>
    <m/>
    <n v="145357"/>
    <n v="16998348"/>
    <x v="11"/>
    <s v="Décharge"/>
    <x v="0"/>
    <m/>
    <s v="CONGO"/>
    <m/>
    <m/>
    <m/>
  </r>
  <r>
    <d v="2021-12-17T00:00:00"/>
    <s v="Retour Caisse Axel"/>
    <x v="1"/>
    <m/>
    <n v="145357"/>
    <m/>
    <n v="17143705"/>
    <x v="1"/>
    <s v="Décharge"/>
    <x v="0"/>
    <m/>
    <s v="CONGO"/>
    <m/>
    <m/>
    <m/>
  </r>
  <r>
    <d v="2021-12-17T00:00:00"/>
    <s v="Bonus Operation Madingou /Axel"/>
    <x v="7"/>
    <s v="Operation"/>
    <m/>
    <n v="30000"/>
    <n v="17113705"/>
    <x v="1"/>
    <s v="Décharge"/>
    <x v="1"/>
    <s v="PALF"/>
    <s v="CONGO"/>
    <m/>
    <m/>
    <m/>
  </r>
  <r>
    <d v="2021-12-17T00:00:00"/>
    <s v="Bonus Operation Brazzaville et Madingou /Godfre"/>
    <x v="7"/>
    <s v="Operation"/>
    <m/>
    <n v="40000"/>
    <n v="17073705"/>
    <x v="1"/>
    <s v="Décharge"/>
    <x v="1"/>
    <s v="PALF"/>
    <s v="CONGO"/>
    <m/>
    <m/>
    <m/>
  </r>
  <r>
    <d v="2021-12-17T00:00:00"/>
    <s v="Bonus Operation 1 et 2 Pointe Noire/Crepin"/>
    <x v="7"/>
    <s v="Operation"/>
    <m/>
    <n v="50000"/>
    <n v="17023705"/>
    <x v="1"/>
    <s v="Décharge"/>
    <x v="1"/>
    <s v="PALF"/>
    <s v="CONGO"/>
    <m/>
    <m/>
    <m/>
  </r>
  <r>
    <d v="2021-12-17T00:00:00"/>
    <s v="Bonus Operation Brazzaville /Grace"/>
    <x v="7"/>
    <s v="Operation"/>
    <m/>
    <n v="30000"/>
    <n v="16993705"/>
    <x v="1"/>
    <s v="Décharge"/>
    <x v="1"/>
    <s v="PALF"/>
    <s v="CONGO"/>
    <m/>
    <m/>
    <m/>
  </r>
  <r>
    <d v="2021-12-17T00:00:00"/>
    <s v="Godfre"/>
    <x v="1"/>
    <m/>
    <m/>
    <n v="15000"/>
    <n v="16978705"/>
    <x v="1"/>
    <s v="Décharge"/>
    <x v="0"/>
    <m/>
    <s v="CONGO"/>
    <m/>
    <m/>
    <m/>
  </r>
  <r>
    <d v="2021-12-17T00:00:00"/>
    <s v="Appro Caisse/BCI-56"/>
    <x v="1"/>
    <m/>
    <n v="2000000"/>
    <m/>
    <n v="18978705"/>
    <x v="1"/>
    <s v="Décharge"/>
    <x v="0"/>
    <m/>
    <s v="CONGO"/>
    <m/>
    <m/>
    <m/>
  </r>
  <r>
    <d v="2021-12-17T00:00:00"/>
    <s v="I23c"/>
    <x v="1"/>
    <m/>
    <m/>
    <n v="107000"/>
    <n v="18871705"/>
    <x v="1"/>
    <s v="Décharge"/>
    <x v="0"/>
    <m/>
    <s v="CONGO"/>
    <m/>
    <m/>
    <m/>
  </r>
  <r>
    <d v="2021-12-17T00:00:00"/>
    <s v="Frais de Transfert Charden Farell /I23C"/>
    <x v="4"/>
    <s v="Office"/>
    <m/>
    <n v="3210"/>
    <n v="18868495"/>
    <x v="1"/>
    <s v="Oui"/>
    <x v="2"/>
    <s v="RALFF"/>
    <s v="CONGO"/>
    <s v="RALFF-CO2835"/>
    <s v="5.6"/>
    <m/>
  </r>
  <r>
    <d v="2021-12-17T00:00:00"/>
    <s v="Retrait especes/appro caisse/bord n°3643583"/>
    <x v="1"/>
    <m/>
    <m/>
    <n v="2000000"/>
    <n v="16868495"/>
    <x v="3"/>
    <n v="3643583"/>
    <x v="0"/>
    <m/>
    <s v="CONGO"/>
    <m/>
    <m/>
    <m/>
  </r>
  <r>
    <d v="2021-12-17T00:00:00"/>
    <s v="Reçu Caisse"/>
    <x v="1"/>
    <m/>
    <n v="15000"/>
    <m/>
    <n v="16883495"/>
    <x v="7"/>
    <s v="Décharge"/>
    <x v="0"/>
    <m/>
    <s v="CONGO"/>
    <m/>
    <m/>
    <m/>
  </r>
  <r>
    <d v="2021-12-17T00:00:00"/>
    <s v="B52 - CONGO Frais d'hôtel  deux nuitées du 15au17/12/2022 à lekana"/>
    <x v="6"/>
    <s v="Investigation"/>
    <m/>
    <n v="30000"/>
    <n v="16853495"/>
    <x v="4"/>
    <s v="Oui"/>
    <x v="1"/>
    <s v="PALF"/>
    <s v="CONGO"/>
    <m/>
    <m/>
    <m/>
  </r>
  <r>
    <d v="2021-12-17T00:00:00"/>
    <s v="Taxi: djambala-Ngo/B52"/>
    <x v="5"/>
    <s v="Investigation"/>
    <m/>
    <n v="4000"/>
    <n v="16849495"/>
    <x v="4"/>
    <s v="Oui"/>
    <x v="1"/>
    <s v="PALF"/>
    <s v="CONGO"/>
    <m/>
    <m/>
    <m/>
  </r>
  <r>
    <d v="2021-12-17T00:00:00"/>
    <s v="Réçu caisse"/>
    <x v="1"/>
    <m/>
    <n v="107000"/>
    <m/>
    <n v="16956495"/>
    <x v="6"/>
    <s v="Décharge"/>
    <x v="0"/>
    <m/>
    <s v="CONGO"/>
    <m/>
    <m/>
    <m/>
  </r>
  <r>
    <d v="2021-12-17T00:00:00"/>
    <s v="Achat billet Dolisie-mila mila-Dolisie (Aller/Retour)/P29"/>
    <x v="5"/>
    <s v="Investigation"/>
    <m/>
    <n v="10000"/>
    <n v="16946495"/>
    <x v="8"/>
    <s v="Oui"/>
    <x v="2"/>
    <s v="RALFF"/>
    <s v="CONGO"/>
    <s v="RALFF-CO2836"/>
    <s v="2.2"/>
    <m/>
  </r>
  <r>
    <d v="2021-12-18T00:00:00"/>
    <s v="Crepin"/>
    <x v="1"/>
    <m/>
    <m/>
    <n v="50000"/>
    <n v="16896495"/>
    <x v="1"/>
    <s v="Décharge"/>
    <x v="0"/>
    <m/>
    <s v="CONGO"/>
    <m/>
    <m/>
    <m/>
  </r>
  <r>
    <d v="2021-12-18T00:00:00"/>
    <s v="Godfre"/>
    <x v="1"/>
    <m/>
    <m/>
    <n v="200000"/>
    <n v="16696495"/>
    <x v="1"/>
    <s v="Décharge"/>
    <x v="0"/>
    <m/>
    <s v="CONGO"/>
    <m/>
    <m/>
    <m/>
  </r>
  <r>
    <d v="2021-12-18T00:00:00"/>
    <s v="I23c/Transfert Credit Michel/Capitaine"/>
    <x v="12"/>
    <s v="Investigation"/>
    <m/>
    <n v="14000"/>
    <n v="16682495"/>
    <x v="1"/>
    <s v="Décharge"/>
    <x v="1"/>
    <s v="PALF"/>
    <s v="CONGO"/>
    <m/>
    <m/>
    <m/>
  </r>
  <r>
    <d v="2021-12-18T00:00:00"/>
    <s v="Bonus Autorités /OP Madingou Interpellation du 7ieme cible"/>
    <x v="7"/>
    <s v="Operation"/>
    <m/>
    <n v="30000"/>
    <n v="16652495"/>
    <x v="1"/>
    <s v="Décharge"/>
    <x v="1"/>
    <s v="PALF"/>
    <s v="CONGO"/>
    <m/>
    <m/>
    <m/>
  </r>
  <r>
    <d v="2021-12-18T00:00:00"/>
    <s v="Raçu Caisse"/>
    <x v="1"/>
    <m/>
    <n v="200000"/>
    <m/>
    <n v="16852495"/>
    <x v="7"/>
    <s v="Décharge"/>
    <x v="0"/>
    <m/>
    <s v="CONGO"/>
    <m/>
    <m/>
    <m/>
  </r>
  <r>
    <d v="2021-12-18T00:00:00"/>
    <s v="Reçu de caisse/Pour OP"/>
    <x v="1"/>
    <m/>
    <n v="50000"/>
    <m/>
    <n v="16902495"/>
    <x v="5"/>
    <s v="Décharge"/>
    <x v="0"/>
    <m/>
    <s v="CONGO"/>
    <m/>
    <m/>
    <m/>
  </r>
  <r>
    <d v="2021-12-18T00:00:00"/>
    <s v="Achat Carburant BJ/OP "/>
    <x v="5"/>
    <s v="Operation"/>
    <m/>
    <n v="25000"/>
    <n v="16877495"/>
    <x v="5"/>
    <s v="Oui"/>
    <x v="1"/>
    <s v="PALF"/>
    <s v="CONGO"/>
    <m/>
    <m/>
    <m/>
  </r>
  <r>
    <d v="2021-12-18T00:00:00"/>
    <s v="I23C - CONGO Paiement hôtel 3 nuitées du 15 au 18 décembre 2021/Dolisie"/>
    <x v="6"/>
    <s v="Investigation"/>
    <m/>
    <n v="45000"/>
    <n v="16832495"/>
    <x v="6"/>
    <s v="Oui"/>
    <x v="2"/>
    <s v="RALFF"/>
    <s v="CONGO"/>
    <s v="RALFF-CO2837"/>
    <s v="1.3.2"/>
    <m/>
  </r>
  <r>
    <d v="2021-12-18T00:00:00"/>
    <s v="Achat billet Dolisie-Pointe-Noire (suite investigation à PN)/I23C"/>
    <x v="5"/>
    <s v="Investigation"/>
    <m/>
    <n v="5000"/>
    <n v="16827495"/>
    <x v="6"/>
    <s v="Oui"/>
    <x v="2"/>
    <s v="RALFF"/>
    <s v="CONGO"/>
    <s v="RALFF-CO2838"/>
    <s v="2.2"/>
    <m/>
  </r>
  <r>
    <d v="2021-12-18T00:00:00"/>
    <s v="P29 - CONGO Paiement 2 nuitées du 16 au 18/12/2021 /Dolisie"/>
    <x v="6"/>
    <s v="Investigation"/>
    <m/>
    <n v="30000"/>
    <n v="16797495"/>
    <x v="8"/>
    <s v="Oui"/>
    <x v="2"/>
    <s v="RALFF"/>
    <s v="CONGO"/>
    <s v="RALFF-CO2839"/>
    <s v="1.3.2"/>
    <m/>
  </r>
  <r>
    <d v="2021-12-18T00:00:00"/>
    <s v="Achat billet dolisie-mouyondzi/P29"/>
    <x v="5"/>
    <s v="Investigation"/>
    <m/>
    <n v="7000"/>
    <n v="16790495"/>
    <x v="8"/>
    <s v="Oui"/>
    <x v="2"/>
    <s v="RALFF"/>
    <s v="CONGO"/>
    <s v="RALFF-CO2840"/>
    <s v="2.2"/>
    <m/>
  </r>
  <r>
    <d v="2021-12-19T00:00:00"/>
    <s v="B52 - CONGO Frais d'hôtel deux nuitées du 17au19/12/2022 à Ngo"/>
    <x v="6"/>
    <s v="Investigation"/>
    <m/>
    <n v="30000"/>
    <n v="16760495"/>
    <x v="4"/>
    <s v="Oui"/>
    <x v="1"/>
    <s v="PALF"/>
    <s v="CONGO"/>
    <m/>
    <m/>
    <m/>
  </r>
  <r>
    <d v="2021-12-20T00:00:00"/>
    <s v="Achat crédit téléphonique Tiffany/Roaming"/>
    <x v="14"/>
    <s v="Office"/>
    <m/>
    <n v="30000"/>
    <n v="16730495"/>
    <x v="1"/>
    <s v="Oui"/>
    <x v="2"/>
    <s v="RALFF"/>
    <s v="CONGO"/>
    <s v="RALFF-CO2841"/>
    <s v="4.6"/>
    <m/>
  </r>
  <r>
    <d v="2021-12-20T00:00:00"/>
    <s v="Evariste"/>
    <x v="1"/>
    <m/>
    <m/>
    <n v="20000"/>
    <n v="16710495"/>
    <x v="1"/>
    <s v="Décharge"/>
    <x v="0"/>
    <m/>
    <s v="CONGO"/>
    <m/>
    <m/>
    <m/>
  </r>
  <r>
    <d v="2021-12-20T00:00:00"/>
    <s v="Entretien Espace vert (Jardin Bureau PALF)"/>
    <x v="13"/>
    <s v="Office"/>
    <m/>
    <n v="12000"/>
    <n v="16698495"/>
    <x v="1"/>
    <s v="Oui"/>
    <x v="1"/>
    <s v="PALF"/>
    <s v="CONGO"/>
    <m/>
    <m/>
    <m/>
  </r>
  <r>
    <d v="2021-12-20T00:00:00"/>
    <s v="Solde Honoraire Contrat N°35/du 28/06/2021/Me Helène/ NTABA Barthélémy et OBENE Meldas"/>
    <x v="16"/>
    <s v="Legal"/>
    <m/>
    <n v="300000"/>
    <n v="16398495"/>
    <x v="3"/>
    <n v="3643584"/>
    <x v="2"/>
    <s v="RALFF"/>
    <s v="CONGO"/>
    <s v="RALFF-CO2842"/>
    <s v="5.2.2"/>
    <m/>
  </r>
  <r>
    <d v="2021-12-20T00:00:00"/>
    <s v="Frais de consultation ( Eric MALONGA)"/>
    <x v="15"/>
    <s v="Legal"/>
    <m/>
    <n v="30000"/>
    <n v="16368495"/>
    <x v="7"/>
    <s v="Oui"/>
    <x v="1"/>
    <s v="PALF"/>
    <s v="CONGO"/>
    <m/>
    <m/>
    <m/>
  </r>
  <r>
    <d v="2021-12-20T00:00:00"/>
    <s v="Achat produits pharmaceutiques d'un détenu (Eric MALONGA)"/>
    <x v="15"/>
    <s v="Legal"/>
    <m/>
    <n v="7615"/>
    <n v="16360880"/>
    <x v="7"/>
    <s v="Oui"/>
    <x v="1"/>
    <s v="PALF"/>
    <s v="CONGO"/>
    <m/>
    <m/>
    <m/>
  </r>
  <r>
    <d v="2021-12-20T00:00:00"/>
    <s v="I23C - CONGO Paiement Hôtel 2 nuitées du 18 au 20 décembre 2021/Pointe Noire"/>
    <x v="6"/>
    <s v="Investigation"/>
    <m/>
    <n v="30000"/>
    <n v="16330880"/>
    <x v="6"/>
    <s v="Oui"/>
    <x v="2"/>
    <s v="RALFF"/>
    <s v="CONGO"/>
    <s v="RALFF-CO2843"/>
    <s v="1.3.2"/>
    <m/>
  </r>
  <r>
    <d v="2021-12-20T00:00:00"/>
    <s v="Achat billet PN-Saras (départ pour les SARAS)/I23C"/>
    <x v="5"/>
    <s v="Investigation"/>
    <m/>
    <n v="5000"/>
    <n v="16325880"/>
    <x v="6"/>
    <s v="Oui"/>
    <x v="2"/>
    <s v="RALFF"/>
    <s v="CONGO"/>
    <s v="RALFF-CO2844"/>
    <s v="2.2"/>
    <m/>
  </r>
  <r>
    <d v="2021-12-20T00:00:00"/>
    <s v="Taxi SARAS-Dolisie (départ pour Dolisie)/I23C"/>
    <x v="5"/>
    <s v="Investigation"/>
    <m/>
    <n v="5000"/>
    <n v="16320880"/>
    <x v="6"/>
    <s v="Oui"/>
    <x v="2"/>
    <s v="RALFF"/>
    <s v="CONGO"/>
    <s v="RALFF-CO2845"/>
    <s v="2.2"/>
    <m/>
  </r>
  <r>
    <d v="2021-12-20T00:00:00"/>
    <s v="Reçu de la caisse"/>
    <x v="1"/>
    <m/>
    <n v="20000"/>
    <m/>
    <n v="16340880"/>
    <x v="9"/>
    <s v="Décharge"/>
    <x v="0"/>
    <m/>
    <s v="CONGO"/>
    <m/>
    <m/>
    <m/>
  </r>
  <r>
    <d v="2021-12-20T00:00:00"/>
    <s v="Achat billet Mouyondzi-dolisie/P29"/>
    <x v="5"/>
    <s v="Investigation"/>
    <m/>
    <n v="7000"/>
    <n v="16333880"/>
    <x v="8"/>
    <s v="Oui"/>
    <x v="2"/>
    <s v="RALFF"/>
    <s v="CONGO"/>
    <s v="RALFF-CO2846"/>
    <s v="2.2"/>
    <m/>
  </r>
  <r>
    <d v="2021-12-20T00:00:00"/>
    <s v="P29 - CONGO Paiement 2 nuitées du 18 au 20/12/2021/ Mouyondzi"/>
    <x v="6"/>
    <s v="Investigation"/>
    <m/>
    <n v="30000"/>
    <n v="16303880"/>
    <x v="8"/>
    <s v="Oui"/>
    <x v="2"/>
    <s v="RALFF"/>
    <s v="CONGO"/>
    <s v="RALFF-CO2847"/>
    <s v="1.3.2"/>
    <m/>
  </r>
  <r>
    <d v="2021-12-20T00:00:00"/>
    <s v="Cumul frais de ration journalière du mois de Décembre 2021/Axel"/>
    <x v="6"/>
    <s v="Legal"/>
    <m/>
    <n v="11000"/>
    <n v="16292880"/>
    <x v="11"/>
    <s v="Décharge"/>
    <x v="1"/>
    <s v="PALF"/>
    <s v="CONGO"/>
    <m/>
    <m/>
    <m/>
  </r>
  <r>
    <d v="2021-12-20T00:00:00"/>
    <s v="Cumul frais de Transport local du mois de Décembre 2021/Axel"/>
    <x v="5"/>
    <s v="Legal"/>
    <m/>
    <n v="83100"/>
    <n v="16209780"/>
    <x v="11"/>
    <s v="Décharge"/>
    <x v="1"/>
    <s v="PALF"/>
    <s v="CONGO"/>
    <m/>
    <m/>
    <m/>
  </r>
  <r>
    <d v="2021-12-21T00:00:00"/>
    <s v="Retour Caisse/Crépin"/>
    <x v="1"/>
    <m/>
    <n v="25000"/>
    <m/>
    <n v="16234780"/>
    <x v="1"/>
    <s v="Décharge"/>
    <x v="0"/>
    <m/>
    <s v="CONGO"/>
    <m/>
    <m/>
    <m/>
  </r>
  <r>
    <d v="2021-12-21T00:00:00"/>
    <s v="P29"/>
    <x v="1"/>
    <m/>
    <m/>
    <n v="90000"/>
    <n v="16144780"/>
    <x v="1"/>
    <s v="Décharge"/>
    <x v="0"/>
    <m/>
    <s v="CONGO"/>
    <m/>
    <m/>
    <m/>
  </r>
  <r>
    <d v="2021-12-21T00:00:00"/>
    <s v="Frais de transfert Charden Farell"/>
    <x v="4"/>
    <s v="Office"/>
    <m/>
    <n v="2700"/>
    <n v="16142080"/>
    <x v="1"/>
    <s v="Oui"/>
    <x v="2"/>
    <s v="RALFF"/>
    <s v="CONGO"/>
    <s v="RALFF-CO2848"/>
    <s v="5.6"/>
    <m/>
  </r>
  <r>
    <d v="2021-12-21T00:00:00"/>
    <s v="Grace"/>
    <x v="1"/>
    <m/>
    <m/>
    <n v="94000"/>
    <n v="16048080"/>
    <x v="1"/>
    <s v="Décharge"/>
    <x v="0"/>
    <m/>
    <s v="CONGO"/>
    <m/>
    <m/>
    <m/>
  </r>
  <r>
    <d v="2021-12-21T00:00:00"/>
    <s v="Grace/OP"/>
    <x v="1"/>
    <m/>
    <m/>
    <n v="683000"/>
    <n v="15365080"/>
    <x v="1"/>
    <s v="Décharge"/>
    <x v="0"/>
    <m/>
    <s v="CONGO"/>
    <m/>
    <m/>
    <m/>
  </r>
  <r>
    <d v="2021-12-21T00:00:00"/>
    <s v="Crepin"/>
    <x v="1"/>
    <m/>
    <m/>
    <n v="123000"/>
    <n v="15242080"/>
    <x v="1"/>
    <s v="Décharge"/>
    <x v="0"/>
    <m/>
    <s v="CONGO"/>
    <m/>
    <m/>
    <m/>
  </r>
  <r>
    <d v="2021-12-21T00:00:00"/>
    <s v="Godfre"/>
    <x v="1"/>
    <m/>
    <m/>
    <n v="98000"/>
    <n v="15144080"/>
    <x v="1"/>
    <s v="Décharge"/>
    <x v="0"/>
    <m/>
    <s v="CONGO"/>
    <m/>
    <m/>
    <m/>
  </r>
  <r>
    <d v="2021-12-21T00:00:00"/>
    <s v="Evariste"/>
    <x v="1"/>
    <m/>
    <m/>
    <n v="30000"/>
    <n v="15114080"/>
    <x v="1"/>
    <s v="Décharge"/>
    <x v="0"/>
    <m/>
    <s v="CONGO"/>
    <m/>
    <m/>
    <m/>
  </r>
  <r>
    <d v="2021-12-21T00:00:00"/>
    <s v="Bonus diffusion télé/Vox TV/DRTV/Tele Congo/"/>
    <x v="7"/>
    <s v="Media"/>
    <m/>
    <n v="245000"/>
    <n v="14869080"/>
    <x v="1"/>
    <s v="Décharge"/>
    <x v="1"/>
    <s v="PALF"/>
    <s v="CONGO"/>
    <m/>
    <m/>
    <m/>
  </r>
  <r>
    <d v="2021-12-21T00:00:00"/>
    <s v="Paiment Salaire Mois Décembre 2021/Crépin"/>
    <x v="2"/>
    <s v="Legal"/>
    <m/>
    <n v="357982"/>
    <n v="14511098"/>
    <x v="3"/>
    <n v="3643586"/>
    <x v="2"/>
    <s v="RALFF"/>
    <s v="CONGO"/>
    <s v="RALFF-CO2849"/>
    <s v="1.1.1.7"/>
    <m/>
  </r>
  <r>
    <d v="2021-12-21T00:00:00"/>
    <s v="Paiment Salaire Mois Décembre 2021/Grace"/>
    <x v="2"/>
    <s v="Management"/>
    <m/>
    <n v="350000"/>
    <n v="14161098"/>
    <x v="3"/>
    <n v="3643585"/>
    <x v="2"/>
    <s v="RALFF"/>
    <s v="CONGO"/>
    <s v="RALFF-CO2850"/>
    <s v="1.1.2.1"/>
    <m/>
  </r>
  <r>
    <d v="2021-12-21T00:00:00"/>
    <s v="Paiment Salaire Mois Décembre 2021/Godfré"/>
    <x v="2"/>
    <s v="Legal"/>
    <m/>
    <n v="193600"/>
    <n v="13967498"/>
    <x v="3"/>
    <n v="3643588"/>
    <x v="2"/>
    <s v="RALFF"/>
    <s v="CONGO"/>
    <s v="RALFF-CO2851"/>
    <s v="1.1.1.7"/>
    <m/>
  </r>
  <r>
    <d v="2021-12-21T00:00:00"/>
    <s v="Paiment Salaire Mois Décembre 2021/Evariste"/>
    <x v="2"/>
    <s v="Media"/>
    <m/>
    <n v="234309"/>
    <n v="13733189"/>
    <x v="3"/>
    <n v="3643587"/>
    <x v="2"/>
    <s v="RALFF"/>
    <s v="CONGO"/>
    <s v="RALFF-CO2852"/>
    <s v="1.1.1.4"/>
    <m/>
  </r>
  <r>
    <d v="2021-12-21T00:00:00"/>
    <s v="Reglement facture honoraire du mois Décembre 2021/I23C/chq n°3643576"/>
    <x v="2"/>
    <s v="Investigation"/>
    <m/>
    <n v="850000"/>
    <n v="12883189"/>
    <x v="3"/>
    <n v="3643589"/>
    <x v="2"/>
    <s v="RALFF"/>
    <s v="CONGO"/>
    <s v="RALFF-CO2853"/>
    <s v="1.1.1.9"/>
    <m/>
  </r>
  <r>
    <d v="2021-12-21T00:00:00"/>
    <s v="Reglement facture honoraire du mois Décembre 2021/P29/chq n°3643577"/>
    <x v="2"/>
    <s v="Investigation"/>
    <m/>
    <n v="395000"/>
    <n v="12488189"/>
    <x v="3"/>
    <n v="3643590"/>
    <x v="2"/>
    <s v="RALFF"/>
    <s v="CONGO"/>
    <s v="RALFF-CO2854"/>
    <s v="1.1.1.9"/>
    <m/>
  </r>
  <r>
    <d v="2021-12-21T00:00:00"/>
    <s v="Reçu caisse"/>
    <x v="1"/>
    <m/>
    <n v="98000"/>
    <m/>
    <n v="12586189"/>
    <x v="7"/>
    <s v="Décharge"/>
    <x v="0"/>
    <m/>
    <s v="CONGO"/>
    <m/>
    <m/>
    <m/>
  </r>
  <r>
    <d v="2021-12-21T00:00:00"/>
    <s v="Achat billet Brazzaville-Dolisie/Godfré"/>
    <x v="5"/>
    <s v="Legal"/>
    <m/>
    <n v="10000"/>
    <n v="12576189"/>
    <x v="7"/>
    <s v="Oui"/>
    <x v="2"/>
    <s v="RALFF"/>
    <s v="CONGO"/>
    <s v="RALFF-CO2855"/>
    <s v="2.2"/>
    <m/>
  </r>
  <r>
    <d v="2021-12-21T00:00:00"/>
    <s v="B52 - CONGO Frais d'hôtel deux nuitées du 19au21/12/2022 à inoni"/>
    <x v="6"/>
    <s v="Investigation"/>
    <m/>
    <n v="30000"/>
    <n v="12546189"/>
    <x v="4"/>
    <s v="Oui"/>
    <x v="1"/>
    <s v="PALF"/>
    <s v="CONGO"/>
    <m/>
    <m/>
    <m/>
  </r>
  <r>
    <d v="2021-12-21T00:00:00"/>
    <s v="Taxi bus: Inoni-Brazzaville/B52"/>
    <x v="5"/>
    <s v="Investigation"/>
    <m/>
    <n v="6000"/>
    <n v="12540189"/>
    <x v="4"/>
    <s v="Oui"/>
    <x v="1"/>
    <s v="PALF"/>
    <s v="CONGO"/>
    <m/>
    <m/>
    <m/>
  </r>
  <r>
    <d v="2021-12-21T00:00:00"/>
    <s v="Retour à la caisse"/>
    <x v="1"/>
    <m/>
    <m/>
    <n v="25000"/>
    <n v="12515189"/>
    <x v="5"/>
    <s v="Décharge"/>
    <x v="0"/>
    <m/>
    <s v="CONGO"/>
    <m/>
    <m/>
    <m/>
  </r>
  <r>
    <d v="2021-12-21T00:00:00"/>
    <s v="Reçu de caisse"/>
    <x v="1"/>
    <m/>
    <n v="123000"/>
    <m/>
    <n v="12638189"/>
    <x v="5"/>
    <s v="Décharge"/>
    <x v="0"/>
    <m/>
    <s v="CONGO"/>
    <m/>
    <m/>
    <m/>
  </r>
  <r>
    <d v="2021-12-21T00:00:00"/>
    <s v="Billet: Brazzaville-Dolisie/Crépin"/>
    <x v="5"/>
    <s v="Management"/>
    <m/>
    <n v="10000"/>
    <n v="12628189"/>
    <x v="5"/>
    <s v="Oui"/>
    <x v="2"/>
    <s v="RALFF"/>
    <s v="CONGO"/>
    <s v="RALFF-CO2856"/>
    <s v="2.2"/>
    <m/>
  </r>
  <r>
    <d v="2021-12-21T00:00:00"/>
    <s v="Recu de caisse"/>
    <x v="1"/>
    <m/>
    <n v="90000"/>
    <m/>
    <n v="12718189"/>
    <x v="8"/>
    <s v="Décharge"/>
    <x v="0"/>
    <m/>
    <s v="CONGO"/>
    <m/>
    <m/>
    <m/>
  </r>
  <r>
    <d v="2021-12-21T00:00:00"/>
    <s v="Reçu Caisse /Frais de Mission Dolisie"/>
    <x v="1"/>
    <m/>
    <n v="94000"/>
    <m/>
    <n v="12812189"/>
    <x v="10"/>
    <s v="Décharge"/>
    <x v="0"/>
    <m/>
    <s v="CONGO"/>
    <m/>
    <m/>
    <m/>
  </r>
  <r>
    <d v="2021-12-21T00:00:00"/>
    <s v="Reçu Ciasse/Frais Opération Dolisie"/>
    <x v="1"/>
    <m/>
    <n v="683000"/>
    <m/>
    <n v="13495189"/>
    <x v="10"/>
    <s v="Décharge"/>
    <x v="0"/>
    <m/>
    <s v="CONGO"/>
    <m/>
    <m/>
    <m/>
  </r>
  <r>
    <d v="2021-12-22T00:00:00"/>
    <s v="GODFRE - CONGO Food Allowance du 22 au 24/12/2021/Dolisie"/>
    <x v="6"/>
    <s v="Legal"/>
    <m/>
    <n v="20000"/>
    <n v="13475189"/>
    <x v="7"/>
    <s v="Décharge"/>
    <x v="2"/>
    <s v="RALFF"/>
    <s v="CONGO"/>
    <s v="RALFF-CO2857"/>
    <s v="1.3.2"/>
    <m/>
  </r>
  <r>
    <d v="2021-12-22T00:00:00"/>
    <s v="Frais Impression Document"/>
    <x v="3"/>
    <s v="Legal"/>
    <m/>
    <n v="400"/>
    <n v="13474789"/>
    <x v="7"/>
    <s v="Oui"/>
    <x v="1"/>
    <s v="PALF"/>
    <s v="CONGO"/>
    <m/>
    <m/>
    <m/>
  </r>
  <r>
    <d v="2021-12-22T00:00:00"/>
    <s v="CREPIN IBOUILI - CONGO -Food-Allowance du 22 au 31/12/2021 à Dolisie"/>
    <x v="6"/>
    <s v="Management"/>
    <m/>
    <n v="90000"/>
    <n v="13384789"/>
    <x v="5"/>
    <s v="Oui"/>
    <x v="2"/>
    <s v="RALFF"/>
    <s v="CONGO"/>
    <s v="RALFF-CO2858"/>
    <s v="1.3.2"/>
    <m/>
  </r>
  <r>
    <d v="2021-12-22T00:00:00"/>
    <s v="Réçu caisse"/>
    <x v="1"/>
    <m/>
    <n v="150000"/>
    <m/>
    <n v="13534789"/>
    <x v="6"/>
    <s v="Décharge"/>
    <x v="0"/>
    <m/>
    <s v="CONGO"/>
    <m/>
    <m/>
    <m/>
  </r>
  <r>
    <d v="2021-12-22T00:00:00"/>
    <s v="Frais d'Occupation Suite de P29 du 22 au 23 décembre 2021 (cfr OP) "/>
    <x v="6"/>
    <s v="Investigation"/>
    <m/>
    <n v="75000"/>
    <n v="13459789"/>
    <x v="6"/>
    <s v="Oui"/>
    <x v="1"/>
    <s v="PALF"/>
    <s v="CONGO"/>
    <m/>
    <m/>
    <m/>
  </r>
  <r>
    <d v="2021-12-22T00:00:00"/>
    <s v="Achat telephone Portable techno T313/Investigation"/>
    <x v="9"/>
    <s v="Investigation"/>
    <m/>
    <n v="20000"/>
    <n v="13439789"/>
    <x v="8"/>
    <s v="Oui"/>
    <x v="2"/>
    <s v="RALFF"/>
    <s v="CONGO"/>
    <s v="RALFF-CO2859"/>
    <s v="3.2"/>
    <m/>
  </r>
  <r>
    <d v="2021-12-22T00:00:00"/>
    <s v="P29 - CONGO Paiement 3 nuitées du 20 au 23/12/2021 /Dolisie"/>
    <x v="6"/>
    <s v="Investigation"/>
    <m/>
    <n v="45000"/>
    <n v="13394789"/>
    <x v="8"/>
    <s v="Oui"/>
    <x v="2"/>
    <s v="RALFF"/>
    <s v="CONGO"/>
    <s v="RALFF-CO2860"/>
    <s v="1.3.2"/>
    <m/>
  </r>
  <r>
    <d v="2021-12-22T00:00:00"/>
    <s v="Recu de grace "/>
    <x v="1"/>
    <m/>
    <n v="300000"/>
    <m/>
    <n v="13694789"/>
    <x v="8"/>
    <s v="Décharge"/>
    <x v="0"/>
    <m/>
    <s v="CONGO"/>
    <m/>
    <m/>
    <m/>
  </r>
  <r>
    <d v="2021-12-22T00:00:00"/>
    <s v="GRACE CONGO - Food Allowance Mission Dolisie du 22 au 24/12/2021"/>
    <x v="6"/>
    <s v="Management"/>
    <m/>
    <n v="20000"/>
    <n v="13674789"/>
    <x v="10"/>
    <s v="Décharge"/>
    <x v="2"/>
    <s v="RALFF"/>
    <s v="CONGO"/>
    <s v="RALFF-CO2861"/>
    <s v="1.3.2"/>
    <m/>
  </r>
  <r>
    <d v="2021-12-22T00:00:00"/>
    <s v="Achat Billet Aller Brazzaville-Dolisie/Grace"/>
    <x v="5"/>
    <s v="Management"/>
    <m/>
    <n v="10000"/>
    <n v="13664789"/>
    <x v="10"/>
    <s v="Oui"/>
    <x v="2"/>
    <s v="RALFF"/>
    <s v="CONGO"/>
    <s v="RALFF-CO2862"/>
    <s v="2.2"/>
    <m/>
  </r>
  <r>
    <d v="2021-12-22T00:00:00"/>
    <s v="Transfert P29/Flash Money"/>
    <x v="1"/>
    <m/>
    <m/>
    <n v="300000"/>
    <n v="13364789"/>
    <x v="10"/>
    <s v="Décharge"/>
    <x v="0"/>
    <m/>
    <s v="CONGO"/>
    <m/>
    <m/>
    <m/>
  </r>
  <r>
    <d v="2021-12-22T00:00:00"/>
    <s v="Transfert I23C/Frais d'Hotel Tarmac 02 nuités prévues"/>
    <x v="1"/>
    <m/>
    <m/>
    <n v="150000"/>
    <n v="13214789"/>
    <x v="10"/>
    <s v="Décharge"/>
    <x v="0"/>
    <m/>
    <s v="CONGO"/>
    <m/>
    <m/>
    <m/>
  </r>
  <r>
    <d v="2021-12-23T00:00:00"/>
    <s v="Achat boissons et sandwich pour 4 personnes"/>
    <x v="6"/>
    <s v="Operation"/>
    <m/>
    <n v="8000"/>
    <n v="13206789"/>
    <x v="7"/>
    <s v="Décharge"/>
    <x v="1"/>
    <s v="PALF"/>
    <s v="CONGO"/>
    <m/>
    <m/>
    <m/>
  </r>
  <r>
    <d v="2021-12-23T00:00:00"/>
    <s v="Cumul Frais de Jail Visits Mois Décembre 2021/Godfre"/>
    <x v="15"/>
    <s v="Legal"/>
    <m/>
    <n v="52000"/>
    <n v="13154789"/>
    <x v="7"/>
    <s v="Décharge"/>
    <x v="1"/>
    <s v="PALF"/>
    <s v="CONGO"/>
    <m/>
    <m/>
    <m/>
  </r>
  <r>
    <d v="2021-12-23T00:00:00"/>
    <s v="GODFRE - CONGO Frais d'hotel ( deux nuitées)/Dolisie"/>
    <x v="6"/>
    <s v="Legal"/>
    <m/>
    <n v="30000"/>
    <n v="13124789"/>
    <x v="7"/>
    <s v="Oui"/>
    <x v="2"/>
    <s v="RALFF"/>
    <s v="CONGO"/>
    <s v="RALFF-CO2863"/>
    <s v="1.3.2"/>
    <m/>
  </r>
  <r>
    <d v="2021-12-23T00:00:00"/>
    <s v="Reçu de P29, reste flash money"/>
    <x v="1"/>
    <m/>
    <n v="250000"/>
    <m/>
    <n v="13374789"/>
    <x v="5"/>
    <s v="Décharge"/>
    <x v="0"/>
    <m/>
    <s v="CONGO"/>
    <m/>
    <m/>
    <m/>
  </r>
  <r>
    <d v="2021-12-23T00:00:00"/>
    <s v="Bonus 15 gendarmes ayant participé à l'opération"/>
    <x v="7"/>
    <s v="Operation"/>
    <m/>
    <n v="150000"/>
    <n v="13224789"/>
    <x v="5"/>
    <s v="Oui"/>
    <x v="1"/>
    <s v="PALF"/>
    <s v="CONGO"/>
    <m/>
    <m/>
    <m/>
  </r>
  <r>
    <d v="2021-12-23T00:00:00"/>
    <s v="Reçu de Grace"/>
    <x v="1"/>
    <m/>
    <n v="8000"/>
    <m/>
    <n v="13232789"/>
    <x v="5"/>
    <s v="Décharge"/>
    <x v="0"/>
    <m/>
    <s v="CONGO"/>
    <m/>
    <m/>
    <m/>
  </r>
  <r>
    <d v="2021-12-23T00:00:00"/>
    <s v="Bonus 1 agent EF"/>
    <x v="7"/>
    <s v="Operation"/>
    <m/>
    <n v="10000"/>
    <n v="13222789"/>
    <x v="5"/>
    <s v="Oui"/>
    <x v="1"/>
    <s v="PALF"/>
    <s v="CONGO"/>
    <m/>
    <m/>
    <m/>
  </r>
  <r>
    <d v="2021-12-23T00:00:00"/>
    <s v="Raffraichissement pendant le positionnement avec 2 gendarmes en civil et 1 EF, deux boissons à chacun moyennant 1000 l'unité."/>
    <x v="6"/>
    <s v="Operation"/>
    <m/>
    <n v="8000"/>
    <n v="13214789"/>
    <x v="5"/>
    <s v="Décharge"/>
    <x v="1"/>
    <s v="PALF"/>
    <s v="CONGO"/>
    <m/>
    <m/>
    <m/>
  </r>
  <r>
    <d v="2021-12-23T00:00:00"/>
    <s v="Frais de consultation/Crepin"/>
    <x v="2"/>
    <s v="Team Bulding"/>
    <m/>
    <n v="5000"/>
    <n v="13209789"/>
    <x v="5"/>
    <s v="Oui"/>
    <x v="1"/>
    <s v="PALF"/>
    <s v="CONGO"/>
    <m/>
    <m/>
    <m/>
  </r>
  <r>
    <d v="2021-12-23T00:00:00"/>
    <s v="Frais achat produits pharmaceutiques pour la morsure"/>
    <x v="2"/>
    <s v="Team Bulding"/>
    <m/>
    <n v="6275"/>
    <n v="13203514"/>
    <x v="5"/>
    <s v="Oui"/>
    <x v="1"/>
    <s v="PALF"/>
    <s v="CONGO"/>
    <m/>
    <m/>
    <m/>
  </r>
  <r>
    <d v="2021-12-23T00:00:00"/>
    <s v="I23C - CONGO Paiement hôtel 3 nuitées du 20 au 23 Décembre 2021/Dolisie"/>
    <x v="6"/>
    <s v="Investigation"/>
    <m/>
    <n v="45000"/>
    <n v="13158514"/>
    <x v="6"/>
    <s v="Oui"/>
    <x v="2"/>
    <s v="RALFF"/>
    <s v="CONGO"/>
    <s v="RALFF-CO2864"/>
    <s v="1.3.2"/>
    <m/>
  </r>
  <r>
    <d v="2021-12-23T00:00:00"/>
    <s v="Taxi Privé Dolisie-Brazzaville (payement taxi extraction P29 et I23C)"/>
    <x v="5"/>
    <s v="Operation"/>
    <m/>
    <n v="70000"/>
    <n v="13088514"/>
    <x v="6"/>
    <s v="Oui"/>
    <x v="1"/>
    <s v="PALF"/>
    <s v="CONGO"/>
    <m/>
    <m/>
    <m/>
  </r>
  <r>
    <d v="2021-12-23T00:00:00"/>
    <s v="Remis à Crepin"/>
    <x v="1"/>
    <m/>
    <m/>
    <n v="250000"/>
    <n v="12838514"/>
    <x v="8"/>
    <s v="Décharge"/>
    <x v="0"/>
    <m/>
    <s v="CONGO"/>
    <m/>
    <m/>
    <m/>
  </r>
  <r>
    <d v="2021-12-23T00:00:00"/>
    <s v="Recu de grace "/>
    <x v="1"/>
    <m/>
    <n v="30000"/>
    <m/>
    <n v="12868514"/>
    <x v="8"/>
    <s v="Décharge"/>
    <x v="0"/>
    <m/>
    <s v="CONGO"/>
    <m/>
    <m/>
    <m/>
  </r>
  <r>
    <d v="2021-12-23T00:00:00"/>
    <s v="Cumul Frais de Trust Building du Mois Décembre 2021/P29"/>
    <x v="12"/>
    <s v="Investigation"/>
    <m/>
    <n v="146500"/>
    <n v="12722014"/>
    <x v="8"/>
    <s v="Oui"/>
    <x v="1"/>
    <s v="PALF"/>
    <s v="CONGO"/>
    <m/>
    <m/>
    <m/>
  </r>
  <r>
    <d v="2021-12-23T00:00:00"/>
    <s v="Achat Carburant BJ /Opération"/>
    <x v="5"/>
    <s v="Operation"/>
    <m/>
    <n v="25000"/>
    <n v="12697014"/>
    <x v="10"/>
    <s v="Oui"/>
    <x v="1"/>
    <s v="PALF"/>
    <s v="CONGO"/>
    <m/>
    <m/>
    <m/>
  </r>
  <r>
    <d v="2021-12-23T00:00:00"/>
    <s v="Achat jus pour Autorités/Raffraichissement"/>
    <x v="6"/>
    <s v="Operation"/>
    <m/>
    <n v="11700"/>
    <n v="12685314"/>
    <x v="10"/>
    <s v="Oui"/>
    <x v="1"/>
    <s v="PALF"/>
    <s v="CONGO"/>
    <m/>
    <m/>
    <m/>
  </r>
  <r>
    <d v="2021-12-23T00:00:00"/>
    <s v="Transfert P29/Trust Bulding"/>
    <x v="1"/>
    <m/>
    <m/>
    <n v="30000"/>
    <n v="12655314"/>
    <x v="10"/>
    <s v="Décharge"/>
    <x v="0"/>
    <m/>
    <s v="CONGO"/>
    <m/>
    <m/>
    <m/>
  </r>
  <r>
    <d v="2021-12-23T00:00:00"/>
    <s v="Transfert Crepin/Achat Papier Rames et Chemise Cartonnées"/>
    <x v="1"/>
    <m/>
    <m/>
    <n v="8000"/>
    <n v="12647314"/>
    <x v="10"/>
    <s v="Décharge"/>
    <x v="0"/>
    <m/>
    <s v="CONGO"/>
    <m/>
    <m/>
    <m/>
  </r>
  <r>
    <d v="2021-12-23T00:00:00"/>
    <s v="GRACE CONGO - Frais d'Hotel 02 nuitées Mision Dolisie du 22 au 24/12/2021"/>
    <x v="6"/>
    <s v="Management"/>
    <m/>
    <n v="30000"/>
    <n v="12617314"/>
    <x v="10"/>
    <s v="Oui"/>
    <x v="2"/>
    <s v="RALFF"/>
    <s v="CONGO"/>
    <s v="RALFF-CO2865"/>
    <s v="1.3.2"/>
    <m/>
  </r>
  <r>
    <d v="2021-12-24T00:00:00"/>
    <s v="Achat Billet Retour Dolisie-Brazzaville/Godfré"/>
    <x v="5"/>
    <s v="Legal"/>
    <m/>
    <n v="10000"/>
    <n v="12607314"/>
    <x v="7"/>
    <s v="Oui"/>
    <x v="2"/>
    <s v="RALFF"/>
    <s v="CONGO"/>
    <s v="RALFF-CO2866"/>
    <s v="2.2"/>
    <m/>
  </r>
  <r>
    <d v="2021-12-24T00:00:00"/>
    <s v="Frais pour les photos de la planche photographique"/>
    <x v="3"/>
    <s v="Legal"/>
    <m/>
    <n v="1800"/>
    <n v="12605514"/>
    <x v="5"/>
    <s v="Oui"/>
    <x v="1"/>
    <s v="PALF"/>
    <s v="CONGO"/>
    <m/>
    <m/>
    <m/>
  </r>
  <r>
    <d v="2021-12-24T00:00:00"/>
    <s v="Achat rames de papier et Chemise cartonnées aux fins de la procédure de la gendarmerie"/>
    <x v="3"/>
    <s v="Legal"/>
    <m/>
    <n v="7250"/>
    <n v="12598264"/>
    <x v="5"/>
    <s v="Oui"/>
    <x v="1"/>
    <s v="PALF"/>
    <s v="CONGO"/>
    <m/>
    <m/>
    <m/>
  </r>
  <r>
    <d v="2021-12-24T00:00:00"/>
    <s v="Achat Billet Retour Dolisie-Brazzaville/Grace"/>
    <x v="5"/>
    <s v="Management"/>
    <m/>
    <n v="10000"/>
    <n v="12588264"/>
    <x v="10"/>
    <s v="Oui"/>
    <x v="2"/>
    <s v="RALFF"/>
    <s v="CONGO"/>
    <s v="RALFF-CO2867"/>
    <s v="2.2"/>
    <m/>
  </r>
  <r>
    <d v="2021-12-27T00:00:00"/>
    <s v="Retour Caisse/Grace"/>
    <x v="1"/>
    <m/>
    <n v="170000"/>
    <m/>
    <n v="12758264"/>
    <x v="1"/>
    <s v="Décharge"/>
    <x v="0"/>
    <m/>
    <s v="CONGO"/>
    <m/>
    <m/>
    <m/>
  </r>
  <r>
    <d v="2021-12-27T00:00:00"/>
    <s v="Appro Caisse/BCI-56"/>
    <x v="1"/>
    <m/>
    <n v="2000000"/>
    <m/>
    <n v="14758264"/>
    <x v="1"/>
    <s v="Décharge"/>
    <x v="0"/>
    <m/>
    <s v="CONGO"/>
    <m/>
    <m/>
    <m/>
  </r>
  <r>
    <d v="2021-12-27T00:00:00"/>
    <s v="Bonus média/Radio Intenert/OP PNR et B/Ville Ossement"/>
    <x v="7"/>
    <s v="Media"/>
    <m/>
    <n v="29000"/>
    <n v="14729264"/>
    <x v="1"/>
    <s v="Décharge"/>
    <x v="1"/>
    <s v="PALF"/>
    <s v="CONGO"/>
    <m/>
    <m/>
    <m/>
  </r>
  <r>
    <d v="2021-12-27T00:00:00"/>
    <s v="Evariste"/>
    <x v="1"/>
    <m/>
    <m/>
    <n v="50000"/>
    <n v="14679264"/>
    <x v="1"/>
    <s v="Décharge"/>
    <x v="0"/>
    <m/>
    <s v="CONGO"/>
    <m/>
    <m/>
    <m/>
  </r>
  <r>
    <d v="2021-12-27T00:00:00"/>
    <s v="Bonus média/Télé/telecongo et Vox TV/ OP trafics d'Ivoir"/>
    <x v="7"/>
    <s v="Media"/>
    <m/>
    <n v="150000"/>
    <n v="14529264"/>
    <x v="1"/>
    <s v="Décharge"/>
    <x v="1"/>
    <s v="PALF"/>
    <s v="CONGO"/>
    <m/>
    <m/>
    <m/>
  </r>
  <r>
    <d v="2021-12-27T00:00:00"/>
    <s v="Evariste"/>
    <x v="1"/>
    <m/>
    <m/>
    <n v="20000"/>
    <n v="14509264"/>
    <x v="1"/>
    <s v="Décharge"/>
    <x v="0"/>
    <m/>
    <s v="CONGO"/>
    <m/>
    <m/>
    <m/>
  </r>
  <r>
    <d v="2021-12-27T00:00:00"/>
    <s v="Achat produit d'entretient/Bureau PALF"/>
    <x v="3"/>
    <s v="Office"/>
    <m/>
    <n v="16950"/>
    <n v="14492314"/>
    <x v="1"/>
    <s v="Oui"/>
    <x v="2"/>
    <s v="RALFF"/>
    <s v="CONGO"/>
    <s v="RALFF-CO2868"/>
    <s v="4.3"/>
    <m/>
  </r>
  <r>
    <d v="2021-12-27T00:00:00"/>
    <s v="Achat 04 Bonbonnes d'eau minérale "/>
    <x v="3"/>
    <s v="Office"/>
    <m/>
    <n v="18000"/>
    <n v="14474314"/>
    <x v="1"/>
    <s v="Oui"/>
    <x v="2"/>
    <s v="RALFF"/>
    <s v="CONGO"/>
    <s v="RALFF-CO2869"/>
    <s v="4.3"/>
    <m/>
  </r>
  <r>
    <d v="2021-12-27T00:00:00"/>
    <s v="B52"/>
    <x v="1"/>
    <m/>
    <m/>
    <n v="30000"/>
    <n v="14444314"/>
    <x v="1"/>
    <s v="Décharge"/>
    <x v="0"/>
    <m/>
    <s v="CONGO"/>
    <m/>
    <m/>
    <m/>
  </r>
  <r>
    <d v="2021-12-27T00:00:00"/>
    <s v="Reglement prestation Entretient bureau/Odile"/>
    <x v="13"/>
    <s v="Office"/>
    <m/>
    <n v="75625"/>
    <n v="14368689"/>
    <x v="1"/>
    <s v="Oui"/>
    <x v="1"/>
    <s v="PALF"/>
    <s v="CONGO"/>
    <m/>
    <m/>
    <m/>
  </r>
  <r>
    <d v="2021-12-27T00:00:00"/>
    <s v="Retrait especes/appro caisse/bord n°3643591"/>
    <x v="1"/>
    <m/>
    <m/>
    <n v="2000000"/>
    <n v="12368689"/>
    <x v="3"/>
    <n v="3643591"/>
    <x v="0"/>
    <m/>
    <s v="CONGO"/>
    <m/>
    <m/>
    <m/>
  </r>
  <r>
    <d v="2021-12-27T00:00:00"/>
    <s v="Reçu Caisse"/>
    <x v="1"/>
    <m/>
    <n v="30000"/>
    <m/>
    <n v="12398689"/>
    <x v="4"/>
    <s v="Décharge"/>
    <x v="0"/>
    <m/>
    <s v="CONGO"/>
    <m/>
    <m/>
    <m/>
  </r>
  <r>
    <d v="2021-12-27T00:00:00"/>
    <s v="Frais achat médocs détenus Alexis"/>
    <x v="15"/>
    <s v="Legal"/>
    <m/>
    <n v="2705"/>
    <n v="12395984"/>
    <x v="5"/>
    <s v="Oui"/>
    <x v="1"/>
    <s v="PALF"/>
    <s v="CONGO"/>
    <m/>
    <m/>
    <m/>
  </r>
  <r>
    <d v="2021-12-27T00:00:00"/>
    <s v="Frais complement détenus Alexis"/>
    <x v="15"/>
    <s v="Legal"/>
    <m/>
    <n v="7495"/>
    <n v="12388489"/>
    <x v="5"/>
    <s v="Oui"/>
    <x v="1"/>
    <s v="PALF"/>
    <s v="CONGO"/>
    <m/>
    <m/>
    <m/>
  </r>
  <r>
    <d v="2021-12-27T00:00:00"/>
    <s v="Reçu de la caisse"/>
    <x v="1"/>
    <m/>
    <n v="20000"/>
    <m/>
    <n v="12408489"/>
    <x v="9"/>
    <s v="Décharge"/>
    <x v="0"/>
    <m/>
    <s v="CONGO"/>
    <m/>
    <m/>
    <m/>
  </r>
  <r>
    <d v="2021-12-27T00:00:00"/>
    <s v="Retour Caisse /"/>
    <x v="1"/>
    <m/>
    <m/>
    <n v="170000"/>
    <n v="12238489"/>
    <x v="10"/>
    <s v="Décharge"/>
    <x v="0"/>
    <m/>
    <s v="CONGO"/>
    <m/>
    <m/>
    <m/>
  </r>
  <r>
    <d v="2021-12-28T00:00:00"/>
    <s v="Reglément Facture Congo Telecom du 29/12/21 au 28/01/21"/>
    <x v="17"/>
    <s v="Office"/>
    <m/>
    <n v="89175"/>
    <n v="12149314"/>
    <x v="1"/>
    <s v="Oui"/>
    <x v="2"/>
    <s v="RALFF"/>
    <s v="CONGO"/>
    <s v="RALFF-CO2870"/>
    <s v="4.5"/>
    <m/>
  </r>
  <r>
    <d v="2021-12-28T00:00:00"/>
    <s v="Crepin"/>
    <x v="1"/>
    <m/>
    <m/>
    <n v="122000"/>
    <n v="12027314"/>
    <x v="1"/>
    <s v="Décharge"/>
    <x v="0"/>
    <m/>
    <s v="CONGO"/>
    <m/>
    <m/>
    <m/>
  </r>
  <r>
    <d v="2021-12-28T00:00:00"/>
    <s v="Frais de Transfert Charden Farell/Crepin"/>
    <x v="4"/>
    <s v="Office"/>
    <m/>
    <n v="3660"/>
    <n v="12023654"/>
    <x v="1"/>
    <s v="Oui"/>
    <x v="2"/>
    <s v="RALFF"/>
    <s v="CONGO"/>
    <s v="RALFF-CO2871"/>
    <s v="5.6"/>
    <m/>
  </r>
  <r>
    <d v="2021-12-28T00:00:00"/>
    <s v="Retour caisse/Bonus media DRTV du 21/12/2021"/>
    <x v="1"/>
    <m/>
    <n v="30000"/>
    <m/>
    <n v="12053654"/>
    <x v="1"/>
    <s v="Décharge"/>
    <x v="0"/>
    <m/>
    <s v="CONGO"/>
    <m/>
    <m/>
    <m/>
  </r>
  <r>
    <d v="2021-12-28T00:00:00"/>
    <s v="Panier fin d'année /Chaque Agents PALF (Riz, Huile, Bons, Banane, Noix de Palmes, Chocolat et Spaghettis)"/>
    <x v="2"/>
    <s v="Team Building"/>
    <m/>
    <n v="278175"/>
    <n v="11775479"/>
    <x v="1"/>
    <s v="Oui"/>
    <x v="1"/>
    <s v="PALF"/>
    <s v="CONGO"/>
    <m/>
    <m/>
    <m/>
  </r>
  <r>
    <d v="2021-12-28T00:00:00"/>
    <s v="Cumul Frais de Transport Local Décembre 2021/Grace"/>
    <x v="5"/>
    <s v="Management"/>
    <m/>
    <n v="83500"/>
    <n v="11691979"/>
    <x v="10"/>
    <s v="Décharge"/>
    <x v="2"/>
    <s v="RALFF"/>
    <s v="CONGO"/>
    <s v="RALFF-CO2872"/>
    <s v="2.2"/>
    <m/>
  </r>
  <r>
    <d v="2021-12-29T00:00:00"/>
    <s v="Achat 03 Chapeaux enquetes"/>
    <x v="3"/>
    <s v="Office"/>
    <m/>
    <n v="6000"/>
    <n v="11685979"/>
    <x v="1"/>
    <s v="Oui"/>
    <x v="1"/>
    <s v="PALF"/>
    <s v="CONGO"/>
    <m/>
    <m/>
    <m/>
  </r>
  <r>
    <d v="2021-12-29T00:00:00"/>
    <s v="B52"/>
    <x v="1"/>
    <m/>
    <m/>
    <n v="15000"/>
    <n v="11670979"/>
    <x v="1"/>
    <s v="Décharge"/>
    <x v="0"/>
    <m/>
    <s v="CONGO"/>
    <m/>
    <m/>
    <m/>
  </r>
  <r>
    <d v="2021-12-29T00:00:00"/>
    <s v="Retour caisse/Bonus media Vox TV/du 27/12/2021"/>
    <x v="1"/>
    <m/>
    <n v="50000"/>
    <m/>
    <n v="11720979"/>
    <x v="1"/>
    <s v="Décharge"/>
    <x v="0"/>
    <m/>
    <s v="CONGO"/>
    <m/>
    <m/>
    <m/>
  </r>
  <r>
    <d v="2021-12-29T00:00:00"/>
    <s v="Reçu Caisse"/>
    <x v="1"/>
    <m/>
    <n v="15000"/>
    <m/>
    <n v="11735979"/>
    <x v="4"/>
    <s v="Décharge"/>
    <x v="0"/>
    <m/>
    <s v="CONGO"/>
    <m/>
    <m/>
    <m/>
  </r>
  <r>
    <d v="2021-12-29T00:00:00"/>
    <s v="Cumul Frais de trust Building Decembre 2021/B52"/>
    <x v="12"/>
    <s v="Investigation"/>
    <m/>
    <n v="43500"/>
    <n v="11692479"/>
    <x v="4"/>
    <s v="Décharge"/>
    <x v="1"/>
    <s v="PALF"/>
    <s v="CONGO"/>
    <m/>
    <m/>
    <m/>
  </r>
  <r>
    <d v="2021-12-29T00:00:00"/>
    <s v="Reçu de caisse"/>
    <x v="1"/>
    <m/>
    <n v="122000"/>
    <m/>
    <n v="11814479"/>
    <x v="5"/>
    <s v="Décharge"/>
    <x v="0"/>
    <m/>
    <s v="CONGO"/>
    <m/>
    <m/>
    <m/>
  </r>
  <r>
    <d v="2021-12-29T00:00:00"/>
    <s v="Cumul Frais de Trust Building Décembre 2021/I23C"/>
    <x v="12"/>
    <s v="Investigation"/>
    <m/>
    <n v="57500"/>
    <n v="11756979"/>
    <x v="6"/>
    <s v="Décharge"/>
    <x v="1"/>
    <s v="PALF"/>
    <s v="CONGO"/>
    <m/>
    <m/>
    <m/>
  </r>
  <r>
    <d v="2021-12-29T00:00:00"/>
    <s v="Cumul Frais de Transport Local (Taxi) Décembre 2021/I23C"/>
    <x v="5"/>
    <s v="Investigation"/>
    <m/>
    <n v="112700"/>
    <n v="11644279"/>
    <x v="6"/>
    <s v="Décharge"/>
    <x v="2"/>
    <s v="RALFF"/>
    <s v="CONGO"/>
    <s v="RALFF-CO2873"/>
    <s v="2.2"/>
    <m/>
  </r>
  <r>
    <d v="2021-12-29T00:00:00"/>
    <s v="Cumul Frais de Transport Local du Mois Décembre  2021/P29"/>
    <x v="5"/>
    <s v="Investigation"/>
    <m/>
    <n v="76000"/>
    <n v="11568279"/>
    <x v="8"/>
    <s v="Décharge"/>
    <x v="2"/>
    <s v="RALFF"/>
    <s v="CONGO"/>
    <s v="RALFF-CO2874"/>
    <s v="2.2"/>
    <m/>
  </r>
  <r>
    <d v="2021-12-30T00:00:00"/>
    <s v="Reglement Facture Zanne Labuschagne News Letter/"/>
    <x v="18"/>
    <s v="Office"/>
    <m/>
    <n v="175000"/>
    <n v="11393279"/>
    <x v="1"/>
    <s v="Oui"/>
    <x v="2"/>
    <s v="RALFF"/>
    <s v="CONGO"/>
    <s v="RALFF-CO2875"/>
    <s v="5.8"/>
    <m/>
  </r>
  <r>
    <d v="2021-12-30T00:00:00"/>
    <s v="Frais de Transfert Western Union/Facture Zanne"/>
    <x v="4"/>
    <s v="Office"/>
    <m/>
    <n v="11386"/>
    <n v="11381893"/>
    <x v="1"/>
    <s v="Oui"/>
    <x v="2"/>
    <s v="RALFF"/>
    <s v="CONGO"/>
    <s v="RALFF-CO2876"/>
    <s v="5.6"/>
    <m/>
  </r>
  <r>
    <d v="2021-12-30T00:00:00"/>
    <s v="Bonus Media /Transmission Radion/Interpellation du 23/12/21"/>
    <x v="7"/>
    <s v="Media"/>
    <m/>
    <n v="39000"/>
    <n v="11342893"/>
    <x v="1"/>
    <s v="Décharge"/>
    <x v="1"/>
    <s v="PALF"/>
    <s v="CONGO"/>
    <m/>
    <m/>
    <m/>
  </r>
  <r>
    <d v="2021-12-30T00:00:00"/>
    <s v="Entretien Palmier du Jardin ( Bureau PALF)"/>
    <x v="13"/>
    <s v="Office"/>
    <m/>
    <n v="17000"/>
    <n v="11325893"/>
    <x v="1"/>
    <s v="Oui"/>
    <x v="1"/>
    <s v="PALF"/>
    <s v="CONGO"/>
    <m/>
    <m/>
    <m/>
  </r>
  <r>
    <d v="2021-12-30T00:00:00"/>
    <s v="B52"/>
    <x v="1"/>
    <m/>
    <m/>
    <n v="10000"/>
    <n v="11315893"/>
    <x v="1"/>
    <s v="Décharge"/>
    <x v="0"/>
    <m/>
    <s v="CONGO"/>
    <m/>
    <m/>
    <m/>
  </r>
  <r>
    <d v="2021-12-30T00:00:00"/>
    <s v="Cumul Frais de Transport Local Mois Décembre 2021/Godfre"/>
    <x v="5"/>
    <s v="Legal"/>
    <m/>
    <n v="77200"/>
    <n v="11238693"/>
    <x v="7"/>
    <s v="Décharge"/>
    <x v="2"/>
    <s v="RALFF"/>
    <s v="CONGO"/>
    <s v="RALFF-CO2877"/>
    <s v="2.2"/>
    <m/>
  </r>
  <r>
    <d v="2021-12-30T00:00:00"/>
    <s v="Cumul Frais Ration Journalière Decembre 2021/B52"/>
    <x v="6"/>
    <s v="Investigation"/>
    <m/>
    <n v="11000"/>
    <n v="11227693"/>
    <x v="4"/>
    <s v="Décharge"/>
    <x v="1"/>
    <s v="PALF"/>
    <s v="CONGO"/>
    <m/>
    <m/>
    <m/>
  </r>
  <r>
    <d v="2021-12-30T00:00:00"/>
    <s v="Cumul Frais Transport Local Decembre 2021/B52"/>
    <x v="5"/>
    <s v="Investigation"/>
    <m/>
    <n v="96000"/>
    <n v="11131693"/>
    <x v="4"/>
    <s v="Décharge"/>
    <x v="1"/>
    <s v="PALF"/>
    <s v="CONGO"/>
    <m/>
    <m/>
    <m/>
  </r>
  <r>
    <d v="2021-12-30T00:00:00"/>
    <s v="Reçu Caisse"/>
    <x v="1"/>
    <m/>
    <n v="10000"/>
    <m/>
    <n v="11141693"/>
    <x v="4"/>
    <s v="Décharge"/>
    <x v="0"/>
    <m/>
    <s v="CONGO"/>
    <m/>
    <m/>
    <m/>
  </r>
  <r>
    <d v="2021-12-30T00:00:00"/>
    <s v="Cumul frais de Jail visit Mois décembre 2021/Crépin"/>
    <x v="15"/>
    <s v="Legal"/>
    <m/>
    <n v="72000"/>
    <n v="11069693"/>
    <x v="5"/>
    <s v="Décharge"/>
    <x v="1"/>
    <s v="PALF"/>
    <s v="CONGO"/>
    <m/>
    <m/>
    <m/>
  </r>
  <r>
    <d v="2021-12-30T00:00:00"/>
    <s v="Billet: Dolisie-Brazzaville/Crepin"/>
    <x v="5"/>
    <s v="Legal"/>
    <m/>
    <n v="10000"/>
    <n v="11059693"/>
    <x v="5"/>
    <s v="Oui"/>
    <x v="2"/>
    <s v="RALFF"/>
    <s v="CONGO"/>
    <s v="RALFF-CO2878"/>
    <s v="2.2"/>
    <m/>
  </r>
  <r>
    <d v="2021-12-30T00:00:00"/>
    <s v="Cumul Frais de Transport Local Décembre 2021/Evariste"/>
    <x v="5"/>
    <s v="Media"/>
    <m/>
    <n v="94500"/>
    <n v="10965193"/>
    <x v="9"/>
    <s v="Décharge"/>
    <x v="2"/>
    <s v="RALFF"/>
    <s v="CONGO"/>
    <s v="RALFF-CO2879"/>
    <s v="2.2"/>
    <m/>
  </r>
  <r>
    <d v="2021-12-31T00:00:00"/>
    <s v="Bonus Opération dolisie 23/12/2021/Grace"/>
    <x v="7"/>
    <s v="Operation"/>
    <m/>
    <n v="20000"/>
    <n v="10945193"/>
    <x v="1"/>
    <s v="Décharge"/>
    <x v="1"/>
    <s v="PALF"/>
    <s v="CONGO"/>
    <m/>
    <m/>
    <m/>
  </r>
  <r>
    <d v="2021-12-31T00:00:00"/>
    <s v="Bonus Opération dolisie 23/12/2021/Crépin"/>
    <x v="7"/>
    <s v="Operation"/>
    <m/>
    <n v="50000"/>
    <n v="10895193"/>
    <x v="1"/>
    <s v="Décharge"/>
    <x v="1"/>
    <s v="PALF"/>
    <s v="CONGO"/>
    <m/>
    <m/>
    <m/>
  </r>
  <r>
    <d v="2021-12-31T00:00:00"/>
    <s v="Bonus du mois décembre 2021/Crépin"/>
    <x v="7"/>
    <s v="Legal"/>
    <m/>
    <n v="50000"/>
    <n v="10845193"/>
    <x v="1"/>
    <s v="Décharge"/>
    <x v="1"/>
    <s v="PALF"/>
    <s v="CONGO"/>
    <m/>
    <m/>
    <m/>
  </r>
  <r>
    <d v="2021-12-31T00:00:00"/>
    <s v="Bonus du mois décembre 2021/Godfré"/>
    <x v="7"/>
    <s v="Legal"/>
    <m/>
    <n v="20000"/>
    <n v="10825193"/>
    <x v="1"/>
    <s v="Décharge"/>
    <x v="1"/>
    <s v="PALF"/>
    <s v="CONGO"/>
    <m/>
    <m/>
    <m/>
  </r>
  <r>
    <d v="2021-12-31T00:00:00"/>
    <s v="Prime de fin d'année 2021/Crépin"/>
    <x v="2"/>
    <s v="Legal"/>
    <m/>
    <n v="154370"/>
    <n v="10670823"/>
    <x v="1"/>
    <s v="Décharge"/>
    <x v="1"/>
    <s v="PALF"/>
    <s v="CONGO"/>
    <m/>
    <m/>
    <m/>
  </r>
  <r>
    <d v="2021-12-31T00:00:00"/>
    <s v="Prime de fin d'année 2021/Evariste"/>
    <x v="2"/>
    <s v="Media"/>
    <m/>
    <n v="132280"/>
    <n v="10538543"/>
    <x v="1"/>
    <s v="Décharge"/>
    <x v="1"/>
    <s v="PALF"/>
    <s v="CONGO"/>
    <m/>
    <m/>
    <m/>
  </r>
  <r>
    <d v="2021-12-31T00:00:00"/>
    <s v="Congés fin d'année 2021/20Jours/Evariste"/>
    <x v="2"/>
    <s v="Media"/>
    <m/>
    <n v="60149"/>
    <n v="10478394"/>
    <x v="1"/>
    <s v="Décharge"/>
    <x v="2"/>
    <s v="RALFF"/>
    <s v="CONGO"/>
    <s v="RALFF-CO2880"/>
    <s v="1.1.1.4"/>
    <m/>
  </r>
  <r>
    <d v="2021-12-31T00:00:00"/>
    <s v="Retour Caisse /Crépin sur Budget Me Scrutin"/>
    <x v="1"/>
    <m/>
    <n v="40000"/>
    <m/>
    <n v="10518394"/>
    <x v="1"/>
    <s v="Décharge"/>
    <x v="0"/>
    <m/>
    <s v="CONGO"/>
    <m/>
    <m/>
    <m/>
  </r>
  <r>
    <d v="2021-12-31T00:00:00"/>
    <s v="Retour Caisse /Godfré sur frais Médicaux"/>
    <x v="1"/>
    <m/>
    <n v="120000"/>
    <m/>
    <n v="10638394"/>
    <x v="1"/>
    <s v="Décharge"/>
    <x v="0"/>
    <m/>
    <s v="CONGO"/>
    <m/>
    <m/>
    <m/>
  </r>
  <r>
    <d v="2021-12-31T00:00:00"/>
    <s v="Retour Caisse "/>
    <x v="1"/>
    <m/>
    <m/>
    <n v="120000"/>
    <n v="10518394"/>
    <x v="7"/>
    <s v="Décharge"/>
    <x v="0"/>
    <m/>
    <s v="CONGO"/>
    <m/>
    <m/>
    <m/>
  </r>
  <r>
    <d v="2021-12-31T00:00:00"/>
    <s v="CREPIN IBOUILI - CONGO - 09 Nuitées à Dolisie du 22 au 31/12/2021"/>
    <x v="6"/>
    <s v="Management"/>
    <m/>
    <n v="135000"/>
    <n v="10383394"/>
    <x v="5"/>
    <s v="Oui"/>
    <x v="2"/>
    <s v="RALFF"/>
    <s v="CONGO"/>
    <s v="RALFF-CO2881"/>
    <s v="1.3.2"/>
    <m/>
  </r>
  <r>
    <d v="2021-12-31T00:00:00"/>
    <s v="Cumul frais de Transport Local Mois décembre 2021/Crépin"/>
    <x v="5"/>
    <s v="Legal"/>
    <m/>
    <n v="120900"/>
    <n v="10262494"/>
    <x v="5"/>
    <s v="Décharge"/>
    <x v="2"/>
    <s v="RALFF"/>
    <s v="CONGO"/>
    <s v="RALFF-CO2882"/>
    <s v="2.2"/>
    <m/>
  </r>
  <r>
    <d v="2021-12-31T00:00:00"/>
    <s v="Retour à la caisse"/>
    <x v="1"/>
    <m/>
    <m/>
    <n v="40000"/>
    <n v="10222494"/>
    <x v="5"/>
    <s v="Décharge"/>
    <x v="0"/>
    <m/>
    <s v="CONGO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11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M18" firstHeaderRow="1" firstDataRow="3" firstDataCol="1"/>
  <pivotFields count="15">
    <pivotField numFmtId="171" showAll="0"/>
    <pivotField showAll="0"/>
    <pivotField axis="axisCol" showAll="0">
      <items count="21">
        <item x="7"/>
        <item x="18"/>
        <item x="10"/>
        <item x="17"/>
        <item x="15"/>
        <item x="16"/>
        <item x="3"/>
        <item x="2"/>
        <item x="13"/>
        <item x="14"/>
        <item x="4"/>
        <item x="5"/>
        <item x="6"/>
        <item m="1" x="19"/>
        <item x="12"/>
        <item x="1"/>
        <item x="11"/>
        <item x="0"/>
        <item x="9"/>
        <item x="8"/>
        <item t="default"/>
      </items>
    </pivotField>
    <pivotField showAll="0"/>
    <pivotField dataField="1" showAll="0"/>
    <pivotField dataField="1" showAll="0"/>
    <pivotField numFmtId="165" showAll="0"/>
    <pivotField axis="axisRow" showAll="0">
      <items count="14">
        <item x="11"/>
        <item x="4"/>
        <item x="2"/>
        <item x="3"/>
        <item x="1"/>
        <item x="5"/>
        <item x="9"/>
        <item x="7"/>
        <item x="10"/>
        <item x="6"/>
        <item x="8"/>
        <item x="1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2"/>
    <field x="-2"/>
  </colFields>
  <colItems count="3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8"/>
      <x/>
    </i>
    <i r="1" i="1">
      <x v="1"/>
    </i>
    <i>
      <x v="19"/>
      <x/>
    </i>
    <i r="1" i="1">
      <x v="1"/>
    </i>
    <i t="grand">
      <x/>
    </i>
    <i t="grand" i="1">
      <x/>
    </i>
  </colItems>
  <dataFields count="2">
    <dataField name="Somme de Spent" fld="5" baseField="0" baseItem="0"/>
    <dataField name="Somme de Received" fld="4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6" cacheId="11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5">
    <pivotField numFmtId="171"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Row" showAll="0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O506"/>
  <sheetViews>
    <sheetView tabSelected="1" zoomScale="73" zoomScaleNormal="73" workbookViewId="0">
      <pane xSplit="1" topLeftCell="E1" activePane="topRight" state="frozen"/>
      <selection pane="topRight" activeCell="M23" sqref="M23"/>
    </sheetView>
  </sheetViews>
  <sheetFormatPr baseColWidth="10" defaultColWidth="11.42578125" defaultRowHeight="15"/>
  <cols>
    <col min="1" max="1" width="43.140625" style="5" customWidth="1"/>
    <col min="2" max="2" width="21.42578125" style="5" customWidth="1"/>
    <col min="3" max="3" width="28.28515625" style="5" customWidth="1"/>
    <col min="4" max="4" width="29.42578125" style="5" customWidth="1"/>
    <col min="5" max="5" width="19.5703125" style="5" customWidth="1"/>
    <col min="6" max="6" width="21" style="5" customWidth="1"/>
    <col min="7" max="7" width="21.85546875" style="5" customWidth="1"/>
    <col min="8" max="8" width="20.5703125" style="5" customWidth="1"/>
    <col min="9" max="9" width="19.7109375" style="5" customWidth="1"/>
    <col min="10" max="10" width="16.7109375" style="5" customWidth="1"/>
    <col min="11" max="11" width="18.7109375" style="5" customWidth="1"/>
    <col min="12" max="12" width="16" style="48" customWidth="1"/>
    <col min="13" max="13" width="18.7109375" style="48" customWidth="1"/>
    <col min="14" max="14" width="14.140625" style="48" customWidth="1"/>
    <col min="15" max="15" width="14.85546875" style="48" customWidth="1"/>
    <col min="16" max="16384" width="11.42578125" style="5"/>
  </cols>
  <sheetData>
    <row r="1" spans="1:15" ht="15.75">
      <c r="A1" s="6" t="s">
        <v>37</v>
      </c>
      <c r="B1" s="6" t="s">
        <v>1</v>
      </c>
      <c r="C1" s="6">
        <v>44531</v>
      </c>
      <c r="D1" s="7" t="s">
        <v>38</v>
      </c>
      <c r="E1" s="7" t="s">
        <v>39</v>
      </c>
      <c r="F1" s="7" t="s">
        <v>40</v>
      </c>
      <c r="G1" s="7" t="s">
        <v>41</v>
      </c>
      <c r="H1" s="6">
        <v>44561</v>
      </c>
      <c r="I1" s="7" t="s">
        <v>42</v>
      </c>
      <c r="K1" s="47"/>
      <c r="L1" s="47" t="s">
        <v>43</v>
      </c>
      <c r="M1" s="47" t="s">
        <v>44</v>
      </c>
      <c r="N1" s="47" t="s">
        <v>45</v>
      </c>
      <c r="O1" s="47" t="s">
        <v>46</v>
      </c>
    </row>
    <row r="2" spans="1:15" s="186" customFormat="1" ht="16.5">
      <c r="A2" s="60" t="str">
        <f>+K2</f>
        <v>Axel</v>
      </c>
      <c r="B2" s="188" t="s">
        <v>166</v>
      </c>
      <c r="C2" s="62">
        <v>29107</v>
      </c>
      <c r="D2" s="63">
        <f t="shared" ref="D2:D16" si="0">+L2</f>
        <v>1125000</v>
      </c>
      <c r="E2" s="63">
        <f>+N2</f>
        <v>1008750</v>
      </c>
      <c r="F2" s="63">
        <f>+M2</f>
        <v>145357</v>
      </c>
      <c r="G2" s="63">
        <f t="shared" ref="G2:G14" si="1">+O2</f>
        <v>0</v>
      </c>
      <c r="H2" s="63">
        <v>0</v>
      </c>
      <c r="I2" s="63">
        <f>+C2+D2-E2-F2+G2</f>
        <v>0</v>
      </c>
      <c r="J2" s="9">
        <f>I2-H2</f>
        <v>0</v>
      </c>
      <c r="K2" s="187" t="s">
        <v>165</v>
      </c>
      <c r="L2" s="187">
        <v>1125000</v>
      </c>
      <c r="M2" s="187">
        <v>145357</v>
      </c>
      <c r="N2" s="187">
        <v>1008750</v>
      </c>
      <c r="O2" s="187">
        <v>0</v>
      </c>
    </row>
    <row r="3" spans="1:15" ht="16.5">
      <c r="A3" s="60" t="str">
        <f>+K3</f>
        <v>B52</v>
      </c>
      <c r="B3" s="61" t="s">
        <v>47</v>
      </c>
      <c r="C3" s="62">
        <v>4000</v>
      </c>
      <c r="D3" s="63">
        <f t="shared" si="0"/>
        <v>426000</v>
      </c>
      <c r="E3" s="63">
        <f>+N3</f>
        <v>420500</v>
      </c>
      <c r="F3" s="63">
        <f>+M3</f>
        <v>0</v>
      </c>
      <c r="G3" s="63">
        <f t="shared" si="1"/>
        <v>0</v>
      </c>
      <c r="H3" s="63">
        <v>9500</v>
      </c>
      <c r="I3" s="63">
        <f>+C3+D3-E3-F3+G3</f>
        <v>9500</v>
      </c>
      <c r="J3" s="9">
        <f>I3-H3</f>
        <v>0</v>
      </c>
      <c r="K3" s="47" t="s">
        <v>176</v>
      </c>
      <c r="L3" s="49">
        <v>426000</v>
      </c>
      <c r="M3" s="49">
        <v>0</v>
      </c>
      <c r="N3" s="49">
        <v>420500</v>
      </c>
      <c r="O3" s="49">
        <v>0</v>
      </c>
    </row>
    <row r="4" spans="1:15" ht="16.5">
      <c r="A4" s="60" t="str">
        <f>+K4</f>
        <v>BCI</v>
      </c>
      <c r="B4" s="61" t="s">
        <v>47</v>
      </c>
      <c r="C4" s="62">
        <v>5738718</v>
      </c>
      <c r="D4" s="63">
        <f t="shared" si="0"/>
        <v>0</v>
      </c>
      <c r="E4" s="63">
        <f>+N4</f>
        <v>283345</v>
      </c>
      <c r="F4" s="63">
        <f>+M4</f>
        <v>2000000</v>
      </c>
      <c r="G4" s="63">
        <f t="shared" si="1"/>
        <v>0</v>
      </c>
      <c r="H4" s="63">
        <v>3455373</v>
      </c>
      <c r="I4" s="63">
        <f>+C4+D4-E4-F4+G4</f>
        <v>3455373</v>
      </c>
      <c r="J4" s="9">
        <f t="shared" ref="J4:J11" si="2">I4-H4</f>
        <v>0</v>
      </c>
      <c r="K4" s="47" t="s">
        <v>24</v>
      </c>
      <c r="L4" s="49">
        <v>0</v>
      </c>
      <c r="M4" s="49">
        <v>2000000</v>
      </c>
      <c r="N4" s="49">
        <v>283345</v>
      </c>
      <c r="O4" s="49">
        <v>0</v>
      </c>
    </row>
    <row r="5" spans="1:15" ht="16.5">
      <c r="A5" s="60" t="str">
        <f t="shared" ref="A5:A7" si="3">+K5</f>
        <v>BCI-Sous Compte</v>
      </c>
      <c r="B5" s="61" t="s">
        <v>25</v>
      </c>
      <c r="C5" s="62">
        <v>16087207</v>
      </c>
      <c r="D5" s="63">
        <f t="shared" si="0"/>
        <v>0</v>
      </c>
      <c r="E5" s="63">
        <f>+N5</f>
        <v>3245592</v>
      </c>
      <c r="F5" s="63">
        <f>+M5</f>
        <v>8000000</v>
      </c>
      <c r="G5" s="63">
        <f t="shared" si="1"/>
        <v>0</v>
      </c>
      <c r="H5" s="63">
        <v>4841615</v>
      </c>
      <c r="I5" s="63">
        <f>+C5+D5-E5-F5+G5</f>
        <v>4841615</v>
      </c>
      <c r="J5" s="108">
        <f t="shared" si="2"/>
        <v>0</v>
      </c>
      <c r="K5" s="47" t="s">
        <v>160</v>
      </c>
      <c r="L5" s="49">
        <v>0</v>
      </c>
      <c r="M5" s="49">
        <v>8000000</v>
      </c>
      <c r="N5" s="49">
        <v>3245592</v>
      </c>
      <c r="O5" s="49">
        <v>0</v>
      </c>
    </row>
    <row r="6" spans="1:15" ht="16.5">
      <c r="A6" s="60" t="str">
        <f t="shared" si="3"/>
        <v>Caisse</v>
      </c>
      <c r="B6" s="61" t="s">
        <v>166</v>
      </c>
      <c r="C6" s="62">
        <v>926369</v>
      </c>
      <c r="D6" s="63">
        <f t="shared" si="0"/>
        <v>10580357</v>
      </c>
      <c r="E6" s="63">
        <f t="shared" ref="E6" si="4">+N6</f>
        <v>3713706</v>
      </c>
      <c r="F6" s="63">
        <f t="shared" ref="F6:F14" si="5">+M6</f>
        <v>6750500</v>
      </c>
      <c r="G6" s="63">
        <f t="shared" si="1"/>
        <v>0</v>
      </c>
      <c r="H6" s="63">
        <v>1042520</v>
      </c>
      <c r="I6" s="63">
        <f>+C6+D6-E6-F6+G6</f>
        <v>1042520</v>
      </c>
      <c r="J6" s="9">
        <f t="shared" si="2"/>
        <v>0</v>
      </c>
      <c r="K6" s="47" t="s">
        <v>25</v>
      </c>
      <c r="L6" s="49">
        <v>10580357</v>
      </c>
      <c r="M6" s="49">
        <v>6750500</v>
      </c>
      <c r="N6" s="49">
        <v>3713706</v>
      </c>
      <c r="O6" s="49">
        <v>0</v>
      </c>
    </row>
    <row r="7" spans="1:15" ht="16.5">
      <c r="A7" s="60" t="str">
        <f t="shared" si="3"/>
        <v>Crépin</v>
      </c>
      <c r="B7" s="61" t="s">
        <v>168</v>
      </c>
      <c r="C7" s="62">
        <v>-3675</v>
      </c>
      <c r="D7" s="63">
        <f t="shared" si="0"/>
        <v>1778500</v>
      </c>
      <c r="E7" s="63">
        <f>+N7</f>
        <v>1666925</v>
      </c>
      <c r="F7" s="63">
        <f t="shared" si="5"/>
        <v>145000</v>
      </c>
      <c r="G7" s="63">
        <f t="shared" si="1"/>
        <v>0</v>
      </c>
      <c r="H7" s="63">
        <v>-37100</v>
      </c>
      <c r="I7" s="63">
        <f t="shared" ref="I7" si="6">+C7+D7-E7-F7+G7</f>
        <v>-37100</v>
      </c>
      <c r="J7" s="9">
        <f t="shared" si="2"/>
        <v>0</v>
      </c>
      <c r="K7" s="47" t="s">
        <v>48</v>
      </c>
      <c r="L7" s="49">
        <v>1778500</v>
      </c>
      <c r="M7" s="49">
        <v>145000</v>
      </c>
      <c r="N7" s="49">
        <v>1666925</v>
      </c>
      <c r="O7" s="49">
        <v>0</v>
      </c>
    </row>
    <row r="8" spans="1:15" ht="16.5">
      <c r="A8" s="60" t="str">
        <f>K8</f>
        <v>Evariste</v>
      </c>
      <c r="B8" s="61" t="s">
        <v>166</v>
      </c>
      <c r="C8" s="62">
        <v>7595</v>
      </c>
      <c r="D8" s="63">
        <f t="shared" si="0"/>
        <v>286000</v>
      </c>
      <c r="E8" s="63">
        <f t="shared" ref="E8" si="7">+N8</f>
        <v>284950</v>
      </c>
      <c r="F8" s="63">
        <f t="shared" si="5"/>
        <v>0</v>
      </c>
      <c r="G8" s="63">
        <f t="shared" si="1"/>
        <v>0</v>
      </c>
      <c r="H8" s="63">
        <v>8645</v>
      </c>
      <c r="I8" s="63">
        <f>+C8+D8-E8-F8+G8</f>
        <v>8645</v>
      </c>
      <c r="J8" s="9">
        <f t="shared" si="2"/>
        <v>0</v>
      </c>
      <c r="K8" s="47" t="s">
        <v>31</v>
      </c>
      <c r="L8" s="49">
        <v>286000</v>
      </c>
      <c r="M8" s="49">
        <v>0</v>
      </c>
      <c r="N8" s="49">
        <v>284950</v>
      </c>
      <c r="O8" s="49">
        <v>0</v>
      </c>
    </row>
    <row r="9" spans="1:15" ht="16.5">
      <c r="A9" s="123" t="str">
        <f t="shared" ref="A9:A16" si="8">+K9</f>
        <v>I55S</v>
      </c>
      <c r="B9" s="124" t="s">
        <v>4</v>
      </c>
      <c r="C9" s="125">
        <v>233614</v>
      </c>
      <c r="D9" s="126">
        <f t="shared" si="0"/>
        <v>0</v>
      </c>
      <c r="E9" s="126">
        <f>+N9</f>
        <v>0</v>
      </c>
      <c r="F9" s="126">
        <f t="shared" si="5"/>
        <v>0</v>
      </c>
      <c r="G9" s="126">
        <f t="shared" si="1"/>
        <v>0</v>
      </c>
      <c r="H9" s="126">
        <v>233614</v>
      </c>
      <c r="I9" s="126">
        <f>+C9+D9-E9-F9+G9</f>
        <v>233614</v>
      </c>
      <c r="J9" s="9">
        <f t="shared" si="2"/>
        <v>0</v>
      </c>
      <c r="K9" s="47" t="s">
        <v>85</v>
      </c>
      <c r="L9" s="49">
        <v>0</v>
      </c>
      <c r="M9" s="49">
        <v>0</v>
      </c>
      <c r="N9" s="49">
        <v>0</v>
      </c>
      <c r="O9" s="49">
        <v>0</v>
      </c>
    </row>
    <row r="10" spans="1:15" ht="16.5">
      <c r="A10" s="123" t="str">
        <f t="shared" si="8"/>
        <v>I73X</v>
      </c>
      <c r="B10" s="124" t="s">
        <v>4</v>
      </c>
      <c r="C10" s="125">
        <v>249769</v>
      </c>
      <c r="D10" s="126">
        <f t="shared" si="0"/>
        <v>0</v>
      </c>
      <c r="E10" s="126">
        <f>+N10</f>
        <v>0</v>
      </c>
      <c r="F10" s="126">
        <f t="shared" si="5"/>
        <v>0</v>
      </c>
      <c r="G10" s="126">
        <f t="shared" si="1"/>
        <v>0</v>
      </c>
      <c r="H10" s="126">
        <v>249769</v>
      </c>
      <c r="I10" s="126">
        <f t="shared" ref="I10:I13" si="9">+C10+D10-E10-F10+G10</f>
        <v>249769</v>
      </c>
      <c r="J10" s="9">
        <f t="shared" si="2"/>
        <v>0</v>
      </c>
      <c r="K10" s="47" t="s">
        <v>84</v>
      </c>
      <c r="L10" s="49">
        <v>0</v>
      </c>
      <c r="M10" s="49">
        <v>0</v>
      </c>
      <c r="N10" s="49">
        <v>0</v>
      </c>
      <c r="O10" s="49">
        <v>0</v>
      </c>
    </row>
    <row r="11" spans="1:15" ht="16.5">
      <c r="A11" s="60" t="str">
        <f t="shared" si="8"/>
        <v>Godfré</v>
      </c>
      <c r="B11" s="104" t="s">
        <v>2</v>
      </c>
      <c r="C11" s="62">
        <v>-6000</v>
      </c>
      <c r="D11" s="63">
        <f t="shared" si="0"/>
        <v>797000</v>
      </c>
      <c r="E11" s="180">
        <f t="shared" ref="E11:E16" si="10">+N11</f>
        <v>578885</v>
      </c>
      <c r="F11" s="63">
        <f t="shared" si="5"/>
        <v>177180</v>
      </c>
      <c r="G11" s="63">
        <f t="shared" si="1"/>
        <v>0</v>
      </c>
      <c r="H11" s="63">
        <v>34935</v>
      </c>
      <c r="I11" s="63">
        <f t="shared" si="9"/>
        <v>34935</v>
      </c>
      <c r="J11" s="9">
        <f t="shared" si="2"/>
        <v>0</v>
      </c>
      <c r="K11" s="47" t="s">
        <v>155</v>
      </c>
      <c r="L11" s="49">
        <v>797000</v>
      </c>
      <c r="M11" s="49">
        <v>177180</v>
      </c>
      <c r="N11" s="49">
        <v>578885</v>
      </c>
      <c r="O11" s="49">
        <v>0</v>
      </c>
    </row>
    <row r="12" spans="1:15" ht="16.5">
      <c r="A12" s="60" t="str">
        <f t="shared" si="8"/>
        <v>Grace</v>
      </c>
      <c r="B12" s="61" t="s">
        <v>4</v>
      </c>
      <c r="C12" s="62">
        <v>48400</v>
      </c>
      <c r="D12" s="63">
        <f t="shared" si="0"/>
        <v>847000</v>
      </c>
      <c r="E12" s="180">
        <f>+N12</f>
        <v>193200</v>
      </c>
      <c r="F12" s="63">
        <f t="shared" si="5"/>
        <v>658000</v>
      </c>
      <c r="G12" s="63">
        <f t="shared" si="1"/>
        <v>0</v>
      </c>
      <c r="H12" s="63">
        <v>44200</v>
      </c>
      <c r="I12" s="63">
        <f t="shared" si="9"/>
        <v>44200</v>
      </c>
      <c r="J12" s="9">
        <f>I12-H12</f>
        <v>0</v>
      </c>
      <c r="K12" s="47" t="s">
        <v>154</v>
      </c>
      <c r="L12" s="49">
        <v>847000</v>
      </c>
      <c r="M12" s="49">
        <v>658000</v>
      </c>
      <c r="N12" s="49">
        <v>193200</v>
      </c>
      <c r="O12" s="49">
        <v>0</v>
      </c>
    </row>
    <row r="13" spans="1:15" ht="16.5">
      <c r="A13" s="60" t="str">
        <f t="shared" si="8"/>
        <v>I23C</v>
      </c>
      <c r="B13" s="104" t="s">
        <v>2</v>
      </c>
      <c r="C13" s="62">
        <v>6800</v>
      </c>
      <c r="D13" s="63">
        <f t="shared" si="0"/>
        <v>861000</v>
      </c>
      <c r="E13" s="180">
        <f t="shared" si="10"/>
        <v>855750</v>
      </c>
      <c r="F13" s="63">
        <f t="shared" si="5"/>
        <v>0</v>
      </c>
      <c r="G13" s="63">
        <f t="shared" si="1"/>
        <v>0</v>
      </c>
      <c r="H13" s="63">
        <v>12050</v>
      </c>
      <c r="I13" s="63">
        <f t="shared" si="9"/>
        <v>12050</v>
      </c>
      <c r="J13" s="9">
        <f t="shared" ref="J13:J14" si="11">I13-H13</f>
        <v>0</v>
      </c>
      <c r="K13" s="47" t="s">
        <v>30</v>
      </c>
      <c r="L13" s="49">
        <v>861000</v>
      </c>
      <c r="M13" s="49">
        <v>0</v>
      </c>
      <c r="N13" s="49">
        <v>855750</v>
      </c>
      <c r="O13" s="49">
        <v>0</v>
      </c>
    </row>
    <row r="14" spans="1:15" ht="16.5">
      <c r="A14" s="60" t="str">
        <f t="shared" si="8"/>
        <v>Merveille</v>
      </c>
      <c r="B14" s="61" t="s">
        <v>4</v>
      </c>
      <c r="C14" s="62">
        <v>5500</v>
      </c>
      <c r="D14" s="63">
        <f t="shared" si="0"/>
        <v>0</v>
      </c>
      <c r="E14" s="180">
        <f t="shared" si="10"/>
        <v>0</v>
      </c>
      <c r="F14" s="63">
        <f t="shared" si="5"/>
        <v>0</v>
      </c>
      <c r="G14" s="63">
        <f t="shared" si="1"/>
        <v>0</v>
      </c>
      <c r="H14" s="63">
        <v>5500</v>
      </c>
      <c r="I14" s="63">
        <f>+C14+D14-E14-F14+G14</f>
        <v>5500</v>
      </c>
      <c r="J14" s="9">
        <f t="shared" si="11"/>
        <v>0</v>
      </c>
      <c r="K14" s="47" t="s">
        <v>94</v>
      </c>
      <c r="L14" s="49">
        <v>0</v>
      </c>
      <c r="M14" s="49">
        <v>0</v>
      </c>
      <c r="N14" s="49">
        <v>0</v>
      </c>
      <c r="O14" s="49"/>
    </row>
    <row r="15" spans="1:15" ht="16.5">
      <c r="A15" s="60" t="str">
        <f t="shared" si="8"/>
        <v>P29</v>
      </c>
      <c r="B15" s="61" t="s">
        <v>166</v>
      </c>
      <c r="C15" s="62">
        <v>30700</v>
      </c>
      <c r="D15" s="63">
        <f t="shared" si="0"/>
        <v>1215000</v>
      </c>
      <c r="E15" s="180">
        <f t="shared" si="10"/>
        <v>697500</v>
      </c>
      <c r="F15" s="63">
        <f>+M15</f>
        <v>490000</v>
      </c>
      <c r="G15" s="63">
        <f>+O15</f>
        <v>0</v>
      </c>
      <c r="H15" s="63">
        <v>58200</v>
      </c>
      <c r="I15" s="63">
        <f>+C15+D15-E15-F15+G15</f>
        <v>58200</v>
      </c>
      <c r="J15" s="9">
        <f>I15-H15</f>
        <v>0</v>
      </c>
      <c r="K15" s="47" t="s">
        <v>29</v>
      </c>
      <c r="L15" s="49">
        <v>1215000</v>
      </c>
      <c r="M15" s="49">
        <v>490000</v>
      </c>
      <c r="N15" s="49">
        <v>697500</v>
      </c>
      <c r="O15" s="49">
        <v>0</v>
      </c>
    </row>
    <row r="16" spans="1:15" ht="16.5">
      <c r="A16" s="60" t="str">
        <f t="shared" si="8"/>
        <v>Tiffany</v>
      </c>
      <c r="B16" s="61" t="s">
        <v>2</v>
      </c>
      <c r="C16" s="62">
        <v>9193</v>
      </c>
      <c r="D16" s="63">
        <f t="shared" si="0"/>
        <v>1100180</v>
      </c>
      <c r="E16" s="180">
        <f t="shared" si="10"/>
        <v>195700</v>
      </c>
      <c r="F16" s="63">
        <f t="shared" ref="F16" si="12">+M16</f>
        <v>650000</v>
      </c>
      <c r="G16" s="63">
        <f t="shared" ref="G16" si="13">+O16</f>
        <v>0</v>
      </c>
      <c r="H16" s="63">
        <v>263673</v>
      </c>
      <c r="I16" s="63">
        <f t="shared" ref="I16" si="14">+C16+D16-E16-F16+G16</f>
        <v>263673</v>
      </c>
      <c r="J16" s="9">
        <f t="shared" ref="J16" si="15">I16-H16</f>
        <v>0</v>
      </c>
      <c r="K16" s="47" t="s">
        <v>114</v>
      </c>
      <c r="L16" s="49">
        <v>1100180</v>
      </c>
      <c r="M16" s="49">
        <v>650000</v>
      </c>
      <c r="N16" s="49">
        <v>195700</v>
      </c>
      <c r="O16" s="49">
        <v>0</v>
      </c>
    </row>
    <row r="17" spans="1:15" ht="16.5">
      <c r="A17" s="10" t="s">
        <v>51</v>
      </c>
      <c r="B17" s="11"/>
      <c r="C17" s="12">
        <f>SUM(C2:C16)</f>
        <v>23367297</v>
      </c>
      <c r="D17" s="59">
        <f t="shared" ref="D17:G17" si="16">SUM(D2:D16)</f>
        <v>19016037</v>
      </c>
      <c r="E17" s="59">
        <f t="shared" si="16"/>
        <v>13144803</v>
      </c>
      <c r="F17" s="59">
        <f t="shared" si="16"/>
        <v>19016037</v>
      </c>
      <c r="G17" s="59">
        <f t="shared" si="16"/>
        <v>0</v>
      </c>
      <c r="H17" s="59">
        <f>SUM(H2:H16)</f>
        <v>10222494</v>
      </c>
      <c r="I17" s="59">
        <f>SUM(I2:I16)</f>
        <v>10222494</v>
      </c>
      <c r="J17" s="9">
        <f>I17-H17</f>
        <v>0</v>
      </c>
      <c r="K17" s="3"/>
      <c r="L17" s="49">
        <f>+SUM(L2:L16)</f>
        <v>19016037</v>
      </c>
      <c r="M17" s="49">
        <f t="shared" ref="M17:O17" si="17">+SUM(M2:M16)</f>
        <v>19016037</v>
      </c>
      <c r="N17" s="49">
        <f>+SUM(N2:N16)</f>
        <v>13144803</v>
      </c>
      <c r="O17" s="49">
        <f t="shared" si="17"/>
        <v>0</v>
      </c>
    </row>
    <row r="18" spans="1:15" ht="16.5">
      <c r="A18" s="10"/>
      <c r="B18" s="11"/>
      <c r="C18" s="12"/>
      <c r="D18" s="13"/>
      <c r="E18" s="12"/>
      <c r="F18" s="13"/>
      <c r="G18" s="12"/>
      <c r="H18" s="12"/>
      <c r="I18" s="143" t="b">
        <f>I17=D20</f>
        <v>1</v>
      </c>
      <c r="L18" s="5"/>
      <c r="M18" s="5"/>
      <c r="N18" s="5"/>
      <c r="O18" s="5"/>
    </row>
    <row r="19" spans="1:15" ht="16.5">
      <c r="A19" s="10" t="s">
        <v>182</v>
      </c>
      <c r="B19" s="11" t="s">
        <v>183</v>
      </c>
      <c r="C19" s="12" t="s">
        <v>184</v>
      </c>
      <c r="D19" s="12" t="s">
        <v>627</v>
      </c>
      <c r="E19" s="12" t="s">
        <v>52</v>
      </c>
      <c r="F19" s="12"/>
      <c r="G19" s="12">
        <f>+D17-F17</f>
        <v>0</v>
      </c>
      <c r="H19" s="12"/>
      <c r="I19" s="12"/>
    </row>
    <row r="20" spans="1:15" ht="16.5">
      <c r="A20" s="14">
        <f>C17</f>
        <v>23367297</v>
      </c>
      <c r="B20" s="15">
        <f>G17</f>
        <v>0</v>
      </c>
      <c r="C20" s="12">
        <f>E17</f>
        <v>13144803</v>
      </c>
      <c r="D20" s="12">
        <f>A20+B20-C20</f>
        <v>10222494</v>
      </c>
      <c r="E20" s="13">
        <f>I17-D20</f>
        <v>0</v>
      </c>
      <c r="F20" s="12"/>
      <c r="G20" s="12"/>
      <c r="H20" s="12"/>
      <c r="I20" s="12"/>
    </row>
    <row r="21" spans="1:15" ht="16.5">
      <c r="A21" s="14"/>
      <c r="B21" s="15"/>
      <c r="C21" s="12"/>
      <c r="D21" s="12"/>
      <c r="E21" s="13"/>
      <c r="F21" s="12"/>
      <c r="G21" s="12"/>
      <c r="H21" s="12"/>
      <c r="I21" s="12"/>
    </row>
    <row r="22" spans="1:15">
      <c r="A22" s="16" t="s">
        <v>53</v>
      </c>
      <c r="B22" s="16"/>
      <c r="C22" s="16"/>
      <c r="D22" s="17"/>
      <c r="E22" s="17"/>
      <c r="F22" s="17"/>
      <c r="G22" s="17"/>
      <c r="H22" s="17"/>
      <c r="I22" s="17"/>
    </row>
    <row r="23" spans="1:15">
      <c r="A23" s="18" t="s">
        <v>447</v>
      </c>
      <c r="B23" s="18"/>
      <c r="C23" s="18"/>
      <c r="D23" s="18"/>
      <c r="E23" s="18"/>
      <c r="F23" s="18"/>
      <c r="G23" s="18"/>
      <c r="H23" s="18"/>
      <c r="I23" s="18"/>
      <c r="J23" s="18"/>
    </row>
    <row r="24" spans="1:15">
      <c r="A24" s="19"/>
      <c r="B24" s="20"/>
      <c r="C24" s="21"/>
      <c r="D24" s="21"/>
      <c r="E24" s="21"/>
      <c r="F24" s="21"/>
      <c r="G24" s="21"/>
      <c r="H24" s="20"/>
      <c r="I24" s="20"/>
    </row>
    <row r="25" spans="1:15">
      <c r="A25" s="276" t="s">
        <v>54</v>
      </c>
      <c r="B25" s="278" t="s">
        <v>55</v>
      </c>
      <c r="C25" s="280" t="s">
        <v>185</v>
      </c>
      <c r="D25" s="282" t="s">
        <v>56</v>
      </c>
      <c r="E25" s="283"/>
      <c r="F25" s="283"/>
      <c r="G25" s="284"/>
      <c r="H25" s="285" t="s">
        <v>57</v>
      </c>
      <c r="I25" s="272" t="s">
        <v>58</v>
      </c>
      <c r="J25" s="20"/>
    </row>
    <row r="26" spans="1:15" ht="28.5" customHeight="1">
      <c r="A26" s="277"/>
      <c r="B26" s="279"/>
      <c r="C26" s="281"/>
      <c r="D26" s="22" t="s">
        <v>24</v>
      </c>
      <c r="E26" s="22" t="s">
        <v>25</v>
      </c>
      <c r="F26" s="221" t="s">
        <v>124</v>
      </c>
      <c r="G26" s="22" t="s">
        <v>59</v>
      </c>
      <c r="H26" s="286"/>
      <c r="I26" s="273"/>
      <c r="J26" s="274" t="s">
        <v>186</v>
      </c>
      <c r="K26" s="155"/>
    </row>
    <row r="27" spans="1:15">
      <c r="A27" s="24"/>
      <c r="B27" s="25" t="s">
        <v>60</v>
      </c>
      <c r="C27" s="26"/>
      <c r="D27" s="26"/>
      <c r="E27" s="26"/>
      <c r="F27" s="26"/>
      <c r="G27" s="26"/>
      <c r="H27" s="26"/>
      <c r="I27" s="27"/>
      <c r="J27" s="275"/>
      <c r="K27" s="155"/>
    </row>
    <row r="28" spans="1:15">
      <c r="A28" s="130" t="s">
        <v>104</v>
      </c>
      <c r="B28" s="135" t="s">
        <v>165</v>
      </c>
      <c r="C28" s="33">
        <f>+C2</f>
        <v>29107</v>
      </c>
      <c r="D28" s="32"/>
      <c r="E28" s="33">
        <f>D2</f>
        <v>1125000</v>
      </c>
      <c r="F28" s="33"/>
      <c r="G28" s="33"/>
      <c r="H28" s="57">
        <f>+F2</f>
        <v>145357</v>
      </c>
      <c r="I28" s="33">
        <f>+E2</f>
        <v>1008750</v>
      </c>
      <c r="J28" s="31">
        <f>+SUM(C28:G28)-(H28+I28)</f>
        <v>0</v>
      </c>
      <c r="K28" s="156" t="b">
        <f>J28=I2</f>
        <v>1</v>
      </c>
    </row>
    <row r="29" spans="1:15">
      <c r="A29" s="130" t="str">
        <f>A28</f>
        <v>DECEMBRE</v>
      </c>
      <c r="B29" s="135" t="s">
        <v>176</v>
      </c>
      <c r="C29" s="33">
        <f>+C3</f>
        <v>4000</v>
      </c>
      <c r="D29" s="32"/>
      <c r="E29" s="33">
        <f>+D3</f>
        <v>426000</v>
      </c>
      <c r="F29" s="33"/>
      <c r="G29" s="33"/>
      <c r="H29" s="57">
        <f>+F3</f>
        <v>0</v>
      </c>
      <c r="I29" s="33">
        <f>+E3</f>
        <v>420500</v>
      </c>
      <c r="J29" s="31">
        <f t="shared" ref="J29:J30" si="18">+SUM(C29:G29)-(H29+I29)</f>
        <v>9500</v>
      </c>
      <c r="K29" s="156" t="b">
        <f>J29=I3</f>
        <v>1</v>
      </c>
    </row>
    <row r="30" spans="1:15">
      <c r="A30" s="130" t="str">
        <f>+A29</f>
        <v>DECEMBRE</v>
      </c>
      <c r="B30" s="135" t="s">
        <v>48</v>
      </c>
      <c r="C30" s="33">
        <f>+C7</f>
        <v>-3675</v>
      </c>
      <c r="D30" s="32"/>
      <c r="E30" s="33">
        <f>+D7</f>
        <v>1778500</v>
      </c>
      <c r="F30" s="33"/>
      <c r="G30" s="33"/>
      <c r="H30" s="57">
        <f>+F7</f>
        <v>145000</v>
      </c>
      <c r="I30" s="33">
        <f>+E7</f>
        <v>1666925</v>
      </c>
      <c r="J30" s="107">
        <f t="shared" si="18"/>
        <v>-37100</v>
      </c>
      <c r="K30" s="156" t="b">
        <f>J30=I7</f>
        <v>1</v>
      </c>
    </row>
    <row r="31" spans="1:15">
      <c r="A31" s="130" t="str">
        <f t="shared" ref="A31:A39" si="19">+A30</f>
        <v>DECEMBRE</v>
      </c>
      <c r="B31" s="136" t="s">
        <v>31</v>
      </c>
      <c r="C31" s="33">
        <f>+C8</f>
        <v>7595</v>
      </c>
      <c r="D31" s="127"/>
      <c r="E31" s="33">
        <f>+D8</f>
        <v>286000</v>
      </c>
      <c r="F31" s="53"/>
      <c r="G31" s="53"/>
      <c r="H31" s="57">
        <f>+F8</f>
        <v>0</v>
      </c>
      <c r="I31" s="33">
        <f>+E8</f>
        <v>284950</v>
      </c>
      <c r="J31" s="132">
        <f>+SUM(C31:G31)-(H31+I31)</f>
        <v>8645</v>
      </c>
      <c r="K31" s="156" t="b">
        <f t="shared" ref="K31:K39" si="20">J31=I8</f>
        <v>1</v>
      </c>
    </row>
    <row r="32" spans="1:15">
      <c r="A32" s="130" t="str">
        <f t="shared" si="19"/>
        <v>DECEMBRE</v>
      </c>
      <c r="B32" s="137" t="s">
        <v>85</v>
      </c>
      <c r="C32" s="128">
        <f>+C9</f>
        <v>233614</v>
      </c>
      <c r="D32" s="131"/>
      <c r="E32" s="128">
        <f>+D9</f>
        <v>0</v>
      </c>
      <c r="F32" s="146"/>
      <c r="G32" s="146"/>
      <c r="H32" s="181">
        <f>+F9</f>
        <v>0</v>
      </c>
      <c r="I32" s="128">
        <f>+E9</f>
        <v>0</v>
      </c>
      <c r="J32" s="129">
        <f>+SUM(C32:G32)-(H32+I32)</f>
        <v>233614</v>
      </c>
      <c r="K32" s="156" t="b">
        <f t="shared" si="20"/>
        <v>1</v>
      </c>
    </row>
    <row r="33" spans="1:11">
      <c r="A33" s="130" t="str">
        <f t="shared" si="19"/>
        <v>DECEMBRE</v>
      </c>
      <c r="B33" s="137" t="s">
        <v>84</v>
      </c>
      <c r="C33" s="128">
        <f>+C10</f>
        <v>249769</v>
      </c>
      <c r="D33" s="131"/>
      <c r="E33" s="128">
        <f>+D10</f>
        <v>0</v>
      </c>
      <c r="F33" s="146"/>
      <c r="G33" s="146"/>
      <c r="H33" s="181">
        <f>+F10</f>
        <v>0</v>
      </c>
      <c r="I33" s="128">
        <f>+E10</f>
        <v>0</v>
      </c>
      <c r="J33" s="129">
        <f t="shared" ref="J33:J39" si="21">+SUM(C33:G33)-(H33+I33)</f>
        <v>249769</v>
      </c>
      <c r="K33" s="156" t="b">
        <f t="shared" si="20"/>
        <v>1</v>
      </c>
    </row>
    <row r="34" spans="1:11">
      <c r="A34" s="130" t="str">
        <f t="shared" si="19"/>
        <v>DECEMBRE</v>
      </c>
      <c r="B34" s="135" t="s">
        <v>155</v>
      </c>
      <c r="C34" s="33">
        <f>+C11</f>
        <v>-6000</v>
      </c>
      <c r="D34" s="32"/>
      <c r="E34" s="33">
        <f>+D11</f>
        <v>797000</v>
      </c>
      <c r="F34" s="33"/>
      <c r="G34" s="110"/>
      <c r="H34" s="57">
        <f>+F11</f>
        <v>177180</v>
      </c>
      <c r="I34" s="33">
        <f>+E11</f>
        <v>578885</v>
      </c>
      <c r="J34" s="31">
        <f t="shared" si="21"/>
        <v>34935</v>
      </c>
      <c r="K34" s="156" t="b">
        <f t="shared" si="20"/>
        <v>1</v>
      </c>
    </row>
    <row r="35" spans="1:11">
      <c r="A35" s="130" t="str">
        <f t="shared" si="19"/>
        <v>DECEMBRE</v>
      </c>
      <c r="B35" s="135" t="s">
        <v>154</v>
      </c>
      <c r="C35" s="33">
        <f t="shared" ref="C35:C39" si="22">+C12</f>
        <v>48400</v>
      </c>
      <c r="D35" s="32"/>
      <c r="E35" s="33">
        <f t="shared" ref="E35:E39" si="23">+D12</f>
        <v>847000</v>
      </c>
      <c r="F35" s="33"/>
      <c r="G35" s="110"/>
      <c r="H35" s="57">
        <f t="shared" ref="H35:H39" si="24">+F12</f>
        <v>658000</v>
      </c>
      <c r="I35" s="33">
        <f t="shared" ref="I35:I39" si="25">+E12</f>
        <v>193200</v>
      </c>
      <c r="J35" s="31">
        <f t="shared" si="21"/>
        <v>44200</v>
      </c>
      <c r="K35" s="156" t="b">
        <f t="shared" si="20"/>
        <v>1</v>
      </c>
    </row>
    <row r="36" spans="1:11">
      <c r="A36" s="130" t="str">
        <f t="shared" si="19"/>
        <v>DECEMBRE</v>
      </c>
      <c r="B36" s="135" t="s">
        <v>30</v>
      </c>
      <c r="C36" s="33">
        <f t="shared" si="22"/>
        <v>6800</v>
      </c>
      <c r="D36" s="32"/>
      <c r="E36" s="33">
        <f t="shared" si="23"/>
        <v>861000</v>
      </c>
      <c r="F36" s="33"/>
      <c r="G36" s="110"/>
      <c r="H36" s="57">
        <f t="shared" si="24"/>
        <v>0</v>
      </c>
      <c r="I36" s="33">
        <f t="shared" si="25"/>
        <v>855750</v>
      </c>
      <c r="J36" s="31">
        <f t="shared" si="21"/>
        <v>12050</v>
      </c>
      <c r="K36" s="156" t="b">
        <f t="shared" si="20"/>
        <v>1</v>
      </c>
    </row>
    <row r="37" spans="1:11">
      <c r="A37" s="130" t="str">
        <f>+A35</f>
        <v>DECEMBRE</v>
      </c>
      <c r="B37" s="135" t="s">
        <v>94</v>
      </c>
      <c r="C37" s="33">
        <f t="shared" si="22"/>
        <v>5500</v>
      </c>
      <c r="D37" s="32"/>
      <c r="E37" s="33">
        <f t="shared" si="23"/>
        <v>0</v>
      </c>
      <c r="F37" s="33"/>
      <c r="G37" s="110"/>
      <c r="H37" s="57">
        <f t="shared" si="24"/>
        <v>0</v>
      </c>
      <c r="I37" s="33">
        <f t="shared" si="25"/>
        <v>0</v>
      </c>
      <c r="J37" s="31">
        <f t="shared" si="21"/>
        <v>5500</v>
      </c>
      <c r="K37" s="156" t="b">
        <f t="shared" si="20"/>
        <v>1</v>
      </c>
    </row>
    <row r="38" spans="1:11">
      <c r="A38" s="130" t="str">
        <f>+A36</f>
        <v>DECEMBRE</v>
      </c>
      <c r="B38" s="135" t="s">
        <v>29</v>
      </c>
      <c r="C38" s="33">
        <f t="shared" si="22"/>
        <v>30700</v>
      </c>
      <c r="D38" s="32"/>
      <c r="E38" s="33">
        <f t="shared" si="23"/>
        <v>1215000</v>
      </c>
      <c r="F38" s="33"/>
      <c r="G38" s="110"/>
      <c r="H38" s="57">
        <f t="shared" si="24"/>
        <v>490000</v>
      </c>
      <c r="I38" s="33">
        <f t="shared" si="25"/>
        <v>697500</v>
      </c>
      <c r="J38" s="31">
        <f t="shared" si="21"/>
        <v>58200</v>
      </c>
      <c r="K38" s="156" t="b">
        <f t="shared" si="20"/>
        <v>1</v>
      </c>
    </row>
    <row r="39" spans="1:11">
      <c r="A39" s="130" t="str">
        <f t="shared" si="19"/>
        <v>DECEMBRE</v>
      </c>
      <c r="B39" s="136" t="s">
        <v>114</v>
      </c>
      <c r="C39" s="33">
        <f t="shared" si="22"/>
        <v>9193</v>
      </c>
      <c r="D39" s="127"/>
      <c r="E39" s="33">
        <f t="shared" si="23"/>
        <v>1100180</v>
      </c>
      <c r="F39" s="53"/>
      <c r="G39" s="147"/>
      <c r="H39" s="57">
        <f t="shared" si="24"/>
        <v>650000</v>
      </c>
      <c r="I39" s="33">
        <f t="shared" si="25"/>
        <v>195700</v>
      </c>
      <c r="J39" s="31">
        <f t="shared" si="21"/>
        <v>263673</v>
      </c>
      <c r="K39" s="156" t="b">
        <f t="shared" si="20"/>
        <v>1</v>
      </c>
    </row>
    <row r="40" spans="1:11">
      <c r="A40" s="35" t="s">
        <v>61</v>
      </c>
      <c r="B40" s="36"/>
      <c r="C40" s="36"/>
      <c r="D40" s="36"/>
      <c r="E40" s="36"/>
      <c r="F40" s="36"/>
      <c r="G40" s="36"/>
      <c r="H40" s="36"/>
      <c r="I40" s="36"/>
      <c r="J40" s="37"/>
      <c r="K40" s="155"/>
    </row>
    <row r="41" spans="1:11">
      <c r="A41" s="130" t="str">
        <f>+A39</f>
        <v>DECEMBRE</v>
      </c>
      <c r="B41" s="38" t="s">
        <v>62</v>
      </c>
      <c r="C41" s="39">
        <f>+C6</f>
        <v>926369</v>
      </c>
      <c r="D41" s="51"/>
      <c r="E41" s="51">
        <f>D6</f>
        <v>10580357</v>
      </c>
      <c r="F41" s="51"/>
      <c r="G41" s="133"/>
      <c r="H41" s="53">
        <f>+F6</f>
        <v>6750500</v>
      </c>
      <c r="I41" s="134">
        <f>+E6</f>
        <v>3713706</v>
      </c>
      <c r="J41" s="46">
        <f>+SUM(C41:G41)-(H41+I41)</f>
        <v>1042520</v>
      </c>
      <c r="K41" s="156" t="b">
        <f>J41=I6</f>
        <v>1</v>
      </c>
    </row>
    <row r="42" spans="1:11">
      <c r="A42" s="44" t="s">
        <v>63</v>
      </c>
      <c r="B42" s="25"/>
      <c r="C42" s="36"/>
      <c r="D42" s="25"/>
      <c r="E42" s="25"/>
      <c r="F42" s="25"/>
      <c r="G42" s="25"/>
      <c r="H42" s="25"/>
      <c r="I42" s="25"/>
      <c r="J42" s="37"/>
      <c r="K42" s="155"/>
    </row>
    <row r="43" spans="1:11">
      <c r="A43" s="130" t="str">
        <f>+A41</f>
        <v>DECEMBRE</v>
      </c>
      <c r="B43" s="38" t="s">
        <v>170</v>
      </c>
      <c r="C43" s="133">
        <f>+C4</f>
        <v>5738718</v>
      </c>
      <c r="D43" s="140">
        <f>+G4</f>
        <v>0</v>
      </c>
      <c r="E43" s="51"/>
      <c r="F43" s="51"/>
      <c r="G43" s="51"/>
      <c r="H43" s="53">
        <f>+F4</f>
        <v>2000000</v>
      </c>
      <c r="I43" s="55">
        <f>+E4</f>
        <v>283345</v>
      </c>
      <c r="J43" s="46">
        <f>+SUM(C43:G43)-(H43+I43)</f>
        <v>3455373</v>
      </c>
      <c r="K43" s="156" t="b">
        <f>+J43=I4</f>
        <v>1</v>
      </c>
    </row>
    <row r="44" spans="1:11">
      <c r="A44" s="130" t="str">
        <f t="shared" ref="A44" si="26">+A43</f>
        <v>DECEMBRE</v>
      </c>
      <c r="B44" s="38" t="s">
        <v>65</v>
      </c>
      <c r="C44" s="133">
        <f>+C5</f>
        <v>16087207</v>
      </c>
      <c r="D44" s="51">
        <f>+G5</f>
        <v>0</v>
      </c>
      <c r="E44" s="50"/>
      <c r="F44" s="50"/>
      <c r="G44" s="50"/>
      <c r="H44" s="33">
        <f>+F5</f>
        <v>8000000</v>
      </c>
      <c r="I44" s="52">
        <f>+E5</f>
        <v>3245592</v>
      </c>
      <c r="J44" s="46">
        <f>SUM(C44:G44)-(H44+I44)</f>
        <v>4841615</v>
      </c>
      <c r="K44" s="156" t="b">
        <f>+J44=I5</f>
        <v>1</v>
      </c>
    </row>
    <row r="45" spans="1:11" ht="15.75">
      <c r="C45" s="151">
        <f>SUM(C29:C44)</f>
        <v>23338190</v>
      </c>
      <c r="I45" s="149">
        <f>SUM(I29:I44)</f>
        <v>12136053</v>
      </c>
      <c r="J45" s="111">
        <f>+SUM(J28:J44)</f>
        <v>10222494</v>
      </c>
      <c r="K45" s="5" t="b">
        <f>J45=I17</f>
        <v>1</v>
      </c>
    </row>
    <row r="46" spans="1:11">
      <c r="G46" s="9"/>
    </row>
    <row r="48" spans="1:11">
      <c r="A48" s="4">
        <v>44530</v>
      </c>
    </row>
    <row r="49" spans="1:15" ht="15.75">
      <c r="A49" s="6" t="s">
        <v>37</v>
      </c>
      <c r="B49" s="6" t="s">
        <v>1</v>
      </c>
      <c r="C49" s="6">
        <v>44501</v>
      </c>
      <c r="D49" s="7" t="s">
        <v>38</v>
      </c>
      <c r="E49" s="7" t="s">
        <v>39</v>
      </c>
      <c r="F49" s="7" t="s">
        <v>40</v>
      </c>
      <c r="G49" s="7" t="s">
        <v>41</v>
      </c>
      <c r="H49" s="6">
        <v>44530</v>
      </c>
      <c r="I49" s="7" t="s">
        <v>42</v>
      </c>
      <c r="K49" s="47"/>
      <c r="L49" s="47" t="s">
        <v>43</v>
      </c>
      <c r="M49" s="47" t="s">
        <v>44</v>
      </c>
      <c r="N49" s="47" t="s">
        <v>45</v>
      </c>
      <c r="O49" s="47" t="s">
        <v>46</v>
      </c>
    </row>
    <row r="50" spans="1:15" s="186" customFormat="1" ht="16.5">
      <c r="A50" s="60" t="str">
        <f>+K50</f>
        <v>Axel</v>
      </c>
      <c r="B50" s="188" t="s">
        <v>166</v>
      </c>
      <c r="C50" s="62">
        <v>6757</v>
      </c>
      <c r="D50" s="63">
        <f t="shared" ref="D50:D63" si="27">+L50</f>
        <v>337000</v>
      </c>
      <c r="E50" s="63">
        <f>+N50</f>
        <v>314650</v>
      </c>
      <c r="F50" s="63">
        <f>+M50</f>
        <v>0</v>
      </c>
      <c r="G50" s="63">
        <f t="shared" ref="G50:G52" si="28">+O50</f>
        <v>0</v>
      </c>
      <c r="H50" s="63">
        <v>29107</v>
      </c>
      <c r="I50" s="63">
        <f>+C50+D50-E50-F50+G50</f>
        <v>29107</v>
      </c>
      <c r="J50" s="9">
        <f>I50-H50</f>
        <v>0</v>
      </c>
      <c r="K50" s="187" t="s">
        <v>165</v>
      </c>
      <c r="L50" s="187">
        <v>337000</v>
      </c>
      <c r="M50" s="187">
        <v>0</v>
      </c>
      <c r="N50" s="187">
        <v>314650</v>
      </c>
      <c r="O50" s="187">
        <v>0</v>
      </c>
    </row>
    <row r="51" spans="1:15" ht="16.5">
      <c r="A51" s="60" t="str">
        <f>+K51</f>
        <v>B52</v>
      </c>
      <c r="B51" s="61" t="s">
        <v>47</v>
      </c>
      <c r="C51" s="62">
        <v>0</v>
      </c>
      <c r="D51" s="63">
        <f t="shared" si="27"/>
        <v>118000</v>
      </c>
      <c r="E51" s="63">
        <f>+N51</f>
        <v>114000</v>
      </c>
      <c r="F51" s="63">
        <f>+M51</f>
        <v>0</v>
      </c>
      <c r="G51" s="63">
        <f t="shared" si="28"/>
        <v>0</v>
      </c>
      <c r="H51" s="63">
        <v>4000</v>
      </c>
      <c r="I51" s="63">
        <f>+C51+D51-E51-F51+G51</f>
        <v>4000</v>
      </c>
      <c r="J51" s="9">
        <f>I51-H51</f>
        <v>0</v>
      </c>
      <c r="K51" s="47" t="s">
        <v>176</v>
      </c>
      <c r="L51" s="49">
        <v>118000</v>
      </c>
      <c r="M51" s="49">
        <v>0</v>
      </c>
      <c r="N51" s="49">
        <v>114000</v>
      </c>
      <c r="O51" s="49">
        <v>0</v>
      </c>
    </row>
    <row r="52" spans="1:15" ht="16.5">
      <c r="A52" s="60" t="str">
        <f>+K52</f>
        <v>BCI</v>
      </c>
      <c r="B52" s="61" t="s">
        <v>47</v>
      </c>
      <c r="C52" s="62">
        <v>6762063</v>
      </c>
      <c r="D52" s="63">
        <f t="shared" si="27"/>
        <v>0</v>
      </c>
      <c r="E52" s="63">
        <f>+N52</f>
        <v>23345</v>
      </c>
      <c r="F52" s="63">
        <f>+M52</f>
        <v>1000000</v>
      </c>
      <c r="G52" s="63">
        <f t="shared" si="28"/>
        <v>0</v>
      </c>
      <c r="H52" s="63">
        <v>5738718</v>
      </c>
      <c r="I52" s="63">
        <f>+C52+D52-E52-F52+G52</f>
        <v>5738718</v>
      </c>
      <c r="J52" s="9">
        <f t="shared" ref="J52:J59" si="29">I52-H52</f>
        <v>0</v>
      </c>
      <c r="K52" s="47" t="s">
        <v>24</v>
      </c>
      <c r="L52" s="49">
        <v>0</v>
      </c>
      <c r="M52" s="49">
        <v>1000000</v>
      </c>
      <c r="N52" s="49">
        <v>23345</v>
      </c>
      <c r="O52" s="49">
        <v>0</v>
      </c>
    </row>
    <row r="53" spans="1:15" ht="16.5">
      <c r="A53" s="60" t="str">
        <f t="shared" ref="A53:A55" si="30">+K53</f>
        <v>BCI-Sous Compte</v>
      </c>
      <c r="B53" s="61" t="s">
        <v>25</v>
      </c>
      <c r="C53" s="62">
        <v>23107840</v>
      </c>
      <c r="D53" s="63">
        <f t="shared" si="27"/>
        <v>0</v>
      </c>
      <c r="E53" s="63">
        <f>+N53</f>
        <v>4020633</v>
      </c>
      <c r="F53" s="63">
        <f>+M53</f>
        <v>3000000</v>
      </c>
      <c r="G53" s="63">
        <f t="shared" ref="G53:G64" si="31">+O53</f>
        <v>0</v>
      </c>
      <c r="H53" s="63">
        <v>16087207</v>
      </c>
      <c r="I53" s="63">
        <f>+C53+D53-E53-F53+G53</f>
        <v>16087207</v>
      </c>
      <c r="J53" s="108">
        <f t="shared" si="29"/>
        <v>0</v>
      </c>
      <c r="K53" s="47" t="s">
        <v>160</v>
      </c>
      <c r="L53" s="49">
        <v>0</v>
      </c>
      <c r="M53" s="49">
        <v>3000000</v>
      </c>
      <c r="N53" s="49">
        <v>4020633</v>
      </c>
      <c r="O53" s="49">
        <v>0</v>
      </c>
    </row>
    <row r="54" spans="1:15" ht="16.5">
      <c r="A54" s="60" t="str">
        <f t="shared" si="30"/>
        <v>Caisse</v>
      </c>
      <c r="B54" s="61" t="s">
        <v>166</v>
      </c>
      <c r="C54" s="62">
        <v>1685107</v>
      </c>
      <c r="D54" s="63">
        <f t="shared" si="27"/>
        <v>4090000</v>
      </c>
      <c r="E54" s="63">
        <f t="shared" ref="E54" si="32">+N54</f>
        <v>2854238</v>
      </c>
      <c r="F54" s="63">
        <f t="shared" ref="F54:F61" si="33">+M54</f>
        <v>1994500</v>
      </c>
      <c r="G54" s="63">
        <f t="shared" si="31"/>
        <v>0</v>
      </c>
      <c r="H54" s="63">
        <v>926369</v>
      </c>
      <c r="I54" s="63">
        <f>+C54+D54-E54-F54+G54</f>
        <v>926369</v>
      </c>
      <c r="J54" s="9">
        <f t="shared" si="29"/>
        <v>0</v>
      </c>
      <c r="K54" s="47" t="s">
        <v>25</v>
      </c>
      <c r="L54" s="49">
        <v>4090000</v>
      </c>
      <c r="M54" s="49">
        <v>1994500</v>
      </c>
      <c r="N54" s="49">
        <v>2854238</v>
      </c>
      <c r="O54" s="49">
        <v>0</v>
      </c>
    </row>
    <row r="55" spans="1:15" ht="16.5">
      <c r="A55" s="60" t="str">
        <f t="shared" si="30"/>
        <v>Crépin</v>
      </c>
      <c r="B55" s="61" t="s">
        <v>168</v>
      </c>
      <c r="C55" s="62">
        <v>7200</v>
      </c>
      <c r="D55" s="63">
        <f t="shared" si="27"/>
        <v>286000</v>
      </c>
      <c r="E55" s="63">
        <f>+N55</f>
        <v>226875</v>
      </c>
      <c r="F55" s="63">
        <f t="shared" si="33"/>
        <v>70000</v>
      </c>
      <c r="G55" s="63">
        <f t="shared" si="31"/>
        <v>0</v>
      </c>
      <c r="H55" s="63">
        <v>-3675</v>
      </c>
      <c r="I55" s="63">
        <f t="shared" ref="I55" si="34">+C55+D55-E55-F55+G55</f>
        <v>-3675</v>
      </c>
      <c r="J55" s="9">
        <f t="shared" si="29"/>
        <v>0</v>
      </c>
      <c r="K55" s="47" t="s">
        <v>48</v>
      </c>
      <c r="L55" s="49">
        <v>286000</v>
      </c>
      <c r="M55" s="49">
        <v>70000</v>
      </c>
      <c r="N55" s="49">
        <v>226875</v>
      </c>
      <c r="O55" s="49">
        <v>0</v>
      </c>
    </row>
    <row r="56" spans="1:15" ht="16.5">
      <c r="A56" s="60" t="str">
        <f>K56</f>
        <v>Evariste</v>
      </c>
      <c r="B56" s="61" t="s">
        <v>166</v>
      </c>
      <c r="C56" s="62">
        <v>10095</v>
      </c>
      <c r="D56" s="63">
        <f t="shared" si="27"/>
        <v>70500</v>
      </c>
      <c r="E56" s="63">
        <f t="shared" ref="E56" si="35">+N56</f>
        <v>73000</v>
      </c>
      <c r="F56" s="63">
        <f t="shared" si="33"/>
        <v>0</v>
      </c>
      <c r="G56" s="63">
        <f t="shared" si="31"/>
        <v>0</v>
      </c>
      <c r="H56" s="63">
        <v>7595</v>
      </c>
      <c r="I56" s="63">
        <f>+C56+D56-E56-F56+G56</f>
        <v>7595</v>
      </c>
      <c r="J56" s="9">
        <f t="shared" si="29"/>
        <v>0</v>
      </c>
      <c r="K56" s="47" t="s">
        <v>31</v>
      </c>
      <c r="L56" s="49">
        <v>70500</v>
      </c>
      <c r="M56" s="49">
        <v>0</v>
      </c>
      <c r="N56" s="49">
        <v>73000</v>
      </c>
      <c r="O56" s="49">
        <v>0</v>
      </c>
    </row>
    <row r="57" spans="1:15" ht="16.5">
      <c r="A57" s="123" t="str">
        <f t="shared" ref="A57:A64" si="36">+K57</f>
        <v>I55S</v>
      </c>
      <c r="B57" s="124" t="s">
        <v>4</v>
      </c>
      <c r="C57" s="125">
        <v>233614</v>
      </c>
      <c r="D57" s="126">
        <f t="shared" si="27"/>
        <v>0</v>
      </c>
      <c r="E57" s="126">
        <f>+N57</f>
        <v>0</v>
      </c>
      <c r="F57" s="126">
        <f t="shared" si="33"/>
        <v>0</v>
      </c>
      <c r="G57" s="126">
        <f t="shared" si="31"/>
        <v>0</v>
      </c>
      <c r="H57" s="126">
        <v>233614</v>
      </c>
      <c r="I57" s="126">
        <f>+C57+D57-E57-F57+G57</f>
        <v>233614</v>
      </c>
      <c r="J57" s="9">
        <f t="shared" si="29"/>
        <v>0</v>
      </c>
      <c r="K57" s="47" t="s">
        <v>85</v>
      </c>
      <c r="L57" s="49">
        <v>0</v>
      </c>
      <c r="M57" s="49">
        <v>0</v>
      </c>
      <c r="N57" s="49">
        <v>0</v>
      </c>
      <c r="O57" s="49">
        <v>0</v>
      </c>
    </row>
    <row r="58" spans="1:15" ht="16.5">
      <c r="A58" s="123" t="str">
        <f t="shared" si="36"/>
        <v>I73X</v>
      </c>
      <c r="B58" s="124" t="s">
        <v>4</v>
      </c>
      <c r="C58" s="125">
        <v>249769</v>
      </c>
      <c r="D58" s="126">
        <f t="shared" si="27"/>
        <v>0</v>
      </c>
      <c r="E58" s="126">
        <f>+N58</f>
        <v>0</v>
      </c>
      <c r="F58" s="126">
        <f t="shared" si="33"/>
        <v>0</v>
      </c>
      <c r="G58" s="126">
        <f t="shared" si="31"/>
        <v>0</v>
      </c>
      <c r="H58" s="126">
        <v>249769</v>
      </c>
      <c r="I58" s="126">
        <f t="shared" ref="I58:I61" si="37">+C58+D58-E58-F58+G58</f>
        <v>249769</v>
      </c>
      <c r="J58" s="9">
        <f t="shared" si="29"/>
        <v>0</v>
      </c>
      <c r="K58" s="47" t="s">
        <v>84</v>
      </c>
      <c r="L58" s="49">
        <v>0</v>
      </c>
      <c r="M58" s="49">
        <v>0</v>
      </c>
      <c r="N58" s="49">
        <v>0</v>
      </c>
      <c r="O58" s="49">
        <v>0</v>
      </c>
    </row>
    <row r="59" spans="1:15" ht="16.5">
      <c r="A59" s="60" t="str">
        <f t="shared" si="36"/>
        <v>Godfré</v>
      </c>
      <c r="B59" s="104" t="s">
        <v>2</v>
      </c>
      <c r="C59" s="62">
        <v>3550</v>
      </c>
      <c r="D59" s="63">
        <f t="shared" si="27"/>
        <v>43000</v>
      </c>
      <c r="E59" s="180">
        <f t="shared" ref="E59:E64" si="38">+N59</f>
        <v>52550</v>
      </c>
      <c r="F59" s="63">
        <f t="shared" si="33"/>
        <v>0</v>
      </c>
      <c r="G59" s="63">
        <f t="shared" si="31"/>
        <v>0</v>
      </c>
      <c r="H59" s="63">
        <v>-6000</v>
      </c>
      <c r="I59" s="63">
        <f t="shared" si="37"/>
        <v>-6000</v>
      </c>
      <c r="J59" s="9">
        <f t="shared" si="29"/>
        <v>0</v>
      </c>
      <c r="K59" s="47" t="s">
        <v>155</v>
      </c>
      <c r="L59" s="49">
        <v>43000</v>
      </c>
      <c r="M59" s="49">
        <v>0</v>
      </c>
      <c r="N59" s="49">
        <v>52550</v>
      </c>
      <c r="O59" s="49">
        <v>0</v>
      </c>
    </row>
    <row r="60" spans="1:15" ht="16.5">
      <c r="A60" s="60" t="str">
        <f t="shared" si="36"/>
        <v>Grace</v>
      </c>
      <c r="B60" s="61" t="s">
        <v>4</v>
      </c>
      <c r="C60" s="62">
        <v>61300</v>
      </c>
      <c r="D60" s="63">
        <f t="shared" si="27"/>
        <v>53000</v>
      </c>
      <c r="E60" s="180">
        <f t="shared" si="38"/>
        <v>45900</v>
      </c>
      <c r="F60" s="63">
        <f t="shared" si="33"/>
        <v>20000</v>
      </c>
      <c r="G60" s="63">
        <f t="shared" si="31"/>
        <v>0</v>
      </c>
      <c r="H60" s="63">
        <v>48400</v>
      </c>
      <c r="I60" s="63">
        <f t="shared" si="37"/>
        <v>48400</v>
      </c>
      <c r="J60" s="9">
        <f>I60-H60</f>
        <v>0</v>
      </c>
      <c r="K60" s="47" t="s">
        <v>154</v>
      </c>
      <c r="L60" s="49">
        <v>53000</v>
      </c>
      <c r="M60" s="49">
        <v>20000</v>
      </c>
      <c r="N60" s="49">
        <v>45900</v>
      </c>
      <c r="O60" s="49">
        <v>0</v>
      </c>
    </row>
    <row r="61" spans="1:15" ht="16.5">
      <c r="A61" s="60" t="str">
        <f t="shared" si="36"/>
        <v>I23C</v>
      </c>
      <c r="B61" s="104" t="s">
        <v>2</v>
      </c>
      <c r="C61" s="62">
        <v>10800</v>
      </c>
      <c r="D61" s="63">
        <f t="shared" si="27"/>
        <v>488000</v>
      </c>
      <c r="E61" s="180">
        <f t="shared" si="38"/>
        <v>492000</v>
      </c>
      <c r="F61" s="63">
        <f t="shared" si="33"/>
        <v>0</v>
      </c>
      <c r="G61" s="63">
        <f t="shared" si="31"/>
        <v>0</v>
      </c>
      <c r="H61" s="63">
        <v>6800</v>
      </c>
      <c r="I61" s="63">
        <f t="shared" si="37"/>
        <v>6800</v>
      </c>
      <c r="J61" s="9">
        <f t="shared" ref="J61" si="39">I61-H61</f>
        <v>0</v>
      </c>
      <c r="K61" s="47" t="s">
        <v>30</v>
      </c>
      <c r="L61" s="49">
        <v>488000</v>
      </c>
      <c r="M61" s="49">
        <v>0</v>
      </c>
      <c r="N61" s="49">
        <v>492000</v>
      </c>
      <c r="O61" s="49">
        <v>0</v>
      </c>
    </row>
    <row r="62" spans="1:15" ht="16.5">
      <c r="A62" s="60" t="str">
        <f t="shared" si="36"/>
        <v>Merveille</v>
      </c>
      <c r="B62" s="61" t="s">
        <v>4</v>
      </c>
      <c r="C62" s="62">
        <v>9500</v>
      </c>
      <c r="D62" s="63">
        <f t="shared" si="27"/>
        <v>20000</v>
      </c>
      <c r="E62" s="180">
        <f t="shared" si="38"/>
        <v>24000</v>
      </c>
      <c r="F62" s="63">
        <f t="shared" ref="F62" si="40">+M62</f>
        <v>0</v>
      </c>
      <c r="G62" s="63">
        <f t="shared" ref="G62" si="41">+O62</f>
        <v>0</v>
      </c>
      <c r="H62" s="63">
        <v>5500</v>
      </c>
      <c r="I62" s="63">
        <f t="shared" ref="I62" si="42">+C62+D62-E62-F62+G62</f>
        <v>5500</v>
      </c>
      <c r="J62" s="9">
        <f t="shared" ref="J62" si="43">I62-H62</f>
        <v>0</v>
      </c>
      <c r="K62" s="47" t="s">
        <v>94</v>
      </c>
      <c r="L62" s="49">
        <v>20000</v>
      </c>
      <c r="M62" s="49">
        <v>0</v>
      </c>
      <c r="N62" s="49">
        <v>24000</v>
      </c>
      <c r="O62" s="49"/>
    </row>
    <row r="63" spans="1:15" ht="16.5">
      <c r="A63" s="60" t="str">
        <f t="shared" si="36"/>
        <v>P29</v>
      </c>
      <c r="B63" s="61" t="s">
        <v>166</v>
      </c>
      <c r="C63" s="62">
        <v>21200</v>
      </c>
      <c r="D63" s="63">
        <f t="shared" si="27"/>
        <v>543000</v>
      </c>
      <c r="E63" s="180">
        <f t="shared" si="38"/>
        <v>533500</v>
      </c>
      <c r="F63" s="63">
        <f>+M63</f>
        <v>0</v>
      </c>
      <c r="G63" s="63">
        <f>+O63</f>
        <v>0</v>
      </c>
      <c r="H63" s="63">
        <v>30700</v>
      </c>
      <c r="I63" s="63">
        <f>+C63+D63-E63-F63+G63</f>
        <v>30700</v>
      </c>
      <c r="J63" s="9">
        <f>I63-H63</f>
        <v>0</v>
      </c>
      <c r="K63" s="47" t="s">
        <v>29</v>
      </c>
      <c r="L63" s="49">
        <v>543000</v>
      </c>
      <c r="M63" s="49">
        <v>0</v>
      </c>
      <c r="N63" s="49">
        <v>533500</v>
      </c>
      <c r="O63" s="49">
        <v>0</v>
      </c>
    </row>
    <row r="64" spans="1:15" ht="16.5">
      <c r="A64" s="60" t="str">
        <f t="shared" si="36"/>
        <v>Tiffany</v>
      </c>
      <c r="B64" s="61" t="s">
        <v>2</v>
      </c>
      <c r="C64" s="62">
        <v>26193</v>
      </c>
      <c r="D64" s="63">
        <f t="shared" ref="D64" si="44">+L64</f>
        <v>36000</v>
      </c>
      <c r="E64" s="180">
        <f t="shared" si="38"/>
        <v>53000</v>
      </c>
      <c r="F64" s="63">
        <f t="shared" ref="F64" si="45">+M64</f>
        <v>0</v>
      </c>
      <c r="G64" s="63">
        <f t="shared" si="31"/>
        <v>0</v>
      </c>
      <c r="H64" s="63">
        <v>9193</v>
      </c>
      <c r="I64" s="63">
        <f t="shared" ref="I64" si="46">+C64+D64-E64-F64+G64</f>
        <v>9193</v>
      </c>
      <c r="J64" s="9">
        <f t="shared" ref="J64" si="47">I64-H64</f>
        <v>0</v>
      </c>
      <c r="K64" s="47" t="s">
        <v>114</v>
      </c>
      <c r="L64" s="49">
        <v>36000</v>
      </c>
      <c r="M64" s="49">
        <v>0</v>
      </c>
      <c r="N64" s="49">
        <v>53000</v>
      </c>
      <c r="O64" s="49">
        <v>0</v>
      </c>
    </row>
    <row r="65" spans="1:15" ht="16.5">
      <c r="A65" s="10" t="s">
        <v>51</v>
      </c>
      <c r="B65" s="11"/>
      <c r="C65" s="12">
        <f>SUM(C50:C64)</f>
        <v>32194988</v>
      </c>
      <c r="D65" s="59">
        <f t="shared" ref="D65:G65" si="48">SUM(D50:D64)</f>
        <v>6084500</v>
      </c>
      <c r="E65" s="59">
        <f t="shared" si="48"/>
        <v>8827691</v>
      </c>
      <c r="F65" s="59">
        <f t="shared" si="48"/>
        <v>6084500</v>
      </c>
      <c r="G65" s="59">
        <f t="shared" si="48"/>
        <v>0</v>
      </c>
      <c r="H65" s="59">
        <f>SUM(H50:H64)</f>
        <v>23367297</v>
      </c>
      <c r="I65" s="59">
        <f>SUM(I50:I64)</f>
        <v>23367297</v>
      </c>
      <c r="J65" s="9">
        <f>I65-H65</f>
        <v>0</v>
      </c>
      <c r="K65" s="3"/>
      <c r="L65" s="49">
        <v>6084500</v>
      </c>
      <c r="M65" s="49">
        <v>6084500</v>
      </c>
      <c r="N65" s="49">
        <v>8828291</v>
      </c>
      <c r="O65" s="49">
        <v>0</v>
      </c>
    </row>
    <row r="66" spans="1:15" ht="16.5">
      <c r="A66" s="10"/>
      <c r="B66" s="11"/>
      <c r="C66" s="12"/>
      <c r="D66" s="13"/>
      <c r="E66" s="12"/>
      <c r="F66" s="13"/>
      <c r="G66" s="12"/>
      <c r="H66" s="12"/>
      <c r="I66" s="143" t="b">
        <f>I65=D68</f>
        <v>1</v>
      </c>
      <c r="L66" s="5"/>
      <c r="M66" s="5"/>
      <c r="N66" s="5"/>
      <c r="O66" s="5"/>
    </row>
    <row r="67" spans="1:15" ht="16.5">
      <c r="A67" s="10" t="s">
        <v>172</v>
      </c>
      <c r="B67" s="11" t="s">
        <v>174</v>
      </c>
      <c r="C67" s="12" t="s">
        <v>179</v>
      </c>
      <c r="D67" s="12" t="s">
        <v>171</v>
      </c>
      <c r="E67" s="12" t="s">
        <v>52</v>
      </c>
      <c r="F67" s="12"/>
      <c r="G67" s="12">
        <f>+D65-F65</f>
        <v>0</v>
      </c>
      <c r="H67" s="12"/>
      <c r="I67" s="12"/>
    </row>
    <row r="68" spans="1:15" ht="16.5">
      <c r="A68" s="14">
        <f>C65</f>
        <v>32194988</v>
      </c>
      <c r="B68" s="15">
        <f>G65</f>
        <v>0</v>
      </c>
      <c r="C68" s="12">
        <f>E65</f>
        <v>8827691</v>
      </c>
      <c r="D68" s="12">
        <f>A68+B68-C68</f>
        <v>23367297</v>
      </c>
      <c r="E68" s="13">
        <f>I65-D68</f>
        <v>0</v>
      </c>
      <c r="F68" s="12"/>
      <c r="G68" s="12"/>
      <c r="H68" s="12"/>
      <c r="I68" s="12"/>
    </row>
    <row r="69" spans="1:15" ht="16.5">
      <c r="A69" s="14"/>
      <c r="B69" s="15"/>
      <c r="C69" s="12"/>
      <c r="D69" s="12"/>
      <c r="E69" s="13"/>
      <c r="F69" s="12"/>
      <c r="G69" s="12"/>
      <c r="H69" s="12"/>
      <c r="I69" s="12"/>
    </row>
    <row r="70" spans="1:15">
      <c r="A70" s="16" t="s">
        <v>53</v>
      </c>
      <c r="B70" s="16"/>
      <c r="C70" s="16"/>
      <c r="D70" s="17"/>
      <c r="E70" s="17"/>
      <c r="F70" s="17"/>
      <c r="G70" s="17"/>
      <c r="H70" s="17"/>
      <c r="I70" s="17"/>
    </row>
    <row r="71" spans="1:15">
      <c r="A71" s="18" t="s">
        <v>173</v>
      </c>
      <c r="B71" s="18"/>
      <c r="C71" s="18"/>
      <c r="D71" s="18"/>
      <c r="E71" s="18"/>
      <c r="F71" s="18"/>
      <c r="G71" s="18"/>
      <c r="H71" s="18"/>
      <c r="I71" s="18"/>
      <c r="J71" s="18"/>
    </row>
    <row r="72" spans="1:15">
      <c r="A72" s="19"/>
      <c r="B72" s="20"/>
      <c r="C72" s="21"/>
      <c r="D72" s="21"/>
      <c r="E72" s="21"/>
      <c r="F72" s="21"/>
      <c r="G72" s="21"/>
      <c r="H72" s="20"/>
      <c r="I72" s="20"/>
    </row>
    <row r="73" spans="1:15">
      <c r="A73" s="276" t="s">
        <v>54</v>
      </c>
      <c r="B73" s="278" t="s">
        <v>55</v>
      </c>
      <c r="C73" s="280" t="s">
        <v>175</v>
      </c>
      <c r="D73" s="282" t="s">
        <v>56</v>
      </c>
      <c r="E73" s="283"/>
      <c r="F73" s="283"/>
      <c r="G73" s="284"/>
      <c r="H73" s="285" t="s">
        <v>57</v>
      </c>
      <c r="I73" s="272" t="s">
        <v>58</v>
      </c>
      <c r="J73" s="20"/>
    </row>
    <row r="74" spans="1:15" ht="28.5" customHeight="1">
      <c r="A74" s="277"/>
      <c r="B74" s="279"/>
      <c r="C74" s="281"/>
      <c r="D74" s="22" t="s">
        <v>24</v>
      </c>
      <c r="E74" s="22" t="s">
        <v>25</v>
      </c>
      <c r="F74" s="189" t="s">
        <v>124</v>
      </c>
      <c r="G74" s="22" t="s">
        <v>59</v>
      </c>
      <c r="H74" s="286"/>
      <c r="I74" s="273"/>
      <c r="J74" s="274" t="s">
        <v>187</v>
      </c>
      <c r="K74" s="155"/>
    </row>
    <row r="75" spans="1:15">
      <c r="A75" s="24"/>
      <c r="B75" s="25" t="s">
        <v>60</v>
      </c>
      <c r="C75" s="26"/>
      <c r="D75" s="26"/>
      <c r="E75" s="26"/>
      <c r="F75" s="26"/>
      <c r="G75" s="26"/>
      <c r="H75" s="26"/>
      <c r="I75" s="27"/>
      <c r="J75" s="275"/>
      <c r="K75" s="155"/>
    </row>
    <row r="76" spans="1:15">
      <c r="A76" s="130" t="s">
        <v>99</v>
      </c>
      <c r="B76" s="135" t="s">
        <v>165</v>
      </c>
      <c r="C76" s="33">
        <f>+C50</f>
        <v>6757</v>
      </c>
      <c r="D76" s="32"/>
      <c r="E76" s="33">
        <f>D50</f>
        <v>337000</v>
      </c>
      <c r="F76" s="33"/>
      <c r="G76" s="33"/>
      <c r="H76" s="57">
        <f>+F50</f>
        <v>0</v>
      </c>
      <c r="I76" s="33">
        <f>+E50</f>
        <v>314650</v>
      </c>
      <c r="J76" s="31">
        <f>+SUM(C76:G76)-(H76+I76)</f>
        <v>29107</v>
      </c>
      <c r="K76" s="156" t="b">
        <f>J76=I50</f>
        <v>1</v>
      </c>
    </row>
    <row r="77" spans="1:15">
      <c r="A77" s="130" t="str">
        <f>A76</f>
        <v>NOVEMBRE</v>
      </c>
      <c r="B77" s="135" t="s">
        <v>176</v>
      </c>
      <c r="C77" s="33">
        <f>+C51</f>
        <v>0</v>
      </c>
      <c r="D77" s="32"/>
      <c r="E77" s="33">
        <f>+D51</f>
        <v>118000</v>
      </c>
      <c r="F77" s="33"/>
      <c r="G77" s="33"/>
      <c r="H77" s="57">
        <f>+F51</f>
        <v>0</v>
      </c>
      <c r="I77" s="33">
        <f>+E51</f>
        <v>114000</v>
      </c>
      <c r="J77" s="31">
        <f t="shared" ref="J77:J78" si="49">+SUM(C77:G77)-(H77+I77)</f>
        <v>4000</v>
      </c>
      <c r="K77" s="156" t="b">
        <f>J77=I51</f>
        <v>1</v>
      </c>
    </row>
    <row r="78" spans="1:15">
      <c r="A78" s="130" t="str">
        <f>+A77</f>
        <v>NOVEMBRE</v>
      </c>
      <c r="B78" s="135" t="s">
        <v>48</v>
      </c>
      <c r="C78" s="33">
        <f>+C55</f>
        <v>7200</v>
      </c>
      <c r="D78" s="32"/>
      <c r="E78" s="33">
        <f>+D55</f>
        <v>286000</v>
      </c>
      <c r="F78" s="33"/>
      <c r="G78" s="33"/>
      <c r="H78" s="57">
        <f>+F55</f>
        <v>70000</v>
      </c>
      <c r="I78" s="33">
        <f>+E55</f>
        <v>226875</v>
      </c>
      <c r="J78" s="107">
        <f t="shared" si="49"/>
        <v>-3675</v>
      </c>
      <c r="K78" s="156" t="b">
        <f>J78=I55</f>
        <v>1</v>
      </c>
    </row>
    <row r="79" spans="1:15">
      <c r="A79" s="130" t="str">
        <f t="shared" ref="A79:A87" si="50">+A78</f>
        <v>NOVEMBRE</v>
      </c>
      <c r="B79" s="136" t="s">
        <v>31</v>
      </c>
      <c r="C79" s="33">
        <f>+C56</f>
        <v>10095</v>
      </c>
      <c r="D79" s="127"/>
      <c r="E79" s="33">
        <f>+D56</f>
        <v>70500</v>
      </c>
      <c r="F79" s="53"/>
      <c r="G79" s="53"/>
      <c r="H79" s="57">
        <f>+F56</f>
        <v>0</v>
      </c>
      <c r="I79" s="33">
        <f>+E56</f>
        <v>73000</v>
      </c>
      <c r="J79" s="132">
        <f>+SUM(C79:G79)-(H79+I79)</f>
        <v>7595</v>
      </c>
      <c r="K79" s="156" t="b">
        <f t="shared" ref="K79:K87" si="51">J79=I56</f>
        <v>1</v>
      </c>
    </row>
    <row r="80" spans="1:15">
      <c r="A80" s="130" t="str">
        <f t="shared" si="50"/>
        <v>NOVEMBRE</v>
      </c>
      <c r="B80" s="137" t="s">
        <v>85</v>
      </c>
      <c r="C80" s="128">
        <f>+C57</f>
        <v>233614</v>
      </c>
      <c r="D80" s="131"/>
      <c r="E80" s="128">
        <f>+D57</f>
        <v>0</v>
      </c>
      <c r="F80" s="146"/>
      <c r="G80" s="146"/>
      <c r="H80" s="181">
        <f>+F57</f>
        <v>0</v>
      </c>
      <c r="I80" s="128">
        <f>+E57</f>
        <v>0</v>
      </c>
      <c r="J80" s="129">
        <f>+SUM(C80:G80)-(H80+I80)</f>
        <v>233614</v>
      </c>
      <c r="K80" s="156" t="b">
        <f t="shared" si="51"/>
        <v>1</v>
      </c>
    </row>
    <row r="81" spans="1:11">
      <c r="A81" s="130" t="str">
        <f t="shared" si="50"/>
        <v>NOVEMBRE</v>
      </c>
      <c r="B81" s="137" t="s">
        <v>84</v>
      </c>
      <c r="C81" s="128">
        <f>+C58</f>
        <v>249769</v>
      </c>
      <c r="D81" s="131"/>
      <c r="E81" s="128">
        <f>+D58</f>
        <v>0</v>
      </c>
      <c r="F81" s="146"/>
      <c r="G81" s="146"/>
      <c r="H81" s="181">
        <f>+F58</f>
        <v>0</v>
      </c>
      <c r="I81" s="128">
        <f>+E58</f>
        <v>0</v>
      </c>
      <c r="J81" s="129">
        <f t="shared" ref="J81:J87" si="52">+SUM(C81:G81)-(H81+I81)</f>
        <v>249769</v>
      </c>
      <c r="K81" s="156" t="b">
        <f t="shared" si="51"/>
        <v>1</v>
      </c>
    </row>
    <row r="82" spans="1:11">
      <c r="A82" s="130" t="str">
        <f t="shared" si="50"/>
        <v>NOVEMBRE</v>
      </c>
      <c r="B82" s="135" t="s">
        <v>155</v>
      </c>
      <c r="C82" s="33">
        <f>+C59</f>
        <v>3550</v>
      </c>
      <c r="D82" s="32"/>
      <c r="E82" s="33">
        <f>+D59</f>
        <v>43000</v>
      </c>
      <c r="F82" s="33"/>
      <c r="G82" s="110"/>
      <c r="H82" s="57">
        <f>+F59</f>
        <v>0</v>
      </c>
      <c r="I82" s="33">
        <f>+E59</f>
        <v>52550</v>
      </c>
      <c r="J82" s="31">
        <f t="shared" si="52"/>
        <v>-6000</v>
      </c>
      <c r="K82" s="156" t="b">
        <f t="shared" si="51"/>
        <v>1</v>
      </c>
    </row>
    <row r="83" spans="1:11">
      <c r="A83" s="130" t="str">
        <f t="shared" si="50"/>
        <v>NOVEMBRE</v>
      </c>
      <c r="B83" s="135" t="s">
        <v>154</v>
      </c>
      <c r="C83" s="33">
        <f t="shared" ref="C83:C87" si="53">+C60</f>
        <v>61300</v>
      </c>
      <c r="D83" s="32"/>
      <c r="E83" s="33">
        <f t="shared" ref="E83:E87" si="54">+D60</f>
        <v>53000</v>
      </c>
      <c r="F83" s="33"/>
      <c r="G83" s="110"/>
      <c r="H83" s="57">
        <f t="shared" ref="H83:H87" si="55">+F60</f>
        <v>20000</v>
      </c>
      <c r="I83" s="33">
        <f t="shared" ref="I83:I87" si="56">+E60</f>
        <v>45900</v>
      </c>
      <c r="J83" s="31">
        <f t="shared" si="52"/>
        <v>48400</v>
      </c>
      <c r="K83" s="156" t="b">
        <f t="shared" si="51"/>
        <v>1</v>
      </c>
    </row>
    <row r="84" spans="1:11">
      <c r="A84" s="130" t="str">
        <f t="shared" si="50"/>
        <v>NOVEMBRE</v>
      </c>
      <c r="B84" s="135" t="s">
        <v>30</v>
      </c>
      <c r="C84" s="33">
        <f t="shared" si="53"/>
        <v>10800</v>
      </c>
      <c r="D84" s="32"/>
      <c r="E84" s="33">
        <f t="shared" si="54"/>
        <v>488000</v>
      </c>
      <c r="F84" s="33"/>
      <c r="G84" s="110"/>
      <c r="H84" s="57">
        <f t="shared" si="55"/>
        <v>0</v>
      </c>
      <c r="I84" s="33">
        <f t="shared" si="56"/>
        <v>492000</v>
      </c>
      <c r="J84" s="31">
        <f t="shared" si="52"/>
        <v>6800</v>
      </c>
      <c r="K84" s="156" t="b">
        <f t="shared" si="51"/>
        <v>1</v>
      </c>
    </row>
    <row r="85" spans="1:11">
      <c r="A85" s="130" t="str">
        <f>+A83</f>
        <v>NOVEMBRE</v>
      </c>
      <c r="B85" s="135" t="s">
        <v>94</v>
      </c>
      <c r="C85" s="33">
        <f t="shared" si="53"/>
        <v>9500</v>
      </c>
      <c r="D85" s="32"/>
      <c r="E85" s="33">
        <f t="shared" si="54"/>
        <v>20000</v>
      </c>
      <c r="F85" s="33"/>
      <c r="G85" s="110"/>
      <c r="H85" s="57">
        <f t="shared" si="55"/>
        <v>0</v>
      </c>
      <c r="I85" s="33">
        <f t="shared" si="56"/>
        <v>24000</v>
      </c>
      <c r="J85" s="31">
        <f t="shared" si="52"/>
        <v>5500</v>
      </c>
      <c r="K85" s="156" t="b">
        <f t="shared" si="51"/>
        <v>1</v>
      </c>
    </row>
    <row r="86" spans="1:11">
      <c r="A86" s="130" t="str">
        <f>+A84</f>
        <v>NOVEMBRE</v>
      </c>
      <c r="B86" s="135" t="s">
        <v>29</v>
      </c>
      <c r="C86" s="33">
        <f t="shared" si="53"/>
        <v>21200</v>
      </c>
      <c r="D86" s="32"/>
      <c r="E86" s="33">
        <f t="shared" si="54"/>
        <v>543000</v>
      </c>
      <c r="F86" s="33"/>
      <c r="G86" s="110"/>
      <c r="H86" s="57">
        <f t="shared" si="55"/>
        <v>0</v>
      </c>
      <c r="I86" s="33">
        <f t="shared" si="56"/>
        <v>533500</v>
      </c>
      <c r="J86" s="31">
        <f t="shared" si="52"/>
        <v>30700</v>
      </c>
      <c r="K86" s="156" t="b">
        <f t="shared" si="51"/>
        <v>1</v>
      </c>
    </row>
    <row r="87" spans="1:11">
      <c r="A87" s="130" t="str">
        <f t="shared" si="50"/>
        <v>NOVEMBRE</v>
      </c>
      <c r="B87" s="136" t="s">
        <v>114</v>
      </c>
      <c r="C87" s="33">
        <f t="shared" si="53"/>
        <v>26193</v>
      </c>
      <c r="D87" s="127"/>
      <c r="E87" s="33">
        <f t="shared" si="54"/>
        <v>36000</v>
      </c>
      <c r="F87" s="53"/>
      <c r="G87" s="147"/>
      <c r="H87" s="57">
        <f t="shared" si="55"/>
        <v>0</v>
      </c>
      <c r="I87" s="33">
        <f t="shared" si="56"/>
        <v>53000</v>
      </c>
      <c r="J87" s="31">
        <f t="shared" si="52"/>
        <v>9193</v>
      </c>
      <c r="K87" s="156" t="b">
        <f t="shared" si="51"/>
        <v>1</v>
      </c>
    </row>
    <row r="88" spans="1:11">
      <c r="A88" s="35" t="s">
        <v>61</v>
      </c>
      <c r="B88" s="36"/>
      <c r="C88" s="36"/>
      <c r="D88" s="36"/>
      <c r="E88" s="36"/>
      <c r="F88" s="36"/>
      <c r="G88" s="36"/>
      <c r="H88" s="36"/>
      <c r="I88" s="36"/>
      <c r="J88" s="37"/>
      <c r="K88" s="155"/>
    </row>
    <row r="89" spans="1:11">
      <c r="A89" s="130" t="str">
        <f>+A87</f>
        <v>NOVEMBRE</v>
      </c>
      <c r="B89" s="38" t="s">
        <v>62</v>
      </c>
      <c r="C89" s="39">
        <f>+C54</f>
        <v>1685107</v>
      </c>
      <c r="D89" s="51"/>
      <c r="E89" s="51">
        <f>D54</f>
        <v>4090000</v>
      </c>
      <c r="F89" s="51"/>
      <c r="G89" s="133"/>
      <c r="H89" s="53">
        <f>+F54</f>
        <v>1994500</v>
      </c>
      <c r="I89" s="134">
        <f>+E54</f>
        <v>2854238</v>
      </c>
      <c r="J89" s="46">
        <f>+SUM(C89:G89)-(H89+I89)</f>
        <v>926369</v>
      </c>
      <c r="K89" s="156" t="b">
        <f>J89=I54</f>
        <v>1</v>
      </c>
    </row>
    <row r="90" spans="1:11">
      <c r="A90" s="44" t="s">
        <v>63</v>
      </c>
      <c r="B90" s="25"/>
      <c r="C90" s="36"/>
      <c r="D90" s="25"/>
      <c r="E90" s="25"/>
      <c r="F90" s="25"/>
      <c r="G90" s="25"/>
      <c r="H90" s="25"/>
      <c r="I90" s="25"/>
      <c r="J90" s="37"/>
      <c r="K90" s="155"/>
    </row>
    <row r="91" spans="1:11">
      <c r="A91" s="130" t="str">
        <f>+A89</f>
        <v>NOVEMBRE</v>
      </c>
      <c r="B91" s="38" t="s">
        <v>170</v>
      </c>
      <c r="C91" s="133">
        <f>+C52</f>
        <v>6762063</v>
      </c>
      <c r="D91" s="140">
        <f>+G52</f>
        <v>0</v>
      </c>
      <c r="E91" s="51"/>
      <c r="F91" s="51"/>
      <c r="G91" s="51"/>
      <c r="H91" s="53">
        <f>+F52</f>
        <v>1000000</v>
      </c>
      <c r="I91" s="55">
        <f>+E52</f>
        <v>23345</v>
      </c>
      <c r="J91" s="46">
        <f>+SUM(C91:G91)-(H91+I91)</f>
        <v>5738718</v>
      </c>
      <c r="K91" s="156" t="b">
        <f>+J91=I52</f>
        <v>1</v>
      </c>
    </row>
    <row r="92" spans="1:11">
      <c r="A92" s="130" t="str">
        <f t="shared" ref="A92" si="57">+A91</f>
        <v>NOVEMBRE</v>
      </c>
      <c r="B92" s="38" t="s">
        <v>65</v>
      </c>
      <c r="C92" s="133">
        <f>+C53</f>
        <v>23107840</v>
      </c>
      <c r="D92" s="51">
        <f>+G53</f>
        <v>0</v>
      </c>
      <c r="E92" s="50"/>
      <c r="F92" s="50"/>
      <c r="G92" s="50"/>
      <c r="H92" s="33">
        <f>+F53</f>
        <v>3000000</v>
      </c>
      <c r="I92" s="52">
        <f>+E53</f>
        <v>4020633</v>
      </c>
      <c r="J92" s="46">
        <f>SUM(C92:G92)-(H92+I92)</f>
        <v>16087207</v>
      </c>
      <c r="K92" s="156" t="b">
        <f>+J92=I53</f>
        <v>1</v>
      </c>
    </row>
    <row r="93" spans="1:11" ht="15.75">
      <c r="C93" s="151">
        <f>SUM(C77:C92)</f>
        <v>32188231</v>
      </c>
      <c r="I93" s="149">
        <f>SUM(I77:I92)</f>
        <v>8513041</v>
      </c>
      <c r="J93" s="111">
        <f>+SUM(J76:J92)</f>
        <v>23367297</v>
      </c>
      <c r="K93" s="5" t="b">
        <f>J93=I65</f>
        <v>1</v>
      </c>
    </row>
    <row r="94" spans="1:11">
      <c r="G94" s="9"/>
    </row>
    <row r="95" spans="1:11">
      <c r="A95" s="16" t="s">
        <v>53</v>
      </c>
      <c r="B95" s="16"/>
      <c r="C95" s="16"/>
      <c r="D95" s="17"/>
      <c r="E95" s="17"/>
      <c r="F95" s="17"/>
      <c r="G95" s="17"/>
      <c r="H95" s="17"/>
      <c r="I95" s="17"/>
    </row>
    <row r="96" spans="1:11">
      <c r="A96" s="18" t="s">
        <v>164</v>
      </c>
      <c r="B96" s="18"/>
      <c r="C96" s="18"/>
      <c r="D96" s="18"/>
      <c r="E96" s="18"/>
      <c r="F96" s="18"/>
      <c r="G96" s="18"/>
      <c r="H96" s="18"/>
      <c r="I96" s="18"/>
      <c r="J96" s="18"/>
    </row>
    <row r="97" spans="1:11">
      <c r="A97" s="19"/>
      <c r="B97" s="20"/>
      <c r="C97" s="21"/>
      <c r="D97" s="21"/>
      <c r="E97" s="21"/>
      <c r="F97" s="21"/>
      <c r="G97" s="21"/>
      <c r="H97" s="20"/>
      <c r="I97" s="20"/>
    </row>
    <row r="98" spans="1:11">
      <c r="A98" s="276" t="s">
        <v>54</v>
      </c>
      <c r="B98" s="278" t="s">
        <v>55</v>
      </c>
      <c r="C98" s="280" t="s">
        <v>161</v>
      </c>
      <c r="D98" s="282" t="s">
        <v>56</v>
      </c>
      <c r="E98" s="283"/>
      <c r="F98" s="283"/>
      <c r="G98" s="284"/>
      <c r="H98" s="285" t="s">
        <v>57</v>
      </c>
      <c r="I98" s="272" t="s">
        <v>58</v>
      </c>
      <c r="J98" s="20"/>
    </row>
    <row r="99" spans="1:11">
      <c r="A99" s="277"/>
      <c r="B99" s="279"/>
      <c r="C99" s="281"/>
      <c r="D99" s="22" t="s">
        <v>24</v>
      </c>
      <c r="E99" s="22" t="s">
        <v>25</v>
      </c>
      <c r="F99" s="183" t="s">
        <v>124</v>
      </c>
      <c r="G99" s="22" t="s">
        <v>59</v>
      </c>
      <c r="H99" s="286"/>
      <c r="I99" s="273"/>
      <c r="J99" s="274" t="s">
        <v>162</v>
      </c>
      <c r="K99" s="155"/>
    </row>
    <row r="100" spans="1:11">
      <c r="A100" s="24"/>
      <c r="B100" s="25" t="s">
        <v>60</v>
      </c>
      <c r="C100" s="26"/>
      <c r="D100" s="26"/>
      <c r="E100" s="26"/>
      <c r="F100" s="26"/>
      <c r="G100" s="26"/>
      <c r="H100" s="26"/>
      <c r="I100" s="27"/>
      <c r="J100" s="275"/>
      <c r="K100" s="155"/>
    </row>
    <row r="101" spans="1:11">
      <c r="A101" s="130" t="s">
        <v>91</v>
      </c>
      <c r="B101" s="135" t="s">
        <v>165</v>
      </c>
      <c r="C101" s="33">
        <f>+C50</f>
        <v>6757</v>
      </c>
      <c r="D101" s="32"/>
      <c r="E101" s="33">
        <f>+D50</f>
        <v>337000</v>
      </c>
      <c r="F101" s="33"/>
      <c r="G101" s="33"/>
      <c r="H101" s="57">
        <f>+F50</f>
        <v>0</v>
      </c>
      <c r="I101" s="33">
        <f>+E50</f>
        <v>314650</v>
      </c>
      <c r="J101" s="31">
        <f>+SUM(C101:G101)-(H101+I101)</f>
        <v>29107</v>
      </c>
      <c r="K101" s="156" t="b">
        <f>J101=I50</f>
        <v>1</v>
      </c>
    </row>
    <row r="102" spans="1:11">
      <c r="A102" s="130" t="s">
        <v>91</v>
      </c>
      <c r="B102" s="135" t="s">
        <v>48</v>
      </c>
      <c r="C102" s="33">
        <f t="shared" ref="C102:C111" si="58">C54</f>
        <v>1685107</v>
      </c>
      <c r="D102" s="32"/>
      <c r="E102" s="33">
        <f>+D54</f>
        <v>4090000</v>
      </c>
      <c r="F102" s="33"/>
      <c r="G102" s="33"/>
      <c r="H102" s="57">
        <f t="shared" ref="H102:H111" si="59">+F54</f>
        <v>1994500</v>
      </c>
      <c r="I102" s="33">
        <f t="shared" ref="I102:I111" si="60">+E54</f>
        <v>2854238</v>
      </c>
      <c r="J102" s="31">
        <f t="shared" ref="J102:J103" si="61">+SUM(C102:G102)-(H102+I102)</f>
        <v>926369</v>
      </c>
      <c r="K102" s="156" t="b">
        <f t="shared" ref="K102:K112" si="62">J102=I54</f>
        <v>1</v>
      </c>
    </row>
    <row r="103" spans="1:11">
      <c r="A103" s="130" t="str">
        <f>+A102</f>
        <v>OCTOBRE</v>
      </c>
      <c r="B103" s="135" t="s">
        <v>31</v>
      </c>
      <c r="C103" s="33">
        <f t="shared" si="58"/>
        <v>7200</v>
      </c>
      <c r="D103" s="32"/>
      <c r="E103" s="33">
        <f>+D55</f>
        <v>286000</v>
      </c>
      <c r="F103" s="33"/>
      <c r="G103" s="33"/>
      <c r="H103" s="57">
        <f t="shared" si="59"/>
        <v>70000</v>
      </c>
      <c r="I103" s="33">
        <f t="shared" si="60"/>
        <v>226875</v>
      </c>
      <c r="J103" s="107">
        <f t="shared" si="61"/>
        <v>-3675</v>
      </c>
      <c r="K103" s="156" t="b">
        <f t="shared" si="62"/>
        <v>1</v>
      </c>
    </row>
    <row r="104" spans="1:11">
      <c r="A104" s="130" t="str">
        <f t="shared" ref="A104:A112" si="63">+A103</f>
        <v>OCTOBRE</v>
      </c>
      <c r="B104" s="136" t="s">
        <v>155</v>
      </c>
      <c r="C104" s="33">
        <f t="shared" si="58"/>
        <v>10095</v>
      </c>
      <c r="D104" s="127"/>
      <c r="E104" s="33">
        <f>D56</f>
        <v>70500</v>
      </c>
      <c r="F104" s="53"/>
      <c r="G104" s="53"/>
      <c r="H104" s="57">
        <f t="shared" si="59"/>
        <v>0</v>
      </c>
      <c r="I104" s="33">
        <f t="shared" si="60"/>
        <v>73000</v>
      </c>
      <c r="J104" s="132">
        <f>+SUM(C104:G104)-(H104+I104)</f>
        <v>7595</v>
      </c>
      <c r="K104" s="156" t="b">
        <f t="shared" si="62"/>
        <v>1</v>
      </c>
    </row>
    <row r="105" spans="1:11">
      <c r="A105" s="130" t="str">
        <f t="shared" si="63"/>
        <v>OCTOBRE</v>
      </c>
      <c r="B105" s="137" t="s">
        <v>85</v>
      </c>
      <c r="C105" s="128">
        <f t="shared" si="58"/>
        <v>233614</v>
      </c>
      <c r="D105" s="131"/>
      <c r="E105" s="128">
        <f t="shared" ref="E105:E109" si="64">+D57</f>
        <v>0</v>
      </c>
      <c r="F105" s="146"/>
      <c r="G105" s="146"/>
      <c r="H105" s="181">
        <f t="shared" si="59"/>
        <v>0</v>
      </c>
      <c r="I105" s="128">
        <f t="shared" si="60"/>
        <v>0</v>
      </c>
      <c r="J105" s="129">
        <f>+SUM(C105:G105)-(H105+I105)</f>
        <v>233614</v>
      </c>
      <c r="K105" s="156" t="b">
        <f t="shared" si="62"/>
        <v>1</v>
      </c>
    </row>
    <row r="106" spans="1:11">
      <c r="A106" s="130" t="str">
        <f t="shared" si="63"/>
        <v>OCTOBRE</v>
      </c>
      <c r="B106" s="137" t="s">
        <v>84</v>
      </c>
      <c r="C106" s="128">
        <f t="shared" si="58"/>
        <v>249769</v>
      </c>
      <c r="D106" s="131"/>
      <c r="E106" s="128">
        <f t="shared" si="64"/>
        <v>0</v>
      </c>
      <c r="F106" s="146"/>
      <c r="G106" s="146"/>
      <c r="H106" s="181">
        <f t="shared" si="59"/>
        <v>0</v>
      </c>
      <c r="I106" s="128">
        <f t="shared" si="60"/>
        <v>0</v>
      </c>
      <c r="J106" s="129">
        <f t="shared" ref="J106:J112" si="65">+SUM(C106:G106)-(H106+I106)</f>
        <v>249769</v>
      </c>
      <c r="K106" s="156" t="b">
        <f t="shared" si="62"/>
        <v>1</v>
      </c>
    </row>
    <row r="107" spans="1:11">
      <c r="A107" s="130" t="str">
        <f t="shared" si="63"/>
        <v>OCTOBRE</v>
      </c>
      <c r="B107" s="135" t="s">
        <v>154</v>
      </c>
      <c r="C107" s="33">
        <f t="shared" si="58"/>
        <v>3550</v>
      </c>
      <c r="D107" s="32"/>
      <c r="E107" s="33">
        <f t="shared" si="64"/>
        <v>43000</v>
      </c>
      <c r="F107" s="33"/>
      <c r="G107" s="110"/>
      <c r="H107" s="57">
        <f t="shared" si="59"/>
        <v>0</v>
      </c>
      <c r="I107" s="33">
        <f t="shared" si="60"/>
        <v>52550</v>
      </c>
      <c r="J107" s="31">
        <f t="shared" si="65"/>
        <v>-6000</v>
      </c>
      <c r="K107" s="156" t="b">
        <f t="shared" si="62"/>
        <v>1</v>
      </c>
    </row>
    <row r="108" spans="1:11">
      <c r="A108" s="130" t="str">
        <f t="shared" si="63"/>
        <v>OCTOBRE</v>
      </c>
      <c r="B108" s="135" t="s">
        <v>30</v>
      </c>
      <c r="C108" s="33">
        <f t="shared" si="58"/>
        <v>61300</v>
      </c>
      <c r="D108" s="32"/>
      <c r="E108" s="33">
        <f t="shared" si="64"/>
        <v>53000</v>
      </c>
      <c r="F108" s="33"/>
      <c r="G108" s="110"/>
      <c r="H108" s="57">
        <f t="shared" si="59"/>
        <v>20000</v>
      </c>
      <c r="I108" s="33">
        <f t="shared" si="60"/>
        <v>45900</v>
      </c>
      <c r="J108" s="31">
        <f t="shared" si="65"/>
        <v>48400</v>
      </c>
      <c r="K108" s="156" t="b">
        <f t="shared" si="62"/>
        <v>1</v>
      </c>
    </row>
    <row r="109" spans="1:11">
      <c r="A109" s="130" t="str">
        <f t="shared" si="63"/>
        <v>OCTOBRE</v>
      </c>
      <c r="B109" s="135" t="s">
        <v>94</v>
      </c>
      <c r="C109" s="33">
        <f t="shared" si="58"/>
        <v>10800</v>
      </c>
      <c r="D109" s="32"/>
      <c r="E109" s="33">
        <f t="shared" si="64"/>
        <v>488000</v>
      </c>
      <c r="F109" s="33"/>
      <c r="G109" s="110"/>
      <c r="H109" s="57">
        <f t="shared" si="59"/>
        <v>0</v>
      </c>
      <c r="I109" s="33">
        <f t="shared" si="60"/>
        <v>492000</v>
      </c>
      <c r="J109" s="31">
        <f t="shared" si="65"/>
        <v>6800</v>
      </c>
      <c r="K109" s="156" t="b">
        <f t="shared" si="62"/>
        <v>1</v>
      </c>
    </row>
    <row r="110" spans="1:11">
      <c r="A110" s="130" t="str">
        <f>+A108</f>
        <v>OCTOBRE</v>
      </c>
      <c r="B110" s="135" t="s">
        <v>29</v>
      </c>
      <c r="C110" s="33">
        <f t="shared" si="58"/>
        <v>9500</v>
      </c>
      <c r="D110" s="32"/>
      <c r="E110" s="33">
        <f>+D62</f>
        <v>20000</v>
      </c>
      <c r="F110" s="33"/>
      <c r="G110" s="110"/>
      <c r="H110" s="57">
        <f t="shared" si="59"/>
        <v>0</v>
      </c>
      <c r="I110" s="33">
        <f t="shared" si="60"/>
        <v>24000</v>
      </c>
      <c r="J110" s="31">
        <f t="shared" ref="J110" si="66">+SUM(C110:G110)-(H110+I110)</f>
        <v>5500</v>
      </c>
      <c r="K110" s="156" t="b">
        <f t="shared" si="62"/>
        <v>1</v>
      </c>
    </row>
    <row r="111" spans="1:11">
      <c r="A111" s="130" t="str">
        <f>+A109</f>
        <v>OCTOBRE</v>
      </c>
      <c r="B111" s="135" t="s">
        <v>158</v>
      </c>
      <c r="C111" s="33">
        <f t="shared" si="58"/>
        <v>21200</v>
      </c>
      <c r="D111" s="32"/>
      <c r="E111" s="33">
        <f>+D63</f>
        <v>543000</v>
      </c>
      <c r="F111" s="33"/>
      <c r="G111" s="110"/>
      <c r="H111" s="57">
        <f t="shared" si="59"/>
        <v>0</v>
      </c>
      <c r="I111" s="33">
        <f t="shared" si="60"/>
        <v>533500</v>
      </c>
      <c r="J111" s="31">
        <f t="shared" si="65"/>
        <v>30700</v>
      </c>
      <c r="K111" s="156" t="b">
        <f t="shared" si="62"/>
        <v>1</v>
      </c>
    </row>
    <row r="112" spans="1:11">
      <c r="A112" s="130" t="str">
        <f t="shared" si="63"/>
        <v>OCTOBRE</v>
      </c>
      <c r="B112" s="136" t="s">
        <v>114</v>
      </c>
      <c r="C112" s="33">
        <f t="shared" ref="C112" si="67">C64</f>
        <v>26193</v>
      </c>
      <c r="D112" s="127"/>
      <c r="E112" s="33">
        <f t="shared" ref="E112" si="68">+D64</f>
        <v>36000</v>
      </c>
      <c r="F112" s="53"/>
      <c r="G112" s="147"/>
      <c r="H112" s="57">
        <f t="shared" ref="H112" si="69">+F64</f>
        <v>0</v>
      </c>
      <c r="I112" s="33">
        <f t="shared" ref="I112" si="70">+E64</f>
        <v>53000</v>
      </c>
      <c r="J112" s="31">
        <f t="shared" si="65"/>
        <v>9193</v>
      </c>
      <c r="K112" s="156" t="b">
        <f t="shared" si="62"/>
        <v>1</v>
      </c>
    </row>
    <row r="113" spans="1:11">
      <c r="A113" s="35" t="s">
        <v>61</v>
      </c>
      <c r="B113" s="36"/>
      <c r="C113" s="36"/>
      <c r="D113" s="36"/>
      <c r="E113" s="36"/>
      <c r="F113" s="36"/>
      <c r="G113" s="36"/>
      <c r="H113" s="36"/>
      <c r="I113" s="36"/>
      <c r="J113" s="37"/>
      <c r="K113" s="155"/>
    </row>
    <row r="114" spans="1:11">
      <c r="A114" s="130" t="str">
        <f>+A112</f>
        <v>OCTOBRE</v>
      </c>
      <c r="B114" s="38" t="s">
        <v>62</v>
      </c>
      <c r="C114" s="39">
        <f>C53</f>
        <v>23107840</v>
      </c>
      <c r="D114" s="51"/>
      <c r="E114" s="51">
        <f>D53</f>
        <v>0</v>
      </c>
      <c r="F114" s="51"/>
      <c r="G114" s="133"/>
      <c r="H114" s="53">
        <f>+F53</f>
        <v>3000000</v>
      </c>
      <c r="I114" s="134">
        <f>+E53</f>
        <v>4020633</v>
      </c>
      <c r="J114" s="46">
        <f>+SUM(C114:G114)-(H114+I114)</f>
        <v>16087207</v>
      </c>
      <c r="K114" s="156" t="b">
        <f>J114=I53</f>
        <v>1</v>
      </c>
    </row>
    <row r="115" spans="1:11">
      <c r="A115" s="44" t="s">
        <v>63</v>
      </c>
      <c r="B115" s="25"/>
      <c r="C115" s="36"/>
      <c r="D115" s="25"/>
      <c r="E115" s="25"/>
      <c r="F115" s="25"/>
      <c r="G115" s="25"/>
      <c r="H115" s="25"/>
      <c r="I115" s="25"/>
      <c r="J115" s="37"/>
      <c r="K115" s="155"/>
    </row>
    <row r="116" spans="1:11">
      <c r="A116" s="130" t="str">
        <f>+A114</f>
        <v>OCTOBRE</v>
      </c>
      <c r="B116" s="38" t="s">
        <v>170</v>
      </c>
      <c r="C116" s="133">
        <f>C51</f>
        <v>0</v>
      </c>
      <c r="D116" s="140">
        <f>G51</f>
        <v>0</v>
      </c>
      <c r="E116" s="51"/>
      <c r="F116" s="51"/>
      <c r="G116" s="51"/>
      <c r="H116" s="53">
        <f>+F51</f>
        <v>0</v>
      </c>
      <c r="I116" s="55">
        <f>+E51</f>
        <v>114000</v>
      </c>
      <c r="J116" s="46">
        <f>+SUM(C116:G116)-(H116+I116)</f>
        <v>-114000</v>
      </c>
      <c r="K116" s="156" t="b">
        <f>+J116=I51</f>
        <v>0</v>
      </c>
    </row>
    <row r="117" spans="1:11">
      <c r="A117" s="130" t="str">
        <f t="shared" ref="A117" si="71">+A116</f>
        <v>OCTOBRE</v>
      </c>
      <c r="B117" s="38" t="s">
        <v>65</v>
      </c>
      <c r="C117" s="133">
        <f>C52</f>
        <v>6762063</v>
      </c>
      <c r="D117" s="51">
        <f>G52</f>
        <v>0</v>
      </c>
      <c r="E117" s="50"/>
      <c r="F117" s="50"/>
      <c r="G117" s="50"/>
      <c r="H117" s="33">
        <f>+F52</f>
        <v>1000000</v>
      </c>
      <c r="I117" s="52">
        <f>+E52</f>
        <v>23345</v>
      </c>
      <c r="J117" s="46">
        <f>SUM(C117:G117)-(H117+I117)</f>
        <v>5738718</v>
      </c>
      <c r="K117" s="156" t="b">
        <f>+J117=I52</f>
        <v>1</v>
      </c>
    </row>
    <row r="118" spans="1:11" ht="15.75">
      <c r="C118" s="151">
        <f>SUM(C102:C117)</f>
        <v>32188231</v>
      </c>
      <c r="I118" s="149">
        <f>SUM(I102:I117)</f>
        <v>8513041</v>
      </c>
      <c r="J118" s="111">
        <f>+SUM(J101:J117)</f>
        <v>23249297</v>
      </c>
      <c r="K118" s="5" t="b">
        <f>J118=I65</f>
        <v>0</v>
      </c>
    </row>
    <row r="119" spans="1:11">
      <c r="G119" s="9"/>
    </row>
    <row r="120" spans="1:11">
      <c r="A120" s="16" t="s">
        <v>53</v>
      </c>
      <c r="B120" s="16"/>
      <c r="C120" s="16"/>
      <c r="D120" s="17"/>
      <c r="E120" s="17"/>
      <c r="F120" s="17"/>
      <c r="G120" s="17"/>
      <c r="H120" s="17"/>
      <c r="I120" s="17"/>
    </row>
    <row r="121" spans="1:11">
      <c r="A121" s="18" t="s">
        <v>156</v>
      </c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1">
      <c r="A122" s="19"/>
      <c r="B122" s="20"/>
      <c r="C122" s="21"/>
      <c r="D122" s="21"/>
      <c r="E122" s="21"/>
      <c r="F122" s="21"/>
      <c r="G122" s="21"/>
      <c r="H122" s="20"/>
      <c r="I122" s="20"/>
    </row>
    <row r="123" spans="1:11">
      <c r="A123" s="276" t="s">
        <v>54</v>
      </c>
      <c r="B123" s="278" t="s">
        <v>55</v>
      </c>
      <c r="C123" s="280" t="s">
        <v>157</v>
      </c>
      <c r="D123" s="282" t="s">
        <v>56</v>
      </c>
      <c r="E123" s="283"/>
      <c r="F123" s="283"/>
      <c r="G123" s="284"/>
      <c r="H123" s="285" t="s">
        <v>57</v>
      </c>
      <c r="I123" s="272" t="s">
        <v>58</v>
      </c>
      <c r="J123" s="20"/>
    </row>
    <row r="124" spans="1:11">
      <c r="A124" s="277"/>
      <c r="B124" s="279"/>
      <c r="C124" s="281"/>
      <c r="D124" s="22" t="s">
        <v>24</v>
      </c>
      <c r="E124" s="22" t="s">
        <v>25</v>
      </c>
      <c r="F124" s="182" t="s">
        <v>124</v>
      </c>
      <c r="G124" s="22" t="s">
        <v>59</v>
      </c>
      <c r="H124" s="286"/>
      <c r="I124" s="273"/>
      <c r="J124" s="274" t="s">
        <v>163</v>
      </c>
      <c r="K124" s="155"/>
    </row>
    <row r="125" spans="1:11">
      <c r="A125" s="24"/>
      <c r="B125" s="25" t="s">
        <v>60</v>
      </c>
      <c r="C125" s="26"/>
      <c r="D125" s="26"/>
      <c r="E125" s="26"/>
      <c r="F125" s="26"/>
      <c r="G125" s="26"/>
      <c r="H125" s="26"/>
      <c r="I125" s="27"/>
      <c r="J125" s="275"/>
      <c r="K125" s="155"/>
    </row>
    <row r="126" spans="1:11">
      <c r="A126" s="130" t="s">
        <v>80</v>
      </c>
      <c r="B126" s="135" t="s">
        <v>48</v>
      </c>
      <c r="C126" s="33" t="e">
        <f>#REF!</f>
        <v>#REF!</v>
      </c>
      <c r="D126" s="32"/>
      <c r="E126" s="33" t="e">
        <f>+#REF!</f>
        <v>#REF!</v>
      </c>
      <c r="F126" s="33"/>
      <c r="G126" s="33"/>
      <c r="H126" s="57" t="e">
        <f>+#REF!</f>
        <v>#REF!</v>
      </c>
      <c r="I126" s="33" t="e">
        <f>+#REF!</f>
        <v>#REF!</v>
      </c>
      <c r="J126" s="31" t="e">
        <f t="shared" ref="J126:J127" si="72">+SUM(C126:G126)-(H126+I126)</f>
        <v>#REF!</v>
      </c>
      <c r="K126" s="156" t="e">
        <f>J126=#REF!</f>
        <v>#REF!</v>
      </c>
    </row>
    <row r="127" spans="1:11">
      <c r="A127" s="130" t="str">
        <f>+A126</f>
        <v>SEPTEMBRE</v>
      </c>
      <c r="B127" s="135" t="s">
        <v>31</v>
      </c>
      <c r="C127" s="33" t="e">
        <f>#REF!</f>
        <v>#REF!</v>
      </c>
      <c r="D127" s="32"/>
      <c r="E127" s="33" t="e">
        <f>+#REF!</f>
        <v>#REF!</v>
      </c>
      <c r="F127" s="33"/>
      <c r="G127" s="33"/>
      <c r="H127" s="57" t="e">
        <f>+#REF!</f>
        <v>#REF!</v>
      </c>
      <c r="I127" s="33" t="e">
        <f>+#REF!</f>
        <v>#REF!</v>
      </c>
      <c r="J127" s="107" t="e">
        <f t="shared" si="72"/>
        <v>#REF!</v>
      </c>
      <c r="K127" s="156" t="e">
        <f>J127=#REF!</f>
        <v>#REF!</v>
      </c>
    </row>
    <row r="128" spans="1:11">
      <c r="A128" s="130" t="str">
        <f t="shared" ref="A128:A135" si="73">+A127</f>
        <v>SEPTEMBRE</v>
      </c>
      <c r="B128" s="136" t="s">
        <v>155</v>
      </c>
      <c r="C128" s="33" t="e">
        <f>#REF!</f>
        <v>#REF!</v>
      </c>
      <c r="D128" s="127"/>
      <c r="E128" s="33" t="e">
        <f>#REF!</f>
        <v>#REF!</v>
      </c>
      <c r="F128" s="53"/>
      <c r="G128" s="53"/>
      <c r="H128" s="57" t="e">
        <f>+#REF!</f>
        <v>#REF!</v>
      </c>
      <c r="I128" s="33" t="e">
        <f>+#REF!</f>
        <v>#REF!</v>
      </c>
      <c r="J128" s="132" t="e">
        <f>+SUM(C128:G128)-(H128+I128)</f>
        <v>#REF!</v>
      </c>
      <c r="K128" s="156" t="e">
        <f>J128=#REF!</f>
        <v>#REF!</v>
      </c>
    </row>
    <row r="129" spans="1:11">
      <c r="A129" s="130" t="str">
        <f t="shared" si="73"/>
        <v>SEPTEMBRE</v>
      </c>
      <c r="B129" s="137" t="s">
        <v>85</v>
      </c>
      <c r="C129" s="128" t="e">
        <f>#REF!</f>
        <v>#REF!</v>
      </c>
      <c r="D129" s="131"/>
      <c r="E129" s="128" t="e">
        <f>+#REF!</f>
        <v>#REF!</v>
      </c>
      <c r="F129" s="146"/>
      <c r="G129" s="146"/>
      <c r="H129" s="181" t="e">
        <f>+#REF!</f>
        <v>#REF!</v>
      </c>
      <c r="I129" s="128" t="e">
        <f>+#REF!</f>
        <v>#REF!</v>
      </c>
      <c r="J129" s="129" t="e">
        <f>+SUM(C129:G129)-(H129+I129)</f>
        <v>#REF!</v>
      </c>
      <c r="K129" s="156" t="e">
        <f>J129=#REF!</f>
        <v>#REF!</v>
      </c>
    </row>
    <row r="130" spans="1:11">
      <c r="A130" s="130" t="str">
        <f t="shared" si="73"/>
        <v>SEPTEMBRE</v>
      </c>
      <c r="B130" s="137" t="s">
        <v>84</v>
      </c>
      <c r="C130" s="128" t="e">
        <f>#REF!</f>
        <v>#REF!</v>
      </c>
      <c r="D130" s="131"/>
      <c r="E130" s="128" t="e">
        <f>+#REF!</f>
        <v>#REF!</v>
      </c>
      <c r="F130" s="146"/>
      <c r="G130" s="146"/>
      <c r="H130" s="181" t="e">
        <f>+#REF!</f>
        <v>#REF!</v>
      </c>
      <c r="I130" s="128" t="e">
        <f>+#REF!</f>
        <v>#REF!</v>
      </c>
      <c r="J130" s="129" t="e">
        <f t="shared" ref="J130:J135" si="74">+SUM(C130:G130)-(H130+I130)</f>
        <v>#REF!</v>
      </c>
      <c r="K130" s="156" t="e">
        <f>J130=#REF!</f>
        <v>#REF!</v>
      </c>
    </row>
    <row r="131" spans="1:11">
      <c r="A131" s="130" t="str">
        <f t="shared" si="73"/>
        <v>SEPTEMBRE</v>
      </c>
      <c r="B131" s="135" t="s">
        <v>154</v>
      </c>
      <c r="C131" s="33" t="e">
        <f>#REF!</f>
        <v>#REF!</v>
      </c>
      <c r="D131" s="32"/>
      <c r="E131" s="33" t="e">
        <f>+#REF!</f>
        <v>#REF!</v>
      </c>
      <c r="F131" s="33"/>
      <c r="G131" s="110"/>
      <c r="H131" s="57" t="e">
        <f>+#REF!</f>
        <v>#REF!</v>
      </c>
      <c r="I131" s="33" t="e">
        <f>+#REF!</f>
        <v>#REF!</v>
      </c>
      <c r="J131" s="31" t="e">
        <f t="shared" si="74"/>
        <v>#REF!</v>
      </c>
      <c r="K131" s="156" t="e">
        <f>J131=#REF!</f>
        <v>#REF!</v>
      </c>
    </row>
    <row r="132" spans="1:11">
      <c r="A132" s="130" t="str">
        <f t="shared" si="73"/>
        <v>SEPTEMBRE</v>
      </c>
      <c r="B132" s="135" t="s">
        <v>30</v>
      </c>
      <c r="C132" s="33" t="e">
        <f>#REF!</f>
        <v>#REF!</v>
      </c>
      <c r="D132" s="32"/>
      <c r="E132" s="33" t="e">
        <f>+#REF!</f>
        <v>#REF!</v>
      </c>
      <c r="F132" s="33"/>
      <c r="G132" s="110"/>
      <c r="H132" s="57" t="e">
        <f>+#REF!</f>
        <v>#REF!</v>
      </c>
      <c r="I132" s="33" t="e">
        <f>+#REF!</f>
        <v>#REF!</v>
      </c>
      <c r="J132" s="31" t="e">
        <f t="shared" si="74"/>
        <v>#REF!</v>
      </c>
      <c r="K132" s="156" t="e">
        <f>J132=#REF!</f>
        <v>#REF!</v>
      </c>
    </row>
    <row r="133" spans="1:11">
      <c r="A133" s="130" t="str">
        <f t="shared" si="73"/>
        <v>SEPTEMBRE</v>
      </c>
      <c r="B133" s="135" t="s">
        <v>94</v>
      </c>
      <c r="C133" s="33" t="e">
        <f>#REF!</f>
        <v>#REF!</v>
      </c>
      <c r="D133" s="32"/>
      <c r="E133" s="33" t="e">
        <f>+#REF!</f>
        <v>#REF!</v>
      </c>
      <c r="F133" s="33"/>
      <c r="G133" s="110"/>
      <c r="H133" s="57" t="e">
        <f>+#REF!</f>
        <v>#REF!</v>
      </c>
      <c r="I133" s="33" t="e">
        <f>+#REF!</f>
        <v>#REF!</v>
      </c>
      <c r="J133" s="31" t="e">
        <f t="shared" si="74"/>
        <v>#REF!</v>
      </c>
      <c r="K133" s="156" t="e">
        <f>J133=#REF!</f>
        <v>#REF!</v>
      </c>
    </row>
    <row r="134" spans="1:11">
      <c r="A134" s="130" t="str">
        <f t="shared" si="73"/>
        <v>SEPTEMBRE</v>
      </c>
      <c r="B134" s="135" t="s">
        <v>158</v>
      </c>
      <c r="C134" s="33" t="e">
        <f>#REF!</f>
        <v>#REF!</v>
      </c>
      <c r="D134" s="32"/>
      <c r="E134" s="33" t="e">
        <f>+#REF!</f>
        <v>#REF!</v>
      </c>
      <c r="F134" s="33"/>
      <c r="G134" s="110"/>
      <c r="H134" s="57" t="e">
        <f>+#REF!</f>
        <v>#REF!</v>
      </c>
      <c r="I134" s="33" t="e">
        <f>+#REF!</f>
        <v>#REF!</v>
      </c>
      <c r="J134" s="31" t="e">
        <f t="shared" si="74"/>
        <v>#REF!</v>
      </c>
      <c r="K134" s="156" t="e">
        <f>J134=#REF!</f>
        <v>#REF!</v>
      </c>
    </row>
    <row r="135" spans="1:11">
      <c r="A135" s="130" t="str">
        <f t="shared" si="73"/>
        <v>SEPTEMBRE</v>
      </c>
      <c r="B135" s="136" t="s">
        <v>114</v>
      </c>
      <c r="C135" s="33" t="e">
        <f>#REF!</f>
        <v>#REF!</v>
      </c>
      <c r="D135" s="127"/>
      <c r="E135" s="33" t="e">
        <f>+#REF!</f>
        <v>#REF!</v>
      </c>
      <c r="F135" s="53"/>
      <c r="G135" s="147"/>
      <c r="H135" s="57" t="e">
        <f>+#REF!</f>
        <v>#REF!</v>
      </c>
      <c r="I135" s="33" t="e">
        <f>+#REF!</f>
        <v>#REF!</v>
      </c>
      <c r="J135" s="31" t="e">
        <f t="shared" si="74"/>
        <v>#REF!</v>
      </c>
      <c r="K135" s="156" t="e">
        <f>J135=#REF!</f>
        <v>#REF!</v>
      </c>
    </row>
    <row r="136" spans="1:11">
      <c r="A136" s="35" t="s">
        <v>61</v>
      </c>
      <c r="B136" s="36"/>
      <c r="C136" s="36"/>
      <c r="D136" s="36"/>
      <c r="E136" s="36"/>
      <c r="F136" s="36"/>
      <c r="G136" s="36"/>
      <c r="H136" s="36"/>
      <c r="I136" s="36"/>
      <c r="J136" s="37"/>
      <c r="K136" s="155"/>
    </row>
    <row r="137" spans="1:11">
      <c r="A137" s="130" t="str">
        <f>+A135</f>
        <v>SEPTEMBRE</v>
      </c>
      <c r="B137" s="38" t="s">
        <v>62</v>
      </c>
      <c r="C137" s="39" t="e">
        <f>#REF!</f>
        <v>#REF!</v>
      </c>
      <c r="D137" s="51"/>
      <c r="E137" s="51" t="e">
        <f>#REF!</f>
        <v>#REF!</v>
      </c>
      <c r="F137" s="51"/>
      <c r="G137" s="133"/>
      <c r="H137" s="53" t="e">
        <f>+#REF!</f>
        <v>#REF!</v>
      </c>
      <c r="I137" s="134" t="e">
        <f>+#REF!</f>
        <v>#REF!</v>
      </c>
      <c r="J137" s="46" t="e">
        <f>+SUM(C137:G137)-(H137+I137)</f>
        <v>#REF!</v>
      </c>
      <c r="K137" s="156" t="e">
        <f>J137=#REF!</f>
        <v>#REF!</v>
      </c>
    </row>
    <row r="138" spans="1:11">
      <c r="A138" s="44" t="s">
        <v>63</v>
      </c>
      <c r="B138" s="25"/>
      <c r="C138" s="36"/>
      <c r="D138" s="25"/>
      <c r="E138" s="25"/>
      <c r="F138" s="25"/>
      <c r="G138" s="25"/>
      <c r="H138" s="25"/>
      <c r="I138" s="25"/>
      <c r="J138" s="37"/>
      <c r="K138" s="155"/>
    </row>
    <row r="139" spans="1:11">
      <c r="A139" s="130" t="str">
        <f>+A137</f>
        <v>SEPTEMBRE</v>
      </c>
      <c r="B139" s="38" t="s">
        <v>64</v>
      </c>
      <c r="C139" s="133" t="e">
        <f>#REF!</f>
        <v>#REF!</v>
      </c>
      <c r="D139" s="140"/>
      <c r="E139" s="51"/>
      <c r="F139" s="51"/>
      <c r="G139" s="51"/>
      <c r="H139" s="53" t="e">
        <f>+#REF!</f>
        <v>#REF!</v>
      </c>
      <c r="I139" s="55" t="e">
        <f>+#REF!</f>
        <v>#REF!</v>
      </c>
      <c r="J139" s="46" t="e">
        <f>+SUM(C139:G139)-(H139+I139)</f>
        <v>#REF!</v>
      </c>
      <c r="K139" s="156" t="e">
        <f>+J139=#REF!</f>
        <v>#REF!</v>
      </c>
    </row>
    <row r="140" spans="1:11">
      <c r="A140" s="130" t="str">
        <f t="shared" ref="A140" si="75">+A139</f>
        <v>SEPTEMBRE</v>
      </c>
      <c r="B140" s="38" t="s">
        <v>65</v>
      </c>
      <c r="C140" s="133" t="e">
        <f>#REF!</f>
        <v>#REF!</v>
      </c>
      <c r="D140" s="51"/>
      <c r="E140" s="50"/>
      <c r="F140" s="50"/>
      <c r="G140" s="50"/>
      <c r="H140" s="33" t="e">
        <f>+#REF!</f>
        <v>#REF!</v>
      </c>
      <c r="I140" s="52" t="e">
        <f>+#REF!</f>
        <v>#REF!</v>
      </c>
      <c r="J140" s="46" t="e">
        <f>SUM(C140:G140)-(H140+I140)</f>
        <v>#REF!</v>
      </c>
      <c r="K140" s="156" t="e">
        <f>+J140=#REF!</f>
        <v>#REF!</v>
      </c>
    </row>
    <row r="141" spans="1:11" ht="15.75">
      <c r="C141" s="151" t="e">
        <f>SUM(C126:C140)</f>
        <v>#REF!</v>
      </c>
      <c r="I141" s="149" t="e">
        <f>SUM(I126:I140)</f>
        <v>#REF!</v>
      </c>
      <c r="J141" s="111" t="e">
        <f>+SUM(J126:J140)</f>
        <v>#REF!</v>
      </c>
      <c r="K141" s="5" t="e">
        <f>J141=#REF!</f>
        <v>#REF!</v>
      </c>
    </row>
    <row r="142" spans="1:11">
      <c r="G142" s="9"/>
    </row>
    <row r="143" spans="1:11">
      <c r="A143" s="16" t="s">
        <v>53</v>
      </c>
      <c r="B143" s="16"/>
      <c r="C143" s="16"/>
      <c r="D143" s="17"/>
      <c r="E143" s="17"/>
      <c r="F143" s="17"/>
      <c r="G143" s="17"/>
      <c r="H143" s="17"/>
      <c r="I143" s="17"/>
    </row>
    <row r="144" spans="1:11">
      <c r="A144" s="18" t="s">
        <v>152</v>
      </c>
      <c r="B144" s="18"/>
      <c r="C144" s="18"/>
      <c r="D144" s="18"/>
      <c r="E144" s="18"/>
      <c r="F144" s="18"/>
      <c r="G144" s="18"/>
      <c r="H144" s="18"/>
      <c r="I144" s="18"/>
      <c r="J144" s="17"/>
    </row>
    <row r="145" spans="1:11">
      <c r="A145" s="19"/>
      <c r="B145" s="20"/>
      <c r="C145" s="21"/>
      <c r="D145" s="21"/>
      <c r="E145" s="21"/>
      <c r="F145" s="21"/>
      <c r="G145" s="21"/>
      <c r="H145" s="20"/>
      <c r="I145" s="20"/>
      <c r="J145" s="18"/>
    </row>
    <row r="146" spans="1:11">
      <c r="A146" s="276" t="s">
        <v>54</v>
      </c>
      <c r="B146" s="278" t="s">
        <v>55</v>
      </c>
      <c r="C146" s="280" t="s">
        <v>151</v>
      </c>
      <c r="D146" s="282" t="s">
        <v>56</v>
      </c>
      <c r="E146" s="283"/>
      <c r="F146" s="283"/>
      <c r="G146" s="284"/>
      <c r="H146" s="285" t="s">
        <v>57</v>
      </c>
      <c r="I146" s="272" t="s">
        <v>58</v>
      </c>
      <c r="J146" s="20"/>
    </row>
    <row r="147" spans="1:11">
      <c r="A147" s="277"/>
      <c r="B147" s="279"/>
      <c r="C147" s="281"/>
      <c r="D147" s="22" t="s">
        <v>24</v>
      </c>
      <c r="E147" s="22" t="s">
        <v>25</v>
      </c>
      <c r="F147" s="176" t="s">
        <v>124</v>
      </c>
      <c r="G147" s="22" t="s">
        <v>59</v>
      </c>
      <c r="H147" s="286"/>
      <c r="I147" s="273"/>
      <c r="J147" s="274" t="s">
        <v>153</v>
      </c>
      <c r="K147" s="155"/>
    </row>
    <row r="148" spans="1:11">
      <c r="A148" s="24"/>
      <c r="B148" s="25" t="s">
        <v>60</v>
      </c>
      <c r="C148" s="26"/>
      <c r="D148" s="26"/>
      <c r="E148" s="26"/>
      <c r="F148" s="26"/>
      <c r="G148" s="26"/>
      <c r="H148" s="26"/>
      <c r="I148" s="27"/>
      <c r="J148" s="275"/>
      <c r="K148" s="155"/>
    </row>
    <row r="149" spans="1:11">
      <c r="A149" s="130" t="s">
        <v>150</v>
      </c>
      <c r="B149" s="135" t="s">
        <v>48</v>
      </c>
      <c r="C149" s="33" t="e">
        <f>#REF!</f>
        <v>#REF!</v>
      </c>
      <c r="D149" s="32"/>
      <c r="E149" s="33" t="e">
        <f>+#REF!</f>
        <v>#REF!</v>
      </c>
      <c r="F149" s="33"/>
      <c r="G149" s="33"/>
      <c r="H149" s="57" t="e">
        <f>+#REF!</f>
        <v>#REF!</v>
      </c>
      <c r="I149" s="33" t="e">
        <f>+#REF!</f>
        <v>#REF!</v>
      </c>
      <c r="J149" s="31" t="e">
        <f t="shared" ref="J149:J150" si="76">+SUM(C149:G149)-(H149+I149)</f>
        <v>#REF!</v>
      </c>
      <c r="K149" s="156" t="e">
        <f>J149=#REF!</f>
        <v>#REF!</v>
      </c>
    </row>
    <row r="150" spans="1:11">
      <c r="A150" s="130" t="s">
        <v>150</v>
      </c>
      <c r="B150" s="135" t="s">
        <v>31</v>
      </c>
      <c r="C150" s="33" t="e">
        <f>#REF!</f>
        <v>#REF!</v>
      </c>
      <c r="D150" s="32"/>
      <c r="E150" s="33" t="e">
        <f>+#REF!</f>
        <v>#REF!</v>
      </c>
      <c r="F150" s="33"/>
      <c r="G150" s="33"/>
      <c r="H150" s="57" t="e">
        <f>+#REF!</f>
        <v>#REF!</v>
      </c>
      <c r="I150" s="33" t="e">
        <f>+#REF!</f>
        <v>#REF!</v>
      </c>
      <c r="J150" s="107" t="e">
        <f t="shared" si="76"/>
        <v>#REF!</v>
      </c>
      <c r="K150" s="156" t="e">
        <f>J150=#REF!</f>
        <v>#REF!</v>
      </c>
    </row>
    <row r="151" spans="1:11">
      <c r="A151" s="130" t="s">
        <v>150</v>
      </c>
      <c r="B151" s="136" t="s">
        <v>155</v>
      </c>
      <c r="C151" s="33" t="e">
        <f>#REF!</f>
        <v>#REF!</v>
      </c>
      <c r="D151" s="127"/>
      <c r="E151" s="33">
        <v>30000</v>
      </c>
      <c r="F151" s="53">
        <v>240000</v>
      </c>
      <c r="G151" s="53"/>
      <c r="H151" s="57" t="e">
        <f>+#REF!</f>
        <v>#REF!</v>
      </c>
      <c r="I151" s="33" t="e">
        <f>+#REF!</f>
        <v>#REF!</v>
      </c>
      <c r="J151" s="132" t="e">
        <f>+SUM(C151:G151)-(H151+I151)</f>
        <v>#REF!</v>
      </c>
      <c r="K151" s="156" t="e">
        <f>J151=#REF!</f>
        <v>#REF!</v>
      </c>
    </row>
    <row r="152" spans="1:11">
      <c r="A152" s="130" t="s">
        <v>150</v>
      </c>
      <c r="B152" s="137" t="s">
        <v>85</v>
      </c>
      <c r="C152" s="128" t="e">
        <f>#REF!</f>
        <v>#REF!</v>
      </c>
      <c r="D152" s="131"/>
      <c r="E152" s="128" t="e">
        <f>+#REF!</f>
        <v>#REF!</v>
      </c>
      <c r="F152" s="146"/>
      <c r="G152" s="146"/>
      <c r="H152" s="181" t="e">
        <f>+#REF!</f>
        <v>#REF!</v>
      </c>
      <c r="I152" s="128" t="e">
        <f>+#REF!</f>
        <v>#REF!</v>
      </c>
      <c r="J152" s="129" t="e">
        <f>+SUM(C152:G152)-(H152+I152)</f>
        <v>#REF!</v>
      </c>
      <c r="K152" s="156" t="e">
        <f>J152=#REF!</f>
        <v>#REF!</v>
      </c>
    </row>
    <row r="153" spans="1:11">
      <c r="A153" s="130" t="s">
        <v>150</v>
      </c>
      <c r="B153" s="137" t="s">
        <v>84</v>
      </c>
      <c r="C153" s="128" t="e">
        <f>#REF!</f>
        <v>#REF!</v>
      </c>
      <c r="D153" s="131"/>
      <c r="E153" s="128" t="e">
        <f>+#REF!</f>
        <v>#REF!</v>
      </c>
      <c r="F153" s="146"/>
      <c r="G153" s="146"/>
      <c r="H153" s="181" t="e">
        <f>+#REF!</f>
        <v>#REF!</v>
      </c>
      <c r="I153" s="128" t="e">
        <f>+#REF!</f>
        <v>#REF!</v>
      </c>
      <c r="J153" s="129" t="e">
        <f t="shared" ref="J153:J159" si="77">+SUM(C153:G153)-(H153+I153)</f>
        <v>#REF!</v>
      </c>
      <c r="K153" s="156" t="e">
        <f>J153=#REF!</f>
        <v>#REF!</v>
      </c>
    </row>
    <row r="154" spans="1:11">
      <c r="A154" s="130" t="s">
        <v>150</v>
      </c>
      <c r="B154" s="135" t="s">
        <v>154</v>
      </c>
      <c r="C154" s="33" t="e">
        <f>#REF!</f>
        <v>#REF!</v>
      </c>
      <c r="D154" s="32"/>
      <c r="E154" s="33" t="e">
        <f>+#REF!</f>
        <v>#REF!</v>
      </c>
      <c r="F154" s="33"/>
      <c r="G154" s="110"/>
      <c r="H154" s="57" t="e">
        <f>+#REF!</f>
        <v>#REF!</v>
      </c>
      <c r="I154" s="33" t="e">
        <f>+#REF!</f>
        <v>#REF!</v>
      </c>
      <c r="J154" s="31" t="e">
        <f t="shared" si="77"/>
        <v>#REF!</v>
      </c>
      <c r="K154" s="156" t="e">
        <f>J154=#REF!</f>
        <v>#REF!</v>
      </c>
    </row>
    <row r="155" spans="1:11">
      <c r="A155" s="130" t="s">
        <v>150</v>
      </c>
      <c r="B155" s="135" t="s">
        <v>30</v>
      </c>
      <c r="C155" s="33" t="e">
        <f>#REF!</f>
        <v>#REF!</v>
      </c>
      <c r="D155" s="32"/>
      <c r="E155" s="33" t="e">
        <f>+#REF!</f>
        <v>#REF!</v>
      </c>
      <c r="F155" s="33"/>
      <c r="G155" s="110"/>
      <c r="H155" s="57" t="e">
        <f>+#REF!</f>
        <v>#REF!</v>
      </c>
      <c r="I155" s="33" t="e">
        <f>+#REF!</f>
        <v>#REF!</v>
      </c>
      <c r="J155" s="31" t="e">
        <f t="shared" si="77"/>
        <v>#REF!</v>
      </c>
      <c r="K155" s="156" t="e">
        <f>J155=#REF!</f>
        <v>#REF!</v>
      </c>
    </row>
    <row r="156" spans="1:11">
      <c r="A156" s="130" t="s">
        <v>150</v>
      </c>
      <c r="B156" s="135" t="s">
        <v>36</v>
      </c>
      <c r="C156" s="33" t="e">
        <f>#REF!</f>
        <v>#REF!</v>
      </c>
      <c r="D156" s="32"/>
      <c r="E156" s="33">
        <v>15000</v>
      </c>
      <c r="F156" s="33">
        <v>496625</v>
      </c>
      <c r="G156" s="110"/>
      <c r="H156" s="57" t="e">
        <f>+#REF!</f>
        <v>#REF!</v>
      </c>
      <c r="I156" s="33" t="e">
        <f>+#REF!</f>
        <v>#REF!</v>
      </c>
      <c r="J156" s="31" t="e">
        <f t="shared" si="77"/>
        <v>#REF!</v>
      </c>
      <c r="K156" s="156" t="e">
        <f>J156=#REF!</f>
        <v>#REF!</v>
      </c>
    </row>
    <row r="157" spans="1:11">
      <c r="A157" s="130" t="s">
        <v>150</v>
      </c>
      <c r="B157" s="135" t="s">
        <v>94</v>
      </c>
      <c r="C157" s="33" t="e">
        <f>#REF!</f>
        <v>#REF!</v>
      </c>
      <c r="D157" s="32"/>
      <c r="E157" s="33" t="e">
        <f>+#REF!</f>
        <v>#REF!</v>
      </c>
      <c r="F157" s="33"/>
      <c r="G157" s="110"/>
      <c r="H157" s="57" t="e">
        <f>+#REF!</f>
        <v>#REF!</v>
      </c>
      <c r="I157" s="33" t="e">
        <f>+#REF!</f>
        <v>#REF!</v>
      </c>
      <c r="J157" s="31" t="e">
        <f t="shared" si="77"/>
        <v>#REF!</v>
      </c>
      <c r="K157" s="156" t="e">
        <f>J157=#REF!</f>
        <v>#REF!</v>
      </c>
    </row>
    <row r="158" spans="1:11">
      <c r="A158" s="130" t="s">
        <v>150</v>
      </c>
      <c r="B158" s="135" t="s">
        <v>29</v>
      </c>
      <c r="C158" s="33" t="e">
        <f>#REF!</f>
        <v>#REF!</v>
      </c>
      <c r="D158" s="32"/>
      <c r="E158" s="33" t="e">
        <f>+#REF!</f>
        <v>#REF!</v>
      </c>
      <c r="F158" s="33"/>
      <c r="G158" s="110"/>
      <c r="H158" s="57" t="e">
        <f>+#REF!</f>
        <v>#REF!</v>
      </c>
      <c r="I158" s="33" t="e">
        <f>+#REF!</f>
        <v>#REF!</v>
      </c>
      <c r="J158" s="31" t="e">
        <f t="shared" ref="J158" si="78">+SUM(C158:G158)-(H158+I158)</f>
        <v>#REF!</v>
      </c>
      <c r="K158" s="156" t="e">
        <f>J158=#REF!</f>
        <v>#REF!</v>
      </c>
    </row>
    <row r="159" spans="1:11">
      <c r="A159" s="130" t="s">
        <v>150</v>
      </c>
      <c r="B159" s="136" t="s">
        <v>114</v>
      </c>
      <c r="C159" s="33" t="e">
        <f>#REF!</f>
        <v>#REF!</v>
      </c>
      <c r="D159" s="127"/>
      <c r="E159" s="33" t="e">
        <f>+#REF!</f>
        <v>#REF!</v>
      </c>
      <c r="F159" s="53"/>
      <c r="G159" s="147"/>
      <c r="H159" s="57" t="e">
        <f>+#REF!</f>
        <v>#REF!</v>
      </c>
      <c r="I159" s="33" t="e">
        <f>+#REF!</f>
        <v>#REF!</v>
      </c>
      <c r="J159" s="31" t="e">
        <f t="shared" si="77"/>
        <v>#REF!</v>
      </c>
      <c r="K159" s="156" t="e">
        <f>J159=#REF!</f>
        <v>#REF!</v>
      </c>
    </row>
    <row r="160" spans="1:11">
      <c r="A160" s="35" t="s">
        <v>61</v>
      </c>
      <c r="B160" s="36"/>
      <c r="C160" s="36"/>
      <c r="D160" s="36"/>
      <c r="E160" s="36"/>
      <c r="F160" s="36"/>
      <c r="G160" s="36"/>
      <c r="H160" s="36"/>
      <c r="I160" s="36"/>
      <c r="J160" s="37"/>
      <c r="K160" s="155"/>
    </row>
    <row r="161" spans="1:15">
      <c r="A161" s="130" t="s">
        <v>150</v>
      </c>
      <c r="B161" s="38" t="s">
        <v>62</v>
      </c>
      <c r="C161" s="39" t="e">
        <f>#REF!</f>
        <v>#REF!</v>
      </c>
      <c r="D161" s="51">
        <v>4000000</v>
      </c>
      <c r="E161" s="109"/>
      <c r="F161" s="51"/>
      <c r="G161" s="133">
        <v>15000</v>
      </c>
      <c r="H161" s="53" t="e">
        <f>+#REF!</f>
        <v>#REF!</v>
      </c>
      <c r="I161" s="134" t="e">
        <f>+#REF!</f>
        <v>#REF!</v>
      </c>
      <c r="J161" s="46" t="e">
        <f>+SUM(C161:G161)-(H161+I161)</f>
        <v>#REF!</v>
      </c>
      <c r="K161" s="156" t="e">
        <f>J161=#REF!</f>
        <v>#REF!</v>
      </c>
    </row>
    <row r="162" spans="1:15">
      <c r="A162" s="44" t="s">
        <v>63</v>
      </c>
      <c r="B162" s="25"/>
      <c r="C162" s="36"/>
      <c r="D162" s="25"/>
      <c r="E162" s="25"/>
      <c r="F162" s="25"/>
      <c r="G162" s="25"/>
      <c r="H162" s="25"/>
      <c r="I162" s="25"/>
      <c r="J162" s="37"/>
      <c r="K162" s="155"/>
    </row>
    <row r="163" spans="1:15">
      <c r="A163" s="130" t="s">
        <v>150</v>
      </c>
      <c r="B163" s="38" t="s">
        <v>64</v>
      </c>
      <c r="C163" s="133" t="e">
        <f>#REF!</f>
        <v>#REF!</v>
      </c>
      <c r="D163" s="140"/>
      <c r="E163" s="51"/>
      <c r="F163" s="51"/>
      <c r="G163" s="51"/>
      <c r="H163" s="53" t="e">
        <f>+#REF!</f>
        <v>#REF!</v>
      </c>
      <c r="I163" s="55" t="e">
        <f>+#REF!</f>
        <v>#REF!</v>
      </c>
      <c r="J163" s="46" t="e">
        <f>+SUM(C163:G163)-(H163+I163)</f>
        <v>#REF!</v>
      </c>
      <c r="K163" s="156" t="e">
        <f>+J163=#REF!</f>
        <v>#REF!</v>
      </c>
    </row>
    <row r="164" spans="1:15">
      <c r="A164" s="130" t="s">
        <v>150</v>
      </c>
      <c r="B164" s="38" t="s">
        <v>65</v>
      </c>
      <c r="C164" s="133" t="e">
        <f>#REF!</f>
        <v>#REF!</v>
      </c>
      <c r="D164" s="51"/>
      <c r="E164" s="50"/>
      <c r="F164" s="50"/>
      <c r="G164" s="50"/>
      <c r="H164" s="33" t="e">
        <f>+#REF!</f>
        <v>#REF!</v>
      </c>
      <c r="I164" s="52" t="e">
        <f>+#REF!</f>
        <v>#REF!</v>
      </c>
      <c r="J164" s="46" t="e">
        <f>SUM(C164:G164)-(H164+I164)</f>
        <v>#REF!</v>
      </c>
      <c r="K164" s="156" t="e">
        <f>+J164=#REF!</f>
        <v>#REF!</v>
      </c>
    </row>
    <row r="165" spans="1:15" ht="15.75">
      <c r="C165" s="151" t="e">
        <f>SUM(C149:C164)</f>
        <v>#REF!</v>
      </c>
      <c r="I165" s="149" t="e">
        <f>SUM(I149:I164)</f>
        <v>#REF!</v>
      </c>
      <c r="J165" s="111" t="e">
        <f>+SUM(J149:J164)</f>
        <v>#REF!</v>
      </c>
      <c r="K165" s="5" t="e">
        <f>J165=#REF!</f>
        <v>#REF!</v>
      </c>
    </row>
    <row r="166" spans="1:15" s="171" customFormat="1" ht="16.5">
      <c r="A166" s="14"/>
      <c r="B166" s="175"/>
      <c r="C166" s="174"/>
      <c r="D166" s="174"/>
      <c r="E166" s="173"/>
      <c r="F166" s="174"/>
      <c r="G166" s="174" t="e">
        <f>+#REF!-J165</f>
        <v>#REF!</v>
      </c>
      <c r="H166" s="174"/>
      <c r="I166" s="174"/>
      <c r="L166" s="172"/>
      <c r="M166" s="172"/>
      <c r="N166" s="172"/>
      <c r="O166" s="172"/>
    </row>
    <row r="167" spans="1:15">
      <c r="A167" s="16" t="s">
        <v>53</v>
      </c>
      <c r="B167" s="16"/>
      <c r="C167" s="16"/>
      <c r="D167" s="17"/>
      <c r="E167" s="17"/>
      <c r="F167" s="17"/>
      <c r="G167" s="17"/>
      <c r="H167" s="17"/>
      <c r="I167" s="17"/>
    </row>
    <row r="168" spans="1:15">
      <c r="A168" s="18" t="s">
        <v>147</v>
      </c>
      <c r="B168" s="18"/>
      <c r="C168" s="18"/>
      <c r="D168" s="18"/>
      <c r="E168" s="18"/>
      <c r="F168" s="18"/>
      <c r="G168" s="18"/>
      <c r="H168" s="18"/>
      <c r="I168" s="18"/>
      <c r="J168" s="17"/>
    </row>
    <row r="169" spans="1:15">
      <c r="A169" s="19"/>
      <c r="B169" s="20"/>
      <c r="C169" s="21"/>
      <c r="D169" s="21"/>
      <c r="E169" s="21"/>
      <c r="F169" s="21"/>
      <c r="G169" s="21"/>
      <c r="H169" s="20"/>
      <c r="I169" s="20"/>
      <c r="J169" s="18"/>
    </row>
    <row r="170" spans="1:15">
      <c r="A170" s="276" t="s">
        <v>54</v>
      </c>
      <c r="B170" s="278" t="s">
        <v>55</v>
      </c>
      <c r="C170" s="280" t="s">
        <v>148</v>
      </c>
      <c r="D170" s="282" t="s">
        <v>56</v>
      </c>
      <c r="E170" s="283"/>
      <c r="F170" s="283"/>
      <c r="G170" s="284"/>
      <c r="H170" s="285" t="s">
        <v>57</v>
      </c>
      <c r="I170" s="272" t="s">
        <v>58</v>
      </c>
      <c r="J170" s="20"/>
    </row>
    <row r="171" spans="1:15">
      <c r="A171" s="277"/>
      <c r="B171" s="279"/>
      <c r="C171" s="281"/>
      <c r="D171" s="22" t="s">
        <v>24</v>
      </c>
      <c r="E171" s="22" t="s">
        <v>25</v>
      </c>
      <c r="F171" s="170" t="s">
        <v>124</v>
      </c>
      <c r="G171" s="22" t="s">
        <v>59</v>
      </c>
      <c r="H171" s="286"/>
      <c r="I171" s="273"/>
      <c r="J171" s="274" t="s">
        <v>149</v>
      </c>
      <c r="K171" s="155"/>
    </row>
    <row r="172" spans="1:15">
      <c r="A172" s="24"/>
      <c r="B172" s="25" t="s">
        <v>60</v>
      </c>
      <c r="C172" s="26"/>
      <c r="D172" s="26"/>
      <c r="E172" s="26"/>
      <c r="F172" s="26"/>
      <c r="G172" s="26"/>
      <c r="H172" s="26"/>
      <c r="I172" s="27"/>
      <c r="J172" s="275"/>
      <c r="K172" s="155"/>
    </row>
    <row r="173" spans="1:15">
      <c r="A173" s="130" t="s">
        <v>73</v>
      </c>
      <c r="B173" s="135" t="s">
        <v>48</v>
      </c>
      <c r="C173" s="33" t="e">
        <f>#REF!</f>
        <v>#REF!</v>
      </c>
      <c r="D173" s="32"/>
      <c r="E173" s="33">
        <v>970765</v>
      </c>
      <c r="F173" s="33"/>
      <c r="G173" s="33"/>
      <c r="H173" s="57">
        <v>0</v>
      </c>
      <c r="I173" s="33">
        <v>980165</v>
      </c>
      <c r="J173" s="31" t="e">
        <f t="shared" ref="J173:J174" si="79">+SUM(C173:G173)-(H173+I173)</f>
        <v>#REF!</v>
      </c>
      <c r="K173" s="156" t="e">
        <f>J173=#REF!</f>
        <v>#REF!</v>
      </c>
    </row>
    <row r="174" spans="1:15">
      <c r="A174" s="130" t="s">
        <v>73</v>
      </c>
      <c r="B174" s="135" t="s">
        <v>31</v>
      </c>
      <c r="C174" s="33" t="e">
        <f>#REF!</f>
        <v>#REF!</v>
      </c>
      <c r="D174" s="32"/>
      <c r="E174" s="33">
        <v>58000</v>
      </c>
      <c r="F174" s="33"/>
      <c r="G174" s="33"/>
      <c r="H174" s="33">
        <v>0</v>
      </c>
      <c r="I174" s="33">
        <v>59500</v>
      </c>
      <c r="J174" s="107" t="e">
        <f t="shared" si="79"/>
        <v>#REF!</v>
      </c>
      <c r="K174" s="156" t="e">
        <f>J174=#REF!</f>
        <v>#REF!</v>
      </c>
    </row>
    <row r="175" spans="1:15">
      <c r="A175" s="130" t="s">
        <v>73</v>
      </c>
      <c r="B175" s="136" t="s">
        <v>30</v>
      </c>
      <c r="C175" s="33" t="e">
        <f>#REF!</f>
        <v>#REF!</v>
      </c>
      <c r="D175" s="127"/>
      <c r="E175" s="53">
        <v>557150</v>
      </c>
      <c r="F175" s="53"/>
      <c r="G175" s="53"/>
      <c r="H175" s="53">
        <v>0</v>
      </c>
      <c r="I175" s="53">
        <v>556650</v>
      </c>
      <c r="J175" s="132" t="e">
        <f>+SUM(C175:G175)-(H175+I175)</f>
        <v>#REF!</v>
      </c>
      <c r="K175" s="156" t="e">
        <f>J175=#REF!</f>
        <v>#REF!</v>
      </c>
    </row>
    <row r="176" spans="1:15">
      <c r="A176" s="130" t="s">
        <v>73</v>
      </c>
      <c r="B176" s="137" t="s">
        <v>85</v>
      </c>
      <c r="C176" s="128" t="e">
        <f>#REF!</f>
        <v>#REF!</v>
      </c>
      <c r="D176" s="131"/>
      <c r="E176" s="146"/>
      <c r="F176" s="146"/>
      <c r="G176" s="146"/>
      <c r="H176" s="146">
        <v>0</v>
      </c>
      <c r="I176" s="146">
        <v>0</v>
      </c>
      <c r="J176" s="129" t="e">
        <f>+SUM(C176:G176)-(H176+I176)</f>
        <v>#REF!</v>
      </c>
      <c r="K176" s="156" t="e">
        <f>J176=#REF!</f>
        <v>#REF!</v>
      </c>
    </row>
    <row r="177" spans="1:15">
      <c r="A177" s="130" t="s">
        <v>73</v>
      </c>
      <c r="B177" s="137" t="s">
        <v>84</v>
      </c>
      <c r="C177" s="128" t="e">
        <f>#REF!</f>
        <v>#REF!</v>
      </c>
      <c r="D177" s="131"/>
      <c r="E177" s="146"/>
      <c r="F177" s="146"/>
      <c r="G177" s="146"/>
      <c r="H177" s="146">
        <v>0</v>
      </c>
      <c r="I177" s="146">
        <v>0</v>
      </c>
      <c r="J177" s="129" t="e">
        <f t="shared" ref="J177:J182" si="80">+SUM(C177:G177)-(H177+I177)</f>
        <v>#REF!</v>
      </c>
      <c r="K177" s="156" t="e">
        <f>J177=#REF!</f>
        <v>#REF!</v>
      </c>
    </row>
    <row r="178" spans="1:15">
      <c r="A178" s="130" t="s">
        <v>73</v>
      </c>
      <c r="B178" s="135" t="s">
        <v>36</v>
      </c>
      <c r="C178" s="33" t="e">
        <f>#REF!</f>
        <v>#REF!</v>
      </c>
      <c r="D178" s="32"/>
      <c r="E178" s="33">
        <v>941000</v>
      </c>
      <c r="F178" s="33"/>
      <c r="G178" s="110"/>
      <c r="H178" s="110">
        <v>0</v>
      </c>
      <c r="I178" s="33">
        <v>1084725</v>
      </c>
      <c r="J178" s="31" t="e">
        <f t="shared" si="80"/>
        <v>#REF!</v>
      </c>
      <c r="K178" s="156" t="e">
        <f>J178=#REF!</f>
        <v>#REF!</v>
      </c>
    </row>
    <row r="179" spans="1:15">
      <c r="A179" s="130" t="s">
        <v>73</v>
      </c>
      <c r="B179" s="135" t="s">
        <v>94</v>
      </c>
      <c r="C179" s="33" t="e">
        <f>#REF!</f>
        <v>#REF!</v>
      </c>
      <c r="D179" s="32"/>
      <c r="E179" s="33">
        <v>52000</v>
      </c>
      <c r="F179" s="110"/>
      <c r="G179" s="110"/>
      <c r="H179" s="110">
        <v>0</v>
      </c>
      <c r="I179" s="33">
        <v>67000</v>
      </c>
      <c r="J179" s="31" t="e">
        <f t="shared" si="80"/>
        <v>#REF!</v>
      </c>
      <c r="K179" s="156" t="e">
        <f>J179=#REF!</f>
        <v>#REF!</v>
      </c>
    </row>
    <row r="180" spans="1:15">
      <c r="A180" s="130" t="s">
        <v>73</v>
      </c>
      <c r="B180" s="135" t="s">
        <v>29</v>
      </c>
      <c r="C180" s="33" t="e">
        <f>#REF!</f>
        <v>#REF!</v>
      </c>
      <c r="D180" s="32"/>
      <c r="E180" s="33">
        <v>515000</v>
      </c>
      <c r="F180" s="110"/>
      <c r="G180" s="110"/>
      <c r="H180" s="110">
        <v>0</v>
      </c>
      <c r="I180" s="33">
        <v>655500</v>
      </c>
      <c r="J180" s="31" t="e">
        <f t="shared" si="80"/>
        <v>#REF!</v>
      </c>
      <c r="K180" s="156" t="e">
        <f>J180=#REF!</f>
        <v>#REF!</v>
      </c>
    </row>
    <row r="181" spans="1:15">
      <c r="A181" s="130" t="s">
        <v>73</v>
      </c>
      <c r="B181" s="135" t="s">
        <v>32</v>
      </c>
      <c r="C181" s="33" t="e">
        <f>#REF!</f>
        <v>#REF!</v>
      </c>
      <c r="D181" s="32"/>
      <c r="E181" s="33">
        <v>10000</v>
      </c>
      <c r="F181" s="110"/>
      <c r="G181" s="110"/>
      <c r="H181" s="33">
        <v>500</v>
      </c>
      <c r="I181" s="33">
        <v>15300</v>
      </c>
      <c r="J181" s="31" t="e">
        <f t="shared" si="80"/>
        <v>#REF!</v>
      </c>
      <c r="K181" s="156" t="e">
        <f>J181=#REF!</f>
        <v>#REF!</v>
      </c>
    </row>
    <row r="182" spans="1:15">
      <c r="A182" s="130" t="s">
        <v>73</v>
      </c>
      <c r="B182" s="136" t="s">
        <v>114</v>
      </c>
      <c r="C182" s="33" t="e">
        <f>#REF!</f>
        <v>#REF!</v>
      </c>
      <c r="D182" s="127"/>
      <c r="E182" s="53">
        <v>20000</v>
      </c>
      <c r="F182" s="53"/>
      <c r="G182" s="147"/>
      <c r="H182" s="53">
        <v>0</v>
      </c>
      <c r="I182" s="53">
        <v>28000</v>
      </c>
      <c r="J182" s="31" t="e">
        <f t="shared" si="80"/>
        <v>#REF!</v>
      </c>
      <c r="K182" s="156" t="e">
        <f>J182=#REF!</f>
        <v>#REF!</v>
      </c>
    </row>
    <row r="183" spans="1:15">
      <c r="A183" s="35" t="s">
        <v>61</v>
      </c>
      <c r="B183" s="36"/>
      <c r="C183" s="36"/>
      <c r="D183" s="36"/>
      <c r="E183" s="36"/>
      <c r="F183" s="36"/>
      <c r="G183" s="36"/>
      <c r="H183" s="36"/>
      <c r="I183" s="36"/>
      <c r="J183" s="37"/>
      <c r="K183" s="155"/>
    </row>
    <row r="184" spans="1:15">
      <c r="A184" s="130" t="s">
        <v>73</v>
      </c>
      <c r="B184" s="38" t="s">
        <v>62</v>
      </c>
      <c r="C184" s="39" t="e">
        <f>#REF!</f>
        <v>#REF!</v>
      </c>
      <c r="D184" s="51">
        <v>6000500</v>
      </c>
      <c r="E184" s="109"/>
      <c r="F184" s="51"/>
      <c r="G184" s="148"/>
      <c r="H184" s="53">
        <v>3123915</v>
      </c>
      <c r="I184" s="134">
        <v>3367697</v>
      </c>
      <c r="J184" s="46" t="e">
        <f>+SUM(C184:G184)-(H184+I184)</f>
        <v>#REF!</v>
      </c>
      <c r="K184" s="156" t="e">
        <f>J184=#REF!</f>
        <v>#REF!</v>
      </c>
    </row>
    <row r="185" spans="1:15">
      <c r="A185" s="44" t="s">
        <v>63</v>
      </c>
      <c r="B185" s="25"/>
      <c r="C185" s="36"/>
      <c r="D185" s="25"/>
      <c r="E185" s="25"/>
      <c r="F185" s="25"/>
      <c r="G185" s="25"/>
      <c r="H185" s="25"/>
      <c r="I185" s="25"/>
      <c r="J185" s="37"/>
      <c r="K185" s="155"/>
    </row>
    <row r="186" spans="1:15">
      <c r="A186" s="130" t="s">
        <v>73</v>
      </c>
      <c r="B186" s="38" t="s">
        <v>64</v>
      </c>
      <c r="C186" s="133" t="e">
        <f>#REF!</f>
        <v>#REF!</v>
      </c>
      <c r="D186" s="140"/>
      <c r="E186" s="51"/>
      <c r="F186" s="51"/>
      <c r="G186" s="51"/>
      <c r="H186" s="53">
        <v>2000000</v>
      </c>
      <c r="I186" s="55">
        <v>271244</v>
      </c>
      <c r="J186" s="46" t="e">
        <f>+SUM(C186:G186)-(H186+I186)</f>
        <v>#REF!</v>
      </c>
      <c r="K186" s="156" t="e">
        <f>+J186=#REF!</f>
        <v>#REF!</v>
      </c>
    </row>
    <row r="187" spans="1:15">
      <c r="A187" s="130" t="s">
        <v>73</v>
      </c>
      <c r="B187" s="38" t="s">
        <v>65</v>
      </c>
      <c r="C187" s="133" t="e">
        <f>#REF!</f>
        <v>#REF!</v>
      </c>
      <c r="D187" s="51">
        <v>31201251</v>
      </c>
      <c r="E187" s="50"/>
      <c r="F187" s="50"/>
      <c r="G187" s="50"/>
      <c r="H187" s="33">
        <v>4000000</v>
      </c>
      <c r="I187" s="52">
        <v>6204544</v>
      </c>
      <c r="J187" s="46" t="e">
        <f>SUM(C187:G187)-(H187+I187)</f>
        <v>#REF!</v>
      </c>
      <c r="K187" s="156" t="e">
        <f>+J187=#REF!</f>
        <v>#REF!</v>
      </c>
    </row>
    <row r="188" spans="1:15" ht="15.75">
      <c r="C188" s="151" t="e">
        <f>SUM(C173:C187)</f>
        <v>#REF!</v>
      </c>
      <c r="I188" s="149">
        <f>SUM(I173:I187)</f>
        <v>13290325</v>
      </c>
      <c r="J188" s="111" t="e">
        <f>+SUM(J173:J187)</f>
        <v>#REF!</v>
      </c>
      <c r="K188" s="5" t="e">
        <f>J188=#REF!</f>
        <v>#REF!</v>
      </c>
    </row>
    <row r="189" spans="1:15" s="171" customFormat="1" ht="16.5">
      <c r="A189" s="14"/>
      <c r="B189" s="175"/>
      <c r="C189" s="174"/>
      <c r="D189" s="174"/>
      <c r="E189" s="173"/>
      <c r="F189" s="174"/>
      <c r="G189" s="174" t="e">
        <f>+#REF!-J188</f>
        <v>#REF!</v>
      </c>
      <c r="H189" s="174"/>
      <c r="I189" s="174"/>
      <c r="L189" s="172"/>
      <c r="M189" s="172"/>
      <c r="N189" s="172"/>
      <c r="O189" s="172"/>
    </row>
    <row r="190" spans="1:15" ht="16.5">
      <c r="A190" s="14"/>
      <c r="B190" s="15"/>
      <c r="C190" s="12"/>
      <c r="D190" s="12"/>
      <c r="E190" s="13"/>
      <c r="F190" s="12"/>
      <c r="G190" s="12"/>
      <c r="H190" s="12"/>
      <c r="I190" s="12"/>
    </row>
    <row r="191" spans="1:15">
      <c r="A191" s="16" t="s">
        <v>53</v>
      </c>
      <c r="B191" s="16"/>
      <c r="C191" s="16"/>
      <c r="D191" s="17"/>
      <c r="E191" s="17"/>
      <c r="F191" s="17"/>
      <c r="G191" s="17"/>
      <c r="H191" s="17"/>
      <c r="I191" s="17"/>
    </row>
    <row r="192" spans="1:15">
      <c r="A192" s="18" t="s">
        <v>141</v>
      </c>
      <c r="B192" s="18"/>
      <c r="C192" s="18"/>
      <c r="D192" s="18"/>
      <c r="E192" s="18"/>
      <c r="F192" s="18"/>
      <c r="G192" s="18"/>
      <c r="H192" s="18"/>
      <c r="I192" s="18"/>
      <c r="J192" s="17"/>
    </row>
    <row r="193" spans="1:11">
      <c r="A193" s="19"/>
      <c r="B193" s="20"/>
      <c r="C193" s="21"/>
      <c r="D193" s="21"/>
      <c r="E193" s="21"/>
      <c r="F193" s="21"/>
      <c r="G193" s="21"/>
      <c r="H193" s="20"/>
      <c r="I193" s="20"/>
      <c r="J193" s="18"/>
    </row>
    <row r="194" spans="1:11">
      <c r="A194" s="276" t="s">
        <v>54</v>
      </c>
      <c r="B194" s="278" t="s">
        <v>55</v>
      </c>
      <c r="C194" s="280" t="s">
        <v>143</v>
      </c>
      <c r="D194" s="282" t="s">
        <v>56</v>
      </c>
      <c r="E194" s="283"/>
      <c r="F194" s="283"/>
      <c r="G194" s="284"/>
      <c r="H194" s="285" t="s">
        <v>57</v>
      </c>
      <c r="I194" s="272" t="s">
        <v>58</v>
      </c>
      <c r="J194" s="20"/>
    </row>
    <row r="195" spans="1:11">
      <c r="A195" s="277"/>
      <c r="B195" s="279"/>
      <c r="C195" s="281"/>
      <c r="D195" s="22" t="s">
        <v>24</v>
      </c>
      <c r="E195" s="22" t="s">
        <v>25</v>
      </c>
      <c r="F195" s="168" t="s">
        <v>124</v>
      </c>
      <c r="G195" s="22" t="s">
        <v>59</v>
      </c>
      <c r="H195" s="286"/>
      <c r="I195" s="273"/>
      <c r="J195" s="274" t="s">
        <v>142</v>
      </c>
      <c r="K195" s="155"/>
    </row>
    <row r="196" spans="1:11">
      <c r="A196" s="24"/>
      <c r="B196" s="25" t="s">
        <v>60</v>
      </c>
      <c r="C196" s="26"/>
      <c r="D196" s="26"/>
      <c r="E196" s="26"/>
      <c r="F196" s="26"/>
      <c r="G196" s="26"/>
      <c r="H196" s="26"/>
      <c r="I196" s="27"/>
      <c r="J196" s="275"/>
      <c r="K196" s="155"/>
    </row>
    <row r="197" spans="1:11">
      <c r="A197" s="130" t="s">
        <v>144</v>
      </c>
      <c r="B197" s="135" t="s">
        <v>77</v>
      </c>
      <c r="C197" s="33" t="e">
        <f>+#REF!</f>
        <v>#REF!</v>
      </c>
      <c r="D197" s="32"/>
      <c r="E197" s="33">
        <v>114000</v>
      </c>
      <c r="F197" s="33"/>
      <c r="G197" s="33"/>
      <c r="H197" s="57">
        <v>11050</v>
      </c>
      <c r="I197" s="33">
        <v>112000</v>
      </c>
      <c r="J197" s="31" t="e">
        <f>+SUM(C197:G197)-(H197+I197)</f>
        <v>#REF!</v>
      </c>
      <c r="K197" s="156" t="e">
        <f>J197=#REF!</f>
        <v>#REF!</v>
      </c>
    </row>
    <row r="198" spans="1:11">
      <c r="A198" s="130" t="s">
        <v>144</v>
      </c>
      <c r="B198" s="135" t="s">
        <v>48</v>
      </c>
      <c r="C198" s="33" t="e">
        <f t="shared" ref="C198:C208" si="81">+C175</f>
        <v>#REF!</v>
      </c>
      <c r="D198" s="32"/>
      <c r="E198" s="33">
        <v>87350</v>
      </c>
      <c r="F198" s="33">
        <f>60000+62000</f>
        <v>122000</v>
      </c>
      <c r="G198" s="33"/>
      <c r="H198" s="57">
        <v>161395</v>
      </c>
      <c r="I198" s="33">
        <v>281200</v>
      </c>
      <c r="J198" s="31" t="e">
        <f t="shared" ref="J198:J199" si="82">+SUM(C198:G198)-(H198+I198)</f>
        <v>#REF!</v>
      </c>
      <c r="K198" s="156" t="e">
        <f t="shared" ref="K198:K208" si="83">J198=I175</f>
        <v>#REF!</v>
      </c>
    </row>
    <row r="199" spans="1:11">
      <c r="A199" s="130" t="s">
        <v>144</v>
      </c>
      <c r="B199" s="135" t="s">
        <v>31</v>
      </c>
      <c r="C199" s="33" t="e">
        <f t="shared" si="81"/>
        <v>#REF!</v>
      </c>
      <c r="D199" s="32"/>
      <c r="E199" s="33">
        <v>371500</v>
      </c>
      <c r="F199" s="33"/>
      <c r="G199" s="33"/>
      <c r="H199" s="33">
        <f>62000+81500+137000</f>
        <v>280500</v>
      </c>
      <c r="I199" s="33">
        <v>177000</v>
      </c>
      <c r="J199" s="107" t="e">
        <f t="shared" si="82"/>
        <v>#REF!</v>
      </c>
      <c r="K199" s="156" t="e">
        <f t="shared" si="83"/>
        <v>#REF!</v>
      </c>
    </row>
    <row r="200" spans="1:11">
      <c r="A200" s="130" t="s">
        <v>144</v>
      </c>
      <c r="B200" s="135" t="s">
        <v>78</v>
      </c>
      <c r="C200" s="33" t="e">
        <f t="shared" si="81"/>
        <v>#REF!</v>
      </c>
      <c r="D200" s="110"/>
      <c r="E200" s="33">
        <v>35560</v>
      </c>
      <c r="F200" s="33">
        <f>10000+81500</f>
        <v>91500</v>
      </c>
      <c r="G200" s="33"/>
      <c r="H200" s="33">
        <v>35000</v>
      </c>
      <c r="I200" s="33">
        <v>159750</v>
      </c>
      <c r="J200" s="107" t="e">
        <f>+SUM(C200:G200)-(H200+I200)</f>
        <v>#REF!</v>
      </c>
      <c r="K200" s="156" t="e">
        <f t="shared" si="83"/>
        <v>#REF!</v>
      </c>
    </row>
    <row r="201" spans="1:11">
      <c r="A201" s="130" t="s">
        <v>144</v>
      </c>
      <c r="B201" s="136" t="s">
        <v>30</v>
      </c>
      <c r="C201" s="33" t="e">
        <f t="shared" si="81"/>
        <v>#REF!</v>
      </c>
      <c r="D201" s="127"/>
      <c r="E201" s="53">
        <v>372085</v>
      </c>
      <c r="F201" s="53"/>
      <c r="G201" s="53"/>
      <c r="H201" s="53"/>
      <c r="I201" s="53">
        <v>336400</v>
      </c>
      <c r="J201" s="132" t="e">
        <f>+SUM(C201:G201)-(H201+I201)</f>
        <v>#REF!</v>
      </c>
      <c r="K201" s="156" t="e">
        <f t="shared" si="83"/>
        <v>#REF!</v>
      </c>
    </row>
    <row r="202" spans="1:11">
      <c r="A202" s="130" t="s">
        <v>144</v>
      </c>
      <c r="B202" s="137" t="s">
        <v>85</v>
      </c>
      <c r="C202" s="128" t="e">
        <f t="shared" si="81"/>
        <v>#REF!</v>
      </c>
      <c r="D202" s="131"/>
      <c r="E202" s="146"/>
      <c r="F202" s="146"/>
      <c r="G202" s="146"/>
      <c r="H202" s="146"/>
      <c r="I202" s="146"/>
      <c r="J202" s="129" t="e">
        <f>+SUM(C202:G202)-(H202+I202)</f>
        <v>#REF!</v>
      </c>
      <c r="K202" s="156" t="e">
        <f t="shared" si="83"/>
        <v>#REF!</v>
      </c>
    </row>
    <row r="203" spans="1:11">
      <c r="A203" s="130" t="s">
        <v>144</v>
      </c>
      <c r="B203" s="137" t="s">
        <v>84</v>
      </c>
      <c r="C203" s="128" t="e">
        <f t="shared" si="81"/>
        <v>#REF!</v>
      </c>
      <c r="D203" s="131"/>
      <c r="E203" s="146"/>
      <c r="F203" s="146"/>
      <c r="G203" s="146"/>
      <c r="H203" s="146"/>
      <c r="I203" s="146"/>
      <c r="J203" s="129" t="e">
        <f t="shared" ref="J203:J208" si="84">+SUM(C203:G203)-(H203+I203)</f>
        <v>#REF!</v>
      </c>
      <c r="K203" s="156" t="e">
        <f t="shared" si="83"/>
        <v>#REF!</v>
      </c>
    </row>
    <row r="204" spans="1:11">
      <c r="A204" s="130" t="s">
        <v>144</v>
      </c>
      <c r="B204" s="135" t="s">
        <v>36</v>
      </c>
      <c r="C204" s="33" t="e">
        <f t="shared" si="81"/>
        <v>#REF!</v>
      </c>
      <c r="D204" s="32"/>
      <c r="E204" s="33">
        <v>400000</v>
      </c>
      <c r="F204" s="33">
        <v>137000</v>
      </c>
      <c r="G204" s="110"/>
      <c r="H204" s="110"/>
      <c r="I204" s="33">
        <v>563500</v>
      </c>
      <c r="J204" s="31" t="e">
        <f t="shared" si="84"/>
        <v>#REF!</v>
      </c>
      <c r="K204" s="156" t="e">
        <f t="shared" si="83"/>
        <v>#REF!</v>
      </c>
    </row>
    <row r="205" spans="1:11">
      <c r="A205" s="130" t="s">
        <v>144</v>
      </c>
      <c r="B205" s="135" t="s">
        <v>94</v>
      </c>
      <c r="C205" s="33" t="e">
        <f t="shared" si="81"/>
        <v>#REF!</v>
      </c>
      <c r="D205" s="32"/>
      <c r="E205" s="33">
        <v>35000</v>
      </c>
      <c r="F205" s="110"/>
      <c r="G205" s="110"/>
      <c r="H205" s="110"/>
      <c r="I205" s="33">
        <v>23500</v>
      </c>
      <c r="J205" s="31" t="e">
        <f t="shared" si="84"/>
        <v>#REF!</v>
      </c>
      <c r="K205" s="156" t="e">
        <f t="shared" si="83"/>
        <v>#REF!</v>
      </c>
    </row>
    <row r="206" spans="1:11">
      <c r="A206" s="130" t="s">
        <v>144</v>
      </c>
      <c r="B206" s="135" t="s">
        <v>29</v>
      </c>
      <c r="C206" s="33">
        <f t="shared" si="81"/>
        <v>0</v>
      </c>
      <c r="D206" s="32"/>
      <c r="E206" s="33">
        <v>454000</v>
      </c>
      <c r="F206" s="110"/>
      <c r="G206" s="110"/>
      <c r="H206" s="110"/>
      <c r="I206" s="33">
        <v>329100</v>
      </c>
      <c r="J206" s="31">
        <f t="shared" si="84"/>
        <v>124900</v>
      </c>
      <c r="K206" s="156" t="b">
        <f t="shared" si="83"/>
        <v>0</v>
      </c>
    </row>
    <row r="207" spans="1:11">
      <c r="A207" s="130" t="s">
        <v>144</v>
      </c>
      <c r="B207" s="135" t="s">
        <v>32</v>
      </c>
      <c r="C207" s="33" t="e">
        <f t="shared" si="81"/>
        <v>#REF!</v>
      </c>
      <c r="D207" s="32"/>
      <c r="E207" s="33"/>
      <c r="F207" s="110"/>
      <c r="G207" s="110"/>
      <c r="H207" s="33">
        <v>20000</v>
      </c>
      <c r="I207" s="33">
        <v>5000</v>
      </c>
      <c r="J207" s="31" t="e">
        <f t="shared" si="84"/>
        <v>#REF!</v>
      </c>
      <c r="K207" s="156" t="e">
        <f t="shared" si="83"/>
        <v>#REF!</v>
      </c>
    </row>
    <row r="208" spans="1:11">
      <c r="A208" s="130" t="s">
        <v>144</v>
      </c>
      <c r="B208" s="136" t="s">
        <v>114</v>
      </c>
      <c r="C208" s="33">
        <f t="shared" si="81"/>
        <v>0</v>
      </c>
      <c r="D208" s="127"/>
      <c r="E208" s="53">
        <v>231000</v>
      </c>
      <c r="F208" s="53"/>
      <c r="G208" s="147"/>
      <c r="H208" s="53">
        <v>90000</v>
      </c>
      <c r="I208" s="53">
        <v>180000</v>
      </c>
      <c r="J208" s="31">
        <f t="shared" si="84"/>
        <v>-39000</v>
      </c>
      <c r="K208" s="156" t="b">
        <f t="shared" si="83"/>
        <v>0</v>
      </c>
    </row>
    <row r="209" spans="1:11">
      <c r="A209" s="35" t="s">
        <v>61</v>
      </c>
      <c r="B209" s="36"/>
      <c r="C209" s="36"/>
      <c r="D209" s="36"/>
      <c r="E209" s="36"/>
      <c r="F209" s="36"/>
      <c r="G209" s="36"/>
      <c r="H209" s="36"/>
      <c r="I209" s="36"/>
      <c r="J209" s="37"/>
      <c r="K209" s="155"/>
    </row>
    <row r="210" spans="1:11">
      <c r="A210" s="130" t="s">
        <v>144</v>
      </c>
      <c r="B210" s="38" t="s">
        <v>62</v>
      </c>
      <c r="C210" s="39" t="e">
        <f>+C174</f>
        <v>#REF!</v>
      </c>
      <c r="D210" s="51">
        <v>5000000</v>
      </c>
      <c r="E210" s="109"/>
      <c r="F210" s="51">
        <v>217445</v>
      </c>
      <c r="G210" s="148"/>
      <c r="H210" s="139">
        <v>2070495</v>
      </c>
      <c r="I210" s="134">
        <v>3286349</v>
      </c>
      <c r="J210" s="46" t="e">
        <f>+SUM(C210:G210)-(H210+I210)</f>
        <v>#REF!</v>
      </c>
      <c r="K210" s="156" t="e">
        <f>J210=I174</f>
        <v>#REF!</v>
      </c>
    </row>
    <row r="211" spans="1:11">
      <c r="A211" s="44" t="s">
        <v>63</v>
      </c>
      <c r="B211" s="25"/>
      <c r="C211" s="36"/>
      <c r="D211" s="25"/>
      <c r="E211" s="25"/>
      <c r="F211" s="25"/>
      <c r="G211" s="25"/>
      <c r="H211" s="25"/>
      <c r="I211" s="25"/>
      <c r="J211" s="37"/>
      <c r="K211" s="155"/>
    </row>
    <row r="212" spans="1:11">
      <c r="A212" s="130" t="s">
        <v>144</v>
      </c>
      <c r="B212" s="38" t="s">
        <v>64</v>
      </c>
      <c r="C212" s="133" t="e">
        <f>+#REF!</f>
        <v>#REF!</v>
      </c>
      <c r="D212" s="140">
        <v>7900099</v>
      </c>
      <c r="E212" s="51"/>
      <c r="F212" s="51"/>
      <c r="G212" s="51"/>
      <c r="H212" s="53">
        <v>3000000</v>
      </c>
      <c r="I212" s="55">
        <v>379529</v>
      </c>
      <c r="J212" s="46" t="e">
        <f>+SUM(C212:G212)-(H212+I212)</f>
        <v>#REF!</v>
      </c>
      <c r="K212" s="156" t="e">
        <f>+J212=#REF!</f>
        <v>#REF!</v>
      </c>
    </row>
    <row r="213" spans="1:11">
      <c r="A213" s="130" t="s">
        <v>144</v>
      </c>
      <c r="B213" s="38" t="s">
        <v>65</v>
      </c>
      <c r="C213" s="133" t="e">
        <f>+C173</f>
        <v>#REF!</v>
      </c>
      <c r="D213" s="51"/>
      <c r="E213" s="50"/>
      <c r="F213" s="50"/>
      <c r="G213" s="50"/>
      <c r="H213" s="33">
        <v>2000000</v>
      </c>
      <c r="I213" s="52">
        <v>5392233</v>
      </c>
      <c r="J213" s="46" t="e">
        <f>SUM(C213:G213)-(H213+I213)</f>
        <v>#REF!</v>
      </c>
      <c r="K213" s="156" t="e">
        <f>+J213=I173</f>
        <v>#REF!</v>
      </c>
    </row>
    <row r="214" spans="1:11" ht="15.75">
      <c r="C214" s="151" t="e">
        <f>SUM(C197:C213)</f>
        <v>#REF!</v>
      </c>
      <c r="I214" s="149">
        <f>SUM(I197:I213)</f>
        <v>11225561</v>
      </c>
      <c r="J214" s="111" t="e">
        <f>+SUM(J197:J213)</f>
        <v>#REF!</v>
      </c>
      <c r="K214" s="5" t="e">
        <f>J214=I186</f>
        <v>#REF!</v>
      </c>
    </row>
    <row r="215" spans="1:11" ht="16.5">
      <c r="A215" s="14"/>
      <c r="B215" s="15"/>
      <c r="C215" s="12"/>
      <c r="D215" s="12"/>
      <c r="E215" s="13"/>
      <c r="F215" s="12"/>
      <c r="G215" s="12"/>
      <c r="H215" s="12"/>
      <c r="I215" s="12"/>
    </row>
    <row r="216" spans="1:11">
      <c r="A216" s="16" t="s">
        <v>53</v>
      </c>
      <c r="B216" s="16"/>
      <c r="C216" s="16"/>
      <c r="D216" s="17"/>
      <c r="E216" s="17"/>
      <c r="F216" s="17"/>
      <c r="G216" s="17"/>
      <c r="H216" s="17"/>
      <c r="I216" s="17"/>
    </row>
    <row r="217" spans="1:11">
      <c r="A217" s="18" t="s">
        <v>132</v>
      </c>
      <c r="B217" s="18"/>
      <c r="C217" s="18"/>
      <c r="D217" s="18"/>
      <c r="E217" s="18"/>
      <c r="F217" s="18"/>
      <c r="G217" s="18"/>
      <c r="H217" s="18"/>
      <c r="I217" s="18"/>
      <c r="J217" s="17"/>
    </row>
    <row r="218" spans="1:11">
      <c r="A218" s="19"/>
      <c r="B218" s="20"/>
      <c r="C218" s="21"/>
      <c r="D218" s="21"/>
      <c r="E218" s="21"/>
      <c r="F218" s="21"/>
      <c r="G218" s="21"/>
      <c r="H218" s="20"/>
      <c r="I218" s="20"/>
      <c r="J218" s="18"/>
    </row>
    <row r="219" spans="1:11">
      <c r="A219" s="276" t="s">
        <v>54</v>
      </c>
      <c r="B219" s="278" t="s">
        <v>55</v>
      </c>
      <c r="C219" s="280" t="s">
        <v>133</v>
      </c>
      <c r="D219" s="282" t="s">
        <v>56</v>
      </c>
      <c r="E219" s="283"/>
      <c r="F219" s="283"/>
      <c r="G219" s="284"/>
      <c r="H219" s="285" t="s">
        <v>57</v>
      </c>
      <c r="I219" s="272" t="s">
        <v>58</v>
      </c>
      <c r="J219" s="20"/>
    </row>
    <row r="220" spans="1:11">
      <c r="A220" s="277"/>
      <c r="B220" s="279"/>
      <c r="C220" s="281"/>
      <c r="D220" s="22" t="s">
        <v>24</v>
      </c>
      <c r="E220" s="22" t="s">
        <v>25</v>
      </c>
      <c r="F220" s="167" t="s">
        <v>124</v>
      </c>
      <c r="G220" s="22" t="s">
        <v>59</v>
      </c>
      <c r="H220" s="286"/>
      <c r="I220" s="273"/>
      <c r="J220" s="274" t="s">
        <v>134</v>
      </c>
      <c r="K220" s="155"/>
    </row>
    <row r="221" spans="1:11">
      <c r="A221" s="24"/>
      <c r="B221" s="25" t="s">
        <v>60</v>
      </c>
      <c r="C221" s="26"/>
      <c r="D221" s="26"/>
      <c r="E221" s="26"/>
      <c r="F221" s="26"/>
      <c r="G221" s="26"/>
      <c r="H221" s="26"/>
      <c r="I221" s="27"/>
      <c r="J221" s="275"/>
      <c r="K221" s="155"/>
    </row>
    <row r="222" spans="1:11">
      <c r="A222" s="130" t="s">
        <v>135</v>
      </c>
      <c r="B222" s="135" t="s">
        <v>77</v>
      </c>
      <c r="C222" s="33">
        <v>40050</v>
      </c>
      <c r="D222" s="32"/>
      <c r="E222" s="33">
        <v>104000</v>
      </c>
      <c r="F222" s="33"/>
      <c r="G222" s="33"/>
      <c r="H222" s="57">
        <v>54000</v>
      </c>
      <c r="I222" s="33">
        <v>81000</v>
      </c>
      <c r="J222" s="31">
        <f>+SUM(C222:G222)-(H222+I222)</f>
        <v>9050</v>
      </c>
      <c r="K222" s="156" t="e">
        <f>J222=#REF!</f>
        <v>#REF!</v>
      </c>
    </row>
    <row r="223" spans="1:11">
      <c r="A223" s="130" t="s">
        <v>135</v>
      </c>
      <c r="B223" s="135" t="s">
        <v>48</v>
      </c>
      <c r="C223" s="33">
        <v>38845</v>
      </c>
      <c r="D223" s="32"/>
      <c r="E223" s="33">
        <v>1550000</v>
      </c>
      <c r="F223" s="33"/>
      <c r="G223" s="33"/>
      <c r="H223" s="57">
        <v>311000</v>
      </c>
      <c r="I223" s="33">
        <v>1017400</v>
      </c>
      <c r="J223" s="31">
        <f t="shared" ref="J223:J224" si="85">+SUM(C223:G223)-(H223+I223)</f>
        <v>260445</v>
      </c>
      <c r="K223" s="156" t="b">
        <f>J223=I175</f>
        <v>0</v>
      </c>
    </row>
    <row r="224" spans="1:11">
      <c r="A224" s="130" t="s">
        <v>135</v>
      </c>
      <c r="B224" s="135" t="s">
        <v>31</v>
      </c>
      <c r="C224" s="33">
        <v>6895</v>
      </c>
      <c r="D224" s="32"/>
      <c r="E224" s="33">
        <v>581000</v>
      </c>
      <c r="F224" s="33"/>
      <c r="G224" s="33"/>
      <c r="H224" s="33"/>
      <c r="I224" s="33">
        <v>498900</v>
      </c>
      <c r="J224" s="107">
        <f t="shared" si="85"/>
        <v>88995</v>
      </c>
      <c r="K224" s="156" t="b">
        <f>J224=I176</f>
        <v>0</v>
      </c>
    </row>
    <row r="225" spans="1:11">
      <c r="A225" s="130" t="s">
        <v>135</v>
      </c>
      <c r="B225" s="135" t="s">
        <v>78</v>
      </c>
      <c r="C225" s="33">
        <v>28540</v>
      </c>
      <c r="D225" s="110"/>
      <c r="E225" s="33">
        <v>332000</v>
      </c>
      <c r="F225" s="33">
        <v>10000</v>
      </c>
      <c r="G225" s="33"/>
      <c r="H225" s="33"/>
      <c r="I225" s="33">
        <v>302850</v>
      </c>
      <c r="J225" s="107">
        <f>+SUM(C225:G225)-(H225+I225)</f>
        <v>67690</v>
      </c>
      <c r="K225" s="156" t="b">
        <f>J225=I177</f>
        <v>0</v>
      </c>
    </row>
    <row r="226" spans="1:11">
      <c r="A226" s="130" t="s">
        <v>135</v>
      </c>
      <c r="B226" s="135" t="s">
        <v>70</v>
      </c>
      <c r="C226" s="33">
        <v>184</v>
      </c>
      <c r="D226" s="110"/>
      <c r="E226" s="33"/>
      <c r="F226" s="33"/>
      <c r="G226" s="33"/>
      <c r="H226" s="33">
        <v>184</v>
      </c>
      <c r="I226" s="33"/>
      <c r="J226" s="107">
        <f t="shared" ref="J226" si="86">+SUM(C226:G226)-(H226+I226)</f>
        <v>0</v>
      </c>
      <c r="K226" s="156" t="e">
        <f>J226=#REF!</f>
        <v>#REF!</v>
      </c>
    </row>
    <row r="227" spans="1:11">
      <c r="A227" s="130" t="s">
        <v>135</v>
      </c>
      <c r="B227" s="136" t="s">
        <v>30</v>
      </c>
      <c r="C227" s="33">
        <v>68200</v>
      </c>
      <c r="D227" s="127"/>
      <c r="E227" s="53">
        <v>638000</v>
      </c>
      <c r="F227" s="53">
        <v>45000</v>
      </c>
      <c r="G227" s="53"/>
      <c r="H227" s="53"/>
      <c r="I227" s="53">
        <v>787385</v>
      </c>
      <c r="J227" s="132">
        <f>+SUM(C227:G227)-(H227+I227)</f>
        <v>-36185</v>
      </c>
      <c r="K227" s="156" t="b">
        <f t="shared" ref="K227:K234" si="87">J227=I178</f>
        <v>0</v>
      </c>
    </row>
    <row r="228" spans="1:11">
      <c r="A228" s="130" t="s">
        <v>135</v>
      </c>
      <c r="B228" s="137" t="s">
        <v>85</v>
      </c>
      <c r="C228" s="128">
        <v>233614</v>
      </c>
      <c r="D228" s="131"/>
      <c r="E228" s="146"/>
      <c r="F228" s="146"/>
      <c r="G228" s="146"/>
      <c r="H228" s="146"/>
      <c r="I228" s="146"/>
      <c r="J228" s="129">
        <f>+SUM(C228:G228)-(H228+I228)</f>
        <v>233614</v>
      </c>
      <c r="K228" s="156" t="b">
        <f t="shared" si="87"/>
        <v>0</v>
      </c>
    </row>
    <row r="229" spans="1:11">
      <c r="A229" s="130" t="s">
        <v>135</v>
      </c>
      <c r="B229" s="137" t="s">
        <v>84</v>
      </c>
      <c r="C229" s="128">
        <v>249769</v>
      </c>
      <c r="D229" s="131"/>
      <c r="E229" s="146"/>
      <c r="F229" s="146"/>
      <c r="G229" s="146"/>
      <c r="H229" s="146"/>
      <c r="I229" s="146"/>
      <c r="J229" s="129">
        <f t="shared" ref="J229:J234" si="88">+SUM(C229:G229)-(H229+I229)</f>
        <v>249769</v>
      </c>
      <c r="K229" s="156" t="b">
        <f t="shared" si="87"/>
        <v>0</v>
      </c>
    </row>
    <row r="230" spans="1:11">
      <c r="A230" s="130" t="s">
        <v>135</v>
      </c>
      <c r="B230" s="135" t="s">
        <v>36</v>
      </c>
      <c r="C230" s="33">
        <v>-4675</v>
      </c>
      <c r="D230" s="32"/>
      <c r="E230" s="33">
        <v>494000</v>
      </c>
      <c r="F230" s="33">
        <v>256000</v>
      </c>
      <c r="G230" s="110"/>
      <c r="H230" s="110">
        <v>6500</v>
      </c>
      <c r="I230" s="33">
        <v>607250</v>
      </c>
      <c r="J230" s="31">
        <f t="shared" si="88"/>
        <v>131575</v>
      </c>
      <c r="K230" s="156" t="b">
        <f t="shared" si="87"/>
        <v>0</v>
      </c>
    </row>
    <row r="231" spans="1:11">
      <c r="A231" s="130" t="s">
        <v>135</v>
      </c>
      <c r="B231" s="135" t="s">
        <v>94</v>
      </c>
      <c r="C231" s="33">
        <v>5000</v>
      </c>
      <c r="D231" s="32"/>
      <c r="E231" s="33">
        <v>30000</v>
      </c>
      <c r="F231" s="110"/>
      <c r="G231" s="110"/>
      <c r="H231" s="110"/>
      <c r="I231" s="33">
        <v>29500</v>
      </c>
      <c r="J231" s="31">
        <f t="shared" si="88"/>
        <v>5500</v>
      </c>
      <c r="K231" s="156" t="b">
        <f t="shared" si="87"/>
        <v>0</v>
      </c>
    </row>
    <row r="232" spans="1:11">
      <c r="A232" s="130" t="s">
        <v>135</v>
      </c>
      <c r="B232" s="135" t="s">
        <v>29</v>
      </c>
      <c r="C232" s="33">
        <v>72800</v>
      </c>
      <c r="D232" s="32"/>
      <c r="E232" s="33">
        <v>446000</v>
      </c>
      <c r="F232" s="110"/>
      <c r="G232" s="110"/>
      <c r="H232" s="110"/>
      <c r="I232" s="33">
        <v>512600</v>
      </c>
      <c r="J232" s="31">
        <f t="shared" si="88"/>
        <v>6200</v>
      </c>
      <c r="K232" s="156" t="b">
        <f t="shared" si="87"/>
        <v>0</v>
      </c>
    </row>
    <row r="233" spans="1:11">
      <c r="A233" s="130" t="s">
        <v>135</v>
      </c>
      <c r="B233" s="135" t="s">
        <v>32</v>
      </c>
      <c r="C233" s="33">
        <v>47300</v>
      </c>
      <c r="D233" s="32"/>
      <c r="E233" s="33">
        <v>5000</v>
      </c>
      <c r="F233" s="110">
        <v>6500</v>
      </c>
      <c r="G233" s="110"/>
      <c r="H233" s="33">
        <v>20000</v>
      </c>
      <c r="I233" s="33">
        <v>8000</v>
      </c>
      <c r="J233" s="31">
        <f t="shared" si="88"/>
        <v>30800</v>
      </c>
      <c r="K233" s="156" t="b">
        <f t="shared" si="87"/>
        <v>0</v>
      </c>
    </row>
    <row r="234" spans="1:11">
      <c r="A234" s="130" t="s">
        <v>135</v>
      </c>
      <c r="B234" s="136" t="s">
        <v>114</v>
      </c>
      <c r="C234" s="33">
        <v>79600</v>
      </c>
      <c r="D234" s="127"/>
      <c r="E234" s="53"/>
      <c r="F234" s="53"/>
      <c r="G234" s="147"/>
      <c r="H234" s="53"/>
      <c r="I234" s="53">
        <v>37707</v>
      </c>
      <c r="J234" s="31">
        <f t="shared" si="88"/>
        <v>41893</v>
      </c>
      <c r="K234" s="156" t="b">
        <f t="shared" si="87"/>
        <v>0</v>
      </c>
    </row>
    <row r="235" spans="1:11">
      <c r="A235" s="35" t="s">
        <v>61</v>
      </c>
      <c r="B235" s="36"/>
      <c r="C235" s="36"/>
      <c r="D235" s="36"/>
      <c r="E235" s="36"/>
      <c r="F235" s="36"/>
      <c r="G235" s="36"/>
      <c r="H235" s="36"/>
      <c r="I235" s="36"/>
      <c r="J235" s="37"/>
      <c r="K235" s="155"/>
    </row>
    <row r="236" spans="1:11">
      <c r="A236" s="130" t="s">
        <v>135</v>
      </c>
      <c r="B236" s="38" t="s">
        <v>62</v>
      </c>
      <c r="C236" s="39">
        <v>467929</v>
      </c>
      <c r="D236" s="51">
        <v>6310000</v>
      </c>
      <c r="E236" s="109"/>
      <c r="F236" s="51">
        <v>74184</v>
      </c>
      <c r="G236" s="148"/>
      <c r="H236" s="139">
        <v>4180000</v>
      </c>
      <c r="I236" s="134">
        <v>1710965</v>
      </c>
      <c r="J236" s="46">
        <f>+SUM(C236:G236)-(H236+I236)</f>
        <v>961148</v>
      </c>
      <c r="K236" s="156" t="b">
        <f>J236=I174</f>
        <v>0</v>
      </c>
    </row>
    <row r="237" spans="1:11">
      <c r="A237" s="44" t="s">
        <v>63</v>
      </c>
      <c r="B237" s="25"/>
      <c r="C237" s="36"/>
      <c r="D237" s="25"/>
      <c r="E237" s="25"/>
      <c r="F237" s="25"/>
      <c r="G237" s="25"/>
      <c r="H237" s="25"/>
      <c r="I237" s="25"/>
      <c r="J237" s="37"/>
      <c r="K237" s="155"/>
    </row>
    <row r="238" spans="1:11">
      <c r="A238" s="130" t="s">
        <v>135</v>
      </c>
      <c r="B238" s="38" t="s">
        <v>64</v>
      </c>
      <c r="C238" s="133">
        <v>7405927</v>
      </c>
      <c r="D238" s="140"/>
      <c r="E238" s="51"/>
      <c r="F238" s="51"/>
      <c r="G238" s="51"/>
      <c r="H238" s="53">
        <v>2000000</v>
      </c>
      <c r="I238" s="55">
        <v>1710232</v>
      </c>
      <c r="J238" s="46">
        <f>+SUM(C238:G238)-(H238+I238)</f>
        <v>3695695</v>
      </c>
      <c r="K238" s="156" t="e">
        <f>+J238=#REF!</f>
        <v>#REF!</v>
      </c>
    </row>
    <row r="239" spans="1:11">
      <c r="A239" s="130" t="s">
        <v>135</v>
      </c>
      <c r="B239" s="38" t="s">
        <v>65</v>
      </c>
      <c r="C239" s="133">
        <v>22972065</v>
      </c>
      <c r="D239" s="51"/>
      <c r="E239" s="50"/>
      <c r="F239" s="50"/>
      <c r="G239" s="50"/>
      <c r="H239" s="33">
        <v>4310000</v>
      </c>
      <c r="I239" s="52">
        <v>3055511</v>
      </c>
      <c r="J239" s="46">
        <f>SUM(C239:G239)-(H239+I239)</f>
        <v>15606554</v>
      </c>
      <c r="K239" s="156" t="b">
        <f>+J239=I173</f>
        <v>0</v>
      </c>
    </row>
    <row r="240" spans="1:11" ht="15.75">
      <c r="C240" s="151">
        <f>SUM(C222:C239)</f>
        <v>31712043</v>
      </c>
      <c r="I240" s="149">
        <f>SUM(I222:I239)</f>
        <v>10359300</v>
      </c>
      <c r="J240" s="111">
        <f>+SUM(J222:J239)</f>
        <v>21352743</v>
      </c>
      <c r="K240" s="5" t="b">
        <f>J240=I186</f>
        <v>0</v>
      </c>
    </row>
    <row r="241" spans="1:11" ht="16.5">
      <c r="A241" s="14"/>
      <c r="B241" s="15"/>
      <c r="C241" s="12"/>
      <c r="D241" s="12"/>
      <c r="E241" s="13"/>
      <c r="F241" s="12"/>
      <c r="G241" s="12"/>
      <c r="H241" s="12"/>
      <c r="I241" s="12"/>
    </row>
    <row r="242" spans="1:11">
      <c r="A242" s="16" t="s">
        <v>53</v>
      </c>
      <c r="B242" s="16"/>
      <c r="C242" s="16"/>
      <c r="D242" s="17"/>
      <c r="E242" s="17"/>
      <c r="F242" s="17"/>
      <c r="G242" s="17"/>
      <c r="H242" s="17"/>
      <c r="I242" s="17"/>
    </row>
    <row r="243" spans="1:11">
      <c r="A243" s="18" t="s">
        <v>125</v>
      </c>
      <c r="B243" s="18"/>
      <c r="C243" s="18"/>
      <c r="D243" s="18"/>
      <c r="E243" s="18"/>
      <c r="F243" s="18"/>
      <c r="G243" s="18"/>
      <c r="H243" s="18"/>
      <c r="I243" s="18"/>
      <c r="J243" s="17"/>
    </row>
    <row r="244" spans="1:11">
      <c r="A244" s="19"/>
      <c r="B244" s="20"/>
      <c r="C244" s="21"/>
      <c r="D244" s="21"/>
      <c r="E244" s="21"/>
      <c r="F244" s="21"/>
      <c r="G244" s="21"/>
      <c r="H244" s="20"/>
      <c r="I244" s="20"/>
      <c r="J244" s="18"/>
    </row>
    <row r="245" spans="1:11">
      <c r="A245" s="276" t="s">
        <v>54</v>
      </c>
      <c r="B245" s="278" t="s">
        <v>55</v>
      </c>
      <c r="C245" s="280" t="s">
        <v>126</v>
      </c>
      <c r="D245" s="282" t="s">
        <v>56</v>
      </c>
      <c r="E245" s="283"/>
      <c r="F245" s="283"/>
      <c r="G245" s="284"/>
      <c r="H245" s="285" t="s">
        <v>57</v>
      </c>
      <c r="I245" s="272" t="s">
        <v>58</v>
      </c>
      <c r="J245" s="20"/>
    </row>
    <row r="246" spans="1:11">
      <c r="A246" s="277"/>
      <c r="B246" s="279"/>
      <c r="C246" s="281"/>
      <c r="D246" s="22" t="s">
        <v>24</v>
      </c>
      <c r="E246" s="22" t="s">
        <v>25</v>
      </c>
      <c r="F246" s="166" t="s">
        <v>124</v>
      </c>
      <c r="G246" s="22" t="s">
        <v>59</v>
      </c>
      <c r="H246" s="286"/>
      <c r="I246" s="273"/>
      <c r="J246" s="274" t="s">
        <v>127</v>
      </c>
      <c r="K246" s="155"/>
    </row>
    <row r="247" spans="1:11">
      <c r="A247" s="24"/>
      <c r="B247" s="25" t="s">
        <v>60</v>
      </c>
      <c r="C247" s="26"/>
      <c r="D247" s="26"/>
      <c r="E247" s="26"/>
      <c r="F247" s="26"/>
      <c r="G247" s="26"/>
      <c r="H247" s="26"/>
      <c r="I247" s="27"/>
      <c r="J247" s="275"/>
      <c r="K247" s="155"/>
    </row>
    <row r="248" spans="1:11">
      <c r="A248" s="130" t="s">
        <v>128</v>
      </c>
      <c r="B248" s="135" t="s">
        <v>77</v>
      </c>
      <c r="C248" s="33">
        <v>-450</v>
      </c>
      <c r="D248" s="32"/>
      <c r="E248" s="33">
        <v>168000</v>
      </c>
      <c r="F248" s="33">
        <v>55000</v>
      </c>
      <c r="G248" s="33"/>
      <c r="H248" s="57"/>
      <c r="I248" s="33">
        <v>182500</v>
      </c>
      <c r="J248" s="31">
        <f>+SUM(C248:G248)-(H248+I248)</f>
        <v>40050</v>
      </c>
      <c r="K248" s="156"/>
    </row>
    <row r="249" spans="1:11">
      <c r="A249" s="130" t="s">
        <v>128</v>
      </c>
      <c r="B249" s="135" t="s">
        <v>48</v>
      </c>
      <c r="C249" s="33">
        <v>12510</v>
      </c>
      <c r="D249" s="32"/>
      <c r="E249" s="33">
        <v>303000</v>
      </c>
      <c r="F249" s="33"/>
      <c r="G249" s="33"/>
      <c r="H249" s="57"/>
      <c r="I249" s="33">
        <v>276665</v>
      </c>
      <c r="J249" s="31">
        <f t="shared" ref="J249:J250" si="89">+SUM(C249:G249)-(H249+I249)</f>
        <v>38845</v>
      </c>
      <c r="K249" s="156"/>
    </row>
    <row r="250" spans="1:11">
      <c r="A250" s="130" t="s">
        <v>128</v>
      </c>
      <c r="B250" s="135" t="s">
        <v>31</v>
      </c>
      <c r="C250" s="33">
        <v>2895</v>
      </c>
      <c r="D250" s="32"/>
      <c r="E250" s="33">
        <v>40000</v>
      </c>
      <c r="F250" s="33"/>
      <c r="G250" s="33"/>
      <c r="H250" s="33"/>
      <c r="I250" s="33">
        <v>36000</v>
      </c>
      <c r="J250" s="107">
        <f t="shared" si="89"/>
        <v>6895</v>
      </c>
      <c r="K250" s="156"/>
    </row>
    <row r="251" spans="1:11">
      <c r="A251" s="130" t="s">
        <v>128</v>
      </c>
      <c r="B251" s="135" t="s">
        <v>78</v>
      </c>
      <c r="C251" s="33">
        <v>62040</v>
      </c>
      <c r="D251" s="110"/>
      <c r="E251" s="33"/>
      <c r="F251" s="33"/>
      <c r="G251" s="33"/>
      <c r="H251" s="33">
        <v>25000</v>
      </c>
      <c r="I251" s="33">
        <v>8500</v>
      </c>
      <c r="J251" s="107">
        <f>+SUM(C251:G251)-(H251+I251)</f>
        <v>28540</v>
      </c>
      <c r="K251" s="156"/>
    </row>
    <row r="252" spans="1:11">
      <c r="A252" s="130" t="s">
        <v>128</v>
      </c>
      <c r="B252" s="135" t="s">
        <v>70</v>
      </c>
      <c r="C252" s="33">
        <v>184</v>
      </c>
      <c r="D252" s="110"/>
      <c r="E252" s="33">
        <v>0</v>
      </c>
      <c r="F252" s="33"/>
      <c r="G252" s="33"/>
      <c r="H252" s="33"/>
      <c r="I252" s="33">
        <v>0</v>
      </c>
      <c r="J252" s="107">
        <f t="shared" ref="J252" si="90">+SUM(C252:G252)-(H252+I252)</f>
        <v>184</v>
      </c>
      <c r="K252" s="156"/>
    </row>
    <row r="253" spans="1:11">
      <c r="A253" s="130" t="s">
        <v>128</v>
      </c>
      <c r="B253" s="136" t="s">
        <v>30</v>
      </c>
      <c r="C253" s="33">
        <v>-36500</v>
      </c>
      <c r="D253" s="127"/>
      <c r="E253" s="53">
        <v>523500</v>
      </c>
      <c r="F253" s="53"/>
      <c r="G253" s="53"/>
      <c r="H253" s="53"/>
      <c r="I253" s="53">
        <v>418800</v>
      </c>
      <c r="J253" s="132">
        <f>+SUM(C253:G253)-(H253+I253)</f>
        <v>68200</v>
      </c>
      <c r="K253" s="156"/>
    </row>
    <row r="254" spans="1:11">
      <c r="A254" s="130" t="s">
        <v>128</v>
      </c>
      <c r="B254" s="137" t="s">
        <v>85</v>
      </c>
      <c r="C254" s="128">
        <v>233614</v>
      </c>
      <c r="D254" s="131"/>
      <c r="E254" s="146"/>
      <c r="F254" s="146"/>
      <c r="G254" s="146"/>
      <c r="H254" s="146"/>
      <c r="I254" s="146"/>
      <c r="J254" s="129">
        <f>+SUM(C254:G254)-(H254+I254)</f>
        <v>233614</v>
      </c>
      <c r="K254" s="156"/>
    </row>
    <row r="255" spans="1:11">
      <c r="A255" s="130" t="s">
        <v>128</v>
      </c>
      <c r="B255" s="137" t="s">
        <v>84</v>
      </c>
      <c r="C255" s="128">
        <v>249769</v>
      </c>
      <c r="D255" s="131"/>
      <c r="E255" s="146"/>
      <c r="F255" s="146"/>
      <c r="G255" s="146"/>
      <c r="H255" s="146"/>
      <c r="I255" s="146"/>
      <c r="J255" s="129">
        <f t="shared" ref="J255:J260" si="91">+SUM(C255:G255)-(H255+I255)</f>
        <v>249769</v>
      </c>
      <c r="K255" s="156"/>
    </row>
    <row r="256" spans="1:11">
      <c r="A256" s="130" t="s">
        <v>128</v>
      </c>
      <c r="B256" s="135" t="s">
        <v>36</v>
      </c>
      <c r="C256" s="33">
        <v>71200</v>
      </c>
      <c r="D256" s="32"/>
      <c r="E256" s="33">
        <v>1056000</v>
      </c>
      <c r="F256" s="33"/>
      <c r="G256" s="110"/>
      <c r="H256" s="110">
        <v>55000</v>
      </c>
      <c r="I256" s="33">
        <v>1076875</v>
      </c>
      <c r="J256" s="31">
        <f t="shared" si="91"/>
        <v>-4675</v>
      </c>
      <c r="K256" s="156"/>
    </row>
    <row r="257" spans="1:11">
      <c r="A257" s="130" t="s">
        <v>128</v>
      </c>
      <c r="B257" s="135" t="s">
        <v>94</v>
      </c>
      <c r="C257" s="33">
        <v>6000</v>
      </c>
      <c r="D257" s="32"/>
      <c r="E257" s="33">
        <v>20000</v>
      </c>
      <c r="F257" s="110"/>
      <c r="G257" s="110"/>
      <c r="H257" s="110"/>
      <c r="I257" s="33">
        <v>21000</v>
      </c>
      <c r="J257" s="31">
        <f t="shared" si="91"/>
        <v>5000</v>
      </c>
      <c r="K257" s="156"/>
    </row>
    <row r="258" spans="1:11">
      <c r="A258" s="130" t="s">
        <v>128</v>
      </c>
      <c r="B258" s="135" t="s">
        <v>29</v>
      </c>
      <c r="C258" s="33">
        <v>167700</v>
      </c>
      <c r="D258" s="32"/>
      <c r="E258" s="33">
        <v>473000</v>
      </c>
      <c r="F258" s="110"/>
      <c r="G258" s="110"/>
      <c r="H258" s="110"/>
      <c r="I258" s="33">
        <v>567900</v>
      </c>
      <c r="J258" s="31">
        <f t="shared" si="91"/>
        <v>72800</v>
      </c>
      <c r="K258" s="156"/>
    </row>
    <row r="259" spans="1:11">
      <c r="A259" s="130" t="s">
        <v>128</v>
      </c>
      <c r="B259" s="135" t="s">
        <v>32</v>
      </c>
      <c r="C259" s="33">
        <v>65300</v>
      </c>
      <c r="D259" s="32"/>
      <c r="E259" s="33">
        <v>10000</v>
      </c>
      <c r="F259" s="110"/>
      <c r="G259" s="110"/>
      <c r="H259" s="110">
        <v>20000</v>
      </c>
      <c r="I259" s="33">
        <v>8000</v>
      </c>
      <c r="J259" s="31">
        <f t="shared" si="91"/>
        <v>47300</v>
      </c>
      <c r="K259" s="156"/>
    </row>
    <row r="260" spans="1:11">
      <c r="A260" s="130" t="s">
        <v>128</v>
      </c>
      <c r="B260" s="136" t="s">
        <v>114</v>
      </c>
      <c r="C260" s="33">
        <v>-11700</v>
      </c>
      <c r="D260" s="127"/>
      <c r="E260" s="53">
        <v>385800</v>
      </c>
      <c r="F260" s="53"/>
      <c r="G260" s="147"/>
      <c r="H260" s="53"/>
      <c r="I260" s="53">
        <v>294500</v>
      </c>
      <c r="J260" s="31">
        <f t="shared" si="91"/>
        <v>79600</v>
      </c>
      <c r="K260" s="156"/>
    </row>
    <row r="261" spans="1:11">
      <c r="A261" s="35" t="s">
        <v>61</v>
      </c>
      <c r="B261" s="36"/>
      <c r="C261" s="36"/>
      <c r="D261" s="36"/>
      <c r="E261" s="36"/>
      <c r="F261" s="36"/>
      <c r="G261" s="36"/>
      <c r="H261" s="36"/>
      <c r="I261" s="36"/>
      <c r="J261" s="37"/>
      <c r="K261" s="155"/>
    </row>
    <row r="262" spans="1:11">
      <c r="A262" s="130" t="s">
        <v>128</v>
      </c>
      <c r="B262" s="38" t="s">
        <v>62</v>
      </c>
      <c r="C262" s="39">
        <v>1672959</v>
      </c>
      <c r="D262" s="51">
        <v>3341000</v>
      </c>
      <c r="E262" s="109"/>
      <c r="F262" s="109">
        <v>45000</v>
      </c>
      <c r="G262" s="148"/>
      <c r="H262" s="139">
        <v>2979300</v>
      </c>
      <c r="I262" s="134">
        <v>1611730</v>
      </c>
      <c r="J262" s="46">
        <f>+SUM(C262:G262)-(H262+I262)</f>
        <v>467929</v>
      </c>
      <c r="K262" s="156"/>
    </row>
    <row r="263" spans="1:11">
      <c r="A263" s="44" t="s">
        <v>63</v>
      </c>
      <c r="B263" s="25"/>
      <c r="C263" s="36"/>
      <c r="D263" s="25"/>
      <c r="E263" s="25"/>
      <c r="F263" s="25"/>
      <c r="G263" s="25"/>
      <c r="H263" s="25"/>
      <c r="I263" s="25"/>
      <c r="J263" s="37"/>
      <c r="K263" s="155"/>
    </row>
    <row r="264" spans="1:11">
      <c r="A264" s="130" t="s">
        <v>128</v>
      </c>
      <c r="B264" s="38" t="s">
        <v>64</v>
      </c>
      <c r="C264" s="133">
        <v>2957378</v>
      </c>
      <c r="D264" s="140">
        <v>7828953</v>
      </c>
      <c r="E264" s="51"/>
      <c r="F264" s="51"/>
      <c r="G264" s="51"/>
      <c r="H264" s="53">
        <v>3000000</v>
      </c>
      <c r="I264" s="55">
        <v>380404</v>
      </c>
      <c r="J264" s="46">
        <f>+SUM(C264:G264)-(H264+I264)</f>
        <v>7405927</v>
      </c>
      <c r="K264" s="156"/>
    </row>
    <row r="265" spans="1:11">
      <c r="A265" s="130" t="s">
        <v>128</v>
      </c>
      <c r="B265" s="38" t="s">
        <v>65</v>
      </c>
      <c r="C265" s="133">
        <v>28018504</v>
      </c>
      <c r="D265" s="51"/>
      <c r="E265" s="50"/>
      <c r="F265" s="50"/>
      <c r="G265" s="50"/>
      <c r="H265" s="33">
        <v>341000</v>
      </c>
      <c r="I265" s="52">
        <v>4705439</v>
      </c>
      <c r="J265" s="46">
        <f>SUM(C265:G265)-(H265+I265)</f>
        <v>22972065</v>
      </c>
      <c r="K265" s="156"/>
    </row>
    <row r="266" spans="1:11" ht="15.75">
      <c r="C266" s="151">
        <f>SUM(C248:C265)</f>
        <v>33471403</v>
      </c>
      <c r="I266" s="149">
        <f>SUM(I248:I265)</f>
        <v>9588313</v>
      </c>
      <c r="J266" s="111">
        <f>+SUM(J248:J265)</f>
        <v>31712043</v>
      </c>
    </row>
    <row r="267" spans="1:11" ht="16.5">
      <c r="A267" s="14"/>
      <c r="B267" s="15"/>
      <c r="C267" s="12" t="e">
        <f>C266=C186</f>
        <v>#REF!</v>
      </c>
      <c r="D267" s="12"/>
      <c r="E267" s="13"/>
      <c r="F267" s="12"/>
      <c r="G267" s="12"/>
      <c r="H267" s="12"/>
      <c r="I267" s="12"/>
    </row>
    <row r="268" spans="1:11">
      <c r="A268" s="16" t="s">
        <v>53</v>
      </c>
      <c r="B268" s="16"/>
      <c r="C268" s="16"/>
      <c r="D268" s="17"/>
      <c r="E268" s="17"/>
      <c r="F268" s="17"/>
      <c r="G268" s="17"/>
      <c r="H268" s="17"/>
      <c r="I268" s="17"/>
    </row>
    <row r="269" spans="1:11">
      <c r="A269" s="18" t="s">
        <v>120</v>
      </c>
      <c r="B269" s="18"/>
      <c r="C269" s="18"/>
      <c r="D269" s="18"/>
      <c r="E269" s="18"/>
      <c r="F269" s="18"/>
      <c r="G269" s="18"/>
      <c r="H269" s="18"/>
      <c r="I269" s="18"/>
      <c r="J269" s="17"/>
    </row>
    <row r="270" spans="1:11">
      <c r="A270" s="19"/>
      <c r="B270" s="20"/>
      <c r="C270" s="21"/>
      <c r="D270" s="21"/>
      <c r="E270" s="21"/>
      <c r="F270" s="21"/>
      <c r="G270" s="21"/>
      <c r="H270" s="20"/>
      <c r="I270" s="20"/>
      <c r="J270" s="18"/>
    </row>
    <row r="271" spans="1:11">
      <c r="A271" s="276" t="s">
        <v>54</v>
      </c>
      <c r="B271" s="278" t="s">
        <v>55</v>
      </c>
      <c r="C271" s="280" t="s">
        <v>122</v>
      </c>
      <c r="D271" s="282" t="s">
        <v>56</v>
      </c>
      <c r="E271" s="283"/>
      <c r="F271" s="283"/>
      <c r="G271" s="284"/>
      <c r="H271" s="285" t="s">
        <v>57</v>
      </c>
      <c r="I271" s="272" t="s">
        <v>58</v>
      </c>
      <c r="J271" s="20"/>
    </row>
    <row r="272" spans="1:11">
      <c r="A272" s="277"/>
      <c r="B272" s="279"/>
      <c r="C272" s="281"/>
      <c r="D272" s="22" t="s">
        <v>24</v>
      </c>
      <c r="E272" s="22" t="s">
        <v>25</v>
      </c>
      <c r="F272" s="154" t="s">
        <v>124</v>
      </c>
      <c r="G272" s="22" t="s">
        <v>59</v>
      </c>
      <c r="H272" s="286"/>
      <c r="I272" s="273"/>
      <c r="J272" s="274" t="s">
        <v>123</v>
      </c>
      <c r="K272" s="155"/>
    </row>
    <row r="273" spans="1:11">
      <c r="A273" s="24"/>
      <c r="B273" s="25" t="s">
        <v>60</v>
      </c>
      <c r="C273" s="26"/>
      <c r="D273" s="26"/>
      <c r="E273" s="26"/>
      <c r="F273" s="26"/>
      <c r="G273" s="26"/>
      <c r="H273" s="26"/>
      <c r="I273" s="27"/>
      <c r="J273" s="275"/>
      <c r="K273" s="155"/>
    </row>
    <row r="274" spans="1:11">
      <c r="A274" s="130" t="s">
        <v>121</v>
      </c>
      <c r="B274" s="135" t="s">
        <v>77</v>
      </c>
      <c r="C274" s="33">
        <v>7670</v>
      </c>
      <c r="D274" s="32"/>
      <c r="E274" s="33">
        <v>438000</v>
      </c>
      <c r="F274" s="33"/>
      <c r="G274" s="33"/>
      <c r="H274" s="57">
        <v>40000</v>
      </c>
      <c r="I274" s="33">
        <v>406120</v>
      </c>
      <c r="J274" s="31">
        <f>+SUM(C274:G274)-(H274+I274)</f>
        <v>-450</v>
      </c>
      <c r="K274" s="156" t="e">
        <f>J274=#REF!</f>
        <v>#REF!</v>
      </c>
    </row>
    <row r="275" spans="1:11">
      <c r="A275" s="130" t="s">
        <v>121</v>
      </c>
      <c r="B275" s="135" t="s">
        <v>48</v>
      </c>
      <c r="C275" s="33">
        <v>4710</v>
      </c>
      <c r="D275" s="32"/>
      <c r="E275" s="33">
        <v>303000</v>
      </c>
      <c r="F275" s="33">
        <f>25000+91000+62000</f>
        <v>178000</v>
      </c>
      <c r="G275" s="33"/>
      <c r="H275" s="57">
        <v>29000</v>
      </c>
      <c r="I275" s="33">
        <v>444200</v>
      </c>
      <c r="J275" s="31">
        <f t="shared" ref="J275:J276" si="92">+SUM(C275:G275)-(H275+I275)</f>
        <v>12510</v>
      </c>
      <c r="K275" s="156" t="b">
        <f>J275=I175</f>
        <v>0</v>
      </c>
    </row>
    <row r="276" spans="1:11">
      <c r="A276" s="130" t="s">
        <v>121</v>
      </c>
      <c r="B276" s="135" t="s">
        <v>31</v>
      </c>
      <c r="C276" s="33">
        <v>9295</v>
      </c>
      <c r="D276" s="32"/>
      <c r="E276" s="33">
        <v>743000</v>
      </c>
      <c r="F276" s="33">
        <v>2000</v>
      </c>
      <c r="G276" s="33"/>
      <c r="H276" s="33">
        <f>103000+91000+137000+101000+91000</f>
        <v>523000</v>
      </c>
      <c r="I276" s="33">
        <v>228400</v>
      </c>
      <c r="J276" s="107">
        <f t="shared" si="92"/>
        <v>2895</v>
      </c>
      <c r="K276" s="156" t="b">
        <f>J276=I176</f>
        <v>0</v>
      </c>
    </row>
    <row r="277" spans="1:11">
      <c r="A277" s="130" t="s">
        <v>121</v>
      </c>
      <c r="B277" s="135" t="s">
        <v>78</v>
      </c>
      <c r="C277" s="33">
        <v>-25100</v>
      </c>
      <c r="D277" s="110"/>
      <c r="E277" s="33">
        <v>121100</v>
      </c>
      <c r="F277" s="33">
        <f>103000+1000+28000+137000</f>
        <v>269000</v>
      </c>
      <c r="G277" s="33"/>
      <c r="H277" s="33"/>
      <c r="I277" s="33">
        <v>302960</v>
      </c>
      <c r="J277" s="107">
        <f>+SUM(C277:G277)-(H277+I277)</f>
        <v>62040</v>
      </c>
      <c r="K277" s="156" t="b">
        <f>J277=I177</f>
        <v>0</v>
      </c>
    </row>
    <row r="278" spans="1:11">
      <c r="A278" s="130" t="s">
        <v>121</v>
      </c>
      <c r="B278" s="135" t="s">
        <v>70</v>
      </c>
      <c r="C278" s="33">
        <v>7384</v>
      </c>
      <c r="D278" s="110"/>
      <c r="E278" s="33">
        <v>319000</v>
      </c>
      <c r="F278" s="33">
        <v>101000</v>
      </c>
      <c r="G278" s="33"/>
      <c r="H278" s="33">
        <v>62000</v>
      </c>
      <c r="I278" s="33">
        <v>365200</v>
      </c>
      <c r="J278" s="107">
        <f t="shared" ref="J278" si="93">+SUM(C278:G278)-(H278+I278)</f>
        <v>184</v>
      </c>
      <c r="K278" s="156" t="e">
        <f>J278=#REF!</f>
        <v>#REF!</v>
      </c>
    </row>
    <row r="279" spans="1:11">
      <c r="A279" s="130" t="s">
        <v>121</v>
      </c>
      <c r="B279" s="136" t="s">
        <v>30</v>
      </c>
      <c r="C279" s="33">
        <v>61300</v>
      </c>
      <c r="D279" s="127"/>
      <c r="E279" s="53">
        <v>931200</v>
      </c>
      <c r="F279" s="53"/>
      <c r="G279" s="53"/>
      <c r="H279" s="53">
        <v>28000</v>
      </c>
      <c r="I279" s="53">
        <v>1001000</v>
      </c>
      <c r="J279" s="132">
        <f>+SUM(C279:G279)-(H279+I279)</f>
        <v>-36500</v>
      </c>
      <c r="K279" s="156" t="b">
        <f t="shared" ref="K279:K286" si="94">J279=I178</f>
        <v>0</v>
      </c>
    </row>
    <row r="280" spans="1:11">
      <c r="A280" s="130" t="s">
        <v>121</v>
      </c>
      <c r="B280" s="137" t="s">
        <v>85</v>
      </c>
      <c r="C280" s="128">
        <v>233614</v>
      </c>
      <c r="D280" s="131"/>
      <c r="E280" s="146"/>
      <c r="F280" s="146"/>
      <c r="G280" s="146"/>
      <c r="H280" s="146"/>
      <c r="I280" s="146"/>
      <c r="J280" s="129">
        <f>+SUM(C280:G280)-(H280+I280)</f>
        <v>233614</v>
      </c>
      <c r="K280" s="156" t="b">
        <f t="shared" si="94"/>
        <v>0</v>
      </c>
    </row>
    <row r="281" spans="1:11">
      <c r="A281" s="130" t="s">
        <v>121</v>
      </c>
      <c r="B281" s="137" t="s">
        <v>84</v>
      </c>
      <c r="C281" s="128">
        <v>249769</v>
      </c>
      <c r="D281" s="131"/>
      <c r="E281" s="146"/>
      <c r="F281" s="146"/>
      <c r="G281" s="146"/>
      <c r="H281" s="146"/>
      <c r="I281" s="146"/>
      <c r="J281" s="129">
        <f t="shared" ref="J281:J284" si="95">+SUM(C281:G281)-(H281+I281)</f>
        <v>249769</v>
      </c>
      <c r="K281" s="156" t="b">
        <f t="shared" si="94"/>
        <v>0</v>
      </c>
    </row>
    <row r="282" spans="1:11">
      <c r="A282" s="130" t="s">
        <v>121</v>
      </c>
      <c r="B282" s="135" t="s">
        <v>36</v>
      </c>
      <c r="C282" s="33">
        <v>4500</v>
      </c>
      <c r="D282" s="32"/>
      <c r="E282" s="33">
        <v>234000</v>
      </c>
      <c r="F282" s="33">
        <v>40000</v>
      </c>
      <c r="G282" s="110"/>
      <c r="H282" s="110"/>
      <c r="I282" s="33">
        <v>207300</v>
      </c>
      <c r="J282" s="31">
        <f t="shared" si="95"/>
        <v>71200</v>
      </c>
      <c r="K282" s="156" t="b">
        <f t="shared" si="94"/>
        <v>0</v>
      </c>
    </row>
    <row r="283" spans="1:11">
      <c r="A283" s="130" t="s">
        <v>121</v>
      </c>
      <c r="B283" s="135" t="s">
        <v>94</v>
      </c>
      <c r="C283" s="33">
        <v>-6000</v>
      </c>
      <c r="D283" s="32"/>
      <c r="E283" s="33">
        <v>61000</v>
      </c>
      <c r="F283" s="110"/>
      <c r="G283" s="110"/>
      <c r="H283" s="110"/>
      <c r="I283" s="33">
        <v>49000</v>
      </c>
      <c r="J283" s="31">
        <f t="shared" si="95"/>
        <v>6000</v>
      </c>
      <c r="K283" s="156" t="b">
        <f t="shared" si="94"/>
        <v>0</v>
      </c>
    </row>
    <row r="284" spans="1:11">
      <c r="A284" s="130" t="s">
        <v>121</v>
      </c>
      <c r="B284" s="135" t="s">
        <v>29</v>
      </c>
      <c r="C284" s="33">
        <v>72200</v>
      </c>
      <c r="D284" s="32"/>
      <c r="E284" s="33">
        <v>722000</v>
      </c>
      <c r="F284" s="110"/>
      <c r="G284" s="110"/>
      <c r="H284" s="110"/>
      <c r="I284" s="33">
        <v>626500</v>
      </c>
      <c r="J284" s="31">
        <f t="shared" si="95"/>
        <v>167700</v>
      </c>
      <c r="K284" s="156" t="b">
        <f t="shared" si="94"/>
        <v>0</v>
      </c>
    </row>
    <row r="285" spans="1:11">
      <c r="A285" s="130" t="s">
        <v>121</v>
      </c>
      <c r="B285" s="135" t="s">
        <v>32</v>
      </c>
      <c r="C285" s="33">
        <v>9300</v>
      </c>
      <c r="D285" s="32"/>
      <c r="E285" s="33">
        <v>60000</v>
      </c>
      <c r="F285" s="110"/>
      <c r="G285" s="110"/>
      <c r="H285" s="110"/>
      <c r="I285" s="33">
        <v>4000</v>
      </c>
      <c r="J285" s="31">
        <f t="shared" ref="J285:J286" si="96">+SUM(C285:G285)-(H285+I285)</f>
        <v>65300</v>
      </c>
      <c r="K285" s="156" t="b">
        <f t="shared" si="94"/>
        <v>0</v>
      </c>
    </row>
    <row r="286" spans="1:11">
      <c r="A286" s="130" t="s">
        <v>121</v>
      </c>
      <c r="B286" s="136" t="s">
        <v>114</v>
      </c>
      <c r="C286" s="33">
        <v>-14000</v>
      </c>
      <c r="D286" s="127"/>
      <c r="E286" s="53">
        <v>378000</v>
      </c>
      <c r="F286" s="53">
        <f>29000+91000</f>
        <v>120000</v>
      </c>
      <c r="G286" s="147"/>
      <c r="H286" s="53">
        <f>2000+1000+25000</f>
        <v>28000</v>
      </c>
      <c r="I286" s="53">
        <v>467700</v>
      </c>
      <c r="J286" s="31">
        <f t="shared" si="96"/>
        <v>-11700</v>
      </c>
      <c r="K286" s="156" t="b">
        <f t="shared" si="94"/>
        <v>0</v>
      </c>
    </row>
    <row r="287" spans="1:11">
      <c r="A287" s="35" t="s">
        <v>61</v>
      </c>
      <c r="B287" s="36"/>
      <c r="C287" s="36"/>
      <c r="D287" s="36"/>
      <c r="E287" s="36"/>
      <c r="F287" s="36"/>
      <c r="G287" s="36"/>
      <c r="H287" s="36"/>
      <c r="I287" s="36"/>
      <c r="J287" s="37"/>
      <c r="K287" s="155"/>
    </row>
    <row r="288" spans="1:11">
      <c r="A288" s="130" t="s">
        <v>121</v>
      </c>
      <c r="B288" s="38" t="s">
        <v>62</v>
      </c>
      <c r="C288" s="39">
        <v>1148337</v>
      </c>
      <c r="D288" s="51">
        <v>7000000</v>
      </c>
      <c r="E288" s="109"/>
      <c r="F288" s="109"/>
      <c r="G288" s="148"/>
      <c r="H288" s="139">
        <v>4310300</v>
      </c>
      <c r="I288" s="134">
        <v>2165078</v>
      </c>
      <c r="J288" s="46">
        <f>+SUM(C288:G288)-(H288+I288)</f>
        <v>1672959</v>
      </c>
      <c r="K288" s="156" t="b">
        <f>J288=I174</f>
        <v>0</v>
      </c>
    </row>
    <row r="289" spans="1:11">
      <c r="A289" s="44" t="s">
        <v>63</v>
      </c>
      <c r="B289" s="25"/>
      <c r="C289" s="36"/>
      <c r="D289" s="25"/>
      <c r="E289" s="25"/>
      <c r="F289" s="25"/>
      <c r="G289" s="25"/>
      <c r="H289" s="25"/>
      <c r="I289" s="25"/>
      <c r="J289" s="37"/>
      <c r="K289" s="155"/>
    </row>
    <row r="290" spans="1:11">
      <c r="A290" s="130" t="s">
        <v>121</v>
      </c>
      <c r="B290" s="38" t="s">
        <v>64</v>
      </c>
      <c r="C290" s="133">
        <v>10113263</v>
      </c>
      <c r="D290" s="140">
        <v>0</v>
      </c>
      <c r="E290" s="51"/>
      <c r="F290" s="51"/>
      <c r="G290" s="51"/>
      <c r="H290" s="53">
        <v>7000000</v>
      </c>
      <c r="I290" s="55">
        <v>155885</v>
      </c>
      <c r="J290" s="46">
        <f>+SUM(C290:G290)-(H290+I290)</f>
        <v>2957378</v>
      </c>
      <c r="K290" s="156" t="e">
        <f>+J290=#REF!</f>
        <v>#REF!</v>
      </c>
    </row>
    <row r="291" spans="1:11">
      <c r="A291" s="130" t="s">
        <v>121</v>
      </c>
      <c r="B291" s="38" t="s">
        <v>65</v>
      </c>
      <c r="C291" s="133">
        <v>6219904</v>
      </c>
      <c r="D291" s="51">
        <v>28506579</v>
      </c>
      <c r="E291" s="50"/>
      <c r="F291" s="50"/>
      <c r="G291" s="50"/>
      <c r="H291" s="33"/>
      <c r="I291" s="52">
        <v>6707979</v>
      </c>
      <c r="J291" s="46">
        <f>SUM(C291:G291)-(H291+I291)</f>
        <v>28018504</v>
      </c>
      <c r="K291" s="156" t="b">
        <f>+J291=I173</f>
        <v>0</v>
      </c>
    </row>
    <row r="292" spans="1:11" ht="15.75">
      <c r="C292" s="151">
        <f>SUM(C274:C291)</f>
        <v>18096146</v>
      </c>
      <c r="I292" s="149">
        <f>SUM(I274:I291)</f>
        <v>13131322</v>
      </c>
      <c r="J292" s="111">
        <f>+SUM(J274:J291)</f>
        <v>33471403</v>
      </c>
      <c r="K292" s="5" t="b">
        <f>J292=I186</f>
        <v>0</v>
      </c>
    </row>
    <row r="293" spans="1:11" ht="16.5">
      <c r="A293" s="14"/>
      <c r="B293" s="15"/>
      <c r="C293" s="12" t="e">
        <f>C292=C186</f>
        <v>#REF!</v>
      </c>
      <c r="D293" s="12"/>
      <c r="E293" s="13"/>
      <c r="F293" s="12"/>
      <c r="G293" s="12"/>
      <c r="H293" s="12"/>
      <c r="I293" s="12"/>
    </row>
    <row r="294" spans="1:11" ht="16.5">
      <c r="A294" s="14"/>
      <c r="B294" s="15"/>
      <c r="C294" s="12"/>
      <c r="D294" s="12"/>
      <c r="E294" s="13"/>
      <c r="F294" s="12"/>
      <c r="G294" s="12"/>
      <c r="H294" s="12"/>
      <c r="I294" s="12"/>
    </row>
    <row r="295" spans="1:11">
      <c r="A295" s="16" t="s">
        <v>53</v>
      </c>
      <c r="B295" s="16"/>
      <c r="C295" s="16"/>
      <c r="D295" s="17"/>
      <c r="E295" s="17"/>
      <c r="F295" s="17"/>
      <c r="G295" s="17"/>
      <c r="H295" s="17"/>
      <c r="I295" s="17"/>
    </row>
    <row r="296" spans="1:11">
      <c r="A296" s="18" t="s">
        <v>115</v>
      </c>
      <c r="B296" s="18"/>
      <c r="C296" s="18"/>
      <c r="D296" s="18"/>
      <c r="E296" s="18"/>
      <c r="F296" s="18"/>
      <c r="G296" s="18"/>
      <c r="H296" s="18"/>
      <c r="I296" s="18"/>
      <c r="J296" s="17"/>
    </row>
    <row r="297" spans="1:11">
      <c r="A297" s="19"/>
      <c r="B297" s="20"/>
      <c r="C297" s="21"/>
      <c r="D297" s="21"/>
      <c r="E297" s="21"/>
      <c r="F297" s="21"/>
      <c r="G297" s="21"/>
      <c r="H297" s="20"/>
      <c r="I297" s="20"/>
      <c r="J297" s="18"/>
    </row>
    <row r="298" spans="1:11">
      <c r="A298" s="276" t="s">
        <v>54</v>
      </c>
      <c r="B298" s="278" t="s">
        <v>55</v>
      </c>
      <c r="C298" s="280" t="s">
        <v>117</v>
      </c>
      <c r="D298" s="282" t="s">
        <v>56</v>
      </c>
      <c r="E298" s="283"/>
      <c r="F298" s="283"/>
      <c r="G298" s="284"/>
      <c r="H298" s="285" t="s">
        <v>57</v>
      </c>
      <c r="I298" s="272" t="s">
        <v>58</v>
      </c>
      <c r="J298" s="20"/>
    </row>
    <row r="299" spans="1:11">
      <c r="A299" s="277"/>
      <c r="B299" s="279"/>
      <c r="C299" s="281"/>
      <c r="D299" s="22" t="s">
        <v>24</v>
      </c>
      <c r="E299" s="22" t="s">
        <v>25</v>
      </c>
      <c r="F299" s="152" t="s">
        <v>119</v>
      </c>
      <c r="G299" s="22" t="s">
        <v>59</v>
      </c>
      <c r="H299" s="286"/>
      <c r="I299" s="273"/>
      <c r="J299" s="274" t="s">
        <v>118</v>
      </c>
    </row>
    <row r="300" spans="1:11">
      <c r="A300" s="24"/>
      <c r="B300" s="25" t="s">
        <v>60</v>
      </c>
      <c r="C300" s="26"/>
      <c r="D300" s="26"/>
      <c r="E300" s="26"/>
      <c r="F300" s="26"/>
      <c r="G300" s="26"/>
      <c r="H300" s="26"/>
      <c r="I300" s="27"/>
      <c r="J300" s="275"/>
    </row>
    <row r="301" spans="1:11">
      <c r="A301" s="130" t="s">
        <v>116</v>
      </c>
      <c r="B301" s="135" t="s">
        <v>77</v>
      </c>
      <c r="C301" s="33">
        <v>3670</v>
      </c>
      <c r="D301" s="32"/>
      <c r="E301" s="33">
        <v>118000</v>
      </c>
      <c r="F301" s="33">
        <v>4000</v>
      </c>
      <c r="G301" s="33"/>
      <c r="H301" s="57"/>
      <c r="I301" s="33">
        <v>118000</v>
      </c>
      <c r="J301" s="31">
        <f>+SUM(C301:G301)-(H301+I301)</f>
        <v>7670</v>
      </c>
      <c r="K301" s="153"/>
    </row>
    <row r="302" spans="1:11">
      <c r="A302" s="130" t="s">
        <v>116</v>
      </c>
      <c r="B302" s="135" t="s">
        <v>48</v>
      </c>
      <c r="C302" s="33">
        <v>-540</v>
      </c>
      <c r="D302" s="32"/>
      <c r="E302" s="33">
        <v>209750</v>
      </c>
      <c r="F302" s="33">
        <v>5000</v>
      </c>
      <c r="G302" s="33"/>
      <c r="H302" s="57"/>
      <c r="I302" s="33">
        <v>209500</v>
      </c>
      <c r="J302" s="31">
        <f t="shared" ref="J302:J303" si="97">+SUM(C302:G302)-(H302+I302)</f>
        <v>4710</v>
      </c>
      <c r="K302" s="153"/>
    </row>
    <row r="303" spans="1:11">
      <c r="A303" s="130" t="s">
        <v>116</v>
      </c>
      <c r="B303" s="135" t="s">
        <v>31</v>
      </c>
      <c r="C303" s="33">
        <v>2395</v>
      </c>
      <c r="D303" s="32"/>
      <c r="E303" s="33">
        <v>70000</v>
      </c>
      <c r="F303" s="33">
        <v>4000</v>
      </c>
      <c r="G303" s="33"/>
      <c r="H303" s="33"/>
      <c r="I303" s="33">
        <v>67100</v>
      </c>
      <c r="J303" s="107">
        <f t="shared" si="97"/>
        <v>9295</v>
      </c>
      <c r="K303" s="153"/>
    </row>
    <row r="304" spans="1:11">
      <c r="A304" s="130" t="s">
        <v>116</v>
      </c>
      <c r="B304" s="135" t="s">
        <v>78</v>
      </c>
      <c r="C304" s="33">
        <v>96100</v>
      </c>
      <c r="D304" s="110"/>
      <c r="E304" s="33">
        <v>488100</v>
      </c>
      <c r="F304" s="33">
        <v>4000</v>
      </c>
      <c r="G304" s="33"/>
      <c r="H304" s="33">
        <v>61600</v>
      </c>
      <c r="I304" s="33">
        <v>551700</v>
      </c>
      <c r="J304" s="107">
        <f>+SUM(C304:G304)-(H304+I304)</f>
        <v>-25100</v>
      </c>
      <c r="K304" s="153"/>
    </row>
    <row r="305" spans="1:11">
      <c r="A305" s="130" t="s">
        <v>116</v>
      </c>
      <c r="B305" s="135" t="s">
        <v>70</v>
      </c>
      <c r="C305" s="33">
        <v>13884</v>
      </c>
      <c r="D305" s="110"/>
      <c r="E305" s="33">
        <v>194000</v>
      </c>
      <c r="F305" s="33"/>
      <c r="G305" s="33"/>
      <c r="H305" s="33">
        <v>17000</v>
      </c>
      <c r="I305" s="33">
        <v>183500</v>
      </c>
      <c r="J305" s="107">
        <f t="shared" ref="J305" si="98">+SUM(C305:G305)-(H305+I305)</f>
        <v>7384</v>
      </c>
      <c r="K305" s="153"/>
    </row>
    <row r="306" spans="1:11">
      <c r="A306" s="130" t="s">
        <v>116</v>
      </c>
      <c r="B306" s="136" t="s">
        <v>30</v>
      </c>
      <c r="C306" s="33">
        <v>72400</v>
      </c>
      <c r="D306" s="127"/>
      <c r="E306" s="53">
        <v>599900</v>
      </c>
      <c r="F306" s="53"/>
      <c r="G306" s="53"/>
      <c r="H306" s="53"/>
      <c r="I306" s="53">
        <v>611000</v>
      </c>
      <c r="J306" s="132">
        <f>+SUM(C306:G306)-(H306+I306)</f>
        <v>61300</v>
      </c>
      <c r="K306" s="153"/>
    </row>
    <row r="307" spans="1:11">
      <c r="A307" s="130" t="s">
        <v>116</v>
      </c>
      <c r="B307" s="137" t="s">
        <v>85</v>
      </c>
      <c r="C307" s="128">
        <v>233614</v>
      </c>
      <c r="D307" s="131"/>
      <c r="E307" s="146"/>
      <c r="F307" s="146"/>
      <c r="G307" s="146"/>
      <c r="H307" s="146"/>
      <c r="I307" s="146"/>
      <c r="J307" s="129">
        <f>+SUM(C307:G307)-(H307+I307)</f>
        <v>233614</v>
      </c>
      <c r="K307" s="153"/>
    </row>
    <row r="308" spans="1:11">
      <c r="A308" s="130" t="s">
        <v>116</v>
      </c>
      <c r="B308" s="137" t="s">
        <v>84</v>
      </c>
      <c r="C308" s="128">
        <v>249769</v>
      </c>
      <c r="D308" s="131"/>
      <c r="E308" s="146"/>
      <c r="F308" s="146"/>
      <c r="G308" s="146"/>
      <c r="H308" s="146"/>
      <c r="I308" s="146"/>
      <c r="J308" s="129">
        <f t="shared" ref="J308:J315" si="99">+SUM(C308:G308)-(H308+I308)</f>
        <v>249769</v>
      </c>
      <c r="K308" s="153"/>
    </row>
    <row r="309" spans="1:11">
      <c r="A309" s="130" t="s">
        <v>116</v>
      </c>
      <c r="B309" s="135" t="s">
        <v>36</v>
      </c>
      <c r="C309" s="33">
        <v>18490</v>
      </c>
      <c r="D309" s="32"/>
      <c r="E309" s="33">
        <v>796460</v>
      </c>
      <c r="F309" s="33">
        <v>61600</v>
      </c>
      <c r="G309" s="110"/>
      <c r="H309" s="110"/>
      <c r="I309" s="33">
        <v>872050</v>
      </c>
      <c r="J309" s="31">
        <f t="shared" si="99"/>
        <v>4500</v>
      </c>
      <c r="K309" s="153"/>
    </row>
    <row r="310" spans="1:11">
      <c r="A310" s="130" t="s">
        <v>116</v>
      </c>
      <c r="B310" s="135" t="s">
        <v>94</v>
      </c>
      <c r="C310" s="33">
        <v>4500</v>
      </c>
      <c r="D310" s="32"/>
      <c r="E310" s="33">
        <v>40000</v>
      </c>
      <c r="F310" s="110"/>
      <c r="G310" s="110"/>
      <c r="H310" s="110"/>
      <c r="I310" s="33">
        <v>50500</v>
      </c>
      <c r="J310" s="31">
        <f t="shared" si="99"/>
        <v>-6000</v>
      </c>
      <c r="K310" s="153"/>
    </row>
    <row r="311" spans="1:11">
      <c r="A311" s="130" t="s">
        <v>116</v>
      </c>
      <c r="B311" s="135" t="s">
        <v>29</v>
      </c>
      <c r="C311" s="33">
        <v>44200</v>
      </c>
      <c r="D311" s="32"/>
      <c r="E311" s="33">
        <v>60000</v>
      </c>
      <c r="F311" s="110"/>
      <c r="G311" s="110"/>
      <c r="H311" s="110"/>
      <c r="I311" s="33">
        <v>32000</v>
      </c>
      <c r="J311" s="31">
        <f t="shared" si="99"/>
        <v>72200</v>
      </c>
      <c r="K311" s="153"/>
    </row>
    <row r="312" spans="1:11">
      <c r="A312" s="130" t="s">
        <v>116</v>
      </c>
      <c r="B312" s="135" t="s">
        <v>95</v>
      </c>
      <c r="C312" s="33">
        <v>-851709</v>
      </c>
      <c r="D312" s="32"/>
      <c r="E312" s="33">
        <v>851709</v>
      </c>
      <c r="F312" s="110"/>
      <c r="G312" s="110"/>
      <c r="H312" s="110"/>
      <c r="I312" s="33"/>
      <c r="J312" s="31">
        <f>+SUM(C312:G312)-(H312+I312)</f>
        <v>0</v>
      </c>
      <c r="K312" s="153"/>
    </row>
    <row r="313" spans="1:11">
      <c r="A313" s="130" t="s">
        <v>116</v>
      </c>
      <c r="B313" s="135" t="s">
        <v>102</v>
      </c>
      <c r="C313" s="33">
        <v>90300</v>
      </c>
      <c r="D313" s="32"/>
      <c r="E313" s="33">
        <v>69200</v>
      </c>
      <c r="F313" s="110"/>
      <c r="G313" s="110"/>
      <c r="H313" s="110"/>
      <c r="I313" s="33">
        <v>159500</v>
      </c>
      <c r="J313" s="31">
        <f t="shared" si="99"/>
        <v>0</v>
      </c>
      <c r="K313" s="153"/>
    </row>
    <row r="314" spans="1:11">
      <c r="A314" s="130" t="s">
        <v>116</v>
      </c>
      <c r="B314" s="135" t="s">
        <v>32</v>
      </c>
      <c r="C314" s="33">
        <v>300</v>
      </c>
      <c r="D314" s="32"/>
      <c r="E314" s="33">
        <v>20000</v>
      </c>
      <c r="F314" s="110"/>
      <c r="G314" s="110"/>
      <c r="H314" s="110"/>
      <c r="I314" s="33">
        <v>11000</v>
      </c>
      <c r="J314" s="31">
        <f t="shared" si="99"/>
        <v>9300</v>
      </c>
      <c r="K314" s="153"/>
    </row>
    <row r="315" spans="1:11">
      <c r="A315" s="130" t="s">
        <v>116</v>
      </c>
      <c r="B315" s="136" t="s">
        <v>114</v>
      </c>
      <c r="C315" s="33">
        <v>0</v>
      </c>
      <c r="D315" s="127"/>
      <c r="E315" s="145"/>
      <c r="F315" s="145"/>
      <c r="G315" s="147"/>
      <c r="H315" s="145"/>
      <c r="I315" s="53">
        <v>14000</v>
      </c>
      <c r="J315" s="31">
        <f t="shared" si="99"/>
        <v>-14000</v>
      </c>
      <c r="K315" s="153"/>
    </row>
    <row r="316" spans="1:11">
      <c r="A316" s="35" t="s">
        <v>61</v>
      </c>
      <c r="B316" s="36"/>
      <c r="C316" s="36"/>
      <c r="D316" s="36"/>
      <c r="E316" s="36"/>
      <c r="F316" s="36"/>
      <c r="G316" s="36"/>
      <c r="H316" s="36"/>
      <c r="I316" s="36"/>
      <c r="J316" s="37"/>
    </row>
    <row r="317" spans="1:11">
      <c r="A317" s="130" t="s">
        <v>116</v>
      </c>
      <c r="B317" s="38" t="s">
        <v>62</v>
      </c>
      <c r="C317" s="39" t="e">
        <f>C174</f>
        <v>#REF!</v>
      </c>
      <c r="D317" s="51">
        <v>5872000</v>
      </c>
      <c r="E317" s="109"/>
      <c r="F317" s="109"/>
      <c r="G317" s="148"/>
      <c r="H317" s="139">
        <v>3517119</v>
      </c>
      <c r="I317" s="134">
        <v>1523260</v>
      </c>
      <c r="J317" s="46" t="e">
        <f>+SUM(C317:G317)-(H317+I317)</f>
        <v>#REF!</v>
      </c>
      <c r="K317" s="153"/>
    </row>
    <row r="318" spans="1:11">
      <c r="A318" s="44" t="s">
        <v>63</v>
      </c>
      <c r="B318" s="25"/>
      <c r="C318" s="36"/>
      <c r="D318" s="25"/>
      <c r="E318" s="25"/>
      <c r="F318" s="25"/>
      <c r="G318" s="25"/>
      <c r="H318" s="25"/>
      <c r="I318" s="25"/>
      <c r="J318" s="37"/>
    </row>
    <row r="319" spans="1:11">
      <c r="A319" s="130" t="s">
        <v>116</v>
      </c>
      <c r="B319" s="38" t="s">
        <v>64</v>
      </c>
      <c r="C319" s="133" t="e">
        <f>#REF!</f>
        <v>#REF!</v>
      </c>
      <c r="D319" s="140">
        <v>10380044</v>
      </c>
      <c r="E319" s="51"/>
      <c r="F319" s="51"/>
      <c r="G319" s="51"/>
      <c r="H319" s="53">
        <v>5500000</v>
      </c>
      <c r="I319" s="55">
        <v>277455</v>
      </c>
      <c r="J319" s="46" t="e">
        <f>+SUM(C319:G319)-(H319+I319)</f>
        <v>#REF!</v>
      </c>
      <c r="K319" s="153"/>
    </row>
    <row r="320" spans="1:11">
      <c r="A320" s="130" t="s">
        <v>116</v>
      </c>
      <c r="B320" s="38" t="s">
        <v>65</v>
      </c>
      <c r="C320" s="133" t="e">
        <f>C173</f>
        <v>#REF!</v>
      </c>
      <c r="D320" s="51"/>
      <c r="E320" s="50"/>
      <c r="F320" s="50"/>
      <c r="G320" s="50"/>
      <c r="H320" s="33">
        <v>372000</v>
      </c>
      <c r="I320" s="52">
        <v>4601760</v>
      </c>
      <c r="J320" s="46" t="e">
        <f>SUM(C320:G320)-(H320+I320)</f>
        <v>#REF!</v>
      </c>
      <c r="K320" s="153"/>
    </row>
    <row r="321" spans="1:11" ht="15.75">
      <c r="C321" s="151" t="e">
        <f>SUM(C301:C320)</f>
        <v>#REF!</v>
      </c>
      <c r="I321" s="149">
        <f>SUM(I301:I320)</f>
        <v>9282325</v>
      </c>
      <c r="J321" s="111" t="e">
        <f>+SUM(J301:J320)</f>
        <v>#REF!</v>
      </c>
    </row>
    <row r="322" spans="1:11" ht="16.5">
      <c r="A322" s="14"/>
      <c r="B322" s="15"/>
      <c r="C322" s="12"/>
      <c r="D322" s="12"/>
      <c r="E322" s="13"/>
      <c r="F322" s="12"/>
      <c r="G322" s="12"/>
      <c r="H322" s="12"/>
      <c r="I322" s="12"/>
    </row>
    <row r="323" spans="1:11">
      <c r="A323" s="16" t="s">
        <v>53</v>
      </c>
      <c r="B323" s="16"/>
      <c r="C323" s="16"/>
      <c r="D323" s="17"/>
      <c r="E323" s="17"/>
      <c r="F323" s="17"/>
      <c r="G323" s="17"/>
      <c r="H323" s="17"/>
      <c r="I323" s="17"/>
    </row>
    <row r="324" spans="1:11">
      <c r="A324" s="18" t="s">
        <v>110</v>
      </c>
      <c r="B324" s="18"/>
      <c r="C324" s="18"/>
      <c r="D324" s="18"/>
      <c r="E324" s="18"/>
      <c r="F324" s="18"/>
      <c r="G324" s="18"/>
      <c r="H324" s="18"/>
      <c r="I324" s="18"/>
      <c r="J324" s="17"/>
    </row>
    <row r="325" spans="1:11">
      <c r="A325" s="19"/>
      <c r="B325" s="20"/>
      <c r="C325" s="21"/>
      <c r="D325" s="21"/>
      <c r="E325" s="21"/>
      <c r="F325" s="21"/>
      <c r="G325" s="21"/>
      <c r="H325" s="20"/>
      <c r="I325" s="20"/>
      <c r="J325" s="18"/>
    </row>
    <row r="326" spans="1:11">
      <c r="A326" s="276" t="s">
        <v>54</v>
      </c>
      <c r="B326" s="278" t="s">
        <v>55</v>
      </c>
      <c r="C326" s="280" t="s">
        <v>111</v>
      </c>
      <c r="D326" s="282" t="s">
        <v>56</v>
      </c>
      <c r="E326" s="283"/>
      <c r="F326" s="283"/>
      <c r="G326" s="284"/>
      <c r="H326" s="285" t="s">
        <v>57</v>
      </c>
      <c r="I326" s="272" t="s">
        <v>58</v>
      </c>
      <c r="J326" s="20"/>
    </row>
    <row r="327" spans="1:11">
      <c r="A327" s="277"/>
      <c r="B327" s="279"/>
      <c r="C327" s="281"/>
      <c r="D327" s="22" t="s">
        <v>24</v>
      </c>
      <c r="E327" s="22" t="s">
        <v>25</v>
      </c>
      <c r="F327" s="150" t="s">
        <v>113</v>
      </c>
      <c r="G327" s="22" t="s">
        <v>59</v>
      </c>
      <c r="H327" s="286"/>
      <c r="I327" s="273"/>
      <c r="J327" s="274" t="s">
        <v>112</v>
      </c>
    </row>
    <row r="328" spans="1:11">
      <c r="A328" s="24"/>
      <c r="B328" s="25" t="s">
        <v>60</v>
      </c>
      <c r="C328" s="26"/>
      <c r="D328" s="26"/>
      <c r="E328" s="26"/>
      <c r="F328" s="26"/>
      <c r="G328" s="26"/>
      <c r="H328" s="26"/>
      <c r="I328" s="27"/>
      <c r="J328" s="275"/>
    </row>
    <row r="329" spans="1:11">
      <c r="A329" s="130" t="s">
        <v>109</v>
      </c>
      <c r="B329" s="135" t="s">
        <v>77</v>
      </c>
      <c r="C329" s="33">
        <v>-11330</v>
      </c>
      <c r="D329" s="32"/>
      <c r="E329" s="33">
        <v>201400</v>
      </c>
      <c r="F329" s="33">
        <v>184300</v>
      </c>
      <c r="G329" s="33"/>
      <c r="H329" s="57"/>
      <c r="I329" s="33">
        <v>370700</v>
      </c>
      <c r="J329" s="31">
        <f>+SUM(C329:G329)-(H329+I329)</f>
        <v>3670</v>
      </c>
      <c r="K329" s="70"/>
    </row>
    <row r="330" spans="1:11">
      <c r="A330" s="130" t="s">
        <v>109</v>
      </c>
      <c r="B330" s="135" t="s">
        <v>48</v>
      </c>
      <c r="C330" s="33">
        <v>8260</v>
      </c>
      <c r="D330" s="32"/>
      <c r="E330" s="33">
        <v>357900</v>
      </c>
      <c r="F330" s="33"/>
      <c r="G330" s="33"/>
      <c r="H330" s="57">
        <v>50000</v>
      </c>
      <c r="I330" s="33">
        <v>316700</v>
      </c>
      <c r="J330" s="31">
        <f t="shared" ref="J330:J331" si="100">+SUM(C330:G330)-(H330+I330)</f>
        <v>-540</v>
      </c>
      <c r="K330" s="70"/>
    </row>
    <row r="331" spans="1:11">
      <c r="A331" s="130" t="s">
        <v>109</v>
      </c>
      <c r="B331" s="135" t="s">
        <v>31</v>
      </c>
      <c r="C331" s="33">
        <v>3795</v>
      </c>
      <c r="D331" s="32"/>
      <c r="E331" s="33">
        <v>20000</v>
      </c>
      <c r="F331" s="33"/>
      <c r="G331" s="33"/>
      <c r="H331" s="33"/>
      <c r="I331" s="33">
        <v>21400</v>
      </c>
      <c r="J331" s="107">
        <f t="shared" si="100"/>
        <v>2395</v>
      </c>
      <c r="K331" s="70"/>
    </row>
    <row r="332" spans="1:11">
      <c r="A332" s="130" t="s">
        <v>109</v>
      </c>
      <c r="B332" s="135" t="s">
        <v>78</v>
      </c>
      <c r="C332" s="33">
        <v>-83100</v>
      </c>
      <c r="D332" s="110"/>
      <c r="E332" s="33">
        <v>699200</v>
      </c>
      <c r="F332" s="33"/>
      <c r="G332" s="33"/>
      <c r="H332" s="33"/>
      <c r="I332" s="33">
        <v>520000</v>
      </c>
      <c r="J332" s="107">
        <f>+SUM(C332:G332)-(H332+I332)</f>
        <v>96100</v>
      </c>
      <c r="K332" s="70"/>
    </row>
    <row r="333" spans="1:11">
      <c r="A333" s="130" t="s">
        <v>109</v>
      </c>
      <c r="B333" s="135" t="s">
        <v>70</v>
      </c>
      <c r="C333" s="33">
        <v>1784</v>
      </c>
      <c r="D333" s="110"/>
      <c r="E333" s="33">
        <v>568600</v>
      </c>
      <c r="F333" s="33">
        <v>50000</v>
      </c>
      <c r="G333" s="33"/>
      <c r="H333" s="33">
        <v>184300</v>
      </c>
      <c r="I333" s="33">
        <v>422200</v>
      </c>
      <c r="J333" s="107">
        <f t="shared" ref="J333" si="101">+SUM(C333:G333)-(H333+I333)</f>
        <v>13884</v>
      </c>
      <c r="K333" s="70"/>
    </row>
    <row r="334" spans="1:11">
      <c r="A334" s="130" t="s">
        <v>109</v>
      </c>
      <c r="B334" s="136" t="s">
        <v>30</v>
      </c>
      <c r="C334" s="33">
        <v>88800</v>
      </c>
      <c r="D334" s="127"/>
      <c r="E334" s="53">
        <v>694600</v>
      </c>
      <c r="F334" s="53"/>
      <c r="G334" s="53"/>
      <c r="H334" s="53"/>
      <c r="I334" s="53">
        <v>711000</v>
      </c>
      <c r="J334" s="132">
        <f>+SUM(C334:G334)-(H334+I334)</f>
        <v>72400</v>
      </c>
      <c r="K334" s="70"/>
    </row>
    <row r="335" spans="1:11">
      <c r="A335" s="130" t="s">
        <v>109</v>
      </c>
      <c r="B335" s="137" t="s">
        <v>85</v>
      </c>
      <c r="C335" s="128">
        <v>233614</v>
      </c>
      <c r="D335" s="131"/>
      <c r="E335" s="146"/>
      <c r="F335" s="146"/>
      <c r="G335" s="146"/>
      <c r="H335" s="146"/>
      <c r="I335" s="146"/>
      <c r="J335" s="129">
        <f>+SUM(C335:G335)-(H335+I335)</f>
        <v>233614</v>
      </c>
      <c r="K335" s="70"/>
    </row>
    <row r="336" spans="1:11">
      <c r="A336" s="130" t="s">
        <v>109</v>
      </c>
      <c r="B336" s="137" t="s">
        <v>84</v>
      </c>
      <c r="C336" s="128">
        <v>249769</v>
      </c>
      <c r="D336" s="131"/>
      <c r="E336" s="146"/>
      <c r="F336" s="146"/>
      <c r="G336" s="146"/>
      <c r="H336" s="146"/>
      <c r="I336" s="146"/>
      <c r="J336" s="129">
        <f t="shared" ref="J336:J340" si="102">+SUM(C336:G336)-(H336+I336)</f>
        <v>249769</v>
      </c>
      <c r="K336" s="70"/>
    </row>
    <row r="337" spans="1:11">
      <c r="A337" s="130" t="s">
        <v>109</v>
      </c>
      <c r="B337" s="135" t="s">
        <v>36</v>
      </c>
      <c r="C337" s="33">
        <v>7890</v>
      </c>
      <c r="D337" s="32"/>
      <c r="E337" s="33">
        <v>135600</v>
      </c>
      <c r="F337" s="110"/>
      <c r="G337" s="110"/>
      <c r="H337" s="110"/>
      <c r="I337" s="33">
        <v>125000</v>
      </c>
      <c r="J337" s="31">
        <f t="shared" si="102"/>
        <v>18490</v>
      </c>
      <c r="K337" s="70"/>
    </row>
    <row r="338" spans="1:11">
      <c r="A338" s="130" t="s">
        <v>109</v>
      </c>
      <c r="B338" s="135" t="s">
        <v>94</v>
      </c>
      <c r="C338" s="33">
        <v>5000</v>
      </c>
      <c r="D338" s="32"/>
      <c r="E338" s="33">
        <v>30000</v>
      </c>
      <c r="F338" s="110"/>
      <c r="G338" s="110"/>
      <c r="H338" s="110"/>
      <c r="I338" s="33">
        <v>30500</v>
      </c>
      <c r="J338" s="31">
        <f t="shared" si="102"/>
        <v>4500</v>
      </c>
      <c r="K338" s="70"/>
    </row>
    <row r="339" spans="1:11">
      <c r="A339" s="130" t="s">
        <v>109</v>
      </c>
      <c r="B339" s="135" t="s">
        <v>29</v>
      </c>
      <c r="C339" s="33">
        <v>57700</v>
      </c>
      <c r="D339" s="32"/>
      <c r="E339" s="33">
        <v>639000</v>
      </c>
      <c r="F339" s="110"/>
      <c r="G339" s="110"/>
      <c r="H339" s="110"/>
      <c r="I339" s="33">
        <v>652500</v>
      </c>
      <c r="J339" s="31">
        <f t="shared" si="102"/>
        <v>44200</v>
      </c>
      <c r="K339" s="70"/>
    </row>
    <row r="340" spans="1:11">
      <c r="A340" s="130" t="s">
        <v>109</v>
      </c>
      <c r="B340" s="135" t="s">
        <v>95</v>
      </c>
      <c r="C340" s="33">
        <v>-32081</v>
      </c>
      <c r="D340" s="32"/>
      <c r="E340" s="110"/>
      <c r="F340" s="110"/>
      <c r="G340" s="110"/>
      <c r="H340" s="110"/>
      <c r="I340" s="33">
        <v>819628</v>
      </c>
      <c r="J340" s="31">
        <f t="shared" si="102"/>
        <v>-851709</v>
      </c>
      <c r="K340" s="70"/>
    </row>
    <row r="341" spans="1:11">
      <c r="A341" s="130" t="s">
        <v>109</v>
      </c>
      <c r="B341" s="135" t="s">
        <v>102</v>
      </c>
      <c r="C341" s="33">
        <v>62000</v>
      </c>
      <c r="D341" s="32"/>
      <c r="E341" s="33">
        <v>622600</v>
      </c>
      <c r="F341" s="110"/>
      <c r="G341" s="110"/>
      <c r="H341" s="110"/>
      <c r="I341" s="33">
        <v>594300</v>
      </c>
      <c r="J341" s="31">
        <f>+SUM(C341:G341)-(H341+I341)</f>
        <v>90300</v>
      </c>
      <c r="K341" s="70"/>
    </row>
    <row r="342" spans="1:11">
      <c r="A342" s="130" t="s">
        <v>109</v>
      </c>
      <c r="B342" s="136" t="s">
        <v>32</v>
      </c>
      <c r="C342" s="33">
        <v>4300</v>
      </c>
      <c r="D342" s="127"/>
      <c r="E342" s="145"/>
      <c r="F342" s="145"/>
      <c r="G342" s="147"/>
      <c r="H342" s="145"/>
      <c r="I342" s="53">
        <v>4000</v>
      </c>
      <c r="J342" s="31">
        <f t="shared" ref="J342" si="103">+SUM(C342:G342)-(H342+I342)</f>
        <v>300</v>
      </c>
      <c r="K342" s="70"/>
    </row>
    <row r="343" spans="1:11">
      <c r="A343" s="35" t="s">
        <v>61</v>
      </c>
      <c r="B343" s="36"/>
      <c r="C343" s="36"/>
      <c r="D343" s="36"/>
      <c r="E343" s="36"/>
      <c r="F343" s="36"/>
      <c r="G343" s="36"/>
      <c r="H343" s="36"/>
      <c r="I343" s="36"/>
      <c r="J343" s="37"/>
      <c r="K343" s="70"/>
    </row>
    <row r="344" spans="1:11">
      <c r="A344" s="130" t="s">
        <v>109</v>
      </c>
      <c r="B344" s="38" t="s">
        <v>62</v>
      </c>
      <c r="C344" s="39">
        <v>62150</v>
      </c>
      <c r="D344" s="51">
        <v>5500000</v>
      </c>
      <c r="E344" s="109"/>
      <c r="F344" s="109"/>
      <c r="G344" s="148"/>
      <c r="H344" s="139">
        <v>3968900</v>
      </c>
      <c r="I344" s="134">
        <v>1276534</v>
      </c>
      <c r="J344" s="46">
        <f>+SUM(C344:G344)-(H344+I344)</f>
        <v>316716</v>
      </c>
      <c r="K344" s="70"/>
    </row>
    <row r="345" spans="1:11">
      <c r="A345" s="44" t="s">
        <v>63</v>
      </c>
      <c r="B345" s="25"/>
      <c r="C345" s="36"/>
      <c r="D345" s="25"/>
      <c r="E345" s="25"/>
      <c r="F345" s="25"/>
      <c r="G345" s="25"/>
      <c r="H345" s="25"/>
      <c r="I345" s="25"/>
      <c r="J345" s="37"/>
    </row>
    <row r="346" spans="1:11">
      <c r="A346" s="130" t="s">
        <v>109</v>
      </c>
      <c r="B346" s="38" t="s">
        <v>64</v>
      </c>
      <c r="C346" s="133">
        <v>11284555</v>
      </c>
      <c r="D346" s="140"/>
      <c r="E346" s="51"/>
      <c r="F346" s="51"/>
      <c r="G346" s="51"/>
      <c r="H346" s="53">
        <v>5500000</v>
      </c>
      <c r="I346" s="55">
        <v>273881</v>
      </c>
      <c r="J346" s="46">
        <f>+SUM(C346:G346)-(H346+I346)</f>
        <v>5510674</v>
      </c>
      <c r="K346" s="70"/>
    </row>
    <row r="347" spans="1:11">
      <c r="A347" s="130" t="s">
        <v>109</v>
      </c>
      <c r="B347" s="38" t="s">
        <v>65</v>
      </c>
      <c r="C347" s="133">
        <v>2158645</v>
      </c>
      <c r="D347" s="51">
        <v>15435980</v>
      </c>
      <c r="E347" s="50"/>
      <c r="F347" s="50"/>
      <c r="G347" s="50"/>
      <c r="H347" s="33"/>
      <c r="I347" s="52">
        <v>6400961</v>
      </c>
      <c r="J347" s="46">
        <f>SUM(C347:G347)-(H347+I347)</f>
        <v>11193664</v>
      </c>
      <c r="K347" s="70"/>
    </row>
    <row r="348" spans="1:11" ht="15.75">
      <c r="C348" s="151">
        <f>SUM(C329:C347)</f>
        <v>14101751</v>
      </c>
      <c r="I348" s="149">
        <f>SUM(I329:I347)</f>
        <v>12539304</v>
      </c>
      <c r="J348" s="111">
        <f>+SUM(J329:J347)</f>
        <v>16998427</v>
      </c>
    </row>
    <row r="349" spans="1:11" ht="16.5">
      <c r="A349" s="10"/>
      <c r="B349" s="11"/>
      <c r="C349" s="12"/>
      <c r="D349" s="12"/>
      <c r="E349" s="12"/>
      <c r="F349" s="12"/>
      <c r="G349" s="12"/>
      <c r="H349" s="12"/>
      <c r="I349" s="12"/>
      <c r="J349" s="141"/>
    </row>
    <row r="350" spans="1:11" ht="16.5">
      <c r="A350" s="14"/>
      <c r="B350" s="15"/>
      <c r="C350" s="12"/>
      <c r="D350" s="12"/>
      <c r="E350" s="13"/>
      <c r="F350" s="12"/>
      <c r="G350" s="12"/>
      <c r="H350" s="12"/>
      <c r="I350" s="12"/>
    </row>
    <row r="351" spans="1:11">
      <c r="A351" s="16" t="s">
        <v>53</v>
      </c>
      <c r="B351" s="16"/>
      <c r="C351" s="16"/>
      <c r="D351" s="17"/>
      <c r="E351" s="17"/>
      <c r="F351" s="17"/>
      <c r="G351" s="17"/>
      <c r="H351" s="17"/>
      <c r="I351" s="17"/>
    </row>
    <row r="352" spans="1:11">
      <c r="A352" s="18" t="s">
        <v>107</v>
      </c>
      <c r="B352" s="18"/>
      <c r="C352" s="18"/>
      <c r="D352" s="18"/>
      <c r="E352" s="18"/>
      <c r="F352" s="18"/>
      <c r="G352" s="18"/>
      <c r="H352" s="18"/>
      <c r="I352" s="18"/>
      <c r="J352" s="17"/>
    </row>
    <row r="353" spans="1:11">
      <c r="A353" s="19"/>
      <c r="B353" s="20"/>
      <c r="C353" s="21"/>
      <c r="D353" s="21"/>
      <c r="E353" s="21"/>
      <c r="F353" s="21"/>
      <c r="G353" s="21"/>
      <c r="H353" s="20"/>
      <c r="I353" s="20"/>
      <c r="J353" s="18"/>
    </row>
    <row r="354" spans="1:11">
      <c r="A354" s="276" t="s">
        <v>54</v>
      </c>
      <c r="B354" s="278" t="s">
        <v>55</v>
      </c>
      <c r="C354" s="280" t="s">
        <v>105</v>
      </c>
      <c r="D354" s="282" t="s">
        <v>56</v>
      </c>
      <c r="E354" s="283"/>
      <c r="F354" s="283"/>
      <c r="G354" s="284"/>
      <c r="H354" s="285" t="s">
        <v>57</v>
      </c>
      <c r="I354" s="272" t="s">
        <v>58</v>
      </c>
      <c r="J354" s="20"/>
    </row>
    <row r="355" spans="1:11">
      <c r="A355" s="277"/>
      <c r="B355" s="279"/>
      <c r="C355" s="281"/>
      <c r="D355" s="22" t="s">
        <v>24</v>
      </c>
      <c r="E355" s="22" t="s">
        <v>25</v>
      </c>
      <c r="F355" s="142" t="s">
        <v>108</v>
      </c>
      <c r="G355" s="22" t="s">
        <v>59</v>
      </c>
      <c r="H355" s="286"/>
      <c r="I355" s="273"/>
      <c r="J355" s="274" t="s">
        <v>106</v>
      </c>
    </row>
    <row r="356" spans="1:11">
      <c r="A356" s="24"/>
      <c r="B356" s="25" t="s">
        <v>60</v>
      </c>
      <c r="C356" s="26"/>
      <c r="D356" s="26"/>
      <c r="E356" s="26"/>
      <c r="F356" s="26"/>
      <c r="G356" s="26"/>
      <c r="H356" s="26"/>
      <c r="I356" s="27"/>
      <c r="J356" s="275"/>
    </row>
    <row r="357" spans="1:11">
      <c r="A357" s="130" t="s">
        <v>104</v>
      </c>
      <c r="B357" s="135" t="s">
        <v>77</v>
      </c>
      <c r="C357" s="33">
        <v>22200</v>
      </c>
      <c r="D357" s="32"/>
      <c r="E357" s="33">
        <v>439970</v>
      </c>
      <c r="F357" s="110"/>
      <c r="G357" s="110"/>
      <c r="H357" s="144"/>
      <c r="I357" s="33">
        <v>473500</v>
      </c>
      <c r="J357" s="31">
        <f>+SUM(C357:G357)-(H357+I357)</f>
        <v>-11330</v>
      </c>
      <c r="K357" s="70"/>
    </row>
    <row r="358" spans="1:11">
      <c r="A358" s="130" t="s">
        <v>104</v>
      </c>
      <c r="B358" s="135" t="s">
        <v>48</v>
      </c>
      <c r="C358" s="33">
        <v>3060</v>
      </c>
      <c r="D358" s="32"/>
      <c r="E358" s="33">
        <v>157200</v>
      </c>
      <c r="F358" s="33"/>
      <c r="G358" s="33"/>
      <c r="H358" s="57"/>
      <c r="I358" s="33">
        <v>152000</v>
      </c>
      <c r="J358" s="31">
        <f t="shared" ref="J358:J359" si="104">+SUM(C358:G358)-(H358+I358)</f>
        <v>8260</v>
      </c>
      <c r="K358" s="70"/>
    </row>
    <row r="359" spans="1:11">
      <c r="A359" s="130" t="s">
        <v>104</v>
      </c>
      <c r="B359" s="135" t="s">
        <v>31</v>
      </c>
      <c r="C359" s="33">
        <v>3795</v>
      </c>
      <c r="D359" s="32"/>
      <c r="E359" s="33">
        <v>45000</v>
      </c>
      <c r="F359" s="33"/>
      <c r="G359" s="33"/>
      <c r="H359" s="33"/>
      <c r="I359" s="33">
        <v>45000</v>
      </c>
      <c r="J359" s="107">
        <f t="shared" si="104"/>
        <v>3795</v>
      </c>
      <c r="K359" s="70"/>
    </row>
    <row r="360" spans="1:11">
      <c r="A360" s="130" t="s">
        <v>104</v>
      </c>
      <c r="B360" s="135" t="s">
        <v>78</v>
      </c>
      <c r="C360" s="33">
        <v>2300</v>
      </c>
      <c r="D360" s="110"/>
      <c r="E360" s="33">
        <v>266600</v>
      </c>
      <c r="F360" s="33">
        <v>159900</v>
      </c>
      <c r="G360" s="33"/>
      <c r="H360" s="33">
        <v>25000</v>
      </c>
      <c r="I360" s="33">
        <v>486900</v>
      </c>
      <c r="J360" s="107">
        <f>+SUM(C360:G360)-(H360+I360)</f>
        <v>-83100</v>
      </c>
      <c r="K360" s="70"/>
    </row>
    <row r="361" spans="1:11">
      <c r="A361" s="130" t="s">
        <v>104</v>
      </c>
      <c r="B361" s="135" t="s">
        <v>70</v>
      </c>
      <c r="C361" s="33">
        <v>-14216</v>
      </c>
      <c r="D361" s="110"/>
      <c r="E361" s="33">
        <v>622600</v>
      </c>
      <c r="F361" s="33">
        <v>25000</v>
      </c>
      <c r="G361" s="33"/>
      <c r="H361" s="33">
        <v>260700</v>
      </c>
      <c r="I361" s="33">
        <v>370900</v>
      </c>
      <c r="J361" s="107">
        <f>+SUM(C361:G361)-(H361+I361)</f>
        <v>1784</v>
      </c>
      <c r="K361" s="70"/>
    </row>
    <row r="362" spans="1:11">
      <c r="A362" s="130" t="s">
        <v>104</v>
      </c>
      <c r="B362" s="136" t="s">
        <v>30</v>
      </c>
      <c r="C362" s="53">
        <v>143300</v>
      </c>
      <c r="D362" s="127"/>
      <c r="E362" s="53">
        <v>466500</v>
      </c>
      <c r="F362" s="145"/>
      <c r="G362" s="145"/>
      <c r="H362" s="145"/>
      <c r="I362" s="53">
        <v>521000</v>
      </c>
      <c r="J362" s="132">
        <f>+SUM(C362:G362)-(H362+I362)</f>
        <v>88800</v>
      </c>
      <c r="K362" s="70"/>
    </row>
    <row r="363" spans="1:11">
      <c r="A363" s="130" t="s">
        <v>104</v>
      </c>
      <c r="B363" s="137" t="s">
        <v>85</v>
      </c>
      <c r="C363" s="128">
        <v>233614</v>
      </c>
      <c r="D363" s="131"/>
      <c r="E363" s="146"/>
      <c r="F363" s="146"/>
      <c r="G363" s="146"/>
      <c r="H363" s="146"/>
      <c r="I363" s="146"/>
      <c r="J363" s="129">
        <f>+SUM(C363:G363)-(H363+I363)</f>
        <v>233614</v>
      </c>
      <c r="K363" s="70"/>
    </row>
    <row r="364" spans="1:11">
      <c r="A364" s="130" t="s">
        <v>104</v>
      </c>
      <c r="B364" s="137" t="s">
        <v>84</v>
      </c>
      <c r="C364" s="128">
        <v>249768</v>
      </c>
      <c r="D364" s="131"/>
      <c r="E364" s="146"/>
      <c r="F364" s="146"/>
      <c r="G364" s="146"/>
      <c r="H364" s="146"/>
      <c r="I364" s="146"/>
      <c r="J364" s="129">
        <f t="shared" ref="J364:J370" si="105">+SUM(C364:G364)-(H364+I364)</f>
        <v>249768</v>
      </c>
      <c r="K364" s="70"/>
    </row>
    <row r="365" spans="1:11">
      <c r="A365" s="130" t="s">
        <v>104</v>
      </c>
      <c r="B365" s="135" t="s">
        <v>36</v>
      </c>
      <c r="C365" s="33">
        <v>55090</v>
      </c>
      <c r="D365" s="32"/>
      <c r="E365" s="33">
        <v>143000</v>
      </c>
      <c r="F365" s="33">
        <v>70800</v>
      </c>
      <c r="G365" s="110"/>
      <c r="H365" s="110"/>
      <c r="I365" s="33">
        <v>261000</v>
      </c>
      <c r="J365" s="31">
        <f t="shared" si="105"/>
        <v>7890</v>
      </c>
      <c r="K365" s="70"/>
    </row>
    <row r="366" spans="1:11">
      <c r="A366" s="130" t="s">
        <v>104</v>
      </c>
      <c r="B366" s="135" t="s">
        <v>94</v>
      </c>
      <c r="C366" s="33">
        <v>0</v>
      </c>
      <c r="D366" s="32"/>
      <c r="E366" s="33">
        <v>30000</v>
      </c>
      <c r="F366" s="110"/>
      <c r="G366" s="110"/>
      <c r="H366" s="110"/>
      <c r="I366" s="33">
        <v>25000</v>
      </c>
      <c r="J366" s="31">
        <f t="shared" si="105"/>
        <v>5000</v>
      </c>
      <c r="K366" s="70"/>
    </row>
    <row r="367" spans="1:11">
      <c r="A367" s="130" t="s">
        <v>104</v>
      </c>
      <c r="B367" s="135" t="s">
        <v>29</v>
      </c>
      <c r="C367" s="33">
        <v>110700</v>
      </c>
      <c r="D367" s="32"/>
      <c r="E367" s="33">
        <v>375000</v>
      </c>
      <c r="F367" s="33">
        <v>30000</v>
      </c>
      <c r="G367" s="110"/>
      <c r="H367" s="110"/>
      <c r="I367" s="33">
        <v>458000</v>
      </c>
      <c r="J367" s="31">
        <f t="shared" si="105"/>
        <v>57700</v>
      </c>
      <c r="K367" s="70"/>
    </row>
    <row r="368" spans="1:11">
      <c r="A368" s="130" t="s">
        <v>104</v>
      </c>
      <c r="B368" s="135" t="s">
        <v>95</v>
      </c>
      <c r="C368" s="33">
        <v>-32081</v>
      </c>
      <c r="D368" s="32"/>
      <c r="E368" s="110">
        <v>0</v>
      </c>
      <c r="F368" s="110"/>
      <c r="G368" s="110"/>
      <c r="H368" s="110"/>
      <c r="I368" s="110">
        <v>0</v>
      </c>
      <c r="J368" s="31">
        <f t="shared" si="105"/>
        <v>-32081</v>
      </c>
      <c r="K368" s="70"/>
    </row>
    <row r="369" spans="1:11">
      <c r="A369" s="130" t="s">
        <v>104</v>
      </c>
      <c r="B369" s="135" t="s">
        <v>102</v>
      </c>
      <c r="C369" s="33">
        <v>0</v>
      </c>
      <c r="D369" s="32"/>
      <c r="E369" s="33">
        <v>82000</v>
      </c>
      <c r="F369" s="110"/>
      <c r="G369" s="110"/>
      <c r="H369" s="110"/>
      <c r="I369" s="33">
        <v>20000</v>
      </c>
      <c r="J369" s="31">
        <f>+SUM(C369:G369)-(H369+I369)</f>
        <v>62000</v>
      </c>
      <c r="K369" s="70"/>
    </row>
    <row r="370" spans="1:11">
      <c r="A370" s="130" t="s">
        <v>104</v>
      </c>
      <c r="B370" s="136" t="s">
        <v>32</v>
      </c>
      <c r="C370" s="53">
        <v>7300</v>
      </c>
      <c r="D370" s="127"/>
      <c r="E370" s="145"/>
      <c r="F370" s="145"/>
      <c r="G370" s="147"/>
      <c r="H370" s="145"/>
      <c r="I370" s="53">
        <v>3000</v>
      </c>
      <c r="J370" s="31">
        <f t="shared" si="105"/>
        <v>4300</v>
      </c>
      <c r="K370" s="70"/>
    </row>
    <row r="371" spans="1:11">
      <c r="A371" s="35" t="s">
        <v>61</v>
      </c>
      <c r="B371" s="36"/>
      <c r="C371" s="36"/>
      <c r="D371" s="36"/>
      <c r="E371" s="36"/>
      <c r="F371" s="36"/>
      <c r="G371" s="36"/>
      <c r="H371" s="36"/>
      <c r="I371" s="36"/>
      <c r="J371" s="37"/>
      <c r="K371" s="70"/>
    </row>
    <row r="372" spans="1:11">
      <c r="A372" s="130" t="s">
        <v>104</v>
      </c>
      <c r="B372" s="38" t="s">
        <v>62</v>
      </c>
      <c r="C372" s="39">
        <v>817769</v>
      </c>
      <c r="D372" s="51">
        <v>3000000</v>
      </c>
      <c r="E372" s="109"/>
      <c r="F372" s="109"/>
      <c r="G372" s="148"/>
      <c r="H372" s="139">
        <v>2627870</v>
      </c>
      <c r="I372" s="134">
        <v>1127749</v>
      </c>
      <c r="J372" s="46">
        <f>+SUM(C372:G372)-(H372+I372)</f>
        <v>62150</v>
      </c>
      <c r="K372" s="70"/>
    </row>
    <row r="373" spans="1:11">
      <c r="A373" s="44" t="s">
        <v>63</v>
      </c>
      <c r="B373" s="25"/>
      <c r="C373" s="36"/>
      <c r="D373" s="25"/>
      <c r="E373" s="25"/>
      <c r="F373" s="25"/>
      <c r="G373" s="25"/>
      <c r="H373" s="25"/>
      <c r="I373" s="25"/>
      <c r="J373" s="37"/>
    </row>
    <row r="374" spans="1:11">
      <c r="A374" s="130" t="s">
        <v>104</v>
      </c>
      <c r="B374" s="38" t="s">
        <v>64</v>
      </c>
      <c r="C374" s="133">
        <v>14712920</v>
      </c>
      <c r="D374" s="140"/>
      <c r="E374" s="51"/>
      <c r="F374" s="51"/>
      <c r="G374" s="51"/>
      <c r="H374" s="53">
        <v>3000000</v>
      </c>
      <c r="I374" s="55">
        <v>428365</v>
      </c>
      <c r="J374" s="46">
        <f>+SUM(C374:G374)-(H374+I374)</f>
        <v>11284555</v>
      </c>
      <c r="K374" s="70"/>
    </row>
    <row r="375" spans="1:11">
      <c r="A375" s="130" t="s">
        <v>104</v>
      </c>
      <c r="B375" s="38" t="s">
        <v>65</v>
      </c>
      <c r="C375" s="133">
        <v>8361083</v>
      </c>
      <c r="D375" s="51"/>
      <c r="E375" s="50"/>
      <c r="F375" s="50"/>
      <c r="G375" s="50"/>
      <c r="H375" s="33"/>
      <c r="I375" s="52">
        <v>6202438</v>
      </c>
      <c r="J375" s="46">
        <f>SUM(C375:G375)-(H375+I375)</f>
        <v>2158645</v>
      </c>
      <c r="K375" s="70"/>
    </row>
    <row r="376" spans="1:11" ht="15.75">
      <c r="C376" s="9"/>
      <c r="I376" s="149">
        <f>SUM(I357:I375)</f>
        <v>10574852</v>
      </c>
      <c r="J376" s="111">
        <f>+SUM(J357:J375)</f>
        <v>14101750</v>
      </c>
      <c r="K376" s="9">
        <f>J376-C348</f>
        <v>-1</v>
      </c>
    </row>
    <row r="377" spans="1:11" ht="16.5">
      <c r="A377" s="10"/>
      <c r="B377" s="11"/>
      <c r="C377" s="12"/>
      <c r="D377" s="12"/>
      <c r="E377" s="12"/>
      <c r="F377" s="12"/>
      <c r="G377" s="12"/>
      <c r="H377" s="12"/>
      <c r="I377" s="12"/>
      <c r="J377" s="141"/>
    </row>
    <row r="378" spans="1:11">
      <c r="A378" s="16" t="s">
        <v>53</v>
      </c>
      <c r="B378" s="16"/>
      <c r="C378" s="16"/>
      <c r="D378" s="17"/>
      <c r="E378" s="17"/>
      <c r="F378" s="17"/>
      <c r="G378" s="17"/>
      <c r="H378" s="17"/>
      <c r="I378" s="17"/>
    </row>
    <row r="379" spans="1:11">
      <c r="A379" s="18" t="s">
        <v>96</v>
      </c>
      <c r="B379" s="18"/>
      <c r="C379" s="18"/>
      <c r="D379" s="18"/>
      <c r="E379" s="18"/>
      <c r="F379" s="18"/>
      <c r="G379" s="18"/>
      <c r="H379" s="18"/>
      <c r="I379" s="18"/>
      <c r="J379" s="17"/>
    </row>
    <row r="380" spans="1:11">
      <c r="A380" s="19"/>
      <c r="B380" s="20"/>
      <c r="C380" s="21"/>
      <c r="D380" s="21"/>
      <c r="E380" s="21"/>
      <c r="F380" s="21"/>
      <c r="G380" s="21"/>
      <c r="H380" s="20"/>
      <c r="I380" s="20"/>
      <c r="J380" s="18"/>
    </row>
    <row r="381" spans="1:11" ht="15" customHeight="1">
      <c r="A381" s="276" t="s">
        <v>54</v>
      </c>
      <c r="B381" s="278" t="s">
        <v>55</v>
      </c>
      <c r="C381" s="280" t="s">
        <v>97</v>
      </c>
      <c r="D381" s="282" t="s">
        <v>56</v>
      </c>
      <c r="E381" s="283"/>
      <c r="F381" s="283"/>
      <c r="G381" s="284"/>
      <c r="H381" s="285" t="s">
        <v>57</v>
      </c>
      <c r="I381" s="272" t="s">
        <v>58</v>
      </c>
      <c r="J381" s="20"/>
    </row>
    <row r="382" spans="1:11" ht="15" customHeight="1">
      <c r="A382" s="277"/>
      <c r="B382" s="279"/>
      <c r="C382" s="281"/>
      <c r="D382" s="22" t="s">
        <v>24</v>
      </c>
      <c r="E382" s="22" t="s">
        <v>25</v>
      </c>
      <c r="F382" s="122" t="s">
        <v>100</v>
      </c>
      <c r="G382" s="22" t="s">
        <v>59</v>
      </c>
      <c r="H382" s="286"/>
      <c r="I382" s="273"/>
      <c r="J382" s="274" t="s">
        <v>98</v>
      </c>
    </row>
    <row r="383" spans="1:11">
      <c r="A383" s="24"/>
      <c r="B383" s="25" t="s">
        <v>60</v>
      </c>
      <c r="C383" s="26"/>
      <c r="D383" s="26"/>
      <c r="E383" s="26"/>
      <c r="F383" s="26"/>
      <c r="G383" s="26"/>
      <c r="H383" s="26"/>
      <c r="I383" s="27"/>
      <c r="J383" s="275"/>
    </row>
    <row r="384" spans="1:11">
      <c r="A384" s="130" t="s">
        <v>99</v>
      </c>
      <c r="B384" s="135" t="s">
        <v>77</v>
      </c>
      <c r="C384" s="33">
        <v>-10750</v>
      </c>
      <c r="D384" s="32"/>
      <c r="E384" s="32">
        <v>170625</v>
      </c>
      <c r="F384" s="32">
        <v>301700</v>
      </c>
      <c r="G384" s="32"/>
      <c r="H384" s="57">
        <v>27000</v>
      </c>
      <c r="I384" s="33">
        <v>412375</v>
      </c>
      <c r="J384" s="31">
        <f>+SUM(C384:G384)-(H384+I384)</f>
        <v>22200</v>
      </c>
      <c r="K384" s="70"/>
    </row>
    <row r="385" spans="1:11">
      <c r="A385" s="130" t="s">
        <v>99</v>
      </c>
      <c r="B385" s="135" t="s">
        <v>48</v>
      </c>
      <c r="C385" s="33">
        <v>9060</v>
      </c>
      <c r="D385" s="32"/>
      <c r="E385" s="32">
        <v>0</v>
      </c>
      <c r="F385" s="32"/>
      <c r="G385" s="32"/>
      <c r="H385" s="57"/>
      <c r="I385" s="33">
        <v>6000</v>
      </c>
      <c r="J385" s="31">
        <f t="shared" ref="J385:J386" si="106">+SUM(C385:G385)-(H385+I385)</f>
        <v>3060</v>
      </c>
      <c r="K385" s="70"/>
    </row>
    <row r="386" spans="1:11">
      <c r="A386" s="130" t="s">
        <v>99</v>
      </c>
      <c r="B386" s="135" t="s">
        <v>31</v>
      </c>
      <c r="C386" s="33">
        <v>1195</v>
      </c>
      <c r="D386" s="32"/>
      <c r="E386" s="32">
        <v>75000</v>
      </c>
      <c r="F386" s="33"/>
      <c r="G386" s="33"/>
      <c r="H386" s="33"/>
      <c r="I386" s="33">
        <v>72400</v>
      </c>
      <c r="J386" s="107">
        <f t="shared" si="106"/>
        <v>3795</v>
      </c>
      <c r="K386" s="70"/>
    </row>
    <row r="387" spans="1:11">
      <c r="A387" s="130" t="s">
        <v>99</v>
      </c>
      <c r="B387" s="135" t="s">
        <v>78</v>
      </c>
      <c r="C387" s="33">
        <v>-8600</v>
      </c>
      <c r="D387" s="110"/>
      <c r="E387" s="32">
        <v>596900</v>
      </c>
      <c r="F387" s="33"/>
      <c r="G387" s="33"/>
      <c r="H387" s="33"/>
      <c r="I387" s="33">
        <v>586000</v>
      </c>
      <c r="J387" s="107">
        <f>+SUM(C387:G387)-(H387+I387)</f>
        <v>2300</v>
      </c>
      <c r="K387" s="70"/>
    </row>
    <row r="388" spans="1:11">
      <c r="A388" s="130" t="s">
        <v>99</v>
      </c>
      <c r="B388" s="135" t="s">
        <v>70</v>
      </c>
      <c r="C388" s="33">
        <v>8884</v>
      </c>
      <c r="D388" s="110"/>
      <c r="E388" s="32">
        <v>618600</v>
      </c>
      <c r="F388" s="33">
        <v>27000</v>
      </c>
      <c r="G388" s="33"/>
      <c r="H388" s="33">
        <v>301700</v>
      </c>
      <c r="I388" s="33">
        <v>367000</v>
      </c>
      <c r="J388" s="107">
        <f t="shared" ref="J388" si="107">+SUM(C388:G388)-(H388+I388)</f>
        <v>-14216</v>
      </c>
      <c r="K388" s="70"/>
    </row>
    <row r="389" spans="1:11">
      <c r="A389" s="127" t="s">
        <v>99</v>
      </c>
      <c r="B389" s="136" t="s">
        <v>30</v>
      </c>
      <c r="C389" s="53">
        <v>191600</v>
      </c>
      <c r="D389" s="127"/>
      <c r="E389" s="127">
        <v>777000</v>
      </c>
      <c r="F389" s="53"/>
      <c r="G389" s="53"/>
      <c r="H389" s="53"/>
      <c r="I389" s="53">
        <v>825300</v>
      </c>
      <c r="J389" s="132">
        <f>+SUM(C389:G389)-(H389+I389)</f>
        <v>143300</v>
      </c>
      <c r="K389" s="70"/>
    </row>
    <row r="390" spans="1:11">
      <c r="A390" s="131" t="s">
        <v>99</v>
      </c>
      <c r="B390" s="137" t="s">
        <v>85</v>
      </c>
      <c r="C390" s="128">
        <v>233614</v>
      </c>
      <c r="D390" s="131"/>
      <c r="E390" s="131"/>
      <c r="F390" s="131"/>
      <c r="G390" s="131"/>
      <c r="H390" s="128"/>
      <c r="I390" s="128"/>
      <c r="J390" s="129">
        <f>+SUM(C390:G390)-(H390+I390)</f>
        <v>233614</v>
      </c>
      <c r="K390" s="70"/>
    </row>
    <row r="391" spans="1:11">
      <c r="A391" s="131" t="s">
        <v>99</v>
      </c>
      <c r="B391" s="137" t="s">
        <v>84</v>
      </c>
      <c r="C391" s="128">
        <v>249769</v>
      </c>
      <c r="D391" s="131"/>
      <c r="E391" s="131"/>
      <c r="F391" s="131"/>
      <c r="G391" s="131"/>
      <c r="H391" s="128"/>
      <c r="I391" s="128"/>
      <c r="J391" s="129">
        <f t="shared" ref="J391:J396" si="108">+SUM(C391:G391)-(H391+I391)</f>
        <v>249769</v>
      </c>
      <c r="K391" s="70"/>
    </row>
    <row r="392" spans="1:11">
      <c r="A392" s="130" t="s">
        <v>99</v>
      </c>
      <c r="B392" s="135" t="s">
        <v>36</v>
      </c>
      <c r="C392" s="33">
        <v>-3510</v>
      </c>
      <c r="D392" s="32"/>
      <c r="E392" s="32">
        <v>240100</v>
      </c>
      <c r="F392" s="32"/>
      <c r="G392" s="32"/>
      <c r="H392" s="33"/>
      <c r="I392" s="33">
        <v>181500</v>
      </c>
      <c r="J392" s="31">
        <f t="shared" si="108"/>
        <v>55090</v>
      </c>
      <c r="K392" s="70"/>
    </row>
    <row r="393" spans="1:11">
      <c r="A393" s="130" t="s">
        <v>99</v>
      </c>
      <c r="B393" s="135" t="s">
        <v>94</v>
      </c>
      <c r="C393" s="33">
        <v>0</v>
      </c>
      <c r="D393" s="32"/>
      <c r="E393" s="32">
        <v>5000</v>
      </c>
      <c r="F393" s="32"/>
      <c r="G393" s="32"/>
      <c r="H393" s="33"/>
      <c r="I393" s="33">
        <v>5000</v>
      </c>
      <c r="J393" s="31">
        <f t="shared" si="108"/>
        <v>0</v>
      </c>
      <c r="K393" s="70"/>
    </row>
    <row r="394" spans="1:11">
      <c r="A394" s="130" t="s">
        <v>99</v>
      </c>
      <c r="B394" s="135" t="s">
        <v>29</v>
      </c>
      <c r="C394" s="33">
        <v>111200</v>
      </c>
      <c r="D394" s="32"/>
      <c r="E394" s="32">
        <v>704000</v>
      </c>
      <c r="F394" s="32"/>
      <c r="G394" s="32"/>
      <c r="H394" s="33"/>
      <c r="I394" s="33">
        <v>704500</v>
      </c>
      <c r="J394" s="31">
        <f t="shared" si="108"/>
        <v>110700</v>
      </c>
      <c r="K394" s="70"/>
    </row>
    <row r="395" spans="1:11">
      <c r="A395" s="130" t="s">
        <v>99</v>
      </c>
      <c r="B395" s="135" t="s">
        <v>95</v>
      </c>
      <c r="C395" s="33">
        <v>-32081</v>
      </c>
      <c r="D395" s="32"/>
      <c r="E395" s="32">
        <v>0</v>
      </c>
      <c r="F395" s="32"/>
      <c r="G395" s="32"/>
      <c r="H395" s="33"/>
      <c r="I395" s="33">
        <v>0</v>
      </c>
      <c r="J395" s="31">
        <f t="shared" si="108"/>
        <v>-32081</v>
      </c>
      <c r="K395" s="70"/>
    </row>
    <row r="396" spans="1:11">
      <c r="A396" s="130" t="s">
        <v>99</v>
      </c>
      <c r="B396" s="136" t="s">
        <v>32</v>
      </c>
      <c r="C396" s="53">
        <v>5300</v>
      </c>
      <c r="D396" s="127"/>
      <c r="E396" s="127">
        <v>10000</v>
      </c>
      <c r="F396" s="127"/>
      <c r="G396" s="138"/>
      <c r="H396" s="53"/>
      <c r="I396" s="53">
        <v>8000</v>
      </c>
      <c r="J396" s="31">
        <f t="shared" si="108"/>
        <v>7300</v>
      </c>
      <c r="K396" s="70"/>
    </row>
    <row r="397" spans="1:11">
      <c r="A397" s="35" t="s">
        <v>61</v>
      </c>
      <c r="B397" s="36"/>
      <c r="C397" s="36"/>
      <c r="D397" s="36"/>
      <c r="E397" s="36"/>
      <c r="F397" s="36"/>
      <c r="G397" s="36"/>
      <c r="H397" s="36"/>
      <c r="I397" s="36"/>
      <c r="J397" s="37"/>
      <c r="K397" s="70"/>
    </row>
    <row r="398" spans="1:11">
      <c r="A398" s="28" t="s">
        <v>99</v>
      </c>
      <c r="B398" s="38" t="s">
        <v>62</v>
      </c>
      <c r="C398" s="39">
        <v>733034</v>
      </c>
      <c r="D398" s="40">
        <v>4293000</v>
      </c>
      <c r="E398" s="40"/>
      <c r="F398" s="40"/>
      <c r="G398" s="133"/>
      <c r="H398" s="139">
        <v>3197225</v>
      </c>
      <c r="I398" s="134">
        <v>1011040</v>
      </c>
      <c r="J398" s="46">
        <f>+SUM(C398:G398)-(H398+I398)</f>
        <v>817769</v>
      </c>
      <c r="K398" s="70"/>
    </row>
    <row r="399" spans="1:11">
      <c r="A399" s="44" t="s">
        <v>63</v>
      </c>
      <c r="B399" s="25"/>
      <c r="C399" s="36"/>
      <c r="D399" s="25"/>
      <c r="E399" s="25"/>
      <c r="F399" s="25"/>
      <c r="G399" s="25"/>
      <c r="H399" s="25"/>
      <c r="I399" s="25"/>
      <c r="J399" s="37"/>
    </row>
    <row r="400" spans="1:11">
      <c r="A400" s="28" t="s">
        <v>99</v>
      </c>
      <c r="B400" s="38" t="s">
        <v>64</v>
      </c>
      <c r="C400" s="133">
        <v>19184971</v>
      </c>
      <c r="D400" s="140"/>
      <c r="E400" s="51"/>
      <c r="F400" s="51"/>
      <c r="G400" s="51"/>
      <c r="H400" s="53">
        <v>4000000</v>
      </c>
      <c r="I400" s="55">
        <v>472051</v>
      </c>
      <c r="J400" s="46">
        <f>+SUM(C400:G400)-(H400+I400)</f>
        <v>14712920</v>
      </c>
      <c r="K400" s="70"/>
    </row>
    <row r="401" spans="1:11">
      <c r="A401" s="28" t="s">
        <v>99</v>
      </c>
      <c r="B401" s="38" t="s">
        <v>65</v>
      </c>
      <c r="C401" s="133">
        <v>14419055</v>
      </c>
      <c r="D401" s="51"/>
      <c r="E401" s="50"/>
      <c r="F401" s="50"/>
      <c r="G401" s="50"/>
      <c r="H401" s="33">
        <v>293000</v>
      </c>
      <c r="I401" s="52">
        <v>5764972</v>
      </c>
      <c r="J401" s="46">
        <f>SUM(C401:G401)-(H401+I401)</f>
        <v>8361083</v>
      </c>
      <c r="K401" s="70"/>
    </row>
    <row r="402" spans="1:11" ht="15.75">
      <c r="C402" s="9"/>
      <c r="I402" s="9"/>
      <c r="J402" s="111">
        <f>+SUM(J384:J401)</f>
        <v>24676603</v>
      </c>
    </row>
    <row r="403" spans="1:11" ht="16.5">
      <c r="A403" s="10"/>
      <c r="B403" s="11"/>
      <c r="C403" s="12"/>
      <c r="D403" s="12"/>
      <c r="E403" s="12"/>
      <c r="F403" s="12"/>
      <c r="G403" s="12"/>
      <c r="H403" s="12"/>
      <c r="I403" s="12"/>
      <c r="J403" s="141"/>
    </row>
    <row r="404" spans="1:11">
      <c r="A404" s="16" t="s">
        <v>53</v>
      </c>
      <c r="B404" s="16"/>
      <c r="C404" s="16"/>
      <c r="D404" s="17"/>
      <c r="E404" s="17"/>
      <c r="F404" s="17"/>
      <c r="G404" s="17"/>
      <c r="H404" s="17"/>
      <c r="I404" s="17"/>
    </row>
    <row r="405" spans="1:11">
      <c r="A405" s="18" t="s">
        <v>88</v>
      </c>
      <c r="B405" s="18"/>
      <c r="C405" s="18"/>
      <c r="D405" s="18"/>
      <c r="E405" s="18"/>
      <c r="F405" s="18"/>
      <c r="G405" s="18"/>
      <c r="H405" s="18"/>
      <c r="I405" s="18"/>
      <c r="J405" s="17"/>
    </row>
    <row r="406" spans="1:11" ht="15" customHeight="1">
      <c r="A406" s="19"/>
      <c r="B406" s="20"/>
      <c r="C406" s="21"/>
      <c r="D406" s="21"/>
      <c r="E406" s="21"/>
      <c r="F406" s="21"/>
      <c r="G406" s="21"/>
      <c r="H406" s="20"/>
      <c r="I406" s="20"/>
      <c r="J406" s="18"/>
    </row>
    <row r="407" spans="1:11" ht="15" customHeight="1">
      <c r="A407" s="276" t="s">
        <v>54</v>
      </c>
      <c r="B407" s="278" t="s">
        <v>55</v>
      </c>
      <c r="C407" s="280" t="s">
        <v>89</v>
      </c>
      <c r="D407" s="282" t="s">
        <v>56</v>
      </c>
      <c r="E407" s="283"/>
      <c r="F407" s="283"/>
      <c r="G407" s="284"/>
      <c r="H407" s="285" t="s">
        <v>57</v>
      </c>
      <c r="I407" s="272" t="s">
        <v>58</v>
      </c>
      <c r="J407" s="20"/>
    </row>
    <row r="408" spans="1:11" ht="15" customHeight="1">
      <c r="A408" s="277"/>
      <c r="B408" s="279"/>
      <c r="C408" s="281"/>
      <c r="D408" s="22" t="s">
        <v>24</v>
      </c>
      <c r="E408" s="22" t="s">
        <v>25</v>
      </c>
      <c r="F408" s="112" t="s">
        <v>92</v>
      </c>
      <c r="G408" s="22" t="s">
        <v>59</v>
      </c>
      <c r="H408" s="286"/>
      <c r="I408" s="273"/>
      <c r="J408" s="274" t="s">
        <v>90</v>
      </c>
    </row>
    <row r="409" spans="1:11">
      <c r="A409" s="24"/>
      <c r="B409" s="25" t="s">
        <v>60</v>
      </c>
      <c r="C409" s="26"/>
      <c r="D409" s="26"/>
      <c r="E409" s="26"/>
      <c r="F409" s="26"/>
      <c r="G409" s="26"/>
      <c r="H409" s="26"/>
      <c r="I409" s="27"/>
      <c r="J409" s="275"/>
    </row>
    <row r="410" spans="1:11" ht="16.5">
      <c r="A410" s="28" t="s">
        <v>91</v>
      </c>
      <c r="B410" s="8" t="s">
        <v>77</v>
      </c>
      <c r="C410" s="29" t="e">
        <f>+#REF!</f>
        <v>#REF!</v>
      </c>
      <c r="D410" s="30"/>
      <c r="E410" s="30">
        <v>271100</v>
      </c>
      <c r="F410" s="30">
        <f>112800+126500</f>
        <v>239300</v>
      </c>
      <c r="G410" s="30"/>
      <c r="H410" s="57"/>
      <c r="I410" s="34">
        <v>521950</v>
      </c>
      <c r="J410" s="31" t="e">
        <f>+SUM(C410:G410)-(H410+I410)</f>
        <v>#REF!</v>
      </c>
    </row>
    <row r="411" spans="1:11" ht="16.5">
      <c r="A411" s="28" t="s">
        <v>91</v>
      </c>
      <c r="B411" s="8" t="s">
        <v>48</v>
      </c>
      <c r="C411" s="29" t="e">
        <f>+C175</f>
        <v>#REF!</v>
      </c>
      <c r="D411" s="30"/>
      <c r="E411" s="30">
        <v>625000</v>
      </c>
      <c r="F411" s="30"/>
      <c r="G411" s="30"/>
      <c r="H411" s="57">
        <v>247500</v>
      </c>
      <c r="I411" s="34">
        <v>371500</v>
      </c>
      <c r="J411" s="31" t="e">
        <f t="shared" ref="J411:J412" si="109">+SUM(C411:G411)-(H411+I411)</f>
        <v>#REF!</v>
      </c>
    </row>
    <row r="412" spans="1:11" ht="16.5">
      <c r="A412" s="28" t="s">
        <v>91</v>
      </c>
      <c r="B412" s="8" t="s">
        <v>31</v>
      </c>
      <c r="C412" s="29" t="e">
        <f>+C176</f>
        <v>#REF!</v>
      </c>
      <c r="D412" s="30"/>
      <c r="E412" s="30">
        <v>60000</v>
      </c>
      <c r="F412" s="106"/>
      <c r="G412" s="106"/>
      <c r="H412" s="33"/>
      <c r="I412" s="56">
        <v>67200</v>
      </c>
      <c r="J412" s="107" t="e">
        <f t="shared" si="109"/>
        <v>#REF!</v>
      </c>
    </row>
    <row r="413" spans="1:11" ht="15.75" customHeight="1">
      <c r="A413" s="28" t="s">
        <v>91</v>
      </c>
      <c r="B413" s="8" t="s">
        <v>78</v>
      </c>
      <c r="C413" s="29" t="e">
        <f>+C177</f>
        <v>#REF!</v>
      </c>
      <c r="D413" s="58"/>
      <c r="E413" s="30">
        <v>140000</v>
      </c>
      <c r="F413" s="106">
        <v>270500</v>
      </c>
      <c r="G413" s="106"/>
      <c r="H413" s="33"/>
      <c r="I413" s="33">
        <v>417300</v>
      </c>
      <c r="J413" s="107" t="e">
        <f>+SUM(C413:G413)-(H413+I413)</f>
        <v>#REF!</v>
      </c>
    </row>
    <row r="414" spans="1:11" ht="16.5">
      <c r="A414" s="28" t="s">
        <v>91</v>
      </c>
      <c r="B414" s="8" t="s">
        <v>70</v>
      </c>
      <c r="C414" s="29">
        <v>15984</v>
      </c>
      <c r="D414" s="58"/>
      <c r="E414" s="30">
        <v>256400</v>
      </c>
      <c r="F414" s="106"/>
      <c r="G414" s="106"/>
      <c r="H414" s="33"/>
      <c r="I414" s="34">
        <v>263500</v>
      </c>
      <c r="J414" s="107">
        <f t="shared" ref="J414" si="110">+SUM(C414:G414)-(H414+I414)</f>
        <v>8884</v>
      </c>
    </row>
    <row r="415" spans="1:11" ht="16.5">
      <c r="A415" s="28" t="s">
        <v>91</v>
      </c>
      <c r="B415" s="8" t="s">
        <v>30</v>
      </c>
      <c r="C415" s="29" t="e">
        <f t="shared" ref="C415:C419" si="111">+C178</f>
        <v>#REF!</v>
      </c>
      <c r="D415" s="30"/>
      <c r="E415" s="30">
        <v>858500</v>
      </c>
      <c r="F415" s="106"/>
      <c r="G415" s="106"/>
      <c r="H415" s="33"/>
      <c r="I415" s="34">
        <v>645000</v>
      </c>
      <c r="J415" s="107" t="e">
        <f>+SUM(C415:G415)-(H415+I415)</f>
        <v>#REF!</v>
      </c>
    </row>
    <row r="416" spans="1:11" ht="16.5">
      <c r="A416" s="28" t="s">
        <v>91</v>
      </c>
      <c r="B416" s="8" t="s">
        <v>36</v>
      </c>
      <c r="C416" s="29" t="e">
        <f t="shared" si="111"/>
        <v>#REF!</v>
      </c>
      <c r="D416" s="30"/>
      <c r="E416" s="30">
        <v>800700</v>
      </c>
      <c r="F416" s="30"/>
      <c r="G416" s="30"/>
      <c r="H416" s="33">
        <v>262300</v>
      </c>
      <c r="I416" s="34">
        <v>543600</v>
      </c>
      <c r="J416" s="31" t="e">
        <f>+SUM(C416:G416)-(H416+I416)</f>
        <v>#REF!</v>
      </c>
    </row>
    <row r="417" spans="1:11" ht="16.5">
      <c r="A417" s="28" t="s">
        <v>91</v>
      </c>
      <c r="B417" s="8" t="s">
        <v>29</v>
      </c>
      <c r="C417" s="29" t="e">
        <f t="shared" si="111"/>
        <v>#REF!</v>
      </c>
      <c r="D417" s="30"/>
      <c r="E417" s="30">
        <v>971600</v>
      </c>
      <c r="F417" s="30"/>
      <c r="G417" s="30"/>
      <c r="H417" s="33">
        <v>200000</v>
      </c>
      <c r="I417" s="34">
        <v>639450</v>
      </c>
      <c r="J417" s="31" t="e">
        <f t="shared" ref="J417:J418" si="112">+SUM(C417:G417)-(H417+I417)</f>
        <v>#REF!</v>
      </c>
    </row>
    <row r="418" spans="1:11" ht="16.5">
      <c r="A418" s="28" t="s">
        <v>91</v>
      </c>
      <c r="B418" s="8" t="s">
        <v>5</v>
      </c>
      <c r="C418" s="29" t="e">
        <f t="shared" si="111"/>
        <v>#REF!</v>
      </c>
      <c r="D418" s="30"/>
      <c r="E418" s="30"/>
      <c r="F418" s="30"/>
      <c r="G418" s="30"/>
      <c r="H418" s="33"/>
      <c r="I418" s="56">
        <v>23000</v>
      </c>
      <c r="J418" s="31" t="e">
        <f t="shared" si="112"/>
        <v>#REF!</v>
      </c>
    </row>
    <row r="419" spans="1:11" ht="16.5">
      <c r="A419" s="28" t="s">
        <v>91</v>
      </c>
      <c r="B419" s="8" t="s">
        <v>32</v>
      </c>
      <c r="C419" s="29" t="e">
        <f t="shared" si="111"/>
        <v>#REF!</v>
      </c>
      <c r="D419" s="30"/>
      <c r="E419" s="30"/>
      <c r="F419" s="30"/>
      <c r="G419" s="30"/>
      <c r="H419" s="33"/>
      <c r="I419" s="34">
        <v>0</v>
      </c>
      <c r="J419" s="31" t="e">
        <f>+SUM(C419:G419)-(H419+I419)</f>
        <v>#REF!</v>
      </c>
    </row>
    <row r="420" spans="1:11" ht="16.5">
      <c r="A420" s="114" t="s">
        <v>91</v>
      </c>
      <c r="B420" s="115" t="s">
        <v>93</v>
      </c>
      <c r="C420" s="116">
        <v>3721074</v>
      </c>
      <c r="D420" s="117"/>
      <c r="E420" s="118"/>
      <c r="F420" s="117"/>
      <c r="G420" s="119"/>
      <c r="H420" s="116">
        <v>3721074</v>
      </c>
      <c r="I420" s="120"/>
      <c r="J420" s="121">
        <f>+SUM(C420:G420)-(H420+I420)</f>
        <v>0</v>
      </c>
    </row>
    <row r="421" spans="1:11">
      <c r="A421" s="35" t="s">
        <v>61</v>
      </c>
      <c r="B421" s="36"/>
      <c r="C421" s="36"/>
      <c r="D421" s="36"/>
      <c r="E421" s="36"/>
      <c r="F421" s="36"/>
      <c r="G421" s="36"/>
      <c r="H421" s="36"/>
      <c r="I421" s="36"/>
      <c r="J421" s="37"/>
    </row>
    <row r="422" spans="1:11">
      <c r="A422" s="28" t="s">
        <v>91</v>
      </c>
      <c r="B422" s="38" t="s">
        <v>62</v>
      </c>
      <c r="C422" s="39" t="e">
        <f>+C174</f>
        <v>#REF!</v>
      </c>
      <c r="D422" s="40">
        <v>5000000</v>
      </c>
      <c r="E422" s="40"/>
      <c r="F422" s="40"/>
      <c r="G422" s="41">
        <v>200000</v>
      </c>
      <c r="H422" s="49">
        <v>3983300</v>
      </c>
      <c r="I422" s="42">
        <v>776245</v>
      </c>
      <c r="J422" s="43" t="e">
        <f>+SUM(C422:G422)-(H422+I422)</f>
        <v>#REF!</v>
      </c>
    </row>
    <row r="423" spans="1:11">
      <c r="A423" s="44" t="s">
        <v>63</v>
      </c>
      <c r="B423" s="25"/>
      <c r="C423" s="36"/>
      <c r="D423" s="25"/>
      <c r="E423" s="25"/>
      <c r="F423" s="25"/>
      <c r="G423" s="25"/>
      <c r="H423" s="25"/>
      <c r="I423" s="25"/>
      <c r="J423" s="37"/>
    </row>
    <row r="424" spans="1:11">
      <c r="A424" s="28" t="s">
        <v>91</v>
      </c>
      <c r="B424" s="38" t="s">
        <v>64</v>
      </c>
      <c r="C424" s="45" t="e">
        <f>+#REF!</f>
        <v>#REF!</v>
      </c>
      <c r="D424" s="54">
        <v>19826114</v>
      </c>
      <c r="E424" s="51"/>
      <c r="F424" s="51"/>
      <c r="G424" s="51"/>
      <c r="H424" s="53">
        <v>5000000</v>
      </c>
      <c r="I424" s="55">
        <v>455737</v>
      </c>
      <c r="J424" s="46" t="e">
        <f>+SUM(C424:G424)-(H424+I424)</f>
        <v>#REF!</v>
      </c>
    </row>
    <row r="425" spans="1:11">
      <c r="A425" s="28" t="s">
        <v>91</v>
      </c>
      <c r="B425" s="38" t="s">
        <v>65</v>
      </c>
      <c r="C425" s="45" t="e">
        <f>+C173</f>
        <v>#REF!</v>
      </c>
      <c r="D425" s="51">
        <v>13119140</v>
      </c>
      <c r="E425" s="50"/>
      <c r="F425" s="50"/>
      <c r="G425" s="50"/>
      <c r="H425" s="33"/>
      <c r="I425" s="52">
        <v>3445919</v>
      </c>
      <c r="J425" s="46" t="e">
        <f>SUM(C425:G425)-(H425+I425)</f>
        <v>#REF!</v>
      </c>
    </row>
    <row r="426" spans="1:11">
      <c r="A426" s="162" t="s">
        <v>91</v>
      </c>
      <c r="B426" s="158" t="s">
        <v>84</v>
      </c>
      <c r="C426" s="163">
        <v>249769</v>
      </c>
      <c r="D426" s="51"/>
      <c r="E426" s="51"/>
      <c r="F426" s="51"/>
      <c r="G426" s="51"/>
      <c r="H426" s="33"/>
      <c r="I426" s="52"/>
      <c r="J426" s="164">
        <f>SUM(C426:G426)-(H426+I426)</f>
        <v>249769</v>
      </c>
    </row>
    <row r="427" spans="1:11">
      <c r="A427" s="162" t="s">
        <v>91</v>
      </c>
      <c r="B427" s="160" t="s">
        <v>85</v>
      </c>
      <c r="C427" s="163">
        <v>233614</v>
      </c>
      <c r="D427" s="51"/>
      <c r="E427" s="51"/>
      <c r="F427" s="51"/>
      <c r="G427" s="51"/>
      <c r="H427" s="33"/>
      <c r="I427" s="52"/>
      <c r="J427" s="164">
        <f>SUM(C427:G427)-(H427+I427)</f>
        <v>233614</v>
      </c>
    </row>
    <row r="428" spans="1:11">
      <c r="A428" s="162" t="s">
        <v>91</v>
      </c>
      <c r="B428" s="161" t="s">
        <v>86</v>
      </c>
      <c r="C428" s="163">
        <v>330169</v>
      </c>
      <c r="D428" s="165"/>
      <c r="E428" s="165"/>
      <c r="F428" s="165"/>
      <c r="G428" s="165"/>
      <c r="H428" s="165"/>
      <c r="I428" s="165"/>
      <c r="J428" s="164">
        <f>SUM(C428:G428)-(H428+I428)</f>
        <v>330169</v>
      </c>
    </row>
    <row r="429" spans="1:11" ht="15.75">
      <c r="C429" s="9"/>
      <c r="I429" s="9"/>
      <c r="J429" s="111" t="e">
        <f>+SUM(J410:J428)</f>
        <v>#REF!</v>
      </c>
      <c r="K429" s="113" t="e">
        <f>+J429-I186</f>
        <v>#REF!</v>
      </c>
    </row>
    <row r="431" spans="1:11">
      <c r="A431" s="16" t="s">
        <v>53</v>
      </c>
      <c r="B431" s="16"/>
      <c r="C431" s="16"/>
      <c r="D431" s="17"/>
      <c r="E431" s="17"/>
      <c r="F431" s="17"/>
      <c r="G431" s="17"/>
      <c r="H431" s="17"/>
      <c r="I431" s="17"/>
    </row>
    <row r="432" spans="1:11">
      <c r="A432" s="18" t="s">
        <v>79</v>
      </c>
      <c r="B432" s="18"/>
      <c r="C432" s="18"/>
      <c r="D432" s="18"/>
      <c r="E432" s="18"/>
      <c r="F432" s="18"/>
      <c r="G432" s="18"/>
      <c r="H432" s="18"/>
      <c r="I432" s="18"/>
      <c r="J432" s="17"/>
    </row>
    <row r="433" spans="1:10">
      <c r="A433" s="19"/>
      <c r="B433" s="20"/>
      <c r="C433" s="21"/>
      <c r="D433" s="21"/>
      <c r="E433" s="21"/>
      <c r="F433" s="21"/>
      <c r="G433" s="21"/>
      <c r="H433" s="20"/>
      <c r="I433" s="20"/>
      <c r="J433" s="18"/>
    </row>
    <row r="434" spans="1:10">
      <c r="A434" s="276" t="s">
        <v>54</v>
      </c>
      <c r="B434" s="278" t="s">
        <v>55</v>
      </c>
      <c r="C434" s="280" t="s">
        <v>81</v>
      </c>
      <c r="D434" s="282" t="s">
        <v>56</v>
      </c>
      <c r="E434" s="283"/>
      <c r="F434" s="283"/>
      <c r="G434" s="284"/>
      <c r="H434" s="285" t="s">
        <v>57</v>
      </c>
      <c r="I434" s="272" t="s">
        <v>58</v>
      </c>
      <c r="J434" s="20"/>
    </row>
    <row r="435" spans="1:10" ht="36.75" customHeight="1">
      <c r="A435" s="277"/>
      <c r="B435" s="279"/>
      <c r="C435" s="281"/>
      <c r="D435" s="22" t="s">
        <v>24</v>
      </c>
      <c r="E435" s="22" t="s">
        <v>25</v>
      </c>
      <c r="F435" s="23" t="s">
        <v>70</v>
      </c>
      <c r="G435" s="22" t="s">
        <v>59</v>
      </c>
      <c r="H435" s="286"/>
      <c r="I435" s="273"/>
      <c r="J435" s="274" t="s">
        <v>87</v>
      </c>
    </row>
    <row r="436" spans="1:10">
      <c r="A436" s="24"/>
      <c r="B436" s="25" t="s">
        <v>60</v>
      </c>
      <c r="C436" s="26"/>
      <c r="D436" s="26"/>
      <c r="E436" s="26"/>
      <c r="F436" s="26"/>
      <c r="G436" s="26"/>
      <c r="H436" s="26"/>
      <c r="I436" s="27"/>
      <c r="J436" s="275"/>
    </row>
    <row r="437" spans="1:10" ht="16.5">
      <c r="A437" s="28" t="s">
        <v>80</v>
      </c>
      <c r="B437" s="8" t="s">
        <v>77</v>
      </c>
      <c r="C437" s="29">
        <v>0</v>
      </c>
      <c r="D437" s="30"/>
      <c r="E437" s="30">
        <v>40000</v>
      </c>
      <c r="F437" s="30"/>
      <c r="G437" s="30"/>
      <c r="H437" s="57"/>
      <c r="I437" s="34">
        <v>39200</v>
      </c>
      <c r="J437" s="31">
        <f>+SUM(C437:G437)-(H437+I437)</f>
        <v>800</v>
      </c>
    </row>
    <row r="438" spans="1:10" ht="16.5">
      <c r="A438" s="28" t="s">
        <v>80</v>
      </c>
      <c r="B438" s="8" t="str">
        <f>+A175</f>
        <v>JUILLET</v>
      </c>
      <c r="C438" s="29">
        <v>19060</v>
      </c>
      <c r="D438" s="30"/>
      <c r="E438" s="30">
        <v>20000</v>
      </c>
      <c r="F438" s="30"/>
      <c r="G438" s="30"/>
      <c r="H438" s="57"/>
      <c r="I438" s="34">
        <v>36000</v>
      </c>
      <c r="J438" s="31">
        <f t="shared" ref="J438:J445" si="113">+SUM(C438:G438)-(H438+I438)</f>
        <v>3060</v>
      </c>
    </row>
    <row r="439" spans="1:10" ht="16.5">
      <c r="A439" s="28" t="s">
        <v>80</v>
      </c>
      <c r="B439" s="8" t="str">
        <f>+A176</f>
        <v>JUILLET</v>
      </c>
      <c r="C439" s="29">
        <v>8395</v>
      </c>
      <c r="D439" s="30"/>
      <c r="E439" s="30">
        <v>20000</v>
      </c>
      <c r="F439" s="106"/>
      <c r="G439" s="106"/>
      <c r="H439" s="33"/>
      <c r="I439" s="56">
        <v>20000</v>
      </c>
      <c r="J439" s="107">
        <f t="shared" si="113"/>
        <v>8395</v>
      </c>
    </row>
    <row r="440" spans="1:10" ht="16.5">
      <c r="A440" s="28" t="s">
        <v>80</v>
      </c>
      <c r="B440" s="8" t="str">
        <f>+A177</f>
        <v>JUILLET</v>
      </c>
      <c r="C440" s="29">
        <v>0</v>
      </c>
      <c r="D440" s="58"/>
      <c r="E440" s="30">
        <v>100000</v>
      </c>
      <c r="F440" s="106">
        <v>102200</v>
      </c>
      <c r="G440" s="106"/>
      <c r="H440" s="33"/>
      <c r="I440" s="33">
        <v>204000</v>
      </c>
      <c r="J440" s="107">
        <f>+SUM(C440:G440)-(H440+I440)</f>
        <v>-1800</v>
      </c>
    </row>
    <row r="441" spans="1:10" ht="16.5">
      <c r="A441" s="28" t="s">
        <v>80</v>
      </c>
      <c r="B441" s="8" t="e">
        <f>+#REF!</f>
        <v>#REF!</v>
      </c>
      <c r="C441" s="29">
        <v>7559</v>
      </c>
      <c r="D441" s="58"/>
      <c r="E441" s="30">
        <v>866200</v>
      </c>
      <c r="F441" s="106"/>
      <c r="G441" s="106"/>
      <c r="H441" s="33">
        <v>252200</v>
      </c>
      <c r="I441" s="34">
        <v>605575</v>
      </c>
      <c r="J441" s="107">
        <f t="shared" si="113"/>
        <v>15984</v>
      </c>
    </row>
    <row r="442" spans="1:10" ht="16.5">
      <c r="A442" s="28" t="s">
        <v>80</v>
      </c>
      <c r="B442" s="8" t="str">
        <f t="shared" ref="B442:B445" si="114">+A178</f>
        <v>JUILLET</v>
      </c>
      <c r="C442" s="29">
        <v>214000</v>
      </c>
      <c r="D442" s="30"/>
      <c r="E442" s="30">
        <v>724100</v>
      </c>
      <c r="F442" s="106"/>
      <c r="G442" s="106"/>
      <c r="H442" s="33"/>
      <c r="I442" s="34">
        <v>960000</v>
      </c>
      <c r="J442" s="107">
        <f>+SUM(C442:G442)-(H442+I442)</f>
        <v>-21900</v>
      </c>
    </row>
    <row r="443" spans="1:10" ht="16.5">
      <c r="A443" s="28" t="s">
        <v>80</v>
      </c>
      <c r="B443" s="8" t="str">
        <f t="shared" si="114"/>
        <v>JUILLET</v>
      </c>
      <c r="C443" s="29">
        <v>-13805</v>
      </c>
      <c r="D443" s="30"/>
      <c r="E443" s="30">
        <v>333400</v>
      </c>
      <c r="F443" s="30">
        <v>150000</v>
      </c>
      <c r="G443" s="30"/>
      <c r="H443" s="33">
        <v>129000</v>
      </c>
      <c r="I443" s="34">
        <v>338905</v>
      </c>
      <c r="J443" s="31">
        <f>+SUM(C443:G443)-(H443+I443)</f>
        <v>1690</v>
      </c>
    </row>
    <row r="444" spans="1:10" ht="16.5">
      <c r="A444" s="28" t="s">
        <v>80</v>
      </c>
      <c r="B444" s="8" t="str">
        <f t="shared" si="114"/>
        <v>JUILLET</v>
      </c>
      <c r="C444" s="29">
        <v>84350</v>
      </c>
      <c r="D444" s="30"/>
      <c r="E444" s="30">
        <v>669400</v>
      </c>
      <c r="F444" s="30"/>
      <c r="G444" s="30"/>
      <c r="H444" s="33">
        <v>100000</v>
      </c>
      <c r="I444" s="34">
        <v>674700</v>
      </c>
      <c r="J444" s="31">
        <f>+SUM(C444:G444)-(H444+I444)</f>
        <v>-20950</v>
      </c>
    </row>
    <row r="445" spans="1:10" ht="16.5">
      <c r="A445" s="28" t="s">
        <v>80</v>
      </c>
      <c r="B445" s="8" t="str">
        <f t="shared" si="114"/>
        <v>JUILLET</v>
      </c>
      <c r="C445" s="29">
        <v>-216251</v>
      </c>
      <c r="D445" s="30"/>
      <c r="E445" s="30">
        <v>242000</v>
      </c>
      <c r="F445" s="30"/>
      <c r="G445" s="30"/>
      <c r="H445" s="33"/>
      <c r="I445" s="56">
        <v>34830</v>
      </c>
      <c r="J445" s="31">
        <f t="shared" si="113"/>
        <v>-9081</v>
      </c>
    </row>
    <row r="446" spans="1:10" ht="16.5">
      <c r="A446" s="28" t="s">
        <v>80</v>
      </c>
      <c r="B446" s="8" t="s">
        <v>33</v>
      </c>
      <c r="C446" s="29">
        <v>2025</v>
      </c>
      <c r="D446" s="30"/>
      <c r="E446" s="30">
        <v>25000</v>
      </c>
      <c r="F446" s="30"/>
      <c r="G446" s="30"/>
      <c r="H446" s="33">
        <v>3025</v>
      </c>
      <c r="I446" s="34">
        <v>24000</v>
      </c>
      <c r="J446" s="31">
        <f>+SUM(C446:G446)-(H446+I446)</f>
        <v>0</v>
      </c>
    </row>
    <row r="447" spans="1:10" ht="16.5">
      <c r="A447" s="28" t="s">
        <v>80</v>
      </c>
      <c r="B447" s="8" t="s">
        <v>32</v>
      </c>
      <c r="C447" s="29">
        <v>10000</v>
      </c>
      <c r="D447" s="32"/>
      <c r="E447" s="30">
        <v>0</v>
      </c>
      <c r="F447" s="32"/>
      <c r="G447" s="32"/>
      <c r="H447" s="33"/>
      <c r="I447" s="34">
        <v>4700</v>
      </c>
      <c r="J447" s="31">
        <f>+SUM(C447:G447)-(H447+I447)</f>
        <v>5300</v>
      </c>
    </row>
    <row r="448" spans="1:10">
      <c r="A448" s="35" t="s">
        <v>61</v>
      </c>
      <c r="B448" s="36"/>
      <c r="C448" s="36"/>
      <c r="D448" s="36"/>
      <c r="E448" s="36"/>
      <c r="F448" s="36"/>
      <c r="G448" s="36"/>
      <c r="H448" s="36"/>
      <c r="I448" s="36"/>
      <c r="J448" s="37"/>
    </row>
    <row r="449" spans="1:15">
      <c r="A449" s="28" t="s">
        <v>80</v>
      </c>
      <c r="B449" s="38" t="s">
        <v>62</v>
      </c>
      <c r="C449" s="39">
        <v>791675</v>
      </c>
      <c r="D449" s="40">
        <v>3185100</v>
      </c>
      <c r="E449" s="40"/>
      <c r="F449" s="40"/>
      <c r="G449" s="41">
        <v>237025</v>
      </c>
      <c r="H449" s="49">
        <v>3045100</v>
      </c>
      <c r="I449" s="42">
        <v>876121</v>
      </c>
      <c r="J449" s="43">
        <f>+SUM(C449:G449)-(H449+I449)</f>
        <v>292579</v>
      </c>
    </row>
    <row r="450" spans="1:15">
      <c r="A450" s="44" t="s">
        <v>63</v>
      </c>
      <c r="B450" s="25"/>
      <c r="C450" s="36"/>
      <c r="D450" s="25"/>
      <c r="E450" s="25"/>
      <c r="F450" s="25"/>
      <c r="G450" s="25"/>
      <c r="H450" s="25"/>
      <c r="I450" s="25"/>
      <c r="J450" s="37"/>
    </row>
    <row r="451" spans="1:15">
      <c r="A451" s="28" t="s">
        <v>80</v>
      </c>
      <c r="B451" s="38" t="s">
        <v>64</v>
      </c>
      <c r="C451" s="45">
        <v>8039273</v>
      </c>
      <c r="D451" s="54">
        <v>0</v>
      </c>
      <c r="E451" s="51"/>
      <c r="F451" s="51"/>
      <c r="G451" s="51"/>
      <c r="H451" s="53">
        <v>3000000</v>
      </c>
      <c r="I451" s="55">
        <v>224679</v>
      </c>
      <c r="J451" s="46">
        <f>+SUM(C451:G451)-(H451+I451)</f>
        <v>4814594</v>
      </c>
    </row>
    <row r="452" spans="1:15">
      <c r="A452" s="28" t="s">
        <v>80</v>
      </c>
      <c r="B452" s="38" t="s">
        <v>65</v>
      </c>
      <c r="C452" s="45">
        <v>13283340</v>
      </c>
      <c r="D452" s="51">
        <v>0</v>
      </c>
      <c r="E452" s="50"/>
      <c r="F452" s="50"/>
      <c r="G452" s="50"/>
      <c r="H452" s="33">
        <v>185100</v>
      </c>
      <c r="I452" s="52">
        <v>8352406</v>
      </c>
      <c r="J452" s="46">
        <f>SUM(C452:G452)-(H452+I452)</f>
        <v>4745834</v>
      </c>
    </row>
    <row r="453" spans="1:15">
      <c r="A453" s="157" t="s">
        <v>80</v>
      </c>
      <c r="B453" s="158" t="s">
        <v>83</v>
      </c>
      <c r="C453" s="45">
        <v>3721074</v>
      </c>
      <c r="D453" s="157"/>
      <c r="E453" s="157"/>
      <c r="F453" s="157"/>
      <c r="G453" s="157"/>
      <c r="H453" s="157"/>
      <c r="I453" s="157"/>
      <c r="J453" s="159">
        <f>SUM(C453:G453)-(H453+I453)</f>
        <v>3721074</v>
      </c>
    </row>
    <row r="454" spans="1:15">
      <c r="A454" s="157" t="s">
        <v>80</v>
      </c>
      <c r="B454" s="158" t="s">
        <v>84</v>
      </c>
      <c r="C454" s="45">
        <v>249769</v>
      </c>
      <c r="D454" s="51"/>
      <c r="E454" s="51"/>
      <c r="F454" s="51"/>
      <c r="G454" s="51"/>
      <c r="H454" s="33"/>
      <c r="I454" s="52"/>
      <c r="J454" s="159">
        <f>SUM(C454:G454)-(H454+I454)</f>
        <v>249769</v>
      </c>
    </row>
    <row r="455" spans="1:15">
      <c r="A455" s="157" t="s">
        <v>80</v>
      </c>
      <c r="B455" s="160" t="s">
        <v>85</v>
      </c>
      <c r="C455" s="45">
        <v>233614</v>
      </c>
      <c r="D455" s="51"/>
      <c r="E455" s="51"/>
      <c r="F455" s="51"/>
      <c r="G455" s="51"/>
      <c r="H455" s="33"/>
      <c r="I455" s="52"/>
      <c r="J455" s="159">
        <f>SUM(C455:G455)-(H455+I455)</f>
        <v>233614</v>
      </c>
    </row>
    <row r="456" spans="1:15">
      <c r="A456" s="157" t="s">
        <v>80</v>
      </c>
      <c r="B456" s="161" t="s">
        <v>86</v>
      </c>
      <c r="C456" s="45">
        <v>330169</v>
      </c>
      <c r="D456" s="157"/>
      <c r="E456" s="157"/>
      <c r="F456" s="157"/>
      <c r="G456" s="157"/>
      <c r="H456" s="157"/>
      <c r="I456" s="157"/>
      <c r="J456" s="159">
        <f>SUM(C456:G456)-(H456+I456)</f>
        <v>330169</v>
      </c>
    </row>
    <row r="457" spans="1:15" ht="15.75">
      <c r="C457" s="9"/>
      <c r="I457" s="9"/>
      <c r="J457" s="111">
        <f>+SUM(J437:J456)</f>
        <v>14369131</v>
      </c>
    </row>
    <row r="458" spans="1:15">
      <c r="C458" s="9"/>
      <c r="I458" s="9"/>
      <c r="J458" s="9"/>
    </row>
    <row r="459" spans="1:15" s="74" customFormat="1">
      <c r="A459" s="72" t="s">
        <v>66</v>
      </c>
      <c r="B459" s="72"/>
      <c r="C459" s="72"/>
      <c r="D459" s="72"/>
      <c r="E459" s="72"/>
      <c r="F459" s="72"/>
      <c r="G459" s="72"/>
      <c r="H459" s="72"/>
      <c r="I459" s="72"/>
      <c r="J459" s="73"/>
      <c r="L459" s="75"/>
      <c r="M459" s="75"/>
      <c r="N459" s="75"/>
      <c r="O459" s="75"/>
    </row>
    <row r="460" spans="1:15" s="74" customFormat="1">
      <c r="A460" s="76"/>
      <c r="B460" s="73"/>
      <c r="C460" s="77"/>
      <c r="D460" s="77"/>
      <c r="E460" s="77"/>
      <c r="F460" s="77"/>
      <c r="G460" s="77"/>
      <c r="H460" s="73"/>
      <c r="I460" s="73"/>
      <c r="J460" s="72"/>
      <c r="L460" s="75"/>
      <c r="M460" s="75"/>
      <c r="N460" s="75"/>
      <c r="O460" s="75"/>
    </row>
    <row r="461" spans="1:15" s="74" customFormat="1">
      <c r="A461" s="276" t="s">
        <v>54</v>
      </c>
      <c r="B461" s="278" t="s">
        <v>55</v>
      </c>
      <c r="C461" s="280" t="s">
        <v>68</v>
      </c>
      <c r="D461" s="299" t="s">
        <v>56</v>
      </c>
      <c r="E461" s="300"/>
      <c r="F461" s="300"/>
      <c r="G461" s="301"/>
      <c r="H461" s="302" t="s">
        <v>57</v>
      </c>
      <c r="I461" s="304" t="s">
        <v>58</v>
      </c>
      <c r="J461" s="73"/>
      <c r="L461" s="75"/>
      <c r="M461" s="75"/>
      <c r="N461" s="75"/>
      <c r="O461" s="75"/>
    </row>
    <row r="462" spans="1:15" s="74" customFormat="1">
      <c r="A462" s="277"/>
      <c r="B462" s="279"/>
      <c r="C462" s="281"/>
      <c r="D462" s="22" t="s">
        <v>24</v>
      </c>
      <c r="E462" s="22" t="s">
        <v>25</v>
      </c>
      <c r="F462" s="71" t="s">
        <v>70</v>
      </c>
      <c r="G462" s="22" t="s">
        <v>59</v>
      </c>
      <c r="H462" s="303"/>
      <c r="I462" s="305"/>
      <c r="J462" s="274" t="s">
        <v>69</v>
      </c>
      <c r="L462" s="75"/>
      <c r="M462" s="75"/>
      <c r="N462" s="75"/>
      <c r="O462" s="75"/>
    </row>
    <row r="463" spans="1:15" s="74" customFormat="1">
      <c r="A463" s="78"/>
      <c r="B463" s="79" t="s">
        <v>60</v>
      </c>
      <c r="C463" s="80"/>
      <c r="D463" s="80"/>
      <c r="E463" s="80"/>
      <c r="F463" s="80"/>
      <c r="G463" s="80"/>
      <c r="H463" s="80"/>
      <c r="I463" s="81"/>
      <c r="J463" s="275"/>
      <c r="L463" s="75"/>
      <c r="M463" s="75"/>
      <c r="N463" s="75"/>
      <c r="O463" s="75"/>
    </row>
    <row r="464" spans="1:15" s="74" customFormat="1" ht="16.5">
      <c r="A464" s="82" t="s">
        <v>67</v>
      </c>
      <c r="B464" s="8" t="s">
        <v>48</v>
      </c>
      <c r="C464" s="83">
        <v>40560</v>
      </c>
      <c r="D464" s="30"/>
      <c r="E464" s="30">
        <v>0</v>
      </c>
      <c r="F464" s="30"/>
      <c r="G464" s="30"/>
      <c r="H464" s="84"/>
      <c r="I464" s="85">
        <f>+SUM([1]COMPTA_CREPIN!$F$3050:$F$3066)</f>
        <v>21500</v>
      </c>
      <c r="J464" s="31">
        <f>+SUM(C464:G464)-(H464+I464)</f>
        <v>19060</v>
      </c>
      <c r="L464" s="75"/>
      <c r="M464" s="75"/>
      <c r="N464" s="75"/>
      <c r="O464" s="75"/>
    </row>
    <row r="465" spans="1:15" s="74" customFormat="1" ht="16.5">
      <c r="A465" s="82" t="s">
        <v>67</v>
      </c>
      <c r="B465" s="8" t="s">
        <v>28</v>
      </c>
      <c r="C465" s="83">
        <v>227975</v>
      </c>
      <c r="D465" s="30"/>
      <c r="E465" s="30">
        <f>+'[2]Compta Dalia (2)'!$E$1908+'[2]Compta Dalia (2)'!$E$1909+'[2]Compta Dalia (2)'!$E$1911+'[2]Compta Dalia (2)'!$E$1917</f>
        <v>119600</v>
      </c>
      <c r="F465" s="30"/>
      <c r="G465" s="30"/>
      <c r="H465" s="84">
        <f>+'[2]Compta Dalia (2)'!$F$1919</f>
        <v>1635</v>
      </c>
      <c r="I465" s="85">
        <v>345940</v>
      </c>
      <c r="J465" s="31">
        <f t="shared" ref="J465:J472" si="115">+SUM(C465:G465)-(H465+I465)</f>
        <v>0</v>
      </c>
      <c r="L465" s="75"/>
      <c r="M465" s="75"/>
      <c r="N465" s="75"/>
      <c r="O465" s="75"/>
    </row>
    <row r="466" spans="1:15" s="74" customFormat="1" ht="16.5">
      <c r="A466" s="82" t="s">
        <v>67</v>
      </c>
      <c r="B466" s="8" t="s">
        <v>31</v>
      </c>
      <c r="C466" s="83">
        <v>-605</v>
      </c>
      <c r="D466" s="30"/>
      <c r="E466" s="30">
        <f>+'[3]compta (3)'!$E$2556+'[3]compta (3)'!$E$2557+'[3]compta (3)'!$E$2558</f>
        <v>30000</v>
      </c>
      <c r="F466" s="30"/>
      <c r="G466" s="30"/>
      <c r="H466" s="86"/>
      <c r="I466" s="87">
        <f>'[3]compta (3)'!$F$2559</f>
        <v>21000</v>
      </c>
      <c r="J466" s="31">
        <f t="shared" si="115"/>
        <v>8395</v>
      </c>
      <c r="L466" s="75"/>
      <c r="M466" s="75"/>
      <c r="N466" s="75"/>
      <c r="O466" s="75"/>
    </row>
    <row r="467" spans="1:15" s="74" customFormat="1" ht="16.5">
      <c r="A467" s="82" t="s">
        <v>67</v>
      </c>
      <c r="B467" s="105" t="s">
        <v>26</v>
      </c>
      <c r="C467" s="83">
        <v>264659</v>
      </c>
      <c r="D467" s="106"/>
      <c r="E467" s="106">
        <f>+'[4]compta (2)'!$E$2521+'[4]compta (2)'!$E$2525+'[4]compta (2)'!$E$2527+'[4]compta (2)'!$E$2529</f>
        <v>325000</v>
      </c>
      <c r="F467" s="106"/>
      <c r="G467" s="106"/>
      <c r="H467" s="33">
        <f>'[4]compta (2)'!$F$2528+60000</f>
        <v>75000</v>
      </c>
      <c r="I467" s="33">
        <f>'[4]compta (2)'!$F$2522+'[4]compta (2)'!$F$2523+'[4]compta (2)'!$F$2524+'[4]compta (2)'!$F$2526+'[4]compta (2)'!$F$2530+'[4]compta (2)'!$F$2532+'[4]compta (2)'!$F$2533+'[4]compta (2)'!$F$2534</f>
        <v>507100</v>
      </c>
      <c r="J467" s="107">
        <f t="shared" si="115"/>
        <v>7559</v>
      </c>
      <c r="L467" s="75"/>
      <c r="M467" s="75"/>
      <c r="N467" s="75"/>
      <c r="O467" s="75"/>
    </row>
    <row r="468" spans="1:15" s="74" customFormat="1" ht="16.5">
      <c r="A468" s="82" t="s">
        <v>67</v>
      </c>
      <c r="B468" s="105" t="s">
        <v>49</v>
      </c>
      <c r="C468" s="83">
        <v>272500</v>
      </c>
      <c r="D468" s="106"/>
      <c r="E468" s="106">
        <f>+'[5]COMPTA_I23C (2)'!$E$4171+'[5]COMPTA_I23C (2)'!$E$4172+'[5]COMPTA_I23C (2)'!$E$4174+'[5]COMPTA_I23C (2)'!$E$4178+'[5]COMPTA_I23C (2)'!$E$4180+'[5]COMPTA_I23C (2)'!$E$4181</f>
        <v>695000</v>
      </c>
      <c r="F468" s="106"/>
      <c r="G468" s="106"/>
      <c r="H468" s="33"/>
      <c r="I468" s="83">
        <v>753500</v>
      </c>
      <c r="J468" s="107">
        <f t="shared" si="115"/>
        <v>214000</v>
      </c>
      <c r="L468" s="75"/>
      <c r="M468" s="75"/>
      <c r="N468" s="75"/>
      <c r="O468" s="75"/>
    </row>
    <row r="469" spans="1:15" s="74" customFormat="1" ht="16.5">
      <c r="A469" s="82" t="s">
        <v>67</v>
      </c>
      <c r="B469" s="8" t="s">
        <v>36</v>
      </c>
      <c r="C469" s="83">
        <v>284595</v>
      </c>
      <c r="D469" s="30"/>
      <c r="E469" s="30">
        <f>+'[6]Feuil1 (2)'!$E$2684+'[6]Feuil1 (2)'!$E$2689+'[6]Feuil1 (2)'!$E$2691</f>
        <v>275000</v>
      </c>
      <c r="F469" s="30">
        <f>'[4]compta (2)'!$F$2531</f>
        <v>60000</v>
      </c>
      <c r="G469" s="30"/>
      <c r="H469" s="86"/>
      <c r="I469" s="85">
        <v>633400</v>
      </c>
      <c r="J469" s="31">
        <f t="shared" si="115"/>
        <v>-13805</v>
      </c>
      <c r="L469" s="75"/>
      <c r="M469" s="75"/>
      <c r="N469" s="75"/>
      <c r="O469" s="75"/>
    </row>
    <row r="470" spans="1:15" s="74" customFormat="1" ht="16.5">
      <c r="A470" s="82" t="s">
        <v>67</v>
      </c>
      <c r="B470" s="8" t="s">
        <v>27</v>
      </c>
      <c r="C470" s="83">
        <v>-1750</v>
      </c>
      <c r="D470" s="30"/>
      <c r="E470" s="30">
        <f>+'[7]Compta Jospin (2)'!$E$1583+'[7]Compta Jospin (2)'!$E$1584+'[7]Compta Jospin (2)'!$E$1587</f>
        <v>96400</v>
      </c>
      <c r="F470" s="30"/>
      <c r="G470" s="30"/>
      <c r="H470" s="86">
        <f>+'[7]Compta Jospin (2)'!$F$1592</f>
        <v>950</v>
      </c>
      <c r="I470" s="85">
        <v>93700</v>
      </c>
      <c r="J470" s="31">
        <f t="shared" si="115"/>
        <v>0</v>
      </c>
      <c r="L470" s="75"/>
      <c r="M470" s="75"/>
      <c r="N470" s="75"/>
      <c r="O470" s="75"/>
    </row>
    <row r="471" spans="1:15" s="74" customFormat="1" ht="16.5">
      <c r="A471" s="82" t="s">
        <v>67</v>
      </c>
      <c r="B471" s="8" t="s">
        <v>29</v>
      </c>
      <c r="C471" s="83">
        <v>265600</v>
      </c>
      <c r="D471" s="30"/>
      <c r="E471" s="30">
        <f>+'[8]COMPT-P29 (2)'!$E$190+'[8]COMPT-P29 (2)'!$E$191+'[8]COMPT-P29 (2)'!$E$196+'[8]COMPT-P29 (2)'!$E$201+'[8]COMPT-P29 (2)'!$E$202+'[8]COMPT-P29 (2)'!$E$204+'[8]COMPT-P29 (2)'!$E$207+'[8]COMPT-P29 (2)'!$E$215</f>
        <v>855600</v>
      </c>
      <c r="F471" s="30"/>
      <c r="G471" s="30"/>
      <c r="H471" s="86"/>
      <c r="I471" s="85">
        <v>1036850</v>
      </c>
      <c r="J471" s="31">
        <f t="shared" si="115"/>
        <v>84350</v>
      </c>
      <c r="L471" s="75"/>
      <c r="M471" s="75"/>
      <c r="N471" s="75"/>
      <c r="O471" s="75"/>
    </row>
    <row r="472" spans="1:15" s="74" customFormat="1" ht="16.5">
      <c r="A472" s="82" t="s">
        <v>67</v>
      </c>
      <c r="B472" s="8" t="s">
        <v>50</v>
      </c>
      <c r="C472" s="83">
        <f t="shared" ref="C472" si="116">+C445</f>
        <v>-216251</v>
      </c>
      <c r="D472" s="30"/>
      <c r="E472" s="30">
        <v>0</v>
      </c>
      <c r="F472" s="30"/>
      <c r="G472" s="30"/>
      <c r="H472" s="86"/>
      <c r="I472" s="87">
        <v>0</v>
      </c>
      <c r="J472" s="31">
        <f t="shared" si="115"/>
        <v>-216251</v>
      </c>
      <c r="L472" s="75"/>
      <c r="M472" s="75"/>
      <c r="N472" s="75"/>
      <c r="O472" s="75"/>
    </row>
    <row r="473" spans="1:15" s="74" customFormat="1" ht="16.5">
      <c r="A473" s="82" t="s">
        <v>67</v>
      </c>
      <c r="B473" s="8" t="s">
        <v>33</v>
      </c>
      <c r="C473" s="83">
        <v>1025</v>
      </c>
      <c r="D473" s="30"/>
      <c r="E473" s="30">
        <f>+'[9]compta shely'!$E$90+'[9]compta shely'!$E$97+'[9]compta shely'!$E$100</f>
        <v>25000</v>
      </c>
      <c r="F473" s="30"/>
      <c r="G473" s="30"/>
      <c r="H473" s="86"/>
      <c r="I473" s="85">
        <v>24000</v>
      </c>
      <c r="J473" s="31">
        <f>+SUM(C473:G473)-(H473+I473)</f>
        <v>2025</v>
      </c>
      <c r="L473" s="75"/>
      <c r="M473" s="75"/>
      <c r="N473" s="75"/>
      <c r="O473" s="75"/>
    </row>
    <row r="474" spans="1:15" s="74" customFormat="1" ht="16.5">
      <c r="A474" s="32" t="s">
        <v>67</v>
      </c>
      <c r="B474" s="8" t="s">
        <v>32</v>
      </c>
      <c r="C474" s="83">
        <v>0</v>
      </c>
      <c r="D474" s="32"/>
      <c r="E474" s="32">
        <f>+'[10]compta ted'!$E$11</f>
        <v>10000</v>
      </c>
      <c r="F474" s="32"/>
      <c r="G474" s="32"/>
      <c r="H474" s="86"/>
      <c r="I474" s="85">
        <v>0</v>
      </c>
      <c r="J474" s="31">
        <f>+SUM(C474:G474)-(H474+I474)</f>
        <v>10000</v>
      </c>
      <c r="L474" s="75"/>
      <c r="M474" s="75"/>
      <c r="N474" s="75"/>
      <c r="O474" s="75"/>
    </row>
    <row r="475" spans="1:15" s="74" customFormat="1">
      <c r="A475" s="88" t="s">
        <v>61</v>
      </c>
      <c r="B475" s="89"/>
      <c r="C475" s="89"/>
      <c r="D475" s="89"/>
      <c r="E475" s="89"/>
      <c r="F475" s="89"/>
      <c r="G475" s="89"/>
      <c r="H475" s="89"/>
      <c r="I475" s="89"/>
      <c r="J475" s="90"/>
      <c r="L475" s="75"/>
      <c r="M475" s="75"/>
      <c r="N475" s="75"/>
      <c r="O475" s="75"/>
    </row>
    <row r="476" spans="1:15" s="74" customFormat="1">
      <c r="A476" s="32" t="s">
        <v>67</v>
      </c>
      <c r="B476" s="38" t="s">
        <v>62</v>
      </c>
      <c r="C476" s="39">
        <v>954796</v>
      </c>
      <c r="D476" s="30">
        <v>3000000</v>
      </c>
      <c r="E476" s="30"/>
      <c r="F476" s="30"/>
      <c r="G476" s="91">
        <v>17585</v>
      </c>
      <c r="H476" s="92">
        <v>2431600</v>
      </c>
      <c r="I476" s="93">
        <v>749106</v>
      </c>
      <c r="J476" s="94">
        <f>+SUM(C476:G476)-(H476+I476)</f>
        <v>791675</v>
      </c>
      <c r="L476" s="75"/>
      <c r="M476" s="75"/>
      <c r="N476" s="75"/>
      <c r="O476" s="75"/>
    </row>
    <row r="477" spans="1:15" s="74" customFormat="1">
      <c r="A477" s="95" t="s">
        <v>63</v>
      </c>
      <c r="B477" s="79"/>
      <c r="C477" s="89"/>
      <c r="D477" s="79"/>
      <c r="E477" s="79"/>
      <c r="F477" s="79"/>
      <c r="G477" s="79"/>
      <c r="H477" s="79"/>
      <c r="I477" s="79"/>
      <c r="J477" s="90"/>
      <c r="L477" s="75"/>
      <c r="M477" s="75"/>
      <c r="N477" s="75"/>
      <c r="O477" s="75"/>
    </row>
    <row r="478" spans="1:15" s="74" customFormat="1">
      <c r="A478" s="32" t="s">
        <v>67</v>
      </c>
      <c r="B478" s="38" t="s">
        <v>64</v>
      </c>
      <c r="C478" s="83">
        <v>705838</v>
      </c>
      <c r="D478" s="96">
        <v>10801800</v>
      </c>
      <c r="E478" s="97"/>
      <c r="F478" s="97"/>
      <c r="G478" s="97"/>
      <c r="H478" s="98">
        <v>3000000</v>
      </c>
      <c r="I478" s="99">
        <v>468365</v>
      </c>
      <c r="J478" s="31">
        <f>+SUM(C478:G478)-(H478+I478)</f>
        <v>8039273</v>
      </c>
      <c r="L478" s="75"/>
      <c r="M478" s="75"/>
      <c r="N478" s="75"/>
      <c r="O478" s="75"/>
    </row>
    <row r="479" spans="1:15" s="74" customFormat="1">
      <c r="A479" s="32" t="s">
        <v>67</v>
      </c>
      <c r="B479" s="38" t="s">
        <v>65</v>
      </c>
      <c r="C479" s="83">
        <v>14874402</v>
      </c>
      <c r="D479" s="97">
        <v>3279785</v>
      </c>
      <c r="E479" s="100"/>
      <c r="F479" s="100"/>
      <c r="G479" s="100"/>
      <c r="H479" s="101"/>
      <c r="I479" s="102">
        <v>4870847</v>
      </c>
      <c r="J479" s="31">
        <f>SUM(C479:G479)-(H479+I479)</f>
        <v>13283340</v>
      </c>
      <c r="L479" s="75"/>
      <c r="M479" s="75"/>
      <c r="N479" s="75"/>
      <c r="O479" s="75"/>
    </row>
    <row r="480" spans="1:15" s="74" customFormat="1">
      <c r="L480" s="75"/>
      <c r="M480" s="75"/>
      <c r="N480" s="75"/>
      <c r="O480" s="75"/>
    </row>
    <row r="481" spans="1:15" s="74" customFormat="1">
      <c r="C481" s="103">
        <f>+SUM(C464:C479)</f>
        <v>17673344</v>
      </c>
      <c r="I481" s="103">
        <f>SUM(I464:I479)</f>
        <v>9525308</v>
      </c>
      <c r="J481" s="103">
        <f>+SUM(J464:J479)</f>
        <v>22229621</v>
      </c>
      <c r="L481" s="75"/>
      <c r="M481" s="75"/>
      <c r="N481" s="75"/>
      <c r="O481" s="75"/>
    </row>
    <row r="482" spans="1:15">
      <c r="C482" s="9"/>
      <c r="I482" s="9"/>
      <c r="J482" s="9"/>
    </row>
    <row r="483" spans="1:15">
      <c r="A483" s="64" t="s">
        <v>71</v>
      </c>
      <c r="B483" s="64"/>
    </row>
    <row r="484" spans="1:15">
      <c r="A484" s="65" t="s">
        <v>72</v>
      </c>
      <c r="B484" s="65"/>
      <c r="C484" s="65"/>
      <c r="D484" s="65"/>
      <c r="E484" s="65"/>
      <c r="F484" s="65"/>
      <c r="G484" s="65"/>
      <c r="H484" s="65"/>
      <c r="I484" s="65"/>
      <c r="J484" s="65"/>
    </row>
    <row r="486" spans="1:15" ht="15" customHeight="1">
      <c r="A486" s="287" t="s">
        <v>54</v>
      </c>
      <c r="B486" s="287" t="s">
        <v>55</v>
      </c>
      <c r="C486" s="298" t="s">
        <v>74</v>
      </c>
      <c r="D486" s="293" t="s">
        <v>56</v>
      </c>
      <c r="E486" s="293"/>
      <c r="F486" s="293"/>
      <c r="G486" s="293"/>
      <c r="H486" s="294" t="s">
        <v>57</v>
      </c>
      <c r="I486" s="296" t="s">
        <v>58</v>
      </c>
      <c r="J486" s="289" t="s">
        <v>75</v>
      </c>
      <c r="K486" s="290"/>
    </row>
    <row r="487" spans="1:15" ht="28.5" customHeight="1">
      <c r="A487" s="288"/>
      <c r="B487" s="288"/>
      <c r="C487" s="288"/>
      <c r="D487" s="69" t="s">
        <v>24</v>
      </c>
      <c r="E487" s="66" t="s">
        <v>25</v>
      </c>
      <c r="F487" s="66" t="s">
        <v>27</v>
      </c>
      <c r="G487" s="66" t="s">
        <v>59</v>
      </c>
      <c r="H487" s="295"/>
      <c r="I487" s="297"/>
      <c r="J487" s="291"/>
      <c r="K487" s="292"/>
    </row>
    <row r="488" spans="1:15">
      <c r="A488" s="47"/>
      <c r="B488" s="47" t="s">
        <v>60</v>
      </c>
      <c r="C488" s="49"/>
      <c r="D488" s="49"/>
      <c r="E488" s="49"/>
      <c r="F488" s="49"/>
      <c r="G488" s="49"/>
      <c r="H488" s="49"/>
      <c r="I488" s="49"/>
      <c r="J488" s="49"/>
      <c r="K488" s="47"/>
    </row>
    <row r="489" spans="1:15">
      <c r="A489" s="47" t="s">
        <v>73</v>
      </c>
      <c r="B489" s="47" t="s">
        <v>48</v>
      </c>
      <c r="C489" s="49">
        <v>89360</v>
      </c>
      <c r="D489" s="49"/>
      <c r="E489" s="49">
        <v>13000</v>
      </c>
      <c r="F489" s="49"/>
      <c r="G489" s="49"/>
      <c r="H489" s="49"/>
      <c r="I489" s="49">
        <v>61800</v>
      </c>
      <c r="J489" s="49">
        <v>40560</v>
      </c>
      <c r="K489" s="47"/>
    </row>
    <row r="490" spans="1:15">
      <c r="A490" s="47" t="s">
        <v>73</v>
      </c>
      <c r="B490" s="47" t="s">
        <v>28</v>
      </c>
      <c r="C490" s="49">
        <v>-1025</v>
      </c>
      <c r="D490" s="49"/>
      <c r="E490" s="49">
        <v>684500</v>
      </c>
      <c r="F490" s="49"/>
      <c r="G490" s="49"/>
      <c r="H490" s="49"/>
      <c r="I490" s="49">
        <v>455500</v>
      </c>
      <c r="J490" s="49">
        <v>227975</v>
      </c>
      <c r="K490" s="47"/>
    </row>
    <row r="491" spans="1:15">
      <c r="A491" s="47" t="s">
        <v>73</v>
      </c>
      <c r="B491" s="47" t="s">
        <v>31</v>
      </c>
      <c r="C491" s="49">
        <v>14395</v>
      </c>
      <c r="D491" s="49"/>
      <c r="E491" s="49">
        <v>40000</v>
      </c>
      <c r="F491" s="49"/>
      <c r="G491" s="49"/>
      <c r="H491" s="49"/>
      <c r="I491" s="49">
        <v>55000</v>
      </c>
      <c r="J491" s="49">
        <v>-605</v>
      </c>
      <c r="K491" s="47"/>
    </row>
    <row r="492" spans="1:15">
      <c r="A492" s="47" t="s">
        <v>73</v>
      </c>
      <c r="B492" s="47" t="s">
        <v>26</v>
      </c>
      <c r="C492" s="49">
        <v>8559</v>
      </c>
      <c r="D492" s="49"/>
      <c r="E492" s="49">
        <v>428750</v>
      </c>
      <c r="F492" s="49">
        <v>280200</v>
      </c>
      <c r="G492" s="49"/>
      <c r="H492" s="49"/>
      <c r="I492" s="49">
        <v>452850</v>
      </c>
      <c r="J492" s="49">
        <v>264659</v>
      </c>
      <c r="K492" s="47"/>
    </row>
    <row r="493" spans="1:15">
      <c r="A493" s="47" t="s">
        <v>73</v>
      </c>
      <c r="B493" s="47" t="s">
        <v>49</v>
      </c>
      <c r="C493" s="49">
        <v>-5750</v>
      </c>
      <c r="D493" s="49"/>
      <c r="E493" s="49">
        <v>1161750</v>
      </c>
      <c r="F493" s="49"/>
      <c r="G493" s="49"/>
      <c r="H493" s="49">
        <v>124000</v>
      </c>
      <c r="I493" s="49">
        <v>759500</v>
      </c>
      <c r="J493" s="49">
        <v>272500</v>
      </c>
      <c r="K493" s="47"/>
    </row>
    <row r="494" spans="1:15">
      <c r="A494" s="47" t="s">
        <v>73</v>
      </c>
      <c r="B494" s="47" t="s">
        <v>36</v>
      </c>
      <c r="C494" s="49">
        <v>12995</v>
      </c>
      <c r="D494" s="49"/>
      <c r="E494" s="49">
        <v>726000</v>
      </c>
      <c r="F494" s="49"/>
      <c r="G494" s="49"/>
      <c r="H494" s="49"/>
      <c r="I494" s="49">
        <v>454400</v>
      </c>
      <c r="J494" s="49">
        <v>284595</v>
      </c>
      <c r="K494" s="47"/>
    </row>
    <row r="495" spans="1:15">
      <c r="A495" s="47" t="s">
        <v>73</v>
      </c>
      <c r="B495" s="47" t="s">
        <v>27</v>
      </c>
      <c r="C495" s="49">
        <v>6050</v>
      </c>
      <c r="D495" s="49"/>
      <c r="E495" s="49">
        <v>736300</v>
      </c>
      <c r="F495" s="49"/>
      <c r="G495" s="49"/>
      <c r="H495" s="49">
        <v>405200</v>
      </c>
      <c r="I495" s="49">
        <v>338900</v>
      </c>
      <c r="J495" s="49">
        <v>-1750</v>
      </c>
      <c r="K495" s="47"/>
    </row>
    <row r="496" spans="1:15">
      <c r="A496" s="47" t="s">
        <v>73</v>
      </c>
      <c r="B496" s="47" t="s">
        <v>29</v>
      </c>
      <c r="C496" s="49">
        <v>142400</v>
      </c>
      <c r="D496" s="49"/>
      <c r="E496" s="49">
        <v>1014000</v>
      </c>
      <c r="F496" s="49"/>
      <c r="G496" s="49"/>
      <c r="H496" s="49">
        <v>100000</v>
      </c>
      <c r="I496" s="49">
        <v>790800</v>
      </c>
      <c r="J496" s="49">
        <v>265600</v>
      </c>
      <c r="K496" s="47"/>
    </row>
    <row r="497" spans="1:11">
      <c r="A497" s="47" t="s">
        <v>73</v>
      </c>
      <c r="B497" s="47" t="s">
        <v>50</v>
      </c>
      <c r="C497" s="49">
        <v>-221251.00072999997</v>
      </c>
      <c r="D497" s="49"/>
      <c r="E497" s="49">
        <v>485000</v>
      </c>
      <c r="F497" s="49"/>
      <c r="G497" s="49"/>
      <c r="H497" s="49">
        <v>5000</v>
      </c>
      <c r="I497" s="49">
        <v>475000</v>
      </c>
      <c r="J497" s="49">
        <v>-216251.00072999997</v>
      </c>
      <c r="K497" s="47"/>
    </row>
    <row r="498" spans="1:11">
      <c r="A498" s="47" t="s">
        <v>73</v>
      </c>
      <c r="B498" s="47" t="s">
        <v>33</v>
      </c>
      <c r="C498" s="49">
        <v>14225</v>
      </c>
      <c r="D498" s="49"/>
      <c r="E498" s="49">
        <v>30000</v>
      </c>
      <c r="F498" s="49"/>
      <c r="G498" s="49"/>
      <c r="H498" s="49"/>
      <c r="I498" s="49">
        <v>43200</v>
      </c>
      <c r="J498" s="49">
        <v>1025</v>
      </c>
      <c r="K498" s="47"/>
    </row>
    <row r="499" spans="1:11">
      <c r="A499" s="67" t="s">
        <v>61</v>
      </c>
      <c r="B499" s="67"/>
      <c r="C499" s="68"/>
      <c r="D499" s="68"/>
      <c r="E499" s="68"/>
      <c r="F499" s="68"/>
      <c r="G499" s="68"/>
      <c r="H499" s="68"/>
      <c r="I499" s="68"/>
      <c r="J499" s="68"/>
      <c r="K499" s="67"/>
    </row>
    <row r="500" spans="1:11">
      <c r="A500" s="47" t="s">
        <v>73</v>
      </c>
      <c r="B500" s="47" t="s">
        <v>62</v>
      </c>
      <c r="C500" s="49">
        <v>494738</v>
      </c>
      <c r="D500" s="49">
        <v>6000000</v>
      </c>
      <c r="E500" s="49"/>
      <c r="F500" s="49"/>
      <c r="G500" s="49">
        <v>105000</v>
      </c>
      <c r="H500" s="49">
        <v>5070300</v>
      </c>
      <c r="I500" s="49">
        <v>574642</v>
      </c>
      <c r="J500" s="49">
        <v>954796</v>
      </c>
      <c r="K500" s="47"/>
    </row>
    <row r="501" spans="1:11">
      <c r="A501" s="67" t="s">
        <v>63</v>
      </c>
      <c r="B501" s="67"/>
      <c r="C501" s="68"/>
      <c r="D501" s="68"/>
      <c r="E501" s="68"/>
      <c r="F501" s="68"/>
      <c r="G501" s="68"/>
      <c r="H501" s="68"/>
      <c r="I501" s="68"/>
      <c r="J501" s="68"/>
      <c r="K501" s="67"/>
    </row>
    <row r="502" spans="1:11">
      <c r="A502" s="47" t="s">
        <v>73</v>
      </c>
      <c r="B502" s="47" t="s">
        <v>64</v>
      </c>
      <c r="C502" s="49">
        <v>11363703</v>
      </c>
      <c r="D502" s="49"/>
      <c r="E502" s="49"/>
      <c r="F502" s="49"/>
      <c r="G502" s="49"/>
      <c r="H502" s="49">
        <v>10000000</v>
      </c>
      <c r="I502" s="49">
        <v>657865</v>
      </c>
      <c r="J502" s="49">
        <v>705838</v>
      </c>
      <c r="K502" s="47"/>
    </row>
    <row r="503" spans="1:11">
      <c r="A503" s="47" t="s">
        <v>73</v>
      </c>
      <c r="B503" s="47" t="s">
        <v>65</v>
      </c>
      <c r="C503" s="49">
        <v>4902843</v>
      </c>
      <c r="D503" s="49">
        <v>17119140</v>
      </c>
      <c r="E503" s="49"/>
      <c r="F503" s="49"/>
      <c r="G503" s="49"/>
      <c r="H503" s="49"/>
      <c r="I503" s="49">
        <v>7147581</v>
      </c>
      <c r="J503" s="49">
        <v>14874402</v>
      </c>
      <c r="K503" s="47"/>
    </row>
    <row r="504" spans="1:11">
      <c r="A504" s="47"/>
      <c r="B504" s="47"/>
      <c r="C504" s="49"/>
      <c r="D504" s="49"/>
      <c r="E504" s="49"/>
      <c r="F504" s="49"/>
      <c r="G504" s="49"/>
      <c r="H504" s="49"/>
      <c r="I504" s="49"/>
      <c r="J504" s="49"/>
      <c r="K504" s="47"/>
    </row>
    <row r="505" spans="1:11">
      <c r="A505" s="47"/>
      <c r="B505" s="47"/>
      <c r="C505" s="49"/>
      <c r="D505" s="49"/>
      <c r="E505" s="49"/>
      <c r="F505" s="49"/>
      <c r="G505" s="49"/>
      <c r="H505" s="49"/>
      <c r="I505" s="49">
        <v>12267038</v>
      </c>
      <c r="J505" s="49">
        <v>17673343.99927</v>
      </c>
      <c r="K505" s="47" t="b">
        <v>1</v>
      </c>
    </row>
    <row r="506" spans="1:11">
      <c r="J506" s="70" t="b">
        <f>J505=[11]TABLEAU!$I$16</f>
        <v>1</v>
      </c>
    </row>
  </sheetData>
  <mergeCells count="126">
    <mergeCell ref="A25:A26"/>
    <mergeCell ref="B25:B26"/>
    <mergeCell ref="C25:C26"/>
    <mergeCell ref="D25:G25"/>
    <mergeCell ref="H25:H26"/>
    <mergeCell ref="I25:I26"/>
    <mergeCell ref="J26:J27"/>
    <mergeCell ref="A73:A74"/>
    <mergeCell ref="B73:B74"/>
    <mergeCell ref="C73:C74"/>
    <mergeCell ref="D73:G73"/>
    <mergeCell ref="H73:H74"/>
    <mergeCell ref="I73:I74"/>
    <mergeCell ref="J74:J75"/>
    <mergeCell ref="I123:I124"/>
    <mergeCell ref="J124:J125"/>
    <mergeCell ref="A123:A124"/>
    <mergeCell ref="B123:B124"/>
    <mergeCell ref="C123:C124"/>
    <mergeCell ref="D123:G123"/>
    <mergeCell ref="H123:H124"/>
    <mergeCell ref="I146:I147"/>
    <mergeCell ref="J147:J148"/>
    <mergeCell ref="A146:A147"/>
    <mergeCell ref="B146:B147"/>
    <mergeCell ref="C146:C147"/>
    <mergeCell ref="D146:G146"/>
    <mergeCell ref="H146:H147"/>
    <mergeCell ref="B219:B220"/>
    <mergeCell ref="C219:C220"/>
    <mergeCell ref="D219:G219"/>
    <mergeCell ref="H219:H220"/>
    <mergeCell ref="I194:I195"/>
    <mergeCell ref="J195:J196"/>
    <mergeCell ref="A194:A195"/>
    <mergeCell ref="B194:B195"/>
    <mergeCell ref="C194:C195"/>
    <mergeCell ref="D194:G194"/>
    <mergeCell ref="H194:H195"/>
    <mergeCell ref="I298:I299"/>
    <mergeCell ref="J299:J300"/>
    <mergeCell ref="A298:A299"/>
    <mergeCell ref="B298:B299"/>
    <mergeCell ref="C298:C299"/>
    <mergeCell ref="D298:G298"/>
    <mergeCell ref="H298:H299"/>
    <mergeCell ref="I271:I272"/>
    <mergeCell ref="J272:J273"/>
    <mergeCell ref="A271:A272"/>
    <mergeCell ref="B271:B272"/>
    <mergeCell ref="C271:C272"/>
    <mergeCell ref="D271:G271"/>
    <mergeCell ref="H271:H272"/>
    <mergeCell ref="I407:I408"/>
    <mergeCell ref="J408:J409"/>
    <mergeCell ref="A407:A408"/>
    <mergeCell ref="B407:B408"/>
    <mergeCell ref="C407:C408"/>
    <mergeCell ref="D407:G407"/>
    <mergeCell ref="H407:H408"/>
    <mergeCell ref="A461:A462"/>
    <mergeCell ref="D461:G461"/>
    <mergeCell ref="H461:H462"/>
    <mergeCell ref="J462:J463"/>
    <mergeCell ref="I461:I462"/>
    <mergeCell ref="A486:A487"/>
    <mergeCell ref="J435:J436"/>
    <mergeCell ref="A434:A435"/>
    <mergeCell ref="B434:B435"/>
    <mergeCell ref="C434:C435"/>
    <mergeCell ref="D434:G434"/>
    <mergeCell ref="H434:H435"/>
    <mergeCell ref="I434:I435"/>
    <mergeCell ref="B486:B487"/>
    <mergeCell ref="J486:K487"/>
    <mergeCell ref="D486:G486"/>
    <mergeCell ref="H486:H487"/>
    <mergeCell ref="I486:I487"/>
    <mergeCell ref="C486:C487"/>
    <mergeCell ref="B461:B462"/>
    <mergeCell ref="C461:C462"/>
    <mergeCell ref="I381:I382"/>
    <mergeCell ref="J382:J383"/>
    <mergeCell ref="A381:A382"/>
    <mergeCell ref="B381:B382"/>
    <mergeCell ref="C381:C382"/>
    <mergeCell ref="D381:G381"/>
    <mergeCell ref="H381:H382"/>
    <mergeCell ref="I326:I327"/>
    <mergeCell ref="J327:J328"/>
    <mergeCell ref="A326:A327"/>
    <mergeCell ref="B326:B327"/>
    <mergeCell ref="C326:C327"/>
    <mergeCell ref="D326:G326"/>
    <mergeCell ref="H326:H327"/>
    <mergeCell ref="I354:I355"/>
    <mergeCell ref="J355:J356"/>
    <mergeCell ref="A354:A355"/>
    <mergeCell ref="B354:B355"/>
    <mergeCell ref="C354:C355"/>
    <mergeCell ref="D354:G354"/>
    <mergeCell ref="H354:H355"/>
    <mergeCell ref="I245:I246"/>
    <mergeCell ref="J246:J247"/>
    <mergeCell ref="A245:A246"/>
    <mergeCell ref="B245:B246"/>
    <mergeCell ref="C245:C246"/>
    <mergeCell ref="D245:G245"/>
    <mergeCell ref="H245:H246"/>
    <mergeCell ref="A98:A99"/>
    <mergeCell ref="B98:B99"/>
    <mergeCell ref="C98:C99"/>
    <mergeCell ref="D98:G98"/>
    <mergeCell ref="H98:H99"/>
    <mergeCell ref="I98:I99"/>
    <mergeCell ref="J99:J100"/>
    <mergeCell ref="I170:I171"/>
    <mergeCell ref="J171:J172"/>
    <mergeCell ref="A170:A171"/>
    <mergeCell ref="B170:B171"/>
    <mergeCell ref="C170:C171"/>
    <mergeCell ref="D170:G170"/>
    <mergeCell ref="H170:H171"/>
    <mergeCell ref="I219:I220"/>
    <mergeCell ref="J220:J221"/>
    <mergeCell ref="A219:A2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S21"/>
  <sheetViews>
    <sheetView workbookViewId="0">
      <pane xSplit="1" topLeftCell="AJ1" activePane="topRight" state="frozen"/>
      <selection pane="topRight" activeCell="AQ7" sqref="AQ7"/>
    </sheetView>
  </sheetViews>
  <sheetFormatPr baseColWidth="10" defaultRowHeight="15"/>
  <cols>
    <col min="1" max="1" width="21.140625" customWidth="1"/>
    <col min="2" max="2" width="23.85546875" bestFit="1" customWidth="1"/>
    <col min="3" max="3" width="19.140625" customWidth="1"/>
    <col min="4" max="4" width="16.140625" customWidth="1"/>
    <col min="5" max="5" width="19.140625" customWidth="1"/>
    <col min="6" max="6" width="16.140625" customWidth="1"/>
    <col min="7" max="7" width="19.140625" customWidth="1"/>
    <col min="8" max="8" width="16.140625" customWidth="1"/>
    <col min="9" max="9" width="19.140625" customWidth="1"/>
    <col min="10" max="10" width="16.140625" customWidth="1"/>
    <col min="11" max="11" width="19.140625" customWidth="1"/>
    <col min="12" max="12" width="16.140625" customWidth="1"/>
    <col min="13" max="13" width="19.140625" customWidth="1"/>
    <col min="14" max="14" width="16.140625" customWidth="1"/>
    <col min="15" max="15" width="19.140625" customWidth="1"/>
    <col min="16" max="16" width="16.140625" customWidth="1"/>
    <col min="17" max="17" width="19.140625" customWidth="1"/>
    <col min="18" max="18" width="16.140625" customWidth="1"/>
    <col min="19" max="19" width="19.140625" customWidth="1"/>
    <col min="20" max="20" width="16.140625" customWidth="1"/>
    <col min="21" max="21" width="19.140625" customWidth="1"/>
    <col min="22" max="22" width="16.140625" customWidth="1"/>
    <col min="23" max="23" width="19.140625" customWidth="1"/>
    <col min="24" max="24" width="16.140625" customWidth="1"/>
    <col min="25" max="25" width="19.140625" customWidth="1"/>
    <col min="26" max="26" width="17.5703125" bestFit="1" customWidth="1"/>
    <col min="27" max="27" width="19.140625" customWidth="1"/>
    <col min="28" max="28" width="16.140625" customWidth="1"/>
    <col min="29" max="29" width="19.140625" customWidth="1"/>
    <col min="30" max="30" width="16.140625" customWidth="1"/>
    <col min="31" max="31" width="19.140625" customWidth="1"/>
    <col min="32" max="32" width="16.140625" customWidth="1"/>
    <col min="33" max="33" width="19.140625" customWidth="1"/>
    <col min="34" max="34" width="16.140625" customWidth="1"/>
    <col min="35" max="35" width="19.140625" customWidth="1"/>
    <col min="36" max="36" width="16.140625" customWidth="1"/>
    <col min="37" max="37" width="19.140625" customWidth="1"/>
    <col min="38" max="38" width="21" customWidth="1"/>
    <col min="39" max="39" width="24.140625" customWidth="1"/>
    <col min="41" max="41" width="18.7109375" customWidth="1"/>
    <col min="42" max="42" width="16.85546875" customWidth="1"/>
  </cols>
  <sheetData>
    <row r="3" spans="1:45">
      <c r="B3" s="1" t="s">
        <v>131</v>
      </c>
    </row>
    <row r="4" spans="1:45">
      <c r="B4" t="s">
        <v>167</v>
      </c>
      <c r="D4" t="s">
        <v>271</v>
      </c>
      <c r="F4" t="s">
        <v>178</v>
      </c>
      <c r="H4" t="s">
        <v>140</v>
      </c>
      <c r="J4" t="s">
        <v>146</v>
      </c>
      <c r="L4" t="s">
        <v>145</v>
      </c>
      <c r="N4" t="s">
        <v>35</v>
      </c>
      <c r="P4" t="s">
        <v>192</v>
      </c>
      <c r="R4" t="s">
        <v>3</v>
      </c>
      <c r="T4" t="s">
        <v>218</v>
      </c>
      <c r="V4" t="s">
        <v>285</v>
      </c>
      <c r="X4" t="s">
        <v>34</v>
      </c>
      <c r="Z4" t="s">
        <v>159</v>
      </c>
      <c r="AB4" t="s">
        <v>177</v>
      </c>
      <c r="AD4" t="s">
        <v>76</v>
      </c>
      <c r="AF4" t="s">
        <v>373</v>
      </c>
      <c r="AH4" t="s">
        <v>505</v>
      </c>
      <c r="AJ4" t="s">
        <v>628</v>
      </c>
      <c r="AL4" t="s">
        <v>139</v>
      </c>
      <c r="AM4" t="s">
        <v>137</v>
      </c>
    </row>
    <row r="5" spans="1:45">
      <c r="A5" s="1" t="s">
        <v>129</v>
      </c>
      <c r="B5" t="s">
        <v>136</v>
      </c>
      <c r="C5" t="s">
        <v>138</v>
      </c>
      <c r="D5" t="s">
        <v>136</v>
      </c>
      <c r="E5" t="s">
        <v>138</v>
      </c>
      <c r="F5" t="s">
        <v>136</v>
      </c>
      <c r="G5" t="s">
        <v>138</v>
      </c>
      <c r="H5" t="s">
        <v>136</v>
      </c>
      <c r="I5" t="s">
        <v>138</v>
      </c>
      <c r="J5" t="s">
        <v>136</v>
      </c>
      <c r="K5" t="s">
        <v>138</v>
      </c>
      <c r="L5" t="s">
        <v>136</v>
      </c>
      <c r="M5" t="s">
        <v>138</v>
      </c>
      <c r="N5" t="s">
        <v>136</v>
      </c>
      <c r="O5" t="s">
        <v>138</v>
      </c>
      <c r="P5" t="s">
        <v>136</v>
      </c>
      <c r="Q5" t="s">
        <v>138</v>
      </c>
      <c r="R5" t="s">
        <v>136</v>
      </c>
      <c r="S5" t="s">
        <v>138</v>
      </c>
      <c r="T5" t="s">
        <v>136</v>
      </c>
      <c r="U5" t="s">
        <v>138</v>
      </c>
      <c r="V5" t="s">
        <v>136</v>
      </c>
      <c r="W5" t="s">
        <v>138</v>
      </c>
      <c r="X5" t="s">
        <v>136</v>
      </c>
      <c r="Y5" t="s">
        <v>138</v>
      </c>
      <c r="Z5" t="s">
        <v>136</v>
      </c>
      <c r="AA5" t="s">
        <v>138</v>
      </c>
      <c r="AB5" t="s">
        <v>136</v>
      </c>
      <c r="AC5" t="s">
        <v>138</v>
      </c>
      <c r="AD5" t="s">
        <v>136</v>
      </c>
      <c r="AE5" t="s">
        <v>138</v>
      </c>
      <c r="AF5" t="s">
        <v>136</v>
      </c>
      <c r="AG5" t="s">
        <v>138</v>
      </c>
      <c r="AH5" t="s">
        <v>136</v>
      </c>
      <c r="AI5" t="s">
        <v>138</v>
      </c>
      <c r="AJ5" t="s">
        <v>136</v>
      </c>
      <c r="AK5" t="s">
        <v>138</v>
      </c>
    </row>
    <row r="6" spans="1:45">
      <c r="A6" s="2" t="s">
        <v>165</v>
      </c>
      <c r="B6" s="169">
        <v>100000</v>
      </c>
      <c r="C6" s="169"/>
      <c r="D6" s="169"/>
      <c r="E6" s="169"/>
      <c r="F6" s="169"/>
      <c r="G6" s="169"/>
      <c r="H6" s="169"/>
      <c r="I6" s="169"/>
      <c r="J6" s="169">
        <v>27000</v>
      </c>
      <c r="K6" s="169"/>
      <c r="L6" s="169"/>
      <c r="M6" s="169"/>
      <c r="N6" s="169">
        <v>650</v>
      </c>
      <c r="O6" s="169"/>
      <c r="P6" s="169"/>
      <c r="Q6" s="169"/>
      <c r="R6" s="169"/>
      <c r="S6" s="169"/>
      <c r="T6" s="169"/>
      <c r="U6" s="169"/>
      <c r="V6" s="169"/>
      <c r="W6" s="169"/>
      <c r="X6" s="169">
        <v>620100</v>
      </c>
      <c r="Y6" s="169"/>
      <c r="Z6" s="169">
        <v>261000</v>
      </c>
      <c r="AA6" s="169"/>
      <c r="AB6" s="169"/>
      <c r="AC6" s="169"/>
      <c r="AD6" s="169">
        <v>145357</v>
      </c>
      <c r="AE6" s="169">
        <v>1125000</v>
      </c>
      <c r="AF6" s="169"/>
      <c r="AG6" s="169"/>
      <c r="AH6" s="169"/>
      <c r="AI6" s="169"/>
      <c r="AJ6" s="169"/>
      <c r="AK6" s="169"/>
      <c r="AL6" s="169">
        <v>1154107</v>
      </c>
      <c r="AM6" s="169">
        <v>1125000</v>
      </c>
      <c r="AO6" s="47"/>
      <c r="AP6" s="47" t="s">
        <v>43</v>
      </c>
      <c r="AQ6" s="47" t="s">
        <v>44</v>
      </c>
      <c r="AR6" s="47" t="s">
        <v>45</v>
      </c>
      <c r="AS6" s="47" t="s">
        <v>46</v>
      </c>
    </row>
    <row r="7" spans="1:45">
      <c r="A7" s="2" t="s">
        <v>176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>
        <v>116000</v>
      </c>
      <c r="Y7" s="169"/>
      <c r="Z7" s="169">
        <v>261000</v>
      </c>
      <c r="AA7" s="169"/>
      <c r="AB7" s="169">
        <v>43500</v>
      </c>
      <c r="AC7" s="169"/>
      <c r="AD7" s="169"/>
      <c r="AE7" s="169">
        <v>426000</v>
      </c>
      <c r="AF7" s="169"/>
      <c r="AG7" s="169"/>
      <c r="AH7" s="169"/>
      <c r="AI7" s="169"/>
      <c r="AJ7" s="169"/>
      <c r="AK7" s="169"/>
      <c r="AL7" s="169">
        <v>420500</v>
      </c>
      <c r="AM7" s="169">
        <v>426000</v>
      </c>
      <c r="AO7" s="47" t="str">
        <f>+A6</f>
        <v>Axel</v>
      </c>
      <c r="AP7" s="49">
        <f>AM6</f>
        <v>1125000</v>
      </c>
      <c r="AQ7" s="49">
        <f>+AD6</f>
        <v>145357</v>
      </c>
      <c r="AR7" s="49">
        <f>AL6-AQ7</f>
        <v>1008750</v>
      </c>
      <c r="AS7" s="49">
        <v>0</v>
      </c>
    </row>
    <row r="8" spans="1:45">
      <c r="A8" s="2" t="s">
        <v>24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>
        <v>260000</v>
      </c>
      <c r="S8" s="169"/>
      <c r="T8" s="169"/>
      <c r="U8" s="169"/>
      <c r="V8" s="169">
        <v>23345</v>
      </c>
      <c r="W8" s="169"/>
      <c r="X8" s="169"/>
      <c r="Y8" s="169"/>
      <c r="Z8" s="169"/>
      <c r="AA8" s="169"/>
      <c r="AB8" s="169"/>
      <c r="AC8" s="169"/>
      <c r="AD8" s="169">
        <v>2000000</v>
      </c>
      <c r="AE8" s="169"/>
      <c r="AF8" s="169"/>
      <c r="AG8" s="169"/>
      <c r="AH8" s="169"/>
      <c r="AI8" s="169"/>
      <c r="AJ8" s="169"/>
      <c r="AK8" s="169"/>
      <c r="AL8" s="169">
        <v>2283345</v>
      </c>
      <c r="AM8" s="169"/>
      <c r="AO8" s="47" t="str">
        <f t="shared" ref="AO8:AO18" si="0">+A7</f>
        <v>B52</v>
      </c>
      <c r="AP8" s="49">
        <f t="shared" ref="AP8:AP18" si="1">AM7</f>
        <v>426000</v>
      </c>
      <c r="AQ8" s="49">
        <f t="shared" ref="AQ8:AQ17" si="2">+AD7</f>
        <v>0</v>
      </c>
      <c r="AR8" s="49">
        <f t="shared" ref="AR8:AR18" si="3">AL7-AQ8</f>
        <v>420500</v>
      </c>
      <c r="AS8" s="49">
        <v>0</v>
      </c>
    </row>
    <row r="9" spans="1:45">
      <c r="A9" s="2" t="s">
        <v>160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>
        <v>850000</v>
      </c>
      <c r="M9" s="169"/>
      <c r="N9" s="169"/>
      <c r="O9" s="169"/>
      <c r="P9" s="169">
        <v>2380891</v>
      </c>
      <c r="Q9" s="169"/>
      <c r="R9" s="169"/>
      <c r="S9" s="169"/>
      <c r="T9" s="169"/>
      <c r="U9" s="169"/>
      <c r="V9" s="169">
        <v>14701</v>
      </c>
      <c r="W9" s="169"/>
      <c r="X9" s="169"/>
      <c r="Y9" s="169"/>
      <c r="Z9" s="169"/>
      <c r="AA9" s="169"/>
      <c r="AB9" s="169"/>
      <c r="AC9" s="169"/>
      <c r="AD9" s="169">
        <v>8000000</v>
      </c>
      <c r="AE9" s="169"/>
      <c r="AF9" s="169"/>
      <c r="AG9" s="169"/>
      <c r="AH9" s="169"/>
      <c r="AI9" s="169"/>
      <c r="AJ9" s="169"/>
      <c r="AK9" s="169"/>
      <c r="AL9" s="169">
        <v>11245592</v>
      </c>
      <c r="AM9" s="169"/>
      <c r="AO9" s="47" t="str">
        <f t="shared" si="0"/>
        <v>BCI</v>
      </c>
      <c r="AP9" s="49">
        <f t="shared" si="1"/>
        <v>0</v>
      </c>
      <c r="AQ9" s="49">
        <f t="shared" si="2"/>
        <v>2000000</v>
      </c>
      <c r="AR9" s="49">
        <f t="shared" si="3"/>
        <v>283345</v>
      </c>
      <c r="AS9" s="49">
        <v>0</v>
      </c>
    </row>
    <row r="10" spans="1:45">
      <c r="A10" s="2" t="s">
        <v>25</v>
      </c>
      <c r="B10" s="169">
        <v>1317000</v>
      </c>
      <c r="C10" s="169"/>
      <c r="D10" s="169">
        <v>175000</v>
      </c>
      <c r="E10" s="169"/>
      <c r="F10" s="169">
        <v>314000</v>
      </c>
      <c r="G10" s="169"/>
      <c r="H10" s="169">
        <v>89175</v>
      </c>
      <c r="I10" s="169"/>
      <c r="J10" s="169"/>
      <c r="K10" s="169"/>
      <c r="L10" s="169"/>
      <c r="M10" s="169"/>
      <c r="N10" s="169">
        <v>111750</v>
      </c>
      <c r="O10" s="169"/>
      <c r="P10" s="169">
        <v>877665</v>
      </c>
      <c r="Q10" s="169"/>
      <c r="R10" s="169">
        <v>134625</v>
      </c>
      <c r="S10" s="169"/>
      <c r="T10" s="169">
        <v>160000</v>
      </c>
      <c r="U10" s="169"/>
      <c r="V10" s="169">
        <v>52541</v>
      </c>
      <c r="W10" s="169"/>
      <c r="X10" s="169">
        <v>245000</v>
      </c>
      <c r="Y10" s="169"/>
      <c r="Z10" s="169">
        <v>70000</v>
      </c>
      <c r="AA10" s="169"/>
      <c r="AB10" s="169">
        <v>23300</v>
      </c>
      <c r="AC10" s="169"/>
      <c r="AD10" s="169">
        <v>6750500</v>
      </c>
      <c r="AE10" s="169">
        <v>10580357</v>
      </c>
      <c r="AF10" s="169"/>
      <c r="AG10" s="169"/>
      <c r="AH10" s="169">
        <v>105900</v>
      </c>
      <c r="AI10" s="169"/>
      <c r="AJ10" s="169">
        <v>37750</v>
      </c>
      <c r="AK10" s="169"/>
      <c r="AL10" s="169">
        <v>10464206</v>
      </c>
      <c r="AM10" s="169">
        <v>10580357</v>
      </c>
      <c r="AO10" s="47" t="str">
        <f t="shared" si="0"/>
        <v>BCI-Sous Compte</v>
      </c>
      <c r="AP10" s="49">
        <f t="shared" si="1"/>
        <v>0</v>
      </c>
      <c r="AQ10" s="49">
        <f t="shared" si="2"/>
        <v>8000000</v>
      </c>
      <c r="AR10" s="49">
        <f t="shared" si="3"/>
        <v>3245592</v>
      </c>
      <c r="AS10" s="49">
        <v>0</v>
      </c>
    </row>
    <row r="11" spans="1:45">
      <c r="A11" s="2" t="s">
        <v>48</v>
      </c>
      <c r="B11" s="169">
        <v>480000</v>
      </c>
      <c r="C11" s="169"/>
      <c r="D11" s="169"/>
      <c r="E11" s="169"/>
      <c r="F11" s="169">
        <v>200000</v>
      </c>
      <c r="G11" s="169"/>
      <c r="H11" s="169"/>
      <c r="I11" s="169"/>
      <c r="J11" s="169">
        <v>82200</v>
      </c>
      <c r="K11" s="169"/>
      <c r="L11" s="169"/>
      <c r="M11" s="169"/>
      <c r="N11" s="169">
        <v>74050</v>
      </c>
      <c r="O11" s="169"/>
      <c r="P11" s="169">
        <v>11275</v>
      </c>
      <c r="Q11" s="169"/>
      <c r="R11" s="169"/>
      <c r="S11" s="169"/>
      <c r="T11" s="169"/>
      <c r="U11" s="169"/>
      <c r="V11" s="169"/>
      <c r="W11" s="169"/>
      <c r="X11" s="169">
        <v>261900</v>
      </c>
      <c r="Y11" s="169"/>
      <c r="Z11" s="169">
        <v>548000</v>
      </c>
      <c r="AA11" s="169"/>
      <c r="AB11" s="169">
        <v>9500</v>
      </c>
      <c r="AC11" s="169"/>
      <c r="AD11" s="169">
        <v>145000</v>
      </c>
      <c r="AE11" s="169">
        <v>1778500</v>
      </c>
      <c r="AF11" s="169"/>
      <c r="AG11" s="169"/>
      <c r="AH11" s="169"/>
      <c r="AI11" s="169"/>
      <c r="AJ11" s="169"/>
      <c r="AK11" s="169"/>
      <c r="AL11" s="169">
        <v>1811925</v>
      </c>
      <c r="AM11" s="169">
        <v>1778500</v>
      </c>
      <c r="AO11" s="47" t="str">
        <f t="shared" si="0"/>
        <v>Caisse</v>
      </c>
      <c r="AP11" s="49">
        <f t="shared" si="1"/>
        <v>10580357</v>
      </c>
      <c r="AQ11" s="49">
        <f t="shared" si="2"/>
        <v>6750500</v>
      </c>
      <c r="AR11" s="49">
        <f t="shared" si="3"/>
        <v>3713706</v>
      </c>
      <c r="AS11" s="49">
        <v>0</v>
      </c>
    </row>
    <row r="12" spans="1:45">
      <c r="A12" s="2" t="s">
        <v>31</v>
      </c>
      <c r="B12" s="169"/>
      <c r="C12" s="169"/>
      <c r="D12" s="169"/>
      <c r="E12" s="169"/>
      <c r="F12" s="169"/>
      <c r="G12" s="169"/>
      <c r="H12" s="169"/>
      <c r="I12" s="169"/>
      <c r="J12" s="169">
        <v>24450</v>
      </c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>
        <v>129500</v>
      </c>
      <c r="Y12" s="169"/>
      <c r="Z12" s="169">
        <v>131000</v>
      </c>
      <c r="AA12" s="169"/>
      <c r="AB12" s="169"/>
      <c r="AC12" s="169"/>
      <c r="AD12" s="169"/>
      <c r="AE12" s="169">
        <v>286000</v>
      </c>
      <c r="AF12" s="169"/>
      <c r="AG12" s="169"/>
      <c r="AH12" s="169"/>
      <c r="AI12" s="169"/>
      <c r="AJ12" s="169"/>
      <c r="AK12" s="169"/>
      <c r="AL12" s="169">
        <v>284950</v>
      </c>
      <c r="AM12" s="169">
        <v>286000</v>
      </c>
      <c r="AO12" s="47" t="str">
        <f t="shared" si="0"/>
        <v>Crépin</v>
      </c>
      <c r="AP12" s="49">
        <f t="shared" si="1"/>
        <v>1778500</v>
      </c>
      <c r="AQ12" s="49">
        <f t="shared" si="2"/>
        <v>145000</v>
      </c>
      <c r="AR12" s="49">
        <f t="shared" si="3"/>
        <v>1666925</v>
      </c>
      <c r="AS12" s="49">
        <v>0</v>
      </c>
    </row>
    <row r="13" spans="1:45">
      <c r="A13" s="2" t="s">
        <v>155</v>
      </c>
      <c r="B13" s="169">
        <v>150000</v>
      </c>
      <c r="C13" s="169"/>
      <c r="D13" s="169"/>
      <c r="E13" s="169"/>
      <c r="F13" s="169"/>
      <c r="G13" s="169"/>
      <c r="H13" s="169"/>
      <c r="I13" s="169"/>
      <c r="J13" s="169">
        <v>112435</v>
      </c>
      <c r="K13" s="169"/>
      <c r="L13" s="169"/>
      <c r="M13" s="169"/>
      <c r="N13" s="169">
        <v>9750</v>
      </c>
      <c r="O13" s="169"/>
      <c r="P13" s="169"/>
      <c r="Q13" s="169"/>
      <c r="R13" s="169"/>
      <c r="S13" s="169"/>
      <c r="T13" s="169"/>
      <c r="U13" s="169"/>
      <c r="V13" s="169"/>
      <c r="W13" s="169"/>
      <c r="X13" s="169">
        <v>147200</v>
      </c>
      <c r="Y13" s="169"/>
      <c r="Z13" s="169">
        <v>159500</v>
      </c>
      <c r="AA13" s="169"/>
      <c r="AB13" s="169"/>
      <c r="AC13" s="169"/>
      <c r="AD13" s="169">
        <v>177180</v>
      </c>
      <c r="AE13" s="169">
        <v>797000</v>
      </c>
      <c r="AF13" s="169"/>
      <c r="AG13" s="169"/>
      <c r="AH13" s="169"/>
      <c r="AI13" s="169"/>
      <c r="AJ13" s="169"/>
      <c r="AK13" s="169"/>
      <c r="AL13" s="169">
        <v>756065</v>
      </c>
      <c r="AM13" s="169">
        <v>797000</v>
      </c>
      <c r="AO13" s="47" t="str">
        <f t="shared" si="0"/>
        <v>Evariste</v>
      </c>
      <c r="AP13" s="49">
        <f t="shared" si="1"/>
        <v>286000</v>
      </c>
      <c r="AQ13" s="49">
        <f t="shared" si="2"/>
        <v>0</v>
      </c>
      <c r="AR13" s="49">
        <f t="shared" si="3"/>
        <v>284950</v>
      </c>
      <c r="AS13" s="49">
        <v>0</v>
      </c>
    </row>
    <row r="14" spans="1:45">
      <c r="A14" s="2" t="s">
        <v>154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>
        <v>3000</v>
      </c>
      <c r="O14" s="169"/>
      <c r="P14" s="169"/>
      <c r="Q14" s="169"/>
      <c r="R14" s="169"/>
      <c r="S14" s="169"/>
      <c r="T14" s="169"/>
      <c r="U14" s="169"/>
      <c r="V14" s="169"/>
      <c r="W14" s="169"/>
      <c r="X14" s="169">
        <v>128500</v>
      </c>
      <c r="Y14" s="169"/>
      <c r="Z14" s="169">
        <v>61700</v>
      </c>
      <c r="AA14" s="169"/>
      <c r="AB14" s="169"/>
      <c r="AC14" s="169"/>
      <c r="AD14" s="169">
        <v>658000</v>
      </c>
      <c r="AE14" s="169">
        <v>847000</v>
      </c>
      <c r="AF14" s="169"/>
      <c r="AG14" s="169"/>
      <c r="AH14" s="169"/>
      <c r="AI14" s="169"/>
      <c r="AJ14" s="169"/>
      <c r="AK14" s="169"/>
      <c r="AL14" s="169">
        <v>851200</v>
      </c>
      <c r="AM14" s="169">
        <v>847000</v>
      </c>
      <c r="AO14" s="47" t="str">
        <f t="shared" si="0"/>
        <v>Godfré</v>
      </c>
      <c r="AP14" s="49">
        <f t="shared" si="1"/>
        <v>797000</v>
      </c>
      <c r="AQ14" s="49">
        <f t="shared" si="2"/>
        <v>177180</v>
      </c>
      <c r="AR14" s="49">
        <f t="shared" si="3"/>
        <v>578885</v>
      </c>
      <c r="AS14" s="49">
        <v>0</v>
      </c>
    </row>
    <row r="15" spans="1:45">
      <c r="A15" s="2" t="s">
        <v>49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>
        <v>276200</v>
      </c>
      <c r="Y15" s="169"/>
      <c r="Z15" s="169">
        <v>520000</v>
      </c>
      <c r="AA15" s="169"/>
      <c r="AB15" s="169">
        <v>59550</v>
      </c>
      <c r="AC15" s="169"/>
      <c r="AD15" s="169"/>
      <c r="AE15" s="169">
        <v>861000</v>
      </c>
      <c r="AF15" s="169"/>
      <c r="AG15" s="169"/>
      <c r="AH15" s="169"/>
      <c r="AI15" s="169"/>
      <c r="AJ15" s="169"/>
      <c r="AK15" s="169"/>
      <c r="AL15" s="169">
        <v>855750</v>
      </c>
      <c r="AM15" s="169">
        <v>861000</v>
      </c>
      <c r="AO15" s="47" t="str">
        <f t="shared" si="0"/>
        <v>Grace</v>
      </c>
      <c r="AP15" s="49">
        <f t="shared" si="1"/>
        <v>847000</v>
      </c>
      <c r="AQ15" s="49">
        <f t="shared" si="2"/>
        <v>658000</v>
      </c>
      <c r="AR15" s="49">
        <f t="shared" si="3"/>
        <v>193200</v>
      </c>
      <c r="AS15" s="49">
        <v>0</v>
      </c>
    </row>
    <row r="16" spans="1:45">
      <c r="A16" s="2" t="s">
        <v>29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>
        <v>156000</v>
      </c>
      <c r="Y16" s="169"/>
      <c r="Z16" s="169">
        <v>375000</v>
      </c>
      <c r="AA16" s="169"/>
      <c r="AB16" s="169">
        <v>146500</v>
      </c>
      <c r="AC16" s="169"/>
      <c r="AD16" s="169">
        <v>490000</v>
      </c>
      <c r="AE16" s="169">
        <v>1215000</v>
      </c>
      <c r="AF16" s="169"/>
      <c r="AG16" s="169"/>
      <c r="AH16" s="169">
        <v>20000</v>
      </c>
      <c r="AI16" s="169"/>
      <c r="AJ16" s="169"/>
      <c r="AK16" s="169"/>
      <c r="AL16" s="169">
        <v>1187500</v>
      </c>
      <c r="AM16" s="169">
        <v>1215000</v>
      </c>
      <c r="AO16" s="47" t="str">
        <f t="shared" si="0"/>
        <v>i23c</v>
      </c>
      <c r="AP16" s="49">
        <f t="shared" si="1"/>
        <v>861000</v>
      </c>
      <c r="AQ16" s="49">
        <f t="shared" si="2"/>
        <v>0</v>
      </c>
      <c r="AR16" s="49">
        <f t="shared" si="3"/>
        <v>855750</v>
      </c>
      <c r="AS16" s="49">
        <v>0</v>
      </c>
    </row>
    <row r="17" spans="1:45">
      <c r="A17" s="2" t="s">
        <v>114</v>
      </c>
      <c r="B17" s="169"/>
      <c r="C17" s="169"/>
      <c r="D17" s="169"/>
      <c r="E17" s="169"/>
      <c r="F17" s="169">
        <v>40000</v>
      </c>
      <c r="G17" s="169"/>
      <c r="H17" s="169"/>
      <c r="I17" s="169"/>
      <c r="J17" s="169">
        <v>30000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>
        <v>72700</v>
      </c>
      <c r="Y17" s="169"/>
      <c r="Z17" s="169">
        <v>53000</v>
      </c>
      <c r="AA17" s="169"/>
      <c r="AB17" s="169"/>
      <c r="AC17" s="169"/>
      <c r="AD17" s="169"/>
      <c r="AE17" s="169">
        <v>1000180</v>
      </c>
      <c r="AF17" s="169">
        <v>650000</v>
      </c>
      <c r="AG17" s="169">
        <v>100000</v>
      </c>
      <c r="AH17" s="169"/>
      <c r="AI17" s="169"/>
      <c r="AJ17" s="169"/>
      <c r="AK17" s="169"/>
      <c r="AL17" s="169">
        <v>845700</v>
      </c>
      <c r="AM17" s="169">
        <v>1100180</v>
      </c>
      <c r="AO17" s="47" t="str">
        <f t="shared" si="0"/>
        <v>P29</v>
      </c>
      <c r="AP17" s="49">
        <f t="shared" si="1"/>
        <v>1215000</v>
      </c>
      <c r="AQ17" s="49">
        <f t="shared" si="2"/>
        <v>490000</v>
      </c>
      <c r="AR17" s="49">
        <f t="shared" si="3"/>
        <v>697500</v>
      </c>
      <c r="AS17" s="49">
        <v>0</v>
      </c>
    </row>
    <row r="18" spans="1:45">
      <c r="A18" s="2" t="s">
        <v>130</v>
      </c>
      <c r="B18" s="169">
        <v>2047000</v>
      </c>
      <c r="C18" s="169"/>
      <c r="D18" s="169">
        <v>175000</v>
      </c>
      <c r="E18" s="169"/>
      <c r="F18" s="169">
        <v>554000</v>
      </c>
      <c r="G18" s="169"/>
      <c r="H18" s="169">
        <v>89175</v>
      </c>
      <c r="I18" s="169"/>
      <c r="J18" s="169">
        <v>276085</v>
      </c>
      <c r="K18" s="169"/>
      <c r="L18" s="169">
        <v>850000</v>
      </c>
      <c r="M18" s="169"/>
      <c r="N18" s="169">
        <v>199200</v>
      </c>
      <c r="O18" s="169"/>
      <c r="P18" s="169">
        <v>3269831</v>
      </c>
      <c r="Q18" s="169"/>
      <c r="R18" s="169">
        <v>394625</v>
      </c>
      <c r="S18" s="169"/>
      <c r="T18" s="169">
        <v>160000</v>
      </c>
      <c r="U18" s="169"/>
      <c r="V18" s="169">
        <v>90587</v>
      </c>
      <c r="W18" s="169"/>
      <c r="X18" s="169">
        <v>2153100</v>
      </c>
      <c r="Y18" s="169"/>
      <c r="Z18" s="169">
        <v>2440200</v>
      </c>
      <c r="AA18" s="169"/>
      <c r="AB18" s="169">
        <v>282350</v>
      </c>
      <c r="AC18" s="169"/>
      <c r="AD18" s="169">
        <v>18366037</v>
      </c>
      <c r="AE18" s="169">
        <v>18916037</v>
      </c>
      <c r="AF18" s="169">
        <v>650000</v>
      </c>
      <c r="AG18" s="169">
        <v>100000</v>
      </c>
      <c r="AH18" s="169">
        <v>125900</v>
      </c>
      <c r="AI18" s="169"/>
      <c r="AJ18" s="169">
        <v>37750</v>
      </c>
      <c r="AK18" s="169"/>
      <c r="AL18" s="169">
        <v>32160840</v>
      </c>
      <c r="AM18" s="169">
        <v>19016037</v>
      </c>
      <c r="AO18" s="47" t="str">
        <f t="shared" si="0"/>
        <v>Tiffany</v>
      </c>
      <c r="AP18" s="49">
        <f t="shared" si="1"/>
        <v>1100180</v>
      </c>
      <c r="AQ18" s="49">
        <f>+GETPIVOTDATA("Somme de Spent",$A$3,"Type de dépenses","Versement ","Name","Tiffany")</f>
        <v>650000</v>
      </c>
      <c r="AR18" s="49">
        <f t="shared" si="3"/>
        <v>195700</v>
      </c>
      <c r="AS18" s="49">
        <v>0</v>
      </c>
    </row>
    <row r="19" spans="1:45">
      <c r="AO19" s="179"/>
      <c r="AP19" s="49">
        <f>SUM(AP7:AP18)</f>
        <v>19016037</v>
      </c>
      <c r="AQ19" s="49">
        <f>SUM(AQ7:AQ18)</f>
        <v>19016037</v>
      </c>
      <c r="AR19" s="49">
        <f>SUM(AR7:AR18)</f>
        <v>13144803</v>
      </c>
      <c r="AS19" s="49">
        <f>SUM(AS7:AS17)</f>
        <v>0</v>
      </c>
    </row>
    <row r="21" spans="1:45">
      <c r="AQ21" s="261">
        <f>+AQ19-AP19</f>
        <v>0</v>
      </c>
      <c r="AR21" s="263" t="b">
        <f>AR19=GETPIVOTDATA("Spent",Donateurs!$A$3)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C22" sqref="C22"/>
    </sheetView>
  </sheetViews>
  <sheetFormatPr baseColWidth="10" defaultRowHeight="15"/>
  <cols>
    <col min="1" max="1" width="21" bestFit="1" customWidth="1"/>
    <col min="2" max="2" width="16.140625" customWidth="1"/>
  </cols>
  <sheetData>
    <row r="3" spans="1:2">
      <c r="A3" s="1" t="s">
        <v>129</v>
      </c>
      <c r="B3" t="s">
        <v>136</v>
      </c>
    </row>
    <row r="4" spans="1:2">
      <c r="A4" s="2" t="s">
        <v>103</v>
      </c>
      <c r="B4" s="169">
        <v>6435557</v>
      </c>
    </row>
    <row r="5" spans="1:2">
      <c r="A5" s="2" t="s">
        <v>169</v>
      </c>
      <c r="B5" s="169">
        <v>6709246</v>
      </c>
    </row>
    <row r="6" spans="1:2">
      <c r="A6" s="2" t="s">
        <v>130</v>
      </c>
      <c r="B6" s="169">
        <v>13144803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P444"/>
  <sheetViews>
    <sheetView zoomScale="59" zoomScaleNormal="59" workbookViewId="0">
      <pane ySplit="11" topLeftCell="A41" activePane="bottomLeft" state="frozen"/>
      <selection pane="bottomLeft" activeCell="F451" sqref="F451"/>
    </sheetView>
  </sheetViews>
  <sheetFormatPr baseColWidth="10" defaultColWidth="11.42578125" defaultRowHeight="15.75"/>
  <cols>
    <col min="1" max="1" width="20.5703125" style="241" customWidth="1"/>
    <col min="2" max="2" width="119.42578125" style="178" customWidth="1"/>
    <col min="3" max="3" width="21.28515625" style="178" customWidth="1"/>
    <col min="4" max="4" width="16.42578125" style="178" customWidth="1"/>
    <col min="5" max="5" width="17.7109375" style="196" customWidth="1"/>
    <col min="6" max="6" width="14.140625" style="248" customWidth="1"/>
    <col min="7" max="7" width="16.7109375" style="197" customWidth="1"/>
    <col min="8" max="8" width="17.7109375" style="178" customWidth="1"/>
    <col min="9" max="9" width="12.5703125" style="184" customWidth="1"/>
    <col min="10" max="10" width="13.42578125" style="184" customWidth="1"/>
    <col min="11" max="11" width="12" style="178" customWidth="1"/>
    <col min="12" max="12" width="9.5703125" style="178" customWidth="1"/>
    <col min="13" max="13" width="18.140625" style="178" customWidth="1"/>
    <col min="14" max="14" width="16.28515625" style="177" customWidth="1"/>
    <col min="15" max="15" width="70.5703125" style="264" customWidth="1"/>
    <col min="16" max="16384" width="11.42578125" style="178"/>
  </cols>
  <sheetData>
    <row r="1" spans="1:15" s="193" customFormat="1" ht="26.25" customHeight="1">
      <c r="A1" s="306" t="s">
        <v>181</v>
      </c>
      <c r="B1" s="306"/>
      <c r="C1" s="306"/>
      <c r="D1" s="306"/>
      <c r="E1" s="306"/>
      <c r="F1" s="307"/>
      <c r="G1" s="306"/>
      <c r="H1" s="306"/>
      <c r="I1" s="308"/>
      <c r="J1" s="306"/>
      <c r="K1" s="306"/>
      <c r="L1" s="306"/>
      <c r="M1" s="306"/>
      <c r="N1" s="306"/>
      <c r="O1" s="309"/>
    </row>
    <row r="2" spans="1:15">
      <c r="B2" s="194" t="s">
        <v>180</v>
      </c>
      <c r="C2" s="195">
        <v>23367297</v>
      </c>
    </row>
    <row r="4" spans="1:15">
      <c r="B4" s="198" t="s">
        <v>6</v>
      </c>
      <c r="C4" s="198" t="s">
        <v>7</v>
      </c>
    </row>
    <row r="5" spans="1:15">
      <c r="B5" s="178" t="s">
        <v>8</v>
      </c>
      <c r="C5" s="199">
        <f>SUM(E13:E1141)</f>
        <v>19016037</v>
      </c>
      <c r="E5" s="196" t="s">
        <v>101</v>
      </c>
      <c r="H5" s="199"/>
    </row>
    <row r="6" spans="1:15">
      <c r="B6" s="178" t="s">
        <v>9</v>
      </c>
      <c r="C6" s="199">
        <f>SUM(F13:F1142)</f>
        <v>32160840</v>
      </c>
      <c r="E6" s="262">
        <f>+C7-Récapitulatif!I17</f>
        <v>0</v>
      </c>
      <c r="J6" s="217"/>
      <c r="K6" s="192"/>
    </row>
    <row r="7" spans="1:15">
      <c r="B7" s="178" t="s">
        <v>10</v>
      </c>
      <c r="C7" s="199">
        <f>C2+C5-C6</f>
        <v>10222494</v>
      </c>
      <c r="D7" s="200">
        <f>C7-Récapitulatif!I17</f>
        <v>0</v>
      </c>
      <c r="K7" s="192"/>
    </row>
    <row r="9" spans="1:15">
      <c r="B9" s="190"/>
    </row>
    <row r="11" spans="1:15">
      <c r="A11" s="260" t="s">
        <v>0</v>
      </c>
      <c r="B11" s="203" t="s">
        <v>11</v>
      </c>
      <c r="C11" s="203" t="s">
        <v>12</v>
      </c>
      <c r="D11" s="203" t="s">
        <v>13</v>
      </c>
      <c r="E11" s="220" t="s">
        <v>14</v>
      </c>
      <c r="F11" s="249" t="s">
        <v>15</v>
      </c>
      <c r="G11" s="204" t="s">
        <v>16</v>
      </c>
      <c r="H11" s="203" t="s">
        <v>17</v>
      </c>
      <c r="I11" s="205" t="s">
        <v>18</v>
      </c>
      <c r="J11" s="205" t="s">
        <v>19</v>
      </c>
      <c r="K11" s="203" t="s">
        <v>20</v>
      </c>
      <c r="L11" s="203" t="s">
        <v>21</v>
      </c>
      <c r="M11" s="203" t="s">
        <v>82</v>
      </c>
      <c r="N11" s="258" t="s">
        <v>23</v>
      </c>
      <c r="O11" s="203" t="s">
        <v>22</v>
      </c>
    </row>
    <row r="12" spans="1:15" ht="15.75" customHeight="1">
      <c r="A12" s="241">
        <v>44531</v>
      </c>
      <c r="B12" s="178" t="s">
        <v>180</v>
      </c>
      <c r="E12" s="223"/>
      <c r="F12" s="191"/>
      <c r="G12" s="197">
        <f>+C2</f>
        <v>23367297</v>
      </c>
      <c r="L12" s="178" t="s">
        <v>315</v>
      </c>
      <c r="N12" s="178"/>
      <c r="O12" s="178"/>
    </row>
    <row r="13" spans="1:15" ht="15" customHeight="1">
      <c r="A13" s="241">
        <v>44531</v>
      </c>
      <c r="B13" s="178" t="s">
        <v>176</v>
      </c>
      <c r="C13" s="178" t="s">
        <v>76</v>
      </c>
      <c r="E13" s="223"/>
      <c r="F13" s="250">
        <v>15000</v>
      </c>
      <c r="G13" s="201">
        <f t="shared" ref="G13:G14" si="0">+G12+E13-F13</f>
        <v>23352297</v>
      </c>
      <c r="H13" s="178" t="s">
        <v>25</v>
      </c>
      <c r="I13" s="184" t="s">
        <v>194</v>
      </c>
      <c r="L13" s="178" t="s">
        <v>315</v>
      </c>
      <c r="O13" s="178"/>
    </row>
    <row r="14" spans="1:15" ht="15" customHeight="1">
      <c r="A14" s="241">
        <v>44531</v>
      </c>
      <c r="B14" s="178" t="s">
        <v>196</v>
      </c>
      <c r="C14" s="178" t="s">
        <v>76</v>
      </c>
      <c r="E14" s="223"/>
      <c r="F14" s="250">
        <v>15000</v>
      </c>
      <c r="G14" s="201">
        <f t="shared" si="0"/>
        <v>23337297</v>
      </c>
      <c r="H14" s="178" t="s">
        <v>25</v>
      </c>
      <c r="I14" s="184" t="s">
        <v>194</v>
      </c>
      <c r="L14" s="178" t="s">
        <v>315</v>
      </c>
      <c r="O14" s="178"/>
    </row>
    <row r="15" spans="1:15" ht="15" customHeight="1">
      <c r="A15" s="241">
        <v>44531</v>
      </c>
      <c r="B15" s="178" t="s">
        <v>197</v>
      </c>
      <c r="C15" s="178" t="s">
        <v>192</v>
      </c>
      <c r="D15" s="178" t="s">
        <v>2</v>
      </c>
      <c r="E15" s="223"/>
      <c r="F15" s="212">
        <v>232691</v>
      </c>
      <c r="G15" s="201">
        <f t="shared" ref="G15:G78" si="1">+G14+E15-F15</f>
        <v>23104606</v>
      </c>
      <c r="H15" s="178" t="s">
        <v>25</v>
      </c>
      <c r="I15" s="178" t="s">
        <v>193</v>
      </c>
      <c r="J15" s="184" t="s">
        <v>169</v>
      </c>
      <c r="K15" s="178" t="s">
        <v>407</v>
      </c>
      <c r="L15" s="178" t="s">
        <v>315</v>
      </c>
      <c r="O15" s="178"/>
    </row>
    <row r="16" spans="1:15" ht="15" customHeight="1">
      <c r="A16" s="241">
        <v>44531</v>
      </c>
      <c r="B16" s="178" t="s">
        <v>30</v>
      </c>
      <c r="C16" s="178" t="s">
        <v>76</v>
      </c>
      <c r="E16" s="223"/>
      <c r="F16" s="250">
        <v>200000</v>
      </c>
      <c r="G16" s="201">
        <f t="shared" si="1"/>
        <v>22904606</v>
      </c>
      <c r="H16" s="178" t="s">
        <v>25</v>
      </c>
      <c r="I16" s="184" t="s">
        <v>194</v>
      </c>
      <c r="L16" s="178" t="s">
        <v>315</v>
      </c>
      <c r="O16" s="178"/>
    </row>
    <row r="17" spans="1:15" ht="15" customHeight="1">
      <c r="A17" s="241">
        <v>44531</v>
      </c>
      <c r="B17" s="178" t="s">
        <v>176</v>
      </c>
      <c r="C17" s="178" t="s">
        <v>76</v>
      </c>
      <c r="E17" s="223"/>
      <c r="F17" s="250">
        <v>62000</v>
      </c>
      <c r="G17" s="201">
        <f t="shared" si="1"/>
        <v>22842606</v>
      </c>
      <c r="H17" s="178" t="s">
        <v>25</v>
      </c>
      <c r="I17" s="184" t="s">
        <v>194</v>
      </c>
      <c r="L17" s="178" t="s">
        <v>315</v>
      </c>
      <c r="O17" s="178"/>
    </row>
    <row r="18" spans="1:15" ht="15" customHeight="1">
      <c r="A18" s="241">
        <v>44531</v>
      </c>
      <c r="B18" s="178" t="s">
        <v>198</v>
      </c>
      <c r="C18" s="178" t="s">
        <v>35</v>
      </c>
      <c r="D18" s="178" t="s">
        <v>190</v>
      </c>
      <c r="E18" s="223"/>
      <c r="F18" s="212">
        <v>10000</v>
      </c>
      <c r="G18" s="201">
        <f t="shared" si="1"/>
        <v>22832606</v>
      </c>
      <c r="H18" s="178" t="s">
        <v>25</v>
      </c>
      <c r="I18" s="178" t="s">
        <v>193</v>
      </c>
      <c r="J18" s="184" t="s">
        <v>103</v>
      </c>
      <c r="K18" s="178" t="s">
        <v>408</v>
      </c>
      <c r="L18" s="178" t="s">
        <v>315</v>
      </c>
      <c r="M18" s="178" t="s">
        <v>516</v>
      </c>
      <c r="N18" s="177" t="s">
        <v>418</v>
      </c>
      <c r="O18" s="178"/>
    </row>
    <row r="19" spans="1:15" ht="15" customHeight="1">
      <c r="A19" s="242">
        <v>44531</v>
      </c>
      <c r="B19" s="185" t="s">
        <v>426</v>
      </c>
      <c r="C19" s="178" t="s">
        <v>285</v>
      </c>
      <c r="D19" s="178" t="s">
        <v>190</v>
      </c>
      <c r="E19" s="225"/>
      <c r="F19" s="214">
        <v>23345</v>
      </c>
      <c r="G19" s="201">
        <f t="shared" si="1"/>
        <v>22809261</v>
      </c>
      <c r="H19" s="207" t="s">
        <v>24</v>
      </c>
      <c r="I19" s="178" t="s">
        <v>284</v>
      </c>
      <c r="J19" s="178" t="s">
        <v>169</v>
      </c>
      <c r="K19" s="207" t="s">
        <v>407</v>
      </c>
      <c r="L19" s="178" t="s">
        <v>315</v>
      </c>
      <c r="O19" s="178"/>
    </row>
    <row r="20" spans="1:15" ht="15" customHeight="1">
      <c r="A20" s="241">
        <v>44531</v>
      </c>
      <c r="B20" s="178" t="s">
        <v>427</v>
      </c>
      <c r="C20" s="178" t="s">
        <v>285</v>
      </c>
      <c r="D20" s="178" t="s">
        <v>190</v>
      </c>
      <c r="E20" s="223"/>
      <c r="F20" s="214">
        <v>14701</v>
      </c>
      <c r="G20" s="201">
        <f t="shared" si="1"/>
        <v>22794560</v>
      </c>
      <c r="H20" s="178" t="s">
        <v>160</v>
      </c>
      <c r="I20" s="178" t="s">
        <v>284</v>
      </c>
      <c r="J20" s="178" t="s">
        <v>103</v>
      </c>
      <c r="K20" s="178" t="s">
        <v>408</v>
      </c>
      <c r="L20" s="178" t="s">
        <v>315</v>
      </c>
      <c r="M20" s="178" t="s">
        <v>517</v>
      </c>
      <c r="N20" s="177" t="s">
        <v>428</v>
      </c>
      <c r="O20" s="178"/>
    </row>
    <row r="21" spans="1:15" ht="15" customHeight="1">
      <c r="A21" s="241">
        <v>44531</v>
      </c>
      <c r="B21" s="178" t="s">
        <v>297</v>
      </c>
      <c r="C21" s="178" t="s">
        <v>76</v>
      </c>
      <c r="E21" s="223">
        <v>15000</v>
      </c>
      <c r="F21" s="250"/>
      <c r="G21" s="201">
        <f t="shared" si="1"/>
        <v>22809560</v>
      </c>
      <c r="H21" s="178" t="s">
        <v>176</v>
      </c>
      <c r="I21" s="184" t="s">
        <v>194</v>
      </c>
      <c r="L21" s="178" t="s">
        <v>315</v>
      </c>
      <c r="O21" s="178"/>
    </row>
    <row r="22" spans="1:15" ht="15" customHeight="1">
      <c r="A22" s="241">
        <v>44531</v>
      </c>
      <c r="B22" s="178" t="s">
        <v>297</v>
      </c>
      <c r="C22" s="178" t="s">
        <v>76</v>
      </c>
      <c r="E22" s="223">
        <v>62000</v>
      </c>
      <c r="F22" s="250"/>
      <c r="G22" s="201">
        <f t="shared" si="1"/>
        <v>22871560</v>
      </c>
      <c r="H22" s="178" t="s">
        <v>176</v>
      </c>
      <c r="I22" s="184" t="s">
        <v>194</v>
      </c>
      <c r="K22" s="184"/>
      <c r="L22" s="178" t="s">
        <v>315</v>
      </c>
      <c r="O22" s="178"/>
    </row>
    <row r="23" spans="1:15" ht="15" customHeight="1">
      <c r="A23" s="241">
        <v>44531</v>
      </c>
      <c r="B23" s="178" t="s">
        <v>340</v>
      </c>
      <c r="C23" s="178" t="s">
        <v>76</v>
      </c>
      <c r="E23" s="223">
        <v>15000</v>
      </c>
      <c r="F23" s="250"/>
      <c r="G23" s="201">
        <f t="shared" si="1"/>
        <v>22886560</v>
      </c>
      <c r="H23" s="178" t="s">
        <v>48</v>
      </c>
      <c r="I23" s="184" t="s">
        <v>194</v>
      </c>
      <c r="L23" s="178" t="s">
        <v>315</v>
      </c>
      <c r="O23" s="178"/>
    </row>
    <row r="24" spans="1:15" ht="15" customHeight="1">
      <c r="A24" s="243">
        <v>44531</v>
      </c>
      <c r="B24" s="178" t="s">
        <v>380</v>
      </c>
      <c r="C24" s="178" t="s">
        <v>76</v>
      </c>
      <c r="D24" s="229"/>
      <c r="E24" s="178">
        <v>200000</v>
      </c>
      <c r="F24" s="178"/>
      <c r="G24" s="201">
        <f t="shared" si="1"/>
        <v>23086560</v>
      </c>
      <c r="H24" s="230" t="s">
        <v>49</v>
      </c>
      <c r="I24" s="184" t="s">
        <v>194</v>
      </c>
      <c r="J24" s="178"/>
      <c r="L24" s="178" t="s">
        <v>315</v>
      </c>
      <c r="N24" s="178"/>
      <c r="O24" s="178"/>
    </row>
    <row r="25" spans="1:15" ht="15" customHeight="1">
      <c r="A25" s="243">
        <v>44532</v>
      </c>
      <c r="B25" s="178" t="s">
        <v>488</v>
      </c>
      <c r="C25" s="178" t="s">
        <v>34</v>
      </c>
      <c r="D25" s="229" t="s">
        <v>4</v>
      </c>
      <c r="E25" s="178"/>
      <c r="F25" s="178">
        <v>15000</v>
      </c>
      <c r="G25" s="201">
        <f t="shared" si="1"/>
        <v>23071560</v>
      </c>
      <c r="H25" s="230" t="s">
        <v>49</v>
      </c>
      <c r="I25" s="178" t="s">
        <v>193</v>
      </c>
      <c r="J25" s="178" t="s">
        <v>103</v>
      </c>
      <c r="K25" s="178" t="s">
        <v>408</v>
      </c>
      <c r="L25" s="178" t="s">
        <v>315</v>
      </c>
      <c r="M25" s="178" t="s">
        <v>518</v>
      </c>
      <c r="N25" s="177" t="s">
        <v>429</v>
      </c>
      <c r="O25" s="178"/>
    </row>
    <row r="26" spans="1:15" ht="15" customHeight="1">
      <c r="A26" s="241">
        <v>44532</v>
      </c>
      <c r="B26" s="178" t="s">
        <v>189</v>
      </c>
      <c r="C26" s="178" t="s">
        <v>76</v>
      </c>
      <c r="E26" s="223"/>
      <c r="F26" s="250">
        <v>20000</v>
      </c>
      <c r="G26" s="201">
        <f t="shared" si="1"/>
        <v>23051560</v>
      </c>
      <c r="H26" s="178" t="s">
        <v>25</v>
      </c>
      <c r="I26" s="184" t="s">
        <v>194</v>
      </c>
      <c r="L26" s="178" t="s">
        <v>315</v>
      </c>
      <c r="O26" s="178"/>
    </row>
    <row r="27" spans="1:15" ht="15" customHeight="1">
      <c r="A27" s="241">
        <v>44532</v>
      </c>
      <c r="B27" s="178" t="s">
        <v>448</v>
      </c>
      <c r="C27" s="178" t="s">
        <v>35</v>
      </c>
      <c r="D27" s="178" t="s">
        <v>190</v>
      </c>
      <c r="E27" s="223"/>
      <c r="F27" s="212">
        <v>4800</v>
      </c>
      <c r="G27" s="201">
        <f t="shared" si="1"/>
        <v>23046760</v>
      </c>
      <c r="H27" s="178" t="s">
        <v>25</v>
      </c>
      <c r="I27" s="178" t="s">
        <v>193</v>
      </c>
      <c r="J27" s="184" t="s">
        <v>169</v>
      </c>
      <c r="K27" s="178" t="s">
        <v>407</v>
      </c>
      <c r="L27" s="178" t="s">
        <v>315</v>
      </c>
      <c r="O27" s="178"/>
    </row>
    <row r="28" spans="1:15" ht="15" customHeight="1">
      <c r="A28" s="241">
        <v>44532</v>
      </c>
      <c r="B28" s="178" t="s">
        <v>199</v>
      </c>
      <c r="C28" s="178" t="s">
        <v>35</v>
      </c>
      <c r="D28" s="178" t="s">
        <v>190</v>
      </c>
      <c r="E28" s="223"/>
      <c r="F28" s="212">
        <v>19600</v>
      </c>
      <c r="G28" s="201">
        <f t="shared" si="1"/>
        <v>23027160</v>
      </c>
      <c r="H28" s="178" t="s">
        <v>25</v>
      </c>
      <c r="I28" s="178" t="s">
        <v>193</v>
      </c>
      <c r="J28" s="184" t="s">
        <v>103</v>
      </c>
      <c r="K28" s="178" t="s">
        <v>408</v>
      </c>
      <c r="L28" s="178" t="s">
        <v>315</v>
      </c>
      <c r="M28" s="178" t="s">
        <v>519</v>
      </c>
      <c r="N28" s="177" t="s">
        <v>417</v>
      </c>
      <c r="O28" s="178"/>
    </row>
    <row r="29" spans="1:15" ht="15" customHeight="1">
      <c r="A29" s="241">
        <v>44532</v>
      </c>
      <c r="B29" s="178" t="s">
        <v>200</v>
      </c>
      <c r="C29" s="178" t="s">
        <v>76</v>
      </c>
      <c r="E29" s="223">
        <v>2000000</v>
      </c>
      <c r="F29" s="250"/>
      <c r="G29" s="201">
        <f t="shared" si="1"/>
        <v>25027160</v>
      </c>
      <c r="H29" s="178" t="s">
        <v>25</v>
      </c>
      <c r="I29" s="184" t="s">
        <v>194</v>
      </c>
      <c r="L29" s="178" t="s">
        <v>315</v>
      </c>
      <c r="O29" s="178"/>
    </row>
    <row r="30" spans="1:15" ht="15" customHeight="1">
      <c r="A30" s="241">
        <v>44532</v>
      </c>
      <c r="B30" s="178" t="s">
        <v>29</v>
      </c>
      <c r="C30" s="178" t="s">
        <v>76</v>
      </c>
      <c r="E30" s="223"/>
      <c r="F30" s="250">
        <v>150000</v>
      </c>
      <c r="G30" s="201">
        <f t="shared" si="1"/>
        <v>24877160</v>
      </c>
      <c r="H30" s="178" t="s">
        <v>25</v>
      </c>
      <c r="I30" s="184" t="s">
        <v>194</v>
      </c>
      <c r="L30" s="178" t="s">
        <v>315</v>
      </c>
      <c r="O30" s="178"/>
    </row>
    <row r="31" spans="1:15" ht="15" customHeight="1">
      <c r="A31" s="241">
        <v>44532</v>
      </c>
      <c r="B31" s="178" t="s">
        <v>288</v>
      </c>
      <c r="C31" s="178" t="s">
        <v>76</v>
      </c>
      <c r="D31" s="212"/>
      <c r="E31" s="223"/>
      <c r="F31" s="230">
        <v>2000000</v>
      </c>
      <c r="G31" s="201">
        <f t="shared" si="1"/>
        <v>22877160</v>
      </c>
      <c r="H31" s="178" t="s">
        <v>160</v>
      </c>
      <c r="I31" s="184">
        <v>3643578</v>
      </c>
      <c r="J31" s="178"/>
      <c r="L31" s="178" t="s">
        <v>315</v>
      </c>
      <c r="O31" s="178"/>
    </row>
    <row r="32" spans="1:15" ht="15" customHeight="1">
      <c r="A32" s="241">
        <v>44532</v>
      </c>
      <c r="B32" s="178" t="s">
        <v>297</v>
      </c>
      <c r="C32" s="178" t="s">
        <v>76</v>
      </c>
      <c r="E32" s="225">
        <v>20000</v>
      </c>
      <c r="F32" s="251"/>
      <c r="G32" s="201">
        <f t="shared" si="1"/>
        <v>22897160</v>
      </c>
      <c r="H32" s="178" t="s">
        <v>155</v>
      </c>
      <c r="I32" s="184" t="s">
        <v>194</v>
      </c>
      <c r="L32" s="178" t="s">
        <v>315</v>
      </c>
      <c r="M32" s="177"/>
      <c r="O32" s="178"/>
    </row>
    <row r="33" spans="1:15" ht="15" customHeight="1">
      <c r="A33" s="241">
        <v>44532</v>
      </c>
      <c r="B33" s="178" t="s">
        <v>330</v>
      </c>
      <c r="C33" s="178" t="s">
        <v>159</v>
      </c>
      <c r="D33" s="229" t="s">
        <v>4</v>
      </c>
      <c r="E33" s="223"/>
      <c r="F33" s="212">
        <v>20000</v>
      </c>
      <c r="G33" s="201">
        <f t="shared" si="1"/>
        <v>22877160</v>
      </c>
      <c r="H33" s="178" t="s">
        <v>176</v>
      </c>
      <c r="I33" s="184" t="s">
        <v>194</v>
      </c>
      <c r="J33" s="184" t="s">
        <v>169</v>
      </c>
      <c r="K33" s="184" t="s">
        <v>407</v>
      </c>
      <c r="L33" s="178" t="s">
        <v>315</v>
      </c>
      <c r="O33" s="178"/>
    </row>
    <row r="34" spans="1:15" ht="15.75" customHeight="1">
      <c r="A34" s="243">
        <v>44532</v>
      </c>
      <c r="B34" s="178" t="s">
        <v>465</v>
      </c>
      <c r="C34" s="178" t="s">
        <v>159</v>
      </c>
      <c r="D34" s="229" t="s">
        <v>4</v>
      </c>
      <c r="E34" s="178"/>
      <c r="F34" s="178">
        <v>70000</v>
      </c>
      <c r="G34" s="201">
        <f t="shared" si="1"/>
        <v>22807160</v>
      </c>
      <c r="H34" s="230" t="s">
        <v>49</v>
      </c>
      <c r="I34" s="184" t="s">
        <v>194</v>
      </c>
      <c r="J34" s="178" t="s">
        <v>103</v>
      </c>
      <c r="K34" s="178" t="s">
        <v>408</v>
      </c>
      <c r="L34" s="178" t="s">
        <v>315</v>
      </c>
      <c r="M34" s="178" t="s">
        <v>520</v>
      </c>
      <c r="N34" s="177" t="s">
        <v>432</v>
      </c>
      <c r="O34" s="178"/>
    </row>
    <row r="35" spans="1:15" ht="15" customHeight="1">
      <c r="A35" s="241">
        <v>44532</v>
      </c>
      <c r="B35" s="178" t="s">
        <v>396</v>
      </c>
      <c r="C35" s="178" t="s">
        <v>76</v>
      </c>
      <c r="D35" s="229"/>
      <c r="E35" s="178">
        <v>150000</v>
      </c>
      <c r="F35" s="199"/>
      <c r="G35" s="201">
        <f t="shared" si="1"/>
        <v>22957160</v>
      </c>
      <c r="H35" s="178" t="s">
        <v>29</v>
      </c>
      <c r="I35" s="184" t="s">
        <v>194</v>
      </c>
      <c r="J35" s="178"/>
      <c r="L35" s="178" t="s">
        <v>315</v>
      </c>
      <c r="N35" s="234"/>
      <c r="O35" s="231"/>
    </row>
    <row r="36" spans="1:15" ht="15.75" customHeight="1">
      <c r="A36" s="241">
        <v>44533</v>
      </c>
      <c r="B36" s="178" t="s">
        <v>472</v>
      </c>
      <c r="C36" s="178" t="s">
        <v>159</v>
      </c>
      <c r="D36" s="229" t="s">
        <v>4</v>
      </c>
      <c r="E36" s="178"/>
      <c r="F36" s="199">
        <v>50000</v>
      </c>
      <c r="G36" s="201">
        <f t="shared" si="1"/>
        <v>22907160</v>
      </c>
      <c r="H36" s="178" t="s">
        <v>29</v>
      </c>
      <c r="I36" s="184" t="s">
        <v>194</v>
      </c>
      <c r="J36" s="178" t="s">
        <v>103</v>
      </c>
      <c r="K36" s="178" t="s">
        <v>408</v>
      </c>
      <c r="L36" s="178" t="s">
        <v>315</v>
      </c>
      <c r="M36" s="178" t="s">
        <v>521</v>
      </c>
      <c r="N36" s="177" t="s">
        <v>432</v>
      </c>
      <c r="O36" s="178"/>
    </row>
    <row r="37" spans="1:15" ht="15.75" customHeight="1">
      <c r="A37" s="244">
        <v>44533</v>
      </c>
      <c r="B37" s="184" t="s">
        <v>31</v>
      </c>
      <c r="C37" s="178" t="s">
        <v>76</v>
      </c>
      <c r="E37" s="224"/>
      <c r="F37" s="250">
        <v>15000</v>
      </c>
      <c r="G37" s="201">
        <f t="shared" si="1"/>
        <v>22892160</v>
      </c>
      <c r="H37" s="178" t="s">
        <v>25</v>
      </c>
      <c r="I37" s="184" t="s">
        <v>194</v>
      </c>
      <c r="J37" s="211"/>
      <c r="L37" s="178" t="s">
        <v>315</v>
      </c>
      <c r="O37" s="178"/>
    </row>
    <row r="38" spans="1:15" ht="15.75" customHeight="1">
      <c r="A38" s="241">
        <v>44533</v>
      </c>
      <c r="B38" s="178" t="s">
        <v>196</v>
      </c>
      <c r="C38" s="178" t="s">
        <v>76</v>
      </c>
      <c r="D38" s="208"/>
      <c r="E38" s="225"/>
      <c r="F38" s="230">
        <v>15000</v>
      </c>
      <c r="G38" s="201">
        <f t="shared" si="1"/>
        <v>22877160</v>
      </c>
      <c r="H38" s="178" t="s">
        <v>25</v>
      </c>
      <c r="I38" s="184" t="s">
        <v>194</v>
      </c>
      <c r="L38" s="178" t="s">
        <v>315</v>
      </c>
      <c r="O38" s="178"/>
    </row>
    <row r="39" spans="1:15" ht="15.75" customHeight="1">
      <c r="A39" s="241">
        <v>44533</v>
      </c>
      <c r="B39" s="178" t="s">
        <v>201</v>
      </c>
      <c r="C39" s="178" t="s">
        <v>218</v>
      </c>
      <c r="D39" s="178" t="s">
        <v>190</v>
      </c>
      <c r="E39" s="223"/>
      <c r="F39" s="212">
        <v>5300</v>
      </c>
      <c r="G39" s="201">
        <f t="shared" si="1"/>
        <v>22871860</v>
      </c>
      <c r="H39" s="178" t="s">
        <v>25</v>
      </c>
      <c r="I39" s="178" t="s">
        <v>193</v>
      </c>
      <c r="J39" s="184" t="s">
        <v>103</v>
      </c>
      <c r="K39" s="178" t="s">
        <v>408</v>
      </c>
      <c r="L39" s="178" t="s">
        <v>315</v>
      </c>
      <c r="M39" s="178" t="s">
        <v>522</v>
      </c>
      <c r="N39" s="177" t="s">
        <v>416</v>
      </c>
      <c r="O39" s="178"/>
    </row>
    <row r="40" spans="1:15" ht="15.75" customHeight="1">
      <c r="A40" s="246">
        <v>44532</v>
      </c>
      <c r="B40" s="209" t="s">
        <v>286</v>
      </c>
      <c r="C40" s="178" t="s">
        <v>3</v>
      </c>
      <c r="D40" s="185" t="s">
        <v>190</v>
      </c>
      <c r="E40" s="225"/>
      <c r="F40" s="214">
        <v>260000</v>
      </c>
      <c r="G40" s="201">
        <f t="shared" si="1"/>
        <v>22611860</v>
      </c>
      <c r="H40" s="210" t="s">
        <v>24</v>
      </c>
      <c r="I40" s="184">
        <v>3654464</v>
      </c>
      <c r="J40" s="178" t="s">
        <v>169</v>
      </c>
      <c r="K40" s="210" t="s">
        <v>407</v>
      </c>
      <c r="L40" s="178" t="s">
        <v>315</v>
      </c>
      <c r="N40" s="178"/>
      <c r="O40" s="178"/>
    </row>
    <row r="41" spans="1:15" ht="15.75" customHeight="1">
      <c r="A41" s="241">
        <v>44533</v>
      </c>
      <c r="B41" s="178" t="s">
        <v>202</v>
      </c>
      <c r="C41" s="178" t="s">
        <v>167</v>
      </c>
      <c r="D41" s="178" t="s">
        <v>195</v>
      </c>
      <c r="E41" s="223"/>
      <c r="F41" s="212">
        <v>10000</v>
      </c>
      <c r="G41" s="201">
        <f t="shared" si="1"/>
        <v>22601860</v>
      </c>
      <c r="H41" s="178" t="s">
        <v>25</v>
      </c>
      <c r="I41" s="184" t="s">
        <v>194</v>
      </c>
      <c r="J41" s="184" t="s">
        <v>169</v>
      </c>
      <c r="K41" s="178" t="s">
        <v>407</v>
      </c>
      <c r="L41" s="178" t="s">
        <v>315</v>
      </c>
      <c r="O41" s="178"/>
    </row>
    <row r="42" spans="1:15" ht="15.75" customHeight="1">
      <c r="A42" s="242">
        <v>44533</v>
      </c>
      <c r="B42" s="185" t="s">
        <v>203</v>
      </c>
      <c r="C42" s="178" t="s">
        <v>167</v>
      </c>
      <c r="D42" s="178" t="s">
        <v>195</v>
      </c>
      <c r="E42" s="226"/>
      <c r="F42" s="213">
        <v>15000</v>
      </c>
      <c r="G42" s="201">
        <f t="shared" si="1"/>
        <v>22586860</v>
      </c>
      <c r="H42" s="207" t="s">
        <v>25</v>
      </c>
      <c r="I42" s="184" t="s">
        <v>194</v>
      </c>
      <c r="J42" s="184" t="s">
        <v>169</v>
      </c>
      <c r="K42" s="178" t="s">
        <v>407</v>
      </c>
      <c r="L42" s="178" t="s">
        <v>315</v>
      </c>
      <c r="O42" s="178"/>
    </row>
    <row r="43" spans="1:15" ht="15.75" customHeight="1">
      <c r="A43" s="241">
        <v>44533</v>
      </c>
      <c r="B43" s="178" t="s">
        <v>154</v>
      </c>
      <c r="C43" s="178" t="s">
        <v>76</v>
      </c>
      <c r="E43" s="223"/>
      <c r="F43" s="250">
        <v>5000</v>
      </c>
      <c r="G43" s="201">
        <f t="shared" si="1"/>
        <v>22581860</v>
      </c>
      <c r="H43" s="178" t="s">
        <v>25</v>
      </c>
      <c r="I43" s="184" t="s">
        <v>194</v>
      </c>
      <c r="L43" s="178" t="s">
        <v>315</v>
      </c>
      <c r="O43" s="178"/>
    </row>
    <row r="44" spans="1:15" ht="15" customHeight="1">
      <c r="A44" s="241">
        <v>44533</v>
      </c>
      <c r="B44" s="178" t="s">
        <v>341</v>
      </c>
      <c r="C44" s="178" t="s">
        <v>76</v>
      </c>
      <c r="E44" s="223">
        <v>15000</v>
      </c>
      <c r="F44" s="250"/>
      <c r="G44" s="201">
        <f t="shared" si="1"/>
        <v>22596860</v>
      </c>
      <c r="H44" s="178" t="s">
        <v>48</v>
      </c>
      <c r="I44" s="184" t="s">
        <v>194</v>
      </c>
      <c r="L44" s="178" t="s">
        <v>315</v>
      </c>
      <c r="O44" s="178"/>
    </row>
    <row r="45" spans="1:15" ht="15" customHeight="1">
      <c r="A45" s="242">
        <v>44533</v>
      </c>
      <c r="B45" s="185" t="s">
        <v>204</v>
      </c>
      <c r="C45" s="178" t="s">
        <v>167</v>
      </c>
      <c r="D45" s="178" t="s">
        <v>195</v>
      </c>
      <c r="E45" s="226"/>
      <c r="F45" s="213">
        <v>30000</v>
      </c>
      <c r="G45" s="201">
        <f t="shared" si="1"/>
        <v>22566860</v>
      </c>
      <c r="H45" s="206" t="s">
        <v>25</v>
      </c>
      <c r="I45" s="184" t="s">
        <v>194</v>
      </c>
      <c r="J45" s="184" t="s">
        <v>169</v>
      </c>
      <c r="K45" s="178" t="s">
        <v>407</v>
      </c>
      <c r="L45" s="178" t="s">
        <v>315</v>
      </c>
      <c r="O45" s="178"/>
    </row>
    <row r="46" spans="1:15" ht="15" customHeight="1">
      <c r="A46" s="243">
        <v>44533</v>
      </c>
      <c r="B46" s="178" t="s">
        <v>381</v>
      </c>
      <c r="C46" s="178" t="s">
        <v>34</v>
      </c>
      <c r="D46" s="229" t="s">
        <v>4</v>
      </c>
      <c r="E46" s="178"/>
      <c r="F46" s="178">
        <v>10000</v>
      </c>
      <c r="G46" s="201">
        <f t="shared" si="1"/>
        <v>22556860</v>
      </c>
      <c r="H46" s="230" t="s">
        <v>49</v>
      </c>
      <c r="I46" s="178" t="s">
        <v>193</v>
      </c>
      <c r="J46" s="231" t="s">
        <v>169</v>
      </c>
      <c r="K46" s="231" t="s">
        <v>407</v>
      </c>
      <c r="L46" s="178" t="s">
        <v>315</v>
      </c>
      <c r="M46" s="231"/>
      <c r="N46" s="231"/>
      <c r="O46" s="231"/>
    </row>
    <row r="47" spans="1:15" ht="15" customHeight="1">
      <c r="A47" s="245">
        <v>44533</v>
      </c>
      <c r="B47" s="232" t="s">
        <v>357</v>
      </c>
      <c r="C47" s="232" t="s">
        <v>76</v>
      </c>
      <c r="D47" s="232"/>
      <c r="E47" s="233">
        <v>15000</v>
      </c>
      <c r="F47" s="252"/>
      <c r="G47" s="201">
        <f t="shared" si="1"/>
        <v>22571860</v>
      </c>
      <c r="H47" s="232" t="s">
        <v>31</v>
      </c>
      <c r="I47" s="184" t="s">
        <v>194</v>
      </c>
      <c r="J47" s="232"/>
      <c r="K47" s="222"/>
      <c r="L47" s="178" t="s">
        <v>315</v>
      </c>
      <c r="M47" s="232"/>
      <c r="N47" s="232"/>
      <c r="O47" s="232"/>
    </row>
    <row r="48" spans="1:15" ht="15" customHeight="1">
      <c r="A48" s="241">
        <v>44533</v>
      </c>
      <c r="B48" s="178" t="s">
        <v>494</v>
      </c>
      <c r="C48" s="178" t="s">
        <v>34</v>
      </c>
      <c r="D48" s="229" t="s">
        <v>4</v>
      </c>
      <c r="E48" s="178"/>
      <c r="F48" s="199">
        <v>10000</v>
      </c>
      <c r="G48" s="201">
        <f t="shared" si="1"/>
        <v>22561860</v>
      </c>
      <c r="H48" s="178" t="s">
        <v>29</v>
      </c>
      <c r="I48" s="178" t="s">
        <v>193</v>
      </c>
      <c r="J48" s="178" t="s">
        <v>103</v>
      </c>
      <c r="K48" s="178" t="s">
        <v>408</v>
      </c>
      <c r="L48" s="178" t="s">
        <v>315</v>
      </c>
      <c r="M48" s="178" t="s">
        <v>523</v>
      </c>
      <c r="N48" s="177" t="s">
        <v>429</v>
      </c>
      <c r="O48" s="178"/>
    </row>
    <row r="49" spans="1:15" ht="15" customHeight="1">
      <c r="A49" s="241">
        <v>44533</v>
      </c>
      <c r="B49" s="178" t="s">
        <v>433</v>
      </c>
      <c r="C49" s="178" t="s">
        <v>76</v>
      </c>
      <c r="E49" s="196">
        <v>5000</v>
      </c>
      <c r="G49" s="201">
        <f t="shared" si="1"/>
        <v>22566860</v>
      </c>
      <c r="H49" s="178" t="s">
        <v>154</v>
      </c>
      <c r="I49" s="184" t="s">
        <v>194</v>
      </c>
      <c r="L49" s="178" t="s">
        <v>315</v>
      </c>
      <c r="O49" s="178"/>
    </row>
    <row r="50" spans="1:15" ht="15" customHeight="1">
      <c r="A50" s="243">
        <v>44533</v>
      </c>
      <c r="B50" s="178" t="s">
        <v>382</v>
      </c>
      <c r="C50" s="178" t="s">
        <v>34</v>
      </c>
      <c r="D50" s="229" t="s">
        <v>4</v>
      </c>
      <c r="E50" s="178"/>
      <c r="F50" s="178">
        <v>5000</v>
      </c>
      <c r="G50" s="201">
        <f t="shared" si="1"/>
        <v>22561860</v>
      </c>
      <c r="H50" s="230" t="s">
        <v>49</v>
      </c>
      <c r="I50" s="178" t="s">
        <v>193</v>
      </c>
      <c r="J50" s="231" t="s">
        <v>169</v>
      </c>
      <c r="K50" s="231" t="s">
        <v>407</v>
      </c>
      <c r="L50" s="178" t="s">
        <v>315</v>
      </c>
      <c r="M50" s="231"/>
      <c r="N50" s="231"/>
      <c r="O50" s="231"/>
    </row>
    <row r="51" spans="1:15" ht="15" customHeight="1">
      <c r="A51" s="241">
        <v>44533</v>
      </c>
      <c r="B51" s="178" t="s">
        <v>434</v>
      </c>
      <c r="C51" s="178" t="s">
        <v>35</v>
      </c>
      <c r="D51" s="178" t="s">
        <v>190</v>
      </c>
      <c r="F51" s="248">
        <v>3000</v>
      </c>
      <c r="G51" s="201">
        <f t="shared" si="1"/>
        <v>22558860</v>
      </c>
      <c r="H51" s="178" t="s">
        <v>154</v>
      </c>
      <c r="I51" s="184" t="s">
        <v>193</v>
      </c>
      <c r="J51" s="184" t="s">
        <v>169</v>
      </c>
      <c r="K51" s="178" t="s">
        <v>407</v>
      </c>
      <c r="L51" s="178" t="s">
        <v>315</v>
      </c>
      <c r="O51" s="178"/>
    </row>
    <row r="52" spans="1:15" ht="15" customHeight="1">
      <c r="A52" s="241">
        <v>44534</v>
      </c>
      <c r="B52" s="178" t="s">
        <v>189</v>
      </c>
      <c r="C52" s="178" t="s">
        <v>76</v>
      </c>
      <c r="E52" s="223"/>
      <c r="F52" s="250">
        <v>10000</v>
      </c>
      <c r="G52" s="201">
        <f t="shared" si="1"/>
        <v>22548860</v>
      </c>
      <c r="H52" s="178" t="s">
        <v>25</v>
      </c>
      <c r="I52" s="184" t="s">
        <v>194</v>
      </c>
      <c r="L52" s="178" t="s">
        <v>315</v>
      </c>
      <c r="O52" s="178"/>
    </row>
    <row r="53" spans="1:15" ht="15" customHeight="1">
      <c r="A53" s="241">
        <v>44534</v>
      </c>
      <c r="B53" s="178" t="s">
        <v>165</v>
      </c>
      <c r="C53" s="178" t="s">
        <v>76</v>
      </c>
      <c r="E53" s="223"/>
      <c r="F53" s="250">
        <v>4000</v>
      </c>
      <c r="G53" s="201">
        <f t="shared" si="1"/>
        <v>22544860</v>
      </c>
      <c r="H53" s="178" t="s">
        <v>25</v>
      </c>
      <c r="I53" s="184" t="s">
        <v>194</v>
      </c>
      <c r="L53" s="178" t="s">
        <v>315</v>
      </c>
      <c r="O53" s="178"/>
    </row>
    <row r="54" spans="1:15" ht="15" customHeight="1">
      <c r="A54" s="241">
        <v>44534</v>
      </c>
      <c r="B54" s="178" t="s">
        <v>205</v>
      </c>
      <c r="C54" s="178" t="s">
        <v>628</v>
      </c>
      <c r="D54" s="178" t="s">
        <v>190</v>
      </c>
      <c r="E54" s="223"/>
      <c r="F54" s="212">
        <v>25000</v>
      </c>
      <c r="G54" s="201">
        <f t="shared" si="1"/>
        <v>22519860</v>
      </c>
      <c r="H54" s="178" t="s">
        <v>25</v>
      </c>
      <c r="I54" s="178" t="s">
        <v>193</v>
      </c>
      <c r="J54" s="184" t="s">
        <v>103</v>
      </c>
      <c r="K54" s="178" t="s">
        <v>408</v>
      </c>
      <c r="L54" s="178" t="s">
        <v>315</v>
      </c>
      <c r="M54" s="178" t="s">
        <v>524</v>
      </c>
      <c r="N54" s="177" t="s">
        <v>419</v>
      </c>
      <c r="O54" s="178"/>
    </row>
    <row r="55" spans="1:15" ht="15" customHeight="1">
      <c r="A55" s="244">
        <v>44534</v>
      </c>
      <c r="B55" s="184" t="s">
        <v>196</v>
      </c>
      <c r="C55" s="178" t="s">
        <v>76</v>
      </c>
      <c r="E55" s="224"/>
      <c r="F55" s="250">
        <v>25000</v>
      </c>
      <c r="G55" s="201">
        <f t="shared" si="1"/>
        <v>22494860</v>
      </c>
      <c r="H55" s="178" t="s">
        <v>25</v>
      </c>
      <c r="I55" s="184" t="s">
        <v>194</v>
      </c>
      <c r="L55" s="178" t="s">
        <v>315</v>
      </c>
      <c r="O55" s="178"/>
    </row>
    <row r="56" spans="1:15" ht="15" customHeight="1">
      <c r="A56" s="241">
        <v>44534</v>
      </c>
      <c r="B56" s="178" t="s">
        <v>638</v>
      </c>
      <c r="C56" s="178" t="s">
        <v>167</v>
      </c>
      <c r="D56" s="178" t="s">
        <v>195</v>
      </c>
      <c r="E56" s="223"/>
      <c r="F56" s="212">
        <v>50000</v>
      </c>
      <c r="G56" s="201">
        <f t="shared" si="1"/>
        <v>22444860</v>
      </c>
      <c r="H56" s="178" t="s">
        <v>25</v>
      </c>
      <c r="I56" s="184" t="s">
        <v>193</v>
      </c>
      <c r="J56" s="184" t="s">
        <v>169</v>
      </c>
      <c r="K56" s="178" t="s">
        <v>407</v>
      </c>
      <c r="L56" s="178" t="s">
        <v>315</v>
      </c>
      <c r="O56" s="178"/>
    </row>
    <row r="57" spans="1:15" ht="15" customHeight="1">
      <c r="A57" s="241">
        <v>44534</v>
      </c>
      <c r="B57" s="178" t="s">
        <v>206</v>
      </c>
      <c r="C57" s="178" t="s">
        <v>167</v>
      </c>
      <c r="D57" s="178" t="s">
        <v>195</v>
      </c>
      <c r="E57" s="225"/>
      <c r="F57" s="214">
        <v>15000</v>
      </c>
      <c r="G57" s="201">
        <f t="shared" si="1"/>
        <v>22429860</v>
      </c>
      <c r="H57" s="178" t="s">
        <v>25</v>
      </c>
      <c r="I57" s="184" t="s">
        <v>194</v>
      </c>
      <c r="J57" s="184" t="s">
        <v>169</v>
      </c>
      <c r="K57" s="178" t="s">
        <v>407</v>
      </c>
      <c r="L57" s="178" t="s">
        <v>315</v>
      </c>
      <c r="M57" s="184"/>
      <c r="O57" s="178"/>
    </row>
    <row r="58" spans="1:15" ht="15" customHeight="1">
      <c r="A58" s="241">
        <v>44534</v>
      </c>
      <c r="B58" s="178" t="s">
        <v>207</v>
      </c>
      <c r="C58" s="178" t="s">
        <v>35</v>
      </c>
      <c r="D58" s="208" t="s">
        <v>190</v>
      </c>
      <c r="E58" s="225"/>
      <c r="F58" s="214">
        <v>8000</v>
      </c>
      <c r="G58" s="201">
        <f t="shared" si="1"/>
        <v>22421860</v>
      </c>
      <c r="H58" s="178" t="s">
        <v>25</v>
      </c>
      <c r="I58" s="178" t="s">
        <v>193</v>
      </c>
      <c r="J58" s="184" t="s">
        <v>169</v>
      </c>
      <c r="K58" s="178" t="s">
        <v>407</v>
      </c>
      <c r="L58" s="178" t="s">
        <v>315</v>
      </c>
      <c r="M58" s="184"/>
      <c r="O58" s="178"/>
    </row>
    <row r="59" spans="1:15" ht="15" customHeight="1">
      <c r="A59" s="241">
        <v>44534</v>
      </c>
      <c r="B59" s="178" t="s">
        <v>209</v>
      </c>
      <c r="C59" s="178" t="s">
        <v>178</v>
      </c>
      <c r="D59" s="178" t="s">
        <v>195</v>
      </c>
      <c r="E59" s="225"/>
      <c r="F59" s="215">
        <v>80000</v>
      </c>
      <c r="G59" s="201">
        <f t="shared" si="1"/>
        <v>22341860</v>
      </c>
      <c r="H59" s="178" t="s">
        <v>25</v>
      </c>
      <c r="I59" s="178" t="s">
        <v>193</v>
      </c>
      <c r="J59" s="184" t="s">
        <v>103</v>
      </c>
      <c r="K59" s="178" t="s">
        <v>408</v>
      </c>
      <c r="L59" s="178" t="s">
        <v>315</v>
      </c>
      <c r="M59" s="178" t="s">
        <v>525</v>
      </c>
      <c r="N59" s="177" t="s">
        <v>413</v>
      </c>
      <c r="O59" s="178"/>
    </row>
    <row r="60" spans="1:15" ht="15" customHeight="1">
      <c r="A60" s="241">
        <v>44534</v>
      </c>
      <c r="B60" s="178" t="s">
        <v>208</v>
      </c>
      <c r="C60" s="178" t="s">
        <v>505</v>
      </c>
      <c r="D60" s="178" t="s">
        <v>195</v>
      </c>
      <c r="E60" s="225"/>
      <c r="F60" s="214">
        <v>69900</v>
      </c>
      <c r="G60" s="201">
        <f t="shared" si="1"/>
        <v>22271960</v>
      </c>
      <c r="H60" s="178" t="s">
        <v>25</v>
      </c>
      <c r="I60" s="178" t="s">
        <v>193</v>
      </c>
      <c r="J60" s="184" t="s">
        <v>169</v>
      </c>
      <c r="K60" s="178" t="s">
        <v>407</v>
      </c>
      <c r="L60" s="178" t="s">
        <v>315</v>
      </c>
      <c r="O60" s="178"/>
    </row>
    <row r="61" spans="1:15" ht="15" customHeight="1">
      <c r="A61" s="246">
        <v>44534</v>
      </c>
      <c r="B61" s="178" t="s">
        <v>297</v>
      </c>
      <c r="C61" s="178" t="s">
        <v>76</v>
      </c>
      <c r="D61" s="209"/>
      <c r="E61" s="227">
        <v>10000</v>
      </c>
      <c r="F61" s="253"/>
      <c r="G61" s="201">
        <f t="shared" si="1"/>
        <v>22281960</v>
      </c>
      <c r="H61" s="210" t="s">
        <v>155</v>
      </c>
      <c r="I61" s="184" t="s">
        <v>194</v>
      </c>
      <c r="J61" s="219"/>
      <c r="K61" s="210"/>
      <c r="L61" s="178" t="s">
        <v>315</v>
      </c>
      <c r="N61" s="178"/>
      <c r="O61" s="178"/>
    </row>
    <row r="62" spans="1:15" ht="15" customHeight="1">
      <c r="A62" s="241">
        <v>44534</v>
      </c>
      <c r="B62" s="178" t="s">
        <v>210</v>
      </c>
      <c r="C62" s="178" t="s">
        <v>505</v>
      </c>
      <c r="D62" s="178" t="s">
        <v>195</v>
      </c>
      <c r="E62" s="225"/>
      <c r="F62" s="215">
        <v>36000</v>
      </c>
      <c r="G62" s="201">
        <f t="shared" si="1"/>
        <v>22245960</v>
      </c>
      <c r="H62" s="178" t="s">
        <v>25</v>
      </c>
      <c r="I62" s="178" t="s">
        <v>193</v>
      </c>
      <c r="J62" s="184" t="s">
        <v>169</v>
      </c>
      <c r="K62" s="178" t="s">
        <v>407</v>
      </c>
      <c r="L62" s="178" t="s">
        <v>315</v>
      </c>
      <c r="O62" s="178"/>
    </row>
    <row r="63" spans="1:15" ht="15" customHeight="1">
      <c r="A63" s="242">
        <v>44534</v>
      </c>
      <c r="B63" s="185" t="s">
        <v>298</v>
      </c>
      <c r="C63" s="178" t="s">
        <v>35</v>
      </c>
      <c r="D63" s="178" t="s">
        <v>190</v>
      </c>
      <c r="E63" s="226"/>
      <c r="F63" s="213">
        <v>1950</v>
      </c>
      <c r="G63" s="201">
        <f t="shared" si="1"/>
        <v>22244010</v>
      </c>
      <c r="H63" s="207" t="s">
        <v>155</v>
      </c>
      <c r="I63" s="178" t="s">
        <v>193</v>
      </c>
      <c r="J63" s="184" t="s">
        <v>169</v>
      </c>
      <c r="K63" s="178" t="s">
        <v>407</v>
      </c>
      <c r="L63" s="178" t="s">
        <v>315</v>
      </c>
      <c r="O63" s="178"/>
    </row>
    <row r="64" spans="1:15" ht="15" customHeight="1">
      <c r="A64" s="241">
        <v>44534</v>
      </c>
      <c r="B64" s="178" t="s">
        <v>341</v>
      </c>
      <c r="C64" s="178" t="s">
        <v>76</v>
      </c>
      <c r="E64" s="223">
        <v>25000</v>
      </c>
      <c r="F64" s="250"/>
      <c r="G64" s="201">
        <f t="shared" si="1"/>
        <v>22269010</v>
      </c>
      <c r="H64" s="178" t="s">
        <v>48</v>
      </c>
      <c r="I64" s="184" t="s">
        <v>194</v>
      </c>
      <c r="L64" s="178" t="s">
        <v>315</v>
      </c>
      <c r="O64" s="178"/>
    </row>
    <row r="65" spans="1:15" ht="15" customHeight="1">
      <c r="A65" s="241">
        <v>44534</v>
      </c>
      <c r="B65" s="178" t="s">
        <v>331</v>
      </c>
      <c r="C65" s="178" t="s">
        <v>159</v>
      </c>
      <c r="D65" s="229" t="s">
        <v>4</v>
      </c>
      <c r="E65" s="223"/>
      <c r="F65" s="212">
        <v>30000</v>
      </c>
      <c r="G65" s="201">
        <f t="shared" si="1"/>
        <v>22239010</v>
      </c>
      <c r="H65" s="178" t="s">
        <v>176</v>
      </c>
      <c r="I65" s="178" t="s">
        <v>193</v>
      </c>
      <c r="J65" s="184" t="s">
        <v>169</v>
      </c>
      <c r="K65" s="184" t="s">
        <v>407</v>
      </c>
      <c r="L65" s="178" t="s">
        <v>315</v>
      </c>
      <c r="O65" s="178"/>
    </row>
    <row r="66" spans="1:15" ht="15" customHeight="1">
      <c r="A66" s="241">
        <v>44534</v>
      </c>
      <c r="B66" s="178" t="s">
        <v>495</v>
      </c>
      <c r="C66" s="178" t="s">
        <v>34</v>
      </c>
      <c r="D66" s="229" t="s">
        <v>4</v>
      </c>
      <c r="E66" s="178"/>
      <c r="F66" s="199">
        <v>5000</v>
      </c>
      <c r="G66" s="201">
        <f t="shared" si="1"/>
        <v>22234010</v>
      </c>
      <c r="H66" s="178" t="s">
        <v>29</v>
      </c>
      <c r="I66" s="178" t="s">
        <v>193</v>
      </c>
      <c r="J66" s="231" t="s">
        <v>103</v>
      </c>
      <c r="K66" s="231" t="s">
        <v>408</v>
      </c>
      <c r="L66" s="178" t="s">
        <v>315</v>
      </c>
      <c r="M66" s="178" t="s">
        <v>526</v>
      </c>
      <c r="N66" s="257" t="s">
        <v>429</v>
      </c>
      <c r="O66" s="231"/>
    </row>
    <row r="67" spans="1:15" ht="15" customHeight="1">
      <c r="A67" s="241">
        <v>44534</v>
      </c>
      <c r="B67" s="178" t="s">
        <v>636</v>
      </c>
      <c r="C67" s="178" t="s">
        <v>159</v>
      </c>
      <c r="D67" s="229" t="s">
        <v>4</v>
      </c>
      <c r="E67" s="178"/>
      <c r="F67" s="199">
        <v>15000</v>
      </c>
      <c r="G67" s="201">
        <f t="shared" si="1"/>
        <v>22219010</v>
      </c>
      <c r="H67" s="178" t="s">
        <v>29</v>
      </c>
      <c r="I67" s="178" t="s">
        <v>193</v>
      </c>
      <c r="J67" s="178" t="s">
        <v>103</v>
      </c>
      <c r="K67" s="178" t="s">
        <v>408</v>
      </c>
      <c r="L67" s="178" t="s">
        <v>315</v>
      </c>
      <c r="M67" s="178" t="s">
        <v>527</v>
      </c>
      <c r="N67" s="177" t="s">
        <v>432</v>
      </c>
      <c r="O67" s="178"/>
    </row>
    <row r="68" spans="1:15" ht="15" customHeight="1">
      <c r="A68" s="242">
        <v>44534</v>
      </c>
      <c r="B68" s="185" t="s">
        <v>314</v>
      </c>
      <c r="C68" s="178" t="s">
        <v>76</v>
      </c>
      <c r="D68" s="206"/>
      <c r="E68" s="226">
        <v>4000</v>
      </c>
      <c r="F68" s="255"/>
      <c r="G68" s="201">
        <f t="shared" si="1"/>
        <v>22223010</v>
      </c>
      <c r="H68" s="185" t="s">
        <v>165</v>
      </c>
      <c r="I68" s="184" t="s">
        <v>194</v>
      </c>
      <c r="L68" s="178" t="s">
        <v>315</v>
      </c>
      <c r="O68" s="178"/>
    </row>
    <row r="69" spans="1:15" ht="15" customHeight="1">
      <c r="A69" s="242">
        <v>44535</v>
      </c>
      <c r="B69" s="185" t="s">
        <v>211</v>
      </c>
      <c r="C69" s="178" t="s">
        <v>76</v>
      </c>
      <c r="D69" s="185"/>
      <c r="E69" s="226"/>
      <c r="F69" s="254">
        <v>733000</v>
      </c>
      <c r="G69" s="201">
        <f t="shared" si="1"/>
        <v>21490010</v>
      </c>
      <c r="H69" s="207" t="s">
        <v>25</v>
      </c>
      <c r="I69" s="184" t="s">
        <v>194</v>
      </c>
      <c r="J69" s="218"/>
      <c r="K69" s="207"/>
      <c r="L69" s="178" t="s">
        <v>315</v>
      </c>
      <c r="O69" s="177"/>
    </row>
    <row r="70" spans="1:15" ht="15" customHeight="1">
      <c r="A70" s="241">
        <v>44535</v>
      </c>
      <c r="B70" s="178" t="s">
        <v>114</v>
      </c>
      <c r="C70" s="178" t="s">
        <v>76</v>
      </c>
      <c r="E70" s="225"/>
      <c r="F70" s="251">
        <v>185000</v>
      </c>
      <c r="G70" s="201">
        <f t="shared" si="1"/>
        <v>21305010</v>
      </c>
      <c r="H70" s="178" t="s">
        <v>25</v>
      </c>
      <c r="I70" s="184" t="s">
        <v>194</v>
      </c>
      <c r="L70" s="178" t="s">
        <v>315</v>
      </c>
      <c r="O70" s="178"/>
    </row>
    <row r="71" spans="1:15" ht="15" customHeight="1">
      <c r="A71" s="241">
        <v>44535</v>
      </c>
      <c r="B71" s="178" t="s">
        <v>196</v>
      </c>
      <c r="C71" s="178" t="s">
        <v>76</v>
      </c>
      <c r="E71" s="223"/>
      <c r="F71" s="250">
        <v>185000</v>
      </c>
      <c r="G71" s="201">
        <f t="shared" si="1"/>
        <v>21120010</v>
      </c>
      <c r="H71" s="178" t="s">
        <v>25</v>
      </c>
      <c r="I71" s="184" t="s">
        <v>194</v>
      </c>
      <c r="L71" s="178" t="s">
        <v>315</v>
      </c>
      <c r="O71" s="178"/>
    </row>
    <row r="72" spans="1:15" ht="15" customHeight="1">
      <c r="A72" s="241">
        <v>44535</v>
      </c>
      <c r="B72" s="178" t="s">
        <v>31</v>
      </c>
      <c r="C72" s="178" t="s">
        <v>76</v>
      </c>
      <c r="E72" s="223"/>
      <c r="F72" s="250">
        <v>136000</v>
      </c>
      <c r="G72" s="201">
        <f t="shared" si="1"/>
        <v>20984010</v>
      </c>
      <c r="H72" s="178" t="s">
        <v>25</v>
      </c>
      <c r="I72" s="184" t="s">
        <v>194</v>
      </c>
      <c r="L72" s="178" t="s">
        <v>315</v>
      </c>
      <c r="O72" s="178"/>
    </row>
    <row r="73" spans="1:15" ht="15" customHeight="1">
      <c r="A73" s="241">
        <v>44535</v>
      </c>
      <c r="B73" s="178" t="s">
        <v>188</v>
      </c>
      <c r="C73" s="178" t="s">
        <v>76</v>
      </c>
      <c r="E73" s="223"/>
      <c r="F73" s="250">
        <v>45000</v>
      </c>
      <c r="G73" s="201">
        <f t="shared" si="1"/>
        <v>20939010</v>
      </c>
      <c r="H73" s="178" t="s">
        <v>25</v>
      </c>
      <c r="I73" s="184" t="s">
        <v>194</v>
      </c>
      <c r="L73" s="178" t="s">
        <v>315</v>
      </c>
      <c r="O73" s="178"/>
    </row>
    <row r="74" spans="1:15" ht="15" customHeight="1">
      <c r="A74" s="241">
        <v>44535</v>
      </c>
      <c r="B74" s="178" t="s">
        <v>29</v>
      </c>
      <c r="C74" s="178" t="s">
        <v>76</v>
      </c>
      <c r="E74" s="225"/>
      <c r="F74" s="230">
        <v>53000</v>
      </c>
      <c r="G74" s="201">
        <f t="shared" si="1"/>
        <v>20886010</v>
      </c>
      <c r="H74" s="178" t="s">
        <v>25</v>
      </c>
      <c r="I74" s="184" t="s">
        <v>194</v>
      </c>
      <c r="L74" s="178" t="s">
        <v>315</v>
      </c>
      <c r="O74" s="178"/>
    </row>
    <row r="75" spans="1:15" ht="15" customHeight="1">
      <c r="A75" s="241">
        <v>44535</v>
      </c>
      <c r="B75" s="178" t="s">
        <v>341</v>
      </c>
      <c r="C75" s="178" t="s">
        <v>76</v>
      </c>
      <c r="E75" s="223">
        <v>185000</v>
      </c>
      <c r="F75" s="250"/>
      <c r="G75" s="201">
        <f t="shared" si="1"/>
        <v>21071010</v>
      </c>
      <c r="H75" s="178" t="s">
        <v>48</v>
      </c>
      <c r="I75" s="184" t="s">
        <v>194</v>
      </c>
      <c r="L75" s="178" t="s">
        <v>315</v>
      </c>
      <c r="O75" s="178"/>
    </row>
    <row r="76" spans="1:15" ht="15" customHeight="1">
      <c r="A76" s="241">
        <v>44535</v>
      </c>
      <c r="B76" s="178" t="s">
        <v>480</v>
      </c>
      <c r="C76" s="178" t="s">
        <v>159</v>
      </c>
      <c r="D76" s="178" t="s">
        <v>2</v>
      </c>
      <c r="E76" s="223"/>
      <c r="F76" s="212">
        <v>110000</v>
      </c>
      <c r="G76" s="201">
        <f t="shared" si="1"/>
        <v>20961010</v>
      </c>
      <c r="H76" s="178" t="s">
        <v>48</v>
      </c>
      <c r="I76" s="184" t="s">
        <v>194</v>
      </c>
      <c r="J76" s="178" t="s">
        <v>103</v>
      </c>
      <c r="K76" s="178" t="s">
        <v>408</v>
      </c>
      <c r="L76" s="178" t="s">
        <v>315</v>
      </c>
      <c r="M76" s="178" t="s">
        <v>528</v>
      </c>
      <c r="N76" s="177" t="s">
        <v>432</v>
      </c>
      <c r="O76" s="178"/>
    </row>
    <row r="77" spans="1:15" ht="15" customHeight="1">
      <c r="A77" s="242">
        <v>44535</v>
      </c>
      <c r="B77" s="235" t="s">
        <v>371</v>
      </c>
      <c r="C77" s="236" t="s">
        <v>76</v>
      </c>
      <c r="E77" s="237">
        <v>733000</v>
      </c>
      <c r="F77" s="238"/>
      <c r="G77" s="201">
        <f t="shared" si="1"/>
        <v>21694010</v>
      </c>
      <c r="H77" s="235" t="s">
        <v>114</v>
      </c>
      <c r="I77" s="184" t="s">
        <v>194</v>
      </c>
      <c r="J77" s="240"/>
      <c r="K77" s="235"/>
      <c r="L77" s="178" t="s">
        <v>315</v>
      </c>
      <c r="M77" s="240"/>
      <c r="N77" s="240"/>
      <c r="O77" s="240"/>
    </row>
    <row r="78" spans="1:15" ht="15" customHeight="1">
      <c r="A78" s="242">
        <v>44535</v>
      </c>
      <c r="B78" s="235" t="s">
        <v>371</v>
      </c>
      <c r="C78" s="236" t="s">
        <v>76</v>
      </c>
      <c r="E78" s="237">
        <v>185000</v>
      </c>
      <c r="F78" s="238"/>
      <c r="G78" s="201">
        <f t="shared" si="1"/>
        <v>21879010</v>
      </c>
      <c r="H78" s="235" t="s">
        <v>114</v>
      </c>
      <c r="I78" s="184" t="s">
        <v>194</v>
      </c>
      <c r="J78" s="240"/>
      <c r="K78" s="235"/>
      <c r="L78" s="178" t="s">
        <v>315</v>
      </c>
      <c r="M78" s="240"/>
      <c r="N78" s="240"/>
      <c r="O78" s="240"/>
    </row>
    <row r="79" spans="1:15" ht="15" customHeight="1">
      <c r="A79" s="245">
        <v>44535</v>
      </c>
      <c r="B79" s="232" t="s">
        <v>357</v>
      </c>
      <c r="C79" s="232" t="s">
        <v>76</v>
      </c>
      <c r="D79" s="232"/>
      <c r="E79" s="233">
        <v>136000</v>
      </c>
      <c r="F79" s="252"/>
      <c r="G79" s="201">
        <f t="shared" ref="G79:G142" si="2">+G78+E79-F79</f>
        <v>22015010</v>
      </c>
      <c r="H79" s="232" t="s">
        <v>31</v>
      </c>
      <c r="I79" s="184" t="s">
        <v>194</v>
      </c>
      <c r="J79" s="232"/>
      <c r="K79" s="222"/>
      <c r="L79" s="178" t="s">
        <v>315</v>
      </c>
      <c r="M79" s="232"/>
      <c r="N79" s="232"/>
      <c r="O79" s="232"/>
    </row>
    <row r="80" spans="1:15" ht="15" customHeight="1">
      <c r="A80" s="245">
        <v>44535</v>
      </c>
      <c r="B80" s="232" t="s">
        <v>483</v>
      </c>
      <c r="C80" s="232" t="s">
        <v>34</v>
      </c>
      <c r="D80" s="232" t="s">
        <v>168</v>
      </c>
      <c r="E80" s="233"/>
      <c r="F80" s="233">
        <v>15000</v>
      </c>
      <c r="G80" s="201">
        <f t="shared" si="2"/>
        <v>22000010</v>
      </c>
      <c r="H80" s="232" t="s">
        <v>31</v>
      </c>
      <c r="I80" s="178" t="s">
        <v>193</v>
      </c>
      <c r="J80" s="232" t="s">
        <v>103</v>
      </c>
      <c r="K80" s="222" t="s">
        <v>408</v>
      </c>
      <c r="L80" s="178" t="s">
        <v>315</v>
      </c>
      <c r="M80" s="178" t="s">
        <v>529</v>
      </c>
      <c r="N80" s="259" t="s">
        <v>429</v>
      </c>
      <c r="O80" s="232"/>
    </row>
    <row r="81" spans="1:15" ht="15" customHeight="1">
      <c r="A81" s="241">
        <v>44534</v>
      </c>
      <c r="B81" s="178" t="s">
        <v>450</v>
      </c>
      <c r="C81" s="178" t="s">
        <v>34</v>
      </c>
      <c r="D81" s="178" t="s">
        <v>195</v>
      </c>
      <c r="E81" s="223"/>
      <c r="F81" s="212">
        <v>25000</v>
      </c>
      <c r="G81" s="201">
        <f t="shared" si="2"/>
        <v>21975010</v>
      </c>
      <c r="H81" s="178" t="s">
        <v>48</v>
      </c>
      <c r="I81" s="178" t="s">
        <v>193</v>
      </c>
      <c r="J81" s="184" t="s">
        <v>169</v>
      </c>
      <c r="K81" s="178" t="s">
        <v>407</v>
      </c>
      <c r="L81" s="178" t="s">
        <v>315</v>
      </c>
      <c r="O81" s="178"/>
    </row>
    <row r="82" spans="1:15" ht="15" customHeight="1">
      <c r="A82" s="242">
        <v>44536</v>
      </c>
      <c r="B82" s="185" t="s">
        <v>165</v>
      </c>
      <c r="C82" s="178" t="s">
        <v>76</v>
      </c>
      <c r="D82" s="185"/>
      <c r="E82" s="226"/>
      <c r="F82" s="254">
        <v>30000</v>
      </c>
      <c r="G82" s="201">
        <f t="shared" si="2"/>
        <v>21945010</v>
      </c>
      <c r="H82" s="207" t="s">
        <v>25</v>
      </c>
      <c r="I82" s="184" t="s">
        <v>194</v>
      </c>
      <c r="J82" s="218"/>
      <c r="K82" s="207"/>
      <c r="L82" s="178" t="s">
        <v>315</v>
      </c>
      <c r="O82" s="178"/>
    </row>
    <row r="83" spans="1:15" ht="15" customHeight="1">
      <c r="A83" s="241">
        <v>44536</v>
      </c>
      <c r="B83" s="178" t="s">
        <v>165</v>
      </c>
      <c r="C83" s="178" t="s">
        <v>76</v>
      </c>
      <c r="E83" s="225"/>
      <c r="F83" s="251">
        <v>11000</v>
      </c>
      <c r="G83" s="201">
        <f t="shared" si="2"/>
        <v>21934010</v>
      </c>
      <c r="H83" s="178" t="s">
        <v>25</v>
      </c>
      <c r="I83" s="184" t="s">
        <v>194</v>
      </c>
      <c r="K83" s="184"/>
      <c r="L83" s="178" t="s">
        <v>315</v>
      </c>
      <c r="M83" s="184"/>
      <c r="O83" s="178"/>
    </row>
    <row r="84" spans="1:15" ht="15" customHeight="1">
      <c r="A84" s="241">
        <v>44536</v>
      </c>
      <c r="B84" s="178" t="s">
        <v>189</v>
      </c>
      <c r="C84" s="178" t="s">
        <v>76</v>
      </c>
      <c r="E84" s="225"/>
      <c r="F84" s="251">
        <v>20000</v>
      </c>
      <c r="G84" s="201">
        <f t="shared" si="2"/>
        <v>21914010</v>
      </c>
      <c r="H84" s="178" t="s">
        <v>25</v>
      </c>
      <c r="I84" s="184" t="s">
        <v>194</v>
      </c>
      <c r="K84" s="184"/>
      <c r="L84" s="178" t="s">
        <v>315</v>
      </c>
      <c r="O84" s="178"/>
    </row>
    <row r="85" spans="1:15" ht="15" customHeight="1">
      <c r="A85" s="242">
        <v>44536</v>
      </c>
      <c r="B85" s="185" t="s">
        <v>189</v>
      </c>
      <c r="C85" s="185" t="s">
        <v>76</v>
      </c>
      <c r="E85" s="226"/>
      <c r="F85" s="254">
        <v>6000</v>
      </c>
      <c r="G85" s="201">
        <f t="shared" si="2"/>
        <v>21908010</v>
      </c>
      <c r="H85" s="206" t="s">
        <v>25</v>
      </c>
      <c r="I85" s="184" t="s">
        <v>194</v>
      </c>
      <c r="K85" s="184"/>
      <c r="L85" s="178" t="s">
        <v>315</v>
      </c>
      <c r="M85" s="177"/>
      <c r="O85" s="178"/>
    </row>
    <row r="86" spans="1:15" ht="15" customHeight="1">
      <c r="A86" s="241">
        <v>44536</v>
      </c>
      <c r="B86" s="178" t="s">
        <v>299</v>
      </c>
      <c r="C86" s="178" t="s">
        <v>76</v>
      </c>
      <c r="E86" s="223">
        <v>20000</v>
      </c>
      <c r="F86" s="250"/>
      <c r="G86" s="201">
        <f t="shared" si="2"/>
        <v>21928010</v>
      </c>
      <c r="H86" s="178" t="s">
        <v>155</v>
      </c>
      <c r="I86" s="184" t="s">
        <v>194</v>
      </c>
      <c r="L86" s="178" t="s">
        <v>315</v>
      </c>
      <c r="O86" s="178"/>
    </row>
    <row r="87" spans="1:15" ht="15" customHeight="1">
      <c r="A87" s="241">
        <v>44536</v>
      </c>
      <c r="B87" s="178" t="s">
        <v>297</v>
      </c>
      <c r="C87" s="178" t="s">
        <v>76</v>
      </c>
      <c r="E87" s="223">
        <v>6000</v>
      </c>
      <c r="F87" s="250"/>
      <c r="G87" s="201">
        <f t="shared" si="2"/>
        <v>21934010</v>
      </c>
      <c r="H87" s="178" t="s">
        <v>155</v>
      </c>
      <c r="I87" s="184" t="s">
        <v>194</v>
      </c>
      <c r="L87" s="178" t="s">
        <v>315</v>
      </c>
      <c r="O87" s="178"/>
    </row>
    <row r="88" spans="1:15" ht="15" customHeight="1">
      <c r="A88" s="242">
        <v>44536</v>
      </c>
      <c r="B88" s="185" t="s">
        <v>446</v>
      </c>
      <c r="C88" s="178" t="s">
        <v>178</v>
      </c>
      <c r="D88" s="185" t="s">
        <v>195</v>
      </c>
      <c r="E88" s="226"/>
      <c r="F88" s="213">
        <v>74000</v>
      </c>
      <c r="G88" s="201">
        <f t="shared" si="2"/>
        <v>21860010</v>
      </c>
      <c r="H88" s="206" t="s">
        <v>25</v>
      </c>
      <c r="I88" s="178" t="s">
        <v>193</v>
      </c>
      <c r="J88" s="184" t="s">
        <v>169</v>
      </c>
      <c r="K88" s="178" t="s">
        <v>407</v>
      </c>
      <c r="L88" s="178" t="s">
        <v>315</v>
      </c>
      <c r="M88" s="177"/>
      <c r="O88" s="178"/>
    </row>
    <row r="89" spans="1:15" ht="15" customHeight="1">
      <c r="A89" s="242">
        <v>44536</v>
      </c>
      <c r="B89" s="235" t="s">
        <v>372</v>
      </c>
      <c r="C89" s="236" t="s">
        <v>373</v>
      </c>
      <c r="E89" s="237"/>
      <c r="F89" s="237">
        <v>90000</v>
      </c>
      <c r="G89" s="201">
        <f t="shared" si="2"/>
        <v>21770010</v>
      </c>
      <c r="H89" s="235" t="s">
        <v>114</v>
      </c>
      <c r="I89" s="184" t="s">
        <v>194</v>
      </c>
      <c r="J89" s="240"/>
      <c r="K89" s="235"/>
      <c r="L89" s="178" t="s">
        <v>315</v>
      </c>
      <c r="M89" s="240"/>
      <c r="N89" s="240"/>
      <c r="O89" s="240"/>
    </row>
    <row r="90" spans="1:15" ht="15" customHeight="1">
      <c r="A90" s="242">
        <v>44536</v>
      </c>
      <c r="B90" s="235" t="s">
        <v>374</v>
      </c>
      <c r="C90" s="236" t="s">
        <v>373</v>
      </c>
      <c r="E90" s="237"/>
      <c r="F90" s="237">
        <v>300000</v>
      </c>
      <c r="G90" s="201">
        <f t="shared" si="2"/>
        <v>21470010</v>
      </c>
      <c r="H90" s="235" t="s">
        <v>114</v>
      </c>
      <c r="I90" s="184" t="s">
        <v>194</v>
      </c>
      <c r="J90" s="240"/>
      <c r="K90" s="235"/>
      <c r="L90" s="178" t="s">
        <v>315</v>
      </c>
      <c r="M90" s="240"/>
      <c r="N90" s="240"/>
      <c r="O90" s="240"/>
    </row>
    <row r="91" spans="1:15" ht="15" customHeight="1">
      <c r="A91" s="242">
        <v>44536</v>
      </c>
      <c r="B91" s="235" t="s">
        <v>372</v>
      </c>
      <c r="C91" s="236" t="s">
        <v>373</v>
      </c>
      <c r="E91" s="237"/>
      <c r="F91" s="237">
        <v>10000</v>
      </c>
      <c r="G91" s="201">
        <f t="shared" si="2"/>
        <v>21460010</v>
      </c>
      <c r="H91" s="235" t="s">
        <v>114</v>
      </c>
      <c r="I91" s="184" t="s">
        <v>194</v>
      </c>
      <c r="J91" s="240"/>
      <c r="K91" s="235"/>
      <c r="L91" s="178" t="s">
        <v>315</v>
      </c>
      <c r="M91" s="240"/>
      <c r="N91" s="240"/>
      <c r="O91" s="240"/>
    </row>
    <row r="92" spans="1:15" ht="15" customHeight="1">
      <c r="A92" s="241">
        <v>44536</v>
      </c>
      <c r="B92" s="178" t="s">
        <v>300</v>
      </c>
      <c r="C92" s="178" t="s">
        <v>35</v>
      </c>
      <c r="D92" s="185" t="s">
        <v>190</v>
      </c>
      <c r="E92" s="223"/>
      <c r="F92" s="212">
        <v>7400</v>
      </c>
      <c r="G92" s="201">
        <f t="shared" si="2"/>
        <v>21452610</v>
      </c>
      <c r="H92" s="178" t="s">
        <v>155</v>
      </c>
      <c r="I92" s="178" t="s">
        <v>193</v>
      </c>
      <c r="J92" s="184" t="s">
        <v>169</v>
      </c>
      <c r="K92" s="178" t="s">
        <v>407</v>
      </c>
      <c r="L92" s="178" t="s">
        <v>315</v>
      </c>
      <c r="O92" s="178"/>
    </row>
    <row r="93" spans="1:15" ht="15" customHeight="1">
      <c r="A93" s="243">
        <v>44536</v>
      </c>
      <c r="B93" s="178" t="s">
        <v>430</v>
      </c>
      <c r="C93" s="178" t="s">
        <v>159</v>
      </c>
      <c r="D93" s="229" t="s">
        <v>195</v>
      </c>
      <c r="E93" s="178"/>
      <c r="F93" s="178">
        <v>70000</v>
      </c>
      <c r="G93" s="201">
        <f t="shared" si="2"/>
        <v>21382610</v>
      </c>
      <c r="H93" s="230" t="s">
        <v>49</v>
      </c>
      <c r="I93" s="178" t="s">
        <v>193</v>
      </c>
      <c r="J93" s="231" t="s">
        <v>169</v>
      </c>
      <c r="K93" s="231" t="s">
        <v>407</v>
      </c>
      <c r="L93" s="178" t="s">
        <v>315</v>
      </c>
      <c r="M93" s="231"/>
      <c r="N93" s="231"/>
      <c r="O93" s="231"/>
    </row>
    <row r="94" spans="1:15" ht="15" customHeight="1">
      <c r="A94" s="243">
        <v>44536</v>
      </c>
      <c r="B94" s="178" t="s">
        <v>384</v>
      </c>
      <c r="C94" s="178" t="s">
        <v>76</v>
      </c>
      <c r="D94" s="229"/>
      <c r="E94" s="178">
        <v>90000</v>
      </c>
      <c r="F94" s="178"/>
      <c r="G94" s="201">
        <f t="shared" si="2"/>
        <v>21472610</v>
      </c>
      <c r="H94" s="230" t="s">
        <v>49</v>
      </c>
      <c r="I94" s="184" t="s">
        <v>194</v>
      </c>
      <c r="J94" s="231"/>
      <c r="K94" s="231"/>
      <c r="L94" s="178" t="s">
        <v>315</v>
      </c>
      <c r="M94" s="231"/>
      <c r="N94" s="231"/>
      <c r="O94" s="231"/>
    </row>
    <row r="95" spans="1:15" ht="15" customHeight="1">
      <c r="A95" s="243">
        <v>44536</v>
      </c>
      <c r="B95" s="178" t="s">
        <v>385</v>
      </c>
      <c r="C95" s="178" t="s">
        <v>76</v>
      </c>
      <c r="D95" s="229"/>
      <c r="E95" s="178">
        <v>10000</v>
      </c>
      <c r="F95" s="178"/>
      <c r="G95" s="201">
        <f t="shared" si="2"/>
        <v>21482610</v>
      </c>
      <c r="H95" s="230" t="s">
        <v>49</v>
      </c>
      <c r="I95" s="184" t="s">
        <v>194</v>
      </c>
      <c r="J95" s="231"/>
      <c r="K95" s="231"/>
      <c r="L95" s="178" t="s">
        <v>315</v>
      </c>
      <c r="M95" s="231"/>
      <c r="N95" s="231"/>
      <c r="O95" s="231"/>
    </row>
    <row r="96" spans="1:15" ht="15" customHeight="1">
      <c r="A96" s="243">
        <v>44536</v>
      </c>
      <c r="B96" s="178" t="s">
        <v>380</v>
      </c>
      <c r="C96" s="178" t="s">
        <v>76</v>
      </c>
      <c r="D96" s="229"/>
      <c r="E96" s="178">
        <v>45000</v>
      </c>
      <c r="F96" s="178"/>
      <c r="G96" s="201">
        <f t="shared" si="2"/>
        <v>21527610</v>
      </c>
      <c r="H96" s="230" t="s">
        <v>49</v>
      </c>
      <c r="I96" s="184" t="s">
        <v>194</v>
      </c>
      <c r="J96" s="231"/>
      <c r="K96" s="231"/>
      <c r="L96" s="178" t="s">
        <v>315</v>
      </c>
      <c r="M96" s="231"/>
      <c r="N96" s="231"/>
      <c r="O96" s="231"/>
    </row>
    <row r="97" spans="1:15" ht="15" customHeight="1">
      <c r="A97" s="243">
        <v>44536</v>
      </c>
      <c r="B97" s="178" t="s">
        <v>383</v>
      </c>
      <c r="C97" s="178" t="s">
        <v>34</v>
      </c>
      <c r="D97" s="229" t="s">
        <v>4</v>
      </c>
      <c r="E97" s="178"/>
      <c r="F97" s="178">
        <v>17500</v>
      </c>
      <c r="G97" s="201">
        <f t="shared" si="2"/>
        <v>21510110</v>
      </c>
      <c r="H97" s="230" t="s">
        <v>49</v>
      </c>
      <c r="I97" s="178" t="s">
        <v>193</v>
      </c>
      <c r="J97" s="231" t="s">
        <v>169</v>
      </c>
      <c r="K97" s="231" t="s">
        <v>407</v>
      </c>
      <c r="L97" s="178" t="s">
        <v>315</v>
      </c>
      <c r="M97" s="231"/>
      <c r="N97" s="231"/>
      <c r="O97" s="231"/>
    </row>
    <row r="98" spans="1:15" ht="15" customHeight="1">
      <c r="A98" s="241">
        <v>44536</v>
      </c>
      <c r="B98" s="178" t="s">
        <v>396</v>
      </c>
      <c r="C98" s="178" t="s">
        <v>76</v>
      </c>
      <c r="D98" s="229"/>
      <c r="E98" s="178">
        <v>53000</v>
      </c>
      <c r="F98" s="199"/>
      <c r="G98" s="201">
        <f t="shared" si="2"/>
        <v>21563110</v>
      </c>
      <c r="H98" s="178" t="s">
        <v>29</v>
      </c>
      <c r="I98" s="184" t="s">
        <v>194</v>
      </c>
      <c r="J98" s="178"/>
      <c r="L98" s="178" t="s">
        <v>315</v>
      </c>
      <c r="N98" s="234"/>
      <c r="O98" s="231"/>
    </row>
    <row r="99" spans="1:15" ht="15" customHeight="1">
      <c r="A99" s="241">
        <v>44536</v>
      </c>
      <c r="B99" s="178" t="s">
        <v>397</v>
      </c>
      <c r="C99" s="178" t="s">
        <v>76</v>
      </c>
      <c r="D99" s="229"/>
      <c r="E99" s="178">
        <v>300000</v>
      </c>
      <c r="F99" s="199"/>
      <c r="G99" s="201">
        <f t="shared" si="2"/>
        <v>21863110</v>
      </c>
      <c r="H99" s="178" t="s">
        <v>29</v>
      </c>
      <c r="I99" s="184" t="s">
        <v>194</v>
      </c>
      <c r="J99" s="178"/>
      <c r="L99" s="178" t="s">
        <v>315</v>
      </c>
      <c r="N99" s="234"/>
      <c r="O99" s="231"/>
    </row>
    <row r="100" spans="1:15" ht="15" customHeight="1">
      <c r="A100" s="242">
        <v>44536</v>
      </c>
      <c r="B100" s="178" t="s">
        <v>299</v>
      </c>
      <c r="C100" s="178" t="s">
        <v>76</v>
      </c>
      <c r="E100" s="225">
        <v>30000</v>
      </c>
      <c r="F100" s="230"/>
      <c r="G100" s="201">
        <f t="shared" si="2"/>
        <v>21893110</v>
      </c>
      <c r="H100" s="178" t="s">
        <v>165</v>
      </c>
      <c r="I100" s="184" t="s">
        <v>194</v>
      </c>
      <c r="L100" s="178" t="s">
        <v>315</v>
      </c>
      <c r="O100" s="178"/>
    </row>
    <row r="101" spans="1:15" ht="15" customHeight="1">
      <c r="A101" s="242">
        <v>44536</v>
      </c>
      <c r="B101" s="178" t="s">
        <v>316</v>
      </c>
      <c r="C101" s="178" t="s">
        <v>76</v>
      </c>
      <c r="E101" s="225">
        <v>11000</v>
      </c>
      <c r="F101" s="230"/>
      <c r="G101" s="201">
        <f t="shared" si="2"/>
        <v>21904110</v>
      </c>
      <c r="H101" s="178" t="s">
        <v>165</v>
      </c>
      <c r="I101" s="184" t="s">
        <v>194</v>
      </c>
      <c r="K101" s="184"/>
      <c r="L101" s="178" t="s">
        <v>315</v>
      </c>
      <c r="O101" s="178"/>
    </row>
    <row r="102" spans="1:15" ht="15" customHeight="1">
      <c r="A102" s="243">
        <v>44536</v>
      </c>
      <c r="B102" s="222" t="s">
        <v>461</v>
      </c>
      <c r="C102" s="178" t="s">
        <v>159</v>
      </c>
      <c r="D102" s="222" t="s">
        <v>168</v>
      </c>
      <c r="E102" s="265"/>
      <c r="F102" s="265">
        <v>50000</v>
      </c>
      <c r="G102" s="201">
        <f t="shared" si="2"/>
        <v>21854110</v>
      </c>
      <c r="H102" s="222" t="s">
        <v>31</v>
      </c>
      <c r="I102" s="184" t="s">
        <v>194</v>
      </c>
      <c r="J102" s="178" t="s">
        <v>103</v>
      </c>
      <c r="K102" s="178" t="s">
        <v>408</v>
      </c>
      <c r="L102" s="178" t="s">
        <v>315</v>
      </c>
      <c r="M102" s="178" t="s">
        <v>530</v>
      </c>
      <c r="N102" s="177" t="s">
        <v>432</v>
      </c>
      <c r="O102" s="222"/>
    </row>
    <row r="103" spans="1:15" ht="15" customHeight="1">
      <c r="A103" s="241">
        <v>44537</v>
      </c>
      <c r="B103" s="178" t="s">
        <v>212</v>
      </c>
      <c r="C103" s="178" t="s">
        <v>76</v>
      </c>
      <c r="E103" s="223">
        <v>2000000</v>
      </c>
      <c r="F103" s="250"/>
      <c r="G103" s="201">
        <f t="shared" si="2"/>
        <v>23854110</v>
      </c>
      <c r="H103" s="178" t="s">
        <v>25</v>
      </c>
      <c r="I103" s="184" t="s">
        <v>194</v>
      </c>
      <c r="L103" s="178" t="s">
        <v>315</v>
      </c>
      <c r="O103" s="178"/>
    </row>
    <row r="104" spans="1:15" ht="15" customHeight="1">
      <c r="A104" s="241">
        <v>44537</v>
      </c>
      <c r="B104" s="178" t="s">
        <v>176</v>
      </c>
      <c r="C104" s="178" t="s">
        <v>76</v>
      </c>
      <c r="E104" s="223"/>
      <c r="F104" s="250">
        <v>10000</v>
      </c>
      <c r="G104" s="201">
        <f t="shared" si="2"/>
        <v>23844110</v>
      </c>
      <c r="H104" s="178" t="s">
        <v>25</v>
      </c>
      <c r="I104" s="184" t="s">
        <v>194</v>
      </c>
      <c r="L104" s="178" t="s">
        <v>315</v>
      </c>
      <c r="O104" s="178"/>
    </row>
    <row r="105" spans="1:15" ht="15" customHeight="1">
      <c r="A105" s="243">
        <v>44536</v>
      </c>
      <c r="B105" s="178" t="s">
        <v>386</v>
      </c>
      <c r="C105" s="178" t="s">
        <v>177</v>
      </c>
      <c r="D105" s="229" t="s">
        <v>4</v>
      </c>
      <c r="E105" s="178"/>
      <c r="F105" s="178">
        <v>1300</v>
      </c>
      <c r="G105" s="201">
        <f t="shared" si="2"/>
        <v>23842810</v>
      </c>
      <c r="H105" s="230" t="s">
        <v>49</v>
      </c>
      <c r="I105" s="178" t="s">
        <v>193</v>
      </c>
      <c r="J105" s="184" t="s">
        <v>169</v>
      </c>
      <c r="K105" s="178" t="s">
        <v>407</v>
      </c>
      <c r="L105" s="178" t="s">
        <v>315</v>
      </c>
      <c r="M105" s="231"/>
      <c r="N105" s="231"/>
      <c r="O105" s="231"/>
    </row>
    <row r="106" spans="1:15" ht="15" customHeight="1">
      <c r="A106" s="244">
        <v>44537</v>
      </c>
      <c r="B106" s="178" t="s">
        <v>213</v>
      </c>
      <c r="C106" s="178" t="s">
        <v>3</v>
      </c>
      <c r="D106" s="185" t="s">
        <v>190</v>
      </c>
      <c r="E106" s="225"/>
      <c r="F106" s="212">
        <v>15000</v>
      </c>
      <c r="G106" s="201">
        <f t="shared" si="2"/>
        <v>23827810</v>
      </c>
      <c r="H106" s="201" t="s">
        <v>25</v>
      </c>
      <c r="I106" s="178" t="s">
        <v>193</v>
      </c>
      <c r="J106" s="184" t="s">
        <v>169</v>
      </c>
      <c r="K106" s="178" t="s">
        <v>407</v>
      </c>
      <c r="L106" s="178" t="s">
        <v>315</v>
      </c>
      <c r="O106" s="178"/>
    </row>
    <row r="107" spans="1:15" ht="15" customHeight="1">
      <c r="A107" s="244">
        <v>44537</v>
      </c>
      <c r="B107" s="184" t="s">
        <v>214</v>
      </c>
      <c r="C107" s="178" t="s">
        <v>34</v>
      </c>
      <c r="D107" s="185" t="s">
        <v>195</v>
      </c>
      <c r="E107" s="224"/>
      <c r="F107" s="212">
        <v>20000</v>
      </c>
      <c r="G107" s="201">
        <f t="shared" si="2"/>
        <v>23807810</v>
      </c>
      <c r="H107" s="178" t="s">
        <v>25</v>
      </c>
      <c r="I107" s="178" t="s">
        <v>193</v>
      </c>
      <c r="J107" s="184" t="s">
        <v>169</v>
      </c>
      <c r="K107" s="178" t="s">
        <v>407</v>
      </c>
      <c r="L107" s="178" t="s">
        <v>315</v>
      </c>
      <c r="O107" s="178"/>
    </row>
    <row r="108" spans="1:15" ht="15" customHeight="1">
      <c r="A108" s="241">
        <v>44537</v>
      </c>
      <c r="B108" s="178" t="s">
        <v>287</v>
      </c>
      <c r="C108" s="201" t="s">
        <v>76</v>
      </c>
      <c r="D108" s="212"/>
      <c r="E108" s="223"/>
      <c r="F108" s="230">
        <v>2000000</v>
      </c>
      <c r="G108" s="201">
        <f t="shared" si="2"/>
        <v>21807810</v>
      </c>
      <c r="H108" s="178" t="s">
        <v>160</v>
      </c>
      <c r="I108" s="184">
        <v>3643579</v>
      </c>
      <c r="J108" s="178"/>
      <c r="L108" s="178" t="s">
        <v>315</v>
      </c>
      <c r="O108" s="178"/>
    </row>
    <row r="109" spans="1:15" ht="15" customHeight="1">
      <c r="A109" s="241">
        <v>44537</v>
      </c>
      <c r="B109" s="178" t="s">
        <v>297</v>
      </c>
      <c r="C109" s="178" t="s">
        <v>76</v>
      </c>
      <c r="D109" s="185"/>
      <c r="E109" s="223">
        <v>10000</v>
      </c>
      <c r="F109" s="250"/>
      <c r="G109" s="201">
        <f t="shared" si="2"/>
        <v>21817810</v>
      </c>
      <c r="H109" s="178" t="s">
        <v>176</v>
      </c>
      <c r="I109" s="184" t="s">
        <v>194</v>
      </c>
      <c r="K109" s="184"/>
      <c r="L109" s="178" t="s">
        <v>315</v>
      </c>
      <c r="O109" s="178"/>
    </row>
    <row r="110" spans="1:15" ht="15" customHeight="1">
      <c r="A110" s="241">
        <v>44537</v>
      </c>
      <c r="B110" s="178" t="s">
        <v>342</v>
      </c>
      <c r="C110" s="178" t="s">
        <v>34</v>
      </c>
      <c r="D110" s="178" t="s">
        <v>195</v>
      </c>
      <c r="E110" s="223"/>
      <c r="F110" s="212">
        <v>6000</v>
      </c>
      <c r="G110" s="201">
        <f t="shared" si="2"/>
        <v>21811810</v>
      </c>
      <c r="H110" s="178" t="s">
        <v>48</v>
      </c>
      <c r="I110" s="178" t="s">
        <v>193</v>
      </c>
      <c r="J110" s="184" t="s">
        <v>169</v>
      </c>
      <c r="K110" s="178" t="s">
        <v>407</v>
      </c>
      <c r="L110" s="178" t="s">
        <v>315</v>
      </c>
      <c r="O110" s="178"/>
    </row>
    <row r="111" spans="1:15" ht="15" customHeight="1">
      <c r="A111" s="241">
        <v>44537</v>
      </c>
      <c r="B111" s="178" t="s">
        <v>343</v>
      </c>
      <c r="C111" s="178" t="s">
        <v>159</v>
      </c>
      <c r="D111" s="178" t="s">
        <v>195</v>
      </c>
      <c r="E111" s="223"/>
      <c r="F111" s="212">
        <v>6000</v>
      </c>
      <c r="G111" s="201">
        <f t="shared" si="2"/>
        <v>21805810</v>
      </c>
      <c r="H111" s="178" t="s">
        <v>48</v>
      </c>
      <c r="I111" s="184" t="s">
        <v>194</v>
      </c>
      <c r="J111" s="184" t="s">
        <v>169</v>
      </c>
      <c r="K111" s="178" t="s">
        <v>407</v>
      </c>
      <c r="L111" s="178" t="s">
        <v>315</v>
      </c>
      <c r="O111" s="177"/>
    </row>
    <row r="112" spans="1:15" ht="15" customHeight="1">
      <c r="A112" s="241">
        <v>44537</v>
      </c>
      <c r="B112" s="178" t="s">
        <v>344</v>
      </c>
      <c r="C112" s="178" t="s">
        <v>159</v>
      </c>
      <c r="D112" s="178" t="s">
        <v>195</v>
      </c>
      <c r="E112" s="223"/>
      <c r="F112" s="212">
        <v>4000</v>
      </c>
      <c r="G112" s="201">
        <f t="shared" si="2"/>
        <v>21801810</v>
      </c>
      <c r="H112" s="178" t="s">
        <v>48</v>
      </c>
      <c r="I112" s="184" t="s">
        <v>194</v>
      </c>
      <c r="J112" s="184" t="s">
        <v>169</v>
      </c>
      <c r="K112" s="178" t="s">
        <v>407</v>
      </c>
      <c r="L112" s="178" t="s">
        <v>315</v>
      </c>
      <c r="O112" s="178"/>
    </row>
    <row r="113" spans="1:15" ht="15" customHeight="1">
      <c r="A113" s="247">
        <v>44537</v>
      </c>
      <c r="B113" s="235" t="s">
        <v>405</v>
      </c>
      <c r="C113" s="178" t="s">
        <v>159</v>
      </c>
      <c r="D113" s="178" t="s">
        <v>195</v>
      </c>
      <c r="E113" s="237"/>
      <c r="F113" s="237">
        <v>3000</v>
      </c>
      <c r="G113" s="201">
        <f t="shared" si="2"/>
        <v>21798810</v>
      </c>
      <c r="H113" s="235" t="s">
        <v>114</v>
      </c>
      <c r="I113" s="184" t="s">
        <v>194</v>
      </c>
      <c r="J113" s="184" t="s">
        <v>169</v>
      </c>
      <c r="K113" s="178" t="s">
        <v>407</v>
      </c>
      <c r="L113" s="178" t="s">
        <v>315</v>
      </c>
      <c r="M113" s="240"/>
      <c r="N113" s="240"/>
      <c r="O113" s="240"/>
    </row>
    <row r="114" spans="1:15" ht="18.75" customHeight="1">
      <c r="A114" s="247">
        <v>44537</v>
      </c>
      <c r="B114" s="235" t="s">
        <v>375</v>
      </c>
      <c r="C114" s="236" t="s">
        <v>373</v>
      </c>
      <c r="E114" s="237"/>
      <c r="F114" s="237">
        <v>250000</v>
      </c>
      <c r="G114" s="201">
        <f t="shared" si="2"/>
        <v>21548810</v>
      </c>
      <c r="H114" s="235" t="s">
        <v>114</v>
      </c>
      <c r="I114" s="184" t="s">
        <v>194</v>
      </c>
      <c r="J114" s="240"/>
      <c r="K114" s="235"/>
      <c r="L114" s="178" t="s">
        <v>315</v>
      </c>
      <c r="M114" s="240"/>
      <c r="N114" s="240"/>
      <c r="O114" s="240"/>
    </row>
    <row r="115" spans="1:15" ht="18.75" customHeight="1">
      <c r="A115" s="247">
        <v>44537</v>
      </c>
      <c r="B115" s="235" t="s">
        <v>479</v>
      </c>
      <c r="C115" s="236" t="s">
        <v>178</v>
      </c>
      <c r="D115" s="236" t="s">
        <v>2</v>
      </c>
      <c r="E115" s="237"/>
      <c r="F115" s="239">
        <v>40000</v>
      </c>
      <c r="G115" s="201">
        <f t="shared" si="2"/>
        <v>21508810</v>
      </c>
      <c r="H115" s="235" t="s">
        <v>114</v>
      </c>
      <c r="I115" s="178" t="s">
        <v>193</v>
      </c>
      <c r="J115" s="240" t="s">
        <v>103</v>
      </c>
      <c r="K115" s="235" t="s">
        <v>408</v>
      </c>
      <c r="L115" s="178" t="s">
        <v>315</v>
      </c>
      <c r="M115" s="178" t="s">
        <v>531</v>
      </c>
      <c r="N115" s="177" t="s">
        <v>413</v>
      </c>
      <c r="O115" s="240"/>
    </row>
    <row r="116" spans="1:15" ht="16.5" customHeight="1">
      <c r="A116" s="247">
        <v>44537</v>
      </c>
      <c r="B116" s="235" t="s">
        <v>376</v>
      </c>
      <c r="C116" s="178" t="s">
        <v>159</v>
      </c>
      <c r="D116" s="178" t="s">
        <v>2</v>
      </c>
      <c r="E116" s="237"/>
      <c r="F116" s="239">
        <v>20000</v>
      </c>
      <c r="G116" s="201">
        <f t="shared" si="2"/>
        <v>21488810</v>
      </c>
      <c r="H116" s="235" t="s">
        <v>114</v>
      </c>
      <c r="I116" s="184" t="s">
        <v>194</v>
      </c>
      <c r="J116" s="178" t="s">
        <v>103</v>
      </c>
      <c r="K116" s="178" t="s">
        <v>408</v>
      </c>
      <c r="L116" s="178" t="s">
        <v>315</v>
      </c>
      <c r="M116" s="178" t="s">
        <v>532</v>
      </c>
      <c r="N116" s="177" t="s">
        <v>432</v>
      </c>
      <c r="O116" s="240"/>
    </row>
    <row r="117" spans="1:15" ht="21" customHeight="1">
      <c r="A117" s="247">
        <v>44537</v>
      </c>
      <c r="B117" s="235" t="s">
        <v>377</v>
      </c>
      <c r="C117" s="178" t="s">
        <v>159</v>
      </c>
      <c r="D117" s="178" t="s">
        <v>2</v>
      </c>
      <c r="E117" s="237"/>
      <c r="F117" s="239">
        <v>30000</v>
      </c>
      <c r="G117" s="201">
        <f t="shared" si="2"/>
        <v>21458810</v>
      </c>
      <c r="H117" s="235" t="s">
        <v>114</v>
      </c>
      <c r="I117" s="178" t="s">
        <v>193</v>
      </c>
      <c r="J117" s="178" t="s">
        <v>103</v>
      </c>
      <c r="K117" s="178" t="s">
        <v>408</v>
      </c>
      <c r="L117" s="178" t="s">
        <v>315</v>
      </c>
      <c r="M117" s="178" t="s">
        <v>533</v>
      </c>
      <c r="N117" s="177" t="s">
        <v>432</v>
      </c>
      <c r="O117" s="240"/>
    </row>
    <row r="118" spans="1:15" ht="15" customHeight="1">
      <c r="A118" s="243">
        <v>44537</v>
      </c>
      <c r="B118" s="178" t="s">
        <v>386</v>
      </c>
      <c r="C118" s="178" t="s">
        <v>177</v>
      </c>
      <c r="D118" s="229" t="s">
        <v>4</v>
      </c>
      <c r="E118" s="178"/>
      <c r="F118" s="178">
        <v>750</v>
      </c>
      <c r="G118" s="201">
        <f t="shared" si="2"/>
        <v>21458060</v>
      </c>
      <c r="H118" s="230" t="s">
        <v>49</v>
      </c>
      <c r="I118" s="178" t="s">
        <v>193</v>
      </c>
      <c r="J118" s="184" t="s">
        <v>169</v>
      </c>
      <c r="K118" s="178" t="s">
        <v>407</v>
      </c>
      <c r="L118" s="178" t="s">
        <v>315</v>
      </c>
      <c r="M118" s="231"/>
      <c r="N118" s="231"/>
      <c r="O118" s="231"/>
    </row>
    <row r="119" spans="1:15" ht="15" customHeight="1">
      <c r="A119" s="243">
        <v>44537</v>
      </c>
      <c r="B119" s="178" t="s">
        <v>387</v>
      </c>
      <c r="C119" s="178" t="s">
        <v>34</v>
      </c>
      <c r="D119" s="229" t="s">
        <v>195</v>
      </c>
      <c r="E119" s="178"/>
      <c r="F119" s="178">
        <v>5000</v>
      </c>
      <c r="G119" s="201">
        <f t="shared" si="2"/>
        <v>21453060</v>
      </c>
      <c r="H119" s="230" t="s">
        <v>49</v>
      </c>
      <c r="I119" s="178" t="s">
        <v>193</v>
      </c>
      <c r="J119" s="231" t="s">
        <v>169</v>
      </c>
      <c r="K119" s="231" t="s">
        <v>407</v>
      </c>
      <c r="L119" s="178" t="s">
        <v>315</v>
      </c>
      <c r="M119" s="231"/>
      <c r="N119" s="231"/>
      <c r="O119" s="231"/>
    </row>
    <row r="120" spans="1:15" ht="15" customHeight="1">
      <c r="A120" s="245">
        <v>44537</v>
      </c>
      <c r="B120" s="232" t="s">
        <v>391</v>
      </c>
      <c r="C120" s="178" t="s">
        <v>159</v>
      </c>
      <c r="D120" s="178" t="s">
        <v>195</v>
      </c>
      <c r="E120" s="233"/>
      <c r="F120" s="233">
        <v>6000</v>
      </c>
      <c r="G120" s="201">
        <f t="shared" si="2"/>
        <v>21447060</v>
      </c>
      <c r="H120" s="232" t="s">
        <v>31</v>
      </c>
      <c r="I120" s="178" t="s">
        <v>193</v>
      </c>
      <c r="J120" s="184" t="s">
        <v>169</v>
      </c>
      <c r="K120" s="178" t="s">
        <v>407</v>
      </c>
      <c r="L120" s="178" t="s">
        <v>315</v>
      </c>
      <c r="M120" s="232"/>
      <c r="N120" s="232"/>
      <c r="O120" s="232"/>
    </row>
    <row r="121" spans="1:15" ht="15" customHeight="1">
      <c r="A121" s="241">
        <v>44537</v>
      </c>
      <c r="B121" s="178" t="s">
        <v>473</v>
      </c>
      <c r="C121" s="178" t="s">
        <v>159</v>
      </c>
      <c r="D121" s="229" t="s">
        <v>4</v>
      </c>
      <c r="E121" s="178"/>
      <c r="F121" s="199">
        <v>45000</v>
      </c>
      <c r="G121" s="201">
        <f t="shared" si="2"/>
        <v>21402060</v>
      </c>
      <c r="H121" s="178" t="s">
        <v>29</v>
      </c>
      <c r="I121" s="178" t="s">
        <v>193</v>
      </c>
      <c r="J121" s="178" t="s">
        <v>103</v>
      </c>
      <c r="K121" s="178" t="s">
        <v>408</v>
      </c>
      <c r="L121" s="178" t="s">
        <v>315</v>
      </c>
      <c r="M121" s="178" t="s">
        <v>534</v>
      </c>
      <c r="N121" s="177" t="s">
        <v>432</v>
      </c>
      <c r="O121" s="178"/>
    </row>
    <row r="122" spans="1:15" ht="15" customHeight="1">
      <c r="A122" s="241">
        <v>44537</v>
      </c>
      <c r="B122" s="178" t="s">
        <v>398</v>
      </c>
      <c r="C122" s="178" t="s">
        <v>76</v>
      </c>
      <c r="D122" s="229"/>
      <c r="E122" s="178"/>
      <c r="F122" s="199">
        <v>240000</v>
      </c>
      <c r="G122" s="201">
        <f t="shared" si="2"/>
        <v>21162060</v>
      </c>
      <c r="H122" s="178" t="s">
        <v>29</v>
      </c>
      <c r="I122" s="184" t="s">
        <v>194</v>
      </c>
      <c r="J122" s="178"/>
      <c r="L122" s="178" t="s">
        <v>315</v>
      </c>
      <c r="N122" s="234"/>
      <c r="O122" s="231"/>
    </row>
    <row r="123" spans="1:15" ht="15" customHeight="1">
      <c r="A123" s="241">
        <v>44537</v>
      </c>
      <c r="B123" s="178" t="s">
        <v>496</v>
      </c>
      <c r="C123" s="178" t="s">
        <v>34</v>
      </c>
      <c r="D123" s="229" t="s">
        <v>4</v>
      </c>
      <c r="E123" s="178"/>
      <c r="F123" s="199">
        <v>5000</v>
      </c>
      <c r="G123" s="201">
        <f t="shared" si="2"/>
        <v>21157060</v>
      </c>
      <c r="H123" s="178" t="s">
        <v>29</v>
      </c>
      <c r="I123" s="178" t="s">
        <v>193</v>
      </c>
      <c r="J123" s="231" t="s">
        <v>103</v>
      </c>
      <c r="K123" s="231" t="s">
        <v>408</v>
      </c>
      <c r="L123" s="178" t="s">
        <v>315</v>
      </c>
      <c r="M123" s="178" t="s">
        <v>535</v>
      </c>
      <c r="N123" s="257" t="s">
        <v>429</v>
      </c>
      <c r="O123" s="231"/>
    </row>
    <row r="124" spans="1:15" ht="15" customHeight="1">
      <c r="A124" s="241">
        <v>44538</v>
      </c>
      <c r="B124" s="178" t="s">
        <v>196</v>
      </c>
      <c r="C124" s="178" t="s">
        <v>76</v>
      </c>
      <c r="E124" s="225"/>
      <c r="F124" s="230">
        <v>250000</v>
      </c>
      <c r="G124" s="201">
        <f t="shared" si="2"/>
        <v>20907060</v>
      </c>
      <c r="H124" s="178" t="s">
        <v>25</v>
      </c>
      <c r="I124" s="184" t="s">
        <v>194</v>
      </c>
      <c r="K124" s="184"/>
      <c r="L124" s="178" t="s">
        <v>315</v>
      </c>
      <c r="O124" s="178"/>
    </row>
    <row r="125" spans="1:15" ht="15" customHeight="1">
      <c r="A125" s="241">
        <v>44538</v>
      </c>
      <c r="B125" s="178" t="s">
        <v>215</v>
      </c>
      <c r="C125" s="178" t="s">
        <v>285</v>
      </c>
      <c r="D125" s="185" t="s">
        <v>190</v>
      </c>
      <c r="E125" s="225"/>
      <c r="F125" s="215">
        <v>7500</v>
      </c>
      <c r="G125" s="201">
        <f t="shared" si="2"/>
        <v>20899560</v>
      </c>
      <c r="H125" s="178" t="s">
        <v>25</v>
      </c>
      <c r="I125" s="178" t="s">
        <v>193</v>
      </c>
      <c r="J125" s="178" t="s">
        <v>103</v>
      </c>
      <c r="K125" s="178" t="s">
        <v>408</v>
      </c>
      <c r="L125" s="178" t="s">
        <v>315</v>
      </c>
      <c r="M125" s="178" t="s">
        <v>536</v>
      </c>
      <c r="N125" s="177" t="s">
        <v>428</v>
      </c>
      <c r="O125" s="178"/>
    </row>
    <row r="126" spans="1:15" ht="15" customHeight="1">
      <c r="A126" s="241">
        <v>44538</v>
      </c>
      <c r="B126" s="178" t="s">
        <v>189</v>
      </c>
      <c r="C126" s="178" t="s">
        <v>76</v>
      </c>
      <c r="E126" s="225"/>
      <c r="F126" s="251">
        <v>160000</v>
      </c>
      <c r="G126" s="201">
        <f t="shared" si="2"/>
        <v>20739560</v>
      </c>
      <c r="H126" s="178" t="s">
        <v>25</v>
      </c>
      <c r="I126" s="184" t="s">
        <v>194</v>
      </c>
      <c r="K126" s="184"/>
      <c r="L126" s="178" t="s">
        <v>315</v>
      </c>
      <c r="O126" s="178"/>
    </row>
    <row r="127" spans="1:15" ht="15" customHeight="1">
      <c r="A127" s="242">
        <v>44538</v>
      </c>
      <c r="B127" s="185" t="s">
        <v>216</v>
      </c>
      <c r="C127" s="185" t="s">
        <v>76</v>
      </c>
      <c r="E127" s="226"/>
      <c r="F127" s="254">
        <v>25000</v>
      </c>
      <c r="G127" s="201">
        <f t="shared" si="2"/>
        <v>20714560</v>
      </c>
      <c r="H127" s="206" t="s">
        <v>25</v>
      </c>
      <c r="I127" s="184" t="s">
        <v>194</v>
      </c>
      <c r="L127" s="178" t="s">
        <v>315</v>
      </c>
      <c r="O127" s="178"/>
    </row>
    <row r="128" spans="1:15" ht="15.75" customHeight="1">
      <c r="A128" s="242">
        <v>44538</v>
      </c>
      <c r="B128" s="185" t="s">
        <v>217</v>
      </c>
      <c r="C128" s="178" t="s">
        <v>167</v>
      </c>
      <c r="D128" s="178" t="s">
        <v>195</v>
      </c>
      <c r="E128" s="226"/>
      <c r="F128" s="213">
        <v>20000</v>
      </c>
      <c r="G128" s="201">
        <f t="shared" si="2"/>
        <v>20694560</v>
      </c>
      <c r="H128" s="207" t="s">
        <v>25</v>
      </c>
      <c r="I128" s="184" t="s">
        <v>194</v>
      </c>
      <c r="J128" s="184" t="s">
        <v>169</v>
      </c>
      <c r="K128" s="178" t="s">
        <v>407</v>
      </c>
      <c r="L128" s="178" t="s">
        <v>315</v>
      </c>
      <c r="O128" s="178"/>
    </row>
    <row r="129" spans="1:15" ht="15" customHeight="1">
      <c r="A129" s="241">
        <v>44538</v>
      </c>
      <c r="B129" s="178" t="s">
        <v>454</v>
      </c>
      <c r="C129" s="178" t="s">
        <v>218</v>
      </c>
      <c r="D129" s="178" t="s">
        <v>195</v>
      </c>
      <c r="E129" s="223"/>
      <c r="F129" s="212">
        <v>5000</v>
      </c>
      <c r="G129" s="201">
        <f t="shared" si="2"/>
        <v>20689560</v>
      </c>
      <c r="H129" s="178" t="s">
        <v>25</v>
      </c>
      <c r="I129" s="184" t="s">
        <v>194</v>
      </c>
      <c r="J129" s="184" t="s">
        <v>169</v>
      </c>
      <c r="K129" s="178" t="s">
        <v>407</v>
      </c>
      <c r="L129" s="178" t="s">
        <v>315</v>
      </c>
    </row>
    <row r="130" spans="1:15" ht="15" customHeight="1">
      <c r="A130" s="241">
        <v>44538</v>
      </c>
      <c r="B130" s="178" t="s">
        <v>297</v>
      </c>
      <c r="C130" s="178" t="s">
        <v>76</v>
      </c>
      <c r="E130" s="223">
        <v>160000</v>
      </c>
      <c r="F130" s="250"/>
      <c r="G130" s="201">
        <f t="shared" si="2"/>
        <v>20849560</v>
      </c>
      <c r="H130" s="178" t="s">
        <v>155</v>
      </c>
      <c r="I130" s="184" t="s">
        <v>194</v>
      </c>
      <c r="L130" s="178" t="s">
        <v>315</v>
      </c>
      <c r="O130" s="178"/>
    </row>
    <row r="131" spans="1:15" ht="15" customHeight="1">
      <c r="A131" s="241">
        <v>44538</v>
      </c>
      <c r="B131" s="178" t="s">
        <v>345</v>
      </c>
      <c r="C131" s="178" t="s">
        <v>178</v>
      </c>
      <c r="D131" s="178" t="s">
        <v>195</v>
      </c>
      <c r="E131" s="223"/>
      <c r="F131" s="212">
        <v>120000</v>
      </c>
      <c r="G131" s="201">
        <f t="shared" si="2"/>
        <v>20729560</v>
      </c>
      <c r="H131" s="178" t="s">
        <v>48</v>
      </c>
      <c r="I131" s="178" t="s">
        <v>193</v>
      </c>
      <c r="J131" s="184" t="s">
        <v>169</v>
      </c>
      <c r="K131" s="178" t="s">
        <v>407</v>
      </c>
      <c r="L131" s="178" t="s">
        <v>315</v>
      </c>
      <c r="O131" s="178"/>
    </row>
    <row r="132" spans="1:15" ht="15" customHeight="1">
      <c r="A132" s="241">
        <v>44538</v>
      </c>
      <c r="B132" s="178" t="s">
        <v>346</v>
      </c>
      <c r="C132" s="178" t="s">
        <v>76</v>
      </c>
      <c r="E132" s="223">
        <v>250000</v>
      </c>
      <c r="F132" s="250"/>
      <c r="G132" s="201">
        <f t="shared" si="2"/>
        <v>20979560</v>
      </c>
      <c r="H132" s="178" t="s">
        <v>48</v>
      </c>
      <c r="I132" s="184" t="s">
        <v>194</v>
      </c>
      <c r="L132" s="178" t="s">
        <v>315</v>
      </c>
      <c r="O132" s="177"/>
    </row>
    <row r="133" spans="1:15" ht="15" customHeight="1">
      <c r="A133" s="241">
        <v>44538</v>
      </c>
      <c r="B133" s="178" t="s">
        <v>341</v>
      </c>
      <c r="C133" s="178" t="s">
        <v>76</v>
      </c>
      <c r="E133" s="223">
        <v>250000</v>
      </c>
      <c r="F133" s="250"/>
      <c r="G133" s="201">
        <f t="shared" si="2"/>
        <v>21229560</v>
      </c>
      <c r="H133" s="178" t="s">
        <v>48</v>
      </c>
      <c r="I133" s="184" t="s">
        <v>194</v>
      </c>
      <c r="L133" s="178" t="s">
        <v>315</v>
      </c>
      <c r="O133" s="178"/>
    </row>
    <row r="134" spans="1:15" ht="15" customHeight="1">
      <c r="A134" s="241">
        <v>44538</v>
      </c>
      <c r="B134" s="178" t="s">
        <v>347</v>
      </c>
      <c r="C134" s="178" t="s">
        <v>76</v>
      </c>
      <c r="E134" s="223">
        <v>240000</v>
      </c>
      <c r="F134" s="250"/>
      <c r="G134" s="201">
        <f t="shared" si="2"/>
        <v>21469560</v>
      </c>
      <c r="H134" s="178" t="s">
        <v>48</v>
      </c>
      <c r="I134" s="184" t="s">
        <v>194</v>
      </c>
      <c r="L134" s="178" t="s">
        <v>315</v>
      </c>
      <c r="O134" s="178"/>
    </row>
    <row r="135" spans="1:15" ht="15" customHeight="1">
      <c r="A135" s="241">
        <v>44538</v>
      </c>
      <c r="B135" s="178" t="s">
        <v>348</v>
      </c>
      <c r="C135" s="178" t="s">
        <v>167</v>
      </c>
      <c r="D135" s="178" t="s">
        <v>195</v>
      </c>
      <c r="E135" s="223"/>
      <c r="F135" s="212">
        <v>180000</v>
      </c>
      <c r="G135" s="201">
        <f t="shared" si="2"/>
        <v>21289560</v>
      </c>
      <c r="H135" s="178" t="s">
        <v>48</v>
      </c>
      <c r="I135" s="178" t="s">
        <v>193</v>
      </c>
      <c r="J135" s="184" t="s">
        <v>169</v>
      </c>
      <c r="K135" s="178" t="s">
        <v>407</v>
      </c>
      <c r="L135" s="178" t="s">
        <v>315</v>
      </c>
      <c r="O135" s="178"/>
    </row>
    <row r="136" spans="1:15" ht="15" customHeight="1">
      <c r="A136" s="241">
        <v>44538</v>
      </c>
      <c r="B136" s="178" t="s">
        <v>349</v>
      </c>
      <c r="C136" s="178" t="s">
        <v>167</v>
      </c>
      <c r="D136" s="178" t="s">
        <v>195</v>
      </c>
      <c r="E136" s="223"/>
      <c r="F136" s="212">
        <v>100000</v>
      </c>
      <c r="G136" s="201">
        <f t="shared" si="2"/>
        <v>21189560</v>
      </c>
      <c r="H136" s="178" t="s">
        <v>48</v>
      </c>
      <c r="I136" s="178" t="s">
        <v>193</v>
      </c>
      <c r="J136" s="184" t="s">
        <v>169</v>
      </c>
      <c r="K136" s="178" t="s">
        <v>407</v>
      </c>
      <c r="L136" s="178" t="s">
        <v>315</v>
      </c>
      <c r="O136" s="178"/>
    </row>
    <row r="137" spans="1:15" ht="15" customHeight="1">
      <c r="A137" s="241">
        <v>44538</v>
      </c>
      <c r="B137" s="178" t="s">
        <v>456</v>
      </c>
      <c r="C137" s="178" t="s">
        <v>159</v>
      </c>
      <c r="D137" s="208" t="s">
        <v>2</v>
      </c>
      <c r="E137" s="225"/>
      <c r="F137" s="214">
        <v>45000</v>
      </c>
      <c r="G137" s="201">
        <f t="shared" si="2"/>
        <v>21144560</v>
      </c>
      <c r="H137" s="178" t="s">
        <v>48</v>
      </c>
      <c r="I137" s="178" t="s">
        <v>193</v>
      </c>
      <c r="J137" s="178" t="s">
        <v>103</v>
      </c>
      <c r="K137" s="178" t="s">
        <v>408</v>
      </c>
      <c r="L137" s="178" t="s">
        <v>315</v>
      </c>
      <c r="M137" s="178" t="s">
        <v>537</v>
      </c>
      <c r="N137" s="177" t="s">
        <v>432</v>
      </c>
      <c r="O137" s="178"/>
    </row>
    <row r="138" spans="1:15" ht="15" customHeight="1">
      <c r="A138" s="244">
        <v>44538</v>
      </c>
      <c r="B138" s="185" t="s">
        <v>371</v>
      </c>
      <c r="C138" s="269" t="s">
        <v>76</v>
      </c>
      <c r="E138" s="270">
        <v>25000</v>
      </c>
      <c r="F138" s="271"/>
      <c r="G138" s="201">
        <f t="shared" si="2"/>
        <v>21169560</v>
      </c>
      <c r="H138" s="185" t="s">
        <v>114</v>
      </c>
      <c r="I138" s="184" t="s">
        <v>194</v>
      </c>
      <c r="J138" s="269"/>
      <c r="K138" s="185"/>
      <c r="L138" s="178" t="s">
        <v>315</v>
      </c>
      <c r="M138" s="269"/>
      <c r="N138" s="269"/>
      <c r="O138" s="269"/>
    </row>
    <row r="139" spans="1:15" ht="15" customHeight="1">
      <c r="A139" s="243">
        <v>44538</v>
      </c>
      <c r="B139" s="178" t="s">
        <v>466</v>
      </c>
      <c r="C139" s="178" t="s">
        <v>159</v>
      </c>
      <c r="D139" s="229" t="s">
        <v>4</v>
      </c>
      <c r="E139" s="178"/>
      <c r="F139" s="178">
        <v>90000</v>
      </c>
      <c r="G139" s="201">
        <f t="shared" si="2"/>
        <v>21079560</v>
      </c>
      <c r="H139" s="230" t="s">
        <v>49</v>
      </c>
      <c r="I139" s="178" t="s">
        <v>193</v>
      </c>
      <c r="J139" s="178" t="s">
        <v>103</v>
      </c>
      <c r="K139" s="178" t="s">
        <v>408</v>
      </c>
      <c r="L139" s="178" t="s">
        <v>315</v>
      </c>
      <c r="M139" s="178" t="s">
        <v>538</v>
      </c>
      <c r="N139" s="177" t="s">
        <v>432</v>
      </c>
      <c r="O139" s="178"/>
    </row>
    <row r="140" spans="1:15" ht="15" customHeight="1">
      <c r="A140" s="243">
        <v>44538</v>
      </c>
      <c r="B140" s="178" t="s">
        <v>489</v>
      </c>
      <c r="C140" s="178" t="s">
        <v>34</v>
      </c>
      <c r="D140" s="229" t="s">
        <v>4</v>
      </c>
      <c r="E140" s="178"/>
      <c r="F140" s="178">
        <v>8000</v>
      </c>
      <c r="G140" s="201">
        <f t="shared" si="2"/>
        <v>21071560</v>
      </c>
      <c r="H140" s="230" t="s">
        <v>49</v>
      </c>
      <c r="I140" s="178" t="s">
        <v>193</v>
      </c>
      <c r="J140" s="231" t="s">
        <v>103</v>
      </c>
      <c r="K140" s="231" t="s">
        <v>408</v>
      </c>
      <c r="L140" s="178" t="s">
        <v>315</v>
      </c>
      <c r="M140" s="178" t="s">
        <v>539</v>
      </c>
      <c r="N140" s="257" t="s">
        <v>429</v>
      </c>
      <c r="O140" s="231"/>
    </row>
    <row r="141" spans="1:15" ht="15" customHeight="1">
      <c r="A141" s="243">
        <v>44538</v>
      </c>
      <c r="B141" s="222" t="s">
        <v>460</v>
      </c>
      <c r="C141" s="178" t="s">
        <v>159</v>
      </c>
      <c r="D141" s="222" t="s">
        <v>168</v>
      </c>
      <c r="E141" s="265"/>
      <c r="F141" s="265">
        <v>30000</v>
      </c>
      <c r="G141" s="201">
        <f t="shared" si="2"/>
        <v>21041560</v>
      </c>
      <c r="H141" s="222" t="s">
        <v>31</v>
      </c>
      <c r="I141" s="178" t="s">
        <v>193</v>
      </c>
      <c r="J141" s="178" t="s">
        <v>103</v>
      </c>
      <c r="K141" s="178" t="s">
        <v>408</v>
      </c>
      <c r="L141" s="178" t="s">
        <v>315</v>
      </c>
      <c r="M141" s="178" t="s">
        <v>540</v>
      </c>
      <c r="N141" s="177" t="s">
        <v>432</v>
      </c>
      <c r="O141" s="222"/>
    </row>
    <row r="142" spans="1:15" ht="15" customHeight="1">
      <c r="A142" s="241">
        <v>44538</v>
      </c>
      <c r="B142" s="178" t="s">
        <v>474</v>
      </c>
      <c r="C142" s="178" t="s">
        <v>159</v>
      </c>
      <c r="D142" s="229" t="s">
        <v>4</v>
      </c>
      <c r="E142" s="178"/>
      <c r="F142" s="199">
        <v>15000</v>
      </c>
      <c r="G142" s="201">
        <f t="shared" si="2"/>
        <v>21026560</v>
      </c>
      <c r="H142" s="178" t="s">
        <v>29</v>
      </c>
      <c r="I142" s="184" t="s">
        <v>193</v>
      </c>
      <c r="J142" s="178" t="s">
        <v>103</v>
      </c>
      <c r="K142" s="178" t="s">
        <v>408</v>
      </c>
      <c r="L142" s="178" t="s">
        <v>315</v>
      </c>
      <c r="M142" s="178" t="s">
        <v>541</v>
      </c>
      <c r="N142" s="177" t="s">
        <v>432</v>
      </c>
      <c r="O142" s="178"/>
    </row>
    <row r="143" spans="1:15" ht="15" customHeight="1">
      <c r="A143" s="241">
        <v>44538</v>
      </c>
      <c r="B143" s="178" t="s">
        <v>497</v>
      </c>
      <c r="C143" s="178" t="s">
        <v>34</v>
      </c>
      <c r="D143" s="229" t="s">
        <v>4</v>
      </c>
      <c r="E143" s="178"/>
      <c r="F143" s="199">
        <v>10000</v>
      </c>
      <c r="G143" s="201">
        <f t="shared" ref="G143:G206" si="3">+G142+E143-F143</f>
        <v>21016560</v>
      </c>
      <c r="H143" s="178" t="s">
        <v>29</v>
      </c>
      <c r="I143" s="178" t="s">
        <v>193</v>
      </c>
      <c r="J143" s="231" t="s">
        <v>103</v>
      </c>
      <c r="K143" s="231" t="s">
        <v>408</v>
      </c>
      <c r="L143" s="178" t="s">
        <v>315</v>
      </c>
      <c r="M143" s="178" t="s">
        <v>542</v>
      </c>
      <c r="N143" s="257" t="s">
        <v>429</v>
      </c>
      <c r="O143" s="231"/>
    </row>
    <row r="144" spans="1:15" ht="15" customHeight="1">
      <c r="A144" s="242">
        <v>44538</v>
      </c>
      <c r="B144" s="178" t="s">
        <v>317</v>
      </c>
      <c r="C144" s="178" t="s">
        <v>35</v>
      </c>
      <c r="D144" s="178" t="s">
        <v>166</v>
      </c>
      <c r="E144" s="225"/>
      <c r="F144" s="214">
        <v>650</v>
      </c>
      <c r="G144" s="201">
        <f t="shared" si="3"/>
        <v>21015910</v>
      </c>
      <c r="H144" s="178" t="s">
        <v>165</v>
      </c>
      <c r="I144" s="178" t="s">
        <v>193</v>
      </c>
      <c r="J144" s="184" t="s">
        <v>169</v>
      </c>
      <c r="K144" s="184" t="s">
        <v>407</v>
      </c>
      <c r="L144" s="178" t="s">
        <v>315</v>
      </c>
      <c r="O144" s="178"/>
    </row>
    <row r="145" spans="1:15" ht="15" customHeight="1">
      <c r="A145" s="241">
        <v>44539</v>
      </c>
      <c r="B145" s="178" t="s">
        <v>219</v>
      </c>
      <c r="C145" s="178" t="s">
        <v>159</v>
      </c>
      <c r="D145" s="178" t="s">
        <v>195</v>
      </c>
      <c r="E145" s="225"/>
      <c r="F145" s="214">
        <v>70000</v>
      </c>
      <c r="G145" s="201">
        <f t="shared" si="3"/>
        <v>20945910</v>
      </c>
      <c r="H145" s="178" t="s">
        <v>25</v>
      </c>
      <c r="I145" s="178" t="s">
        <v>193</v>
      </c>
      <c r="J145" s="184" t="s">
        <v>169</v>
      </c>
      <c r="K145" s="178" t="s">
        <v>407</v>
      </c>
      <c r="L145" s="178" t="s">
        <v>315</v>
      </c>
      <c r="O145" s="178"/>
    </row>
    <row r="146" spans="1:15" ht="15" customHeight="1">
      <c r="A146" s="241">
        <v>44539</v>
      </c>
      <c r="B146" s="178" t="s">
        <v>189</v>
      </c>
      <c r="C146" s="178" t="s">
        <v>76</v>
      </c>
      <c r="E146" s="225"/>
      <c r="F146" s="251">
        <v>80000</v>
      </c>
      <c r="G146" s="201">
        <f t="shared" si="3"/>
        <v>20865910</v>
      </c>
      <c r="H146" s="178" t="s">
        <v>25</v>
      </c>
      <c r="I146" s="184" t="s">
        <v>194</v>
      </c>
      <c r="L146" s="178" t="s">
        <v>315</v>
      </c>
      <c r="O146" s="178"/>
    </row>
    <row r="147" spans="1:15" ht="15" customHeight="1">
      <c r="A147" s="242">
        <v>44539</v>
      </c>
      <c r="B147" s="185" t="s">
        <v>154</v>
      </c>
      <c r="C147" s="185" t="s">
        <v>76</v>
      </c>
      <c r="E147" s="226"/>
      <c r="F147" s="254">
        <v>20000</v>
      </c>
      <c r="G147" s="201">
        <f t="shared" si="3"/>
        <v>20845910</v>
      </c>
      <c r="H147" s="207" t="s">
        <v>25</v>
      </c>
      <c r="I147" s="184" t="s">
        <v>194</v>
      </c>
      <c r="K147" s="184"/>
      <c r="L147" s="178" t="s">
        <v>315</v>
      </c>
      <c r="O147" s="178"/>
    </row>
    <row r="148" spans="1:15" ht="15" customHeight="1">
      <c r="A148" s="241">
        <v>44539</v>
      </c>
      <c r="B148" s="178" t="s">
        <v>449</v>
      </c>
      <c r="C148" s="178" t="s">
        <v>35</v>
      </c>
      <c r="D148" s="185" t="s">
        <v>190</v>
      </c>
      <c r="E148" s="223"/>
      <c r="F148" s="212">
        <v>6600</v>
      </c>
      <c r="G148" s="201">
        <f t="shared" si="3"/>
        <v>20839310</v>
      </c>
      <c r="H148" s="178" t="s">
        <v>25</v>
      </c>
      <c r="I148" s="178" t="s">
        <v>193</v>
      </c>
      <c r="J148" s="184" t="s">
        <v>169</v>
      </c>
      <c r="K148" s="178" t="s">
        <v>407</v>
      </c>
      <c r="L148" s="178" t="s">
        <v>315</v>
      </c>
      <c r="O148" s="178"/>
    </row>
    <row r="149" spans="1:15" ht="15" customHeight="1">
      <c r="A149" s="241">
        <v>44539</v>
      </c>
      <c r="B149" s="178" t="s">
        <v>165</v>
      </c>
      <c r="C149" s="178" t="s">
        <v>76</v>
      </c>
      <c r="E149" s="223"/>
      <c r="F149" s="250">
        <v>20000</v>
      </c>
      <c r="G149" s="201">
        <f t="shared" si="3"/>
        <v>20819310</v>
      </c>
      <c r="H149" s="178" t="s">
        <v>25</v>
      </c>
      <c r="I149" s="184" t="s">
        <v>194</v>
      </c>
      <c r="L149" s="178" t="s">
        <v>315</v>
      </c>
      <c r="O149" s="178"/>
    </row>
    <row r="150" spans="1:15" ht="15" customHeight="1">
      <c r="A150" s="242">
        <v>44539</v>
      </c>
      <c r="B150" s="185" t="s">
        <v>176</v>
      </c>
      <c r="C150" s="185" t="s">
        <v>76</v>
      </c>
      <c r="E150" s="226"/>
      <c r="F150" s="254">
        <v>15000</v>
      </c>
      <c r="G150" s="201">
        <f t="shared" si="3"/>
        <v>20804310</v>
      </c>
      <c r="H150" s="207" t="s">
        <v>25</v>
      </c>
      <c r="I150" s="184" t="s">
        <v>194</v>
      </c>
      <c r="K150" s="184"/>
      <c r="L150" s="178" t="s">
        <v>315</v>
      </c>
      <c r="O150" s="178"/>
    </row>
    <row r="151" spans="1:15" ht="15" customHeight="1">
      <c r="A151" s="242">
        <v>44539</v>
      </c>
      <c r="B151" s="185" t="s">
        <v>220</v>
      </c>
      <c r="C151" s="185" t="s">
        <v>192</v>
      </c>
      <c r="D151" s="178" t="s">
        <v>639</v>
      </c>
      <c r="E151" s="226"/>
      <c r="F151" s="213">
        <v>20000</v>
      </c>
      <c r="G151" s="201">
        <f t="shared" si="3"/>
        <v>20784310</v>
      </c>
      <c r="H151" s="207" t="s">
        <v>25</v>
      </c>
      <c r="I151" s="178" t="s">
        <v>193</v>
      </c>
      <c r="J151" s="184" t="s">
        <v>169</v>
      </c>
      <c r="K151" s="178" t="s">
        <v>407</v>
      </c>
      <c r="L151" s="178" t="s">
        <v>315</v>
      </c>
      <c r="M151" s="177"/>
      <c r="O151" s="178"/>
    </row>
    <row r="152" spans="1:15" ht="15" customHeight="1">
      <c r="A152" s="241">
        <v>44539</v>
      </c>
      <c r="B152" s="178" t="s">
        <v>409</v>
      </c>
      <c r="C152" s="178" t="s">
        <v>178</v>
      </c>
      <c r="D152" s="178" t="s">
        <v>195</v>
      </c>
      <c r="E152" s="223"/>
      <c r="F152" s="212">
        <v>40000</v>
      </c>
      <c r="G152" s="201">
        <f t="shared" si="3"/>
        <v>20744310</v>
      </c>
      <c r="H152" s="178" t="s">
        <v>25</v>
      </c>
      <c r="I152" s="178" t="s">
        <v>193</v>
      </c>
      <c r="J152" s="184" t="s">
        <v>169</v>
      </c>
      <c r="K152" s="178" t="s">
        <v>407</v>
      </c>
      <c r="L152" s="178" t="s">
        <v>315</v>
      </c>
      <c r="O152" s="178"/>
    </row>
    <row r="153" spans="1:15" ht="15" customHeight="1">
      <c r="A153" s="241">
        <v>44539</v>
      </c>
      <c r="B153" s="178" t="s">
        <v>221</v>
      </c>
      <c r="C153" s="178" t="s">
        <v>35</v>
      </c>
      <c r="D153" s="178" t="s">
        <v>195</v>
      </c>
      <c r="E153" s="223"/>
      <c r="F153" s="212">
        <v>2250</v>
      </c>
      <c r="G153" s="201">
        <f t="shared" si="3"/>
        <v>20742060</v>
      </c>
      <c r="H153" s="178" t="s">
        <v>25</v>
      </c>
      <c r="I153" s="178" t="s">
        <v>193</v>
      </c>
      <c r="J153" s="184" t="s">
        <v>169</v>
      </c>
      <c r="K153" s="178" t="s">
        <v>407</v>
      </c>
      <c r="L153" s="178" t="s">
        <v>315</v>
      </c>
      <c r="O153" s="178"/>
    </row>
    <row r="154" spans="1:15" ht="15" customHeight="1">
      <c r="A154" s="241">
        <v>44539</v>
      </c>
      <c r="B154" s="178" t="s">
        <v>425</v>
      </c>
      <c r="C154" s="178" t="s">
        <v>3</v>
      </c>
      <c r="D154" s="185" t="s">
        <v>190</v>
      </c>
      <c r="E154" s="223"/>
      <c r="F154" s="212">
        <v>15000</v>
      </c>
      <c r="G154" s="201">
        <f t="shared" si="3"/>
        <v>20727060</v>
      </c>
      <c r="H154" s="178" t="s">
        <v>25</v>
      </c>
      <c r="I154" s="178" t="s">
        <v>193</v>
      </c>
      <c r="J154" s="184" t="s">
        <v>169</v>
      </c>
      <c r="K154" s="178" t="s">
        <v>407</v>
      </c>
      <c r="L154" s="178" t="s">
        <v>315</v>
      </c>
    </row>
    <row r="155" spans="1:15" ht="15" customHeight="1">
      <c r="A155" s="241">
        <v>44539</v>
      </c>
      <c r="B155" s="178" t="s">
        <v>301</v>
      </c>
      <c r="C155" s="178" t="s">
        <v>167</v>
      </c>
      <c r="D155" s="178" t="s">
        <v>195</v>
      </c>
      <c r="E155" s="223"/>
      <c r="F155" s="212">
        <v>150000</v>
      </c>
      <c r="G155" s="201">
        <f t="shared" si="3"/>
        <v>20577060</v>
      </c>
      <c r="H155" s="178" t="s">
        <v>155</v>
      </c>
      <c r="I155" s="178" t="s">
        <v>193</v>
      </c>
      <c r="J155" s="184" t="s">
        <v>169</v>
      </c>
      <c r="K155" s="178" t="s">
        <v>407</v>
      </c>
      <c r="L155" s="178" t="s">
        <v>315</v>
      </c>
      <c r="O155" s="178"/>
    </row>
    <row r="156" spans="1:15" ht="15" customHeight="1">
      <c r="A156" s="241">
        <v>44539</v>
      </c>
      <c r="B156" s="178" t="s">
        <v>297</v>
      </c>
      <c r="C156" s="178" t="s">
        <v>76</v>
      </c>
      <c r="E156" s="223">
        <v>80000</v>
      </c>
      <c r="F156" s="250"/>
      <c r="G156" s="201">
        <f t="shared" si="3"/>
        <v>20657060</v>
      </c>
      <c r="H156" s="178" t="s">
        <v>155</v>
      </c>
      <c r="I156" s="184" t="s">
        <v>194</v>
      </c>
      <c r="L156" s="178" t="s">
        <v>315</v>
      </c>
      <c r="O156" s="178"/>
    </row>
    <row r="157" spans="1:15" ht="15" customHeight="1">
      <c r="A157" s="241">
        <v>44539</v>
      </c>
      <c r="B157" s="178" t="s">
        <v>302</v>
      </c>
      <c r="C157" s="178" t="s">
        <v>76</v>
      </c>
      <c r="E157" s="223"/>
      <c r="F157" s="250">
        <v>57180</v>
      </c>
      <c r="G157" s="201">
        <f t="shared" si="3"/>
        <v>20599880</v>
      </c>
      <c r="H157" s="178" t="s">
        <v>155</v>
      </c>
      <c r="I157" s="184" t="s">
        <v>194</v>
      </c>
      <c r="L157" s="178" t="s">
        <v>315</v>
      </c>
      <c r="O157" s="178"/>
    </row>
    <row r="158" spans="1:15" ht="15" customHeight="1">
      <c r="A158" s="241">
        <v>44539</v>
      </c>
      <c r="B158" s="178" t="s">
        <v>303</v>
      </c>
      <c r="C158" s="178" t="s">
        <v>146</v>
      </c>
      <c r="D158" s="178" t="s">
        <v>166</v>
      </c>
      <c r="E158" s="223"/>
      <c r="F158" s="212">
        <v>22820</v>
      </c>
      <c r="G158" s="201">
        <f t="shared" si="3"/>
        <v>20577060</v>
      </c>
      <c r="H158" s="178" t="s">
        <v>155</v>
      </c>
      <c r="I158" s="184" t="s">
        <v>194</v>
      </c>
      <c r="J158" s="184" t="s">
        <v>169</v>
      </c>
      <c r="K158" s="178" t="s">
        <v>407</v>
      </c>
      <c r="L158" s="178" t="s">
        <v>315</v>
      </c>
      <c r="O158" s="178"/>
    </row>
    <row r="159" spans="1:15" ht="17.25" customHeight="1">
      <c r="A159" s="241">
        <v>44539</v>
      </c>
      <c r="B159" s="178" t="s">
        <v>297</v>
      </c>
      <c r="C159" s="178" t="s">
        <v>76</v>
      </c>
      <c r="E159" s="223">
        <v>15000</v>
      </c>
      <c r="F159" s="250"/>
      <c r="G159" s="201">
        <f t="shared" si="3"/>
        <v>20592060</v>
      </c>
      <c r="H159" s="178" t="s">
        <v>176</v>
      </c>
      <c r="I159" s="184" t="s">
        <v>194</v>
      </c>
      <c r="L159" s="178" t="s">
        <v>315</v>
      </c>
      <c r="O159" s="178"/>
    </row>
    <row r="160" spans="1:15" ht="15" customHeight="1">
      <c r="A160" s="247">
        <v>44539</v>
      </c>
      <c r="B160" s="235" t="s">
        <v>406</v>
      </c>
      <c r="C160" s="236" t="s">
        <v>76</v>
      </c>
      <c r="D160" s="236"/>
      <c r="E160" s="237">
        <v>57180</v>
      </c>
      <c r="F160" s="238"/>
      <c r="G160" s="201">
        <f t="shared" si="3"/>
        <v>20649240</v>
      </c>
      <c r="H160" s="235" t="s">
        <v>114</v>
      </c>
      <c r="I160" s="184" t="s">
        <v>194</v>
      </c>
      <c r="J160" s="240"/>
      <c r="K160" s="235"/>
      <c r="L160" s="178" t="s">
        <v>315</v>
      </c>
      <c r="M160" s="240"/>
      <c r="N160" s="240"/>
      <c r="O160" s="240"/>
    </row>
    <row r="161" spans="1:15" ht="18.75" customHeight="1">
      <c r="A161" s="247">
        <v>44539</v>
      </c>
      <c r="B161" s="235" t="s">
        <v>634</v>
      </c>
      <c r="C161" s="178" t="s">
        <v>146</v>
      </c>
      <c r="D161" s="178" t="s">
        <v>166</v>
      </c>
      <c r="E161" s="237"/>
      <c r="F161" s="239">
        <v>30000</v>
      </c>
      <c r="G161" s="201">
        <f t="shared" si="3"/>
        <v>20619240</v>
      </c>
      <c r="H161" s="235" t="s">
        <v>114</v>
      </c>
      <c r="I161" s="178" t="s">
        <v>193</v>
      </c>
      <c r="J161" s="184" t="s">
        <v>169</v>
      </c>
      <c r="K161" s="178" t="s">
        <v>407</v>
      </c>
      <c r="L161" s="178" t="s">
        <v>315</v>
      </c>
      <c r="M161" s="240"/>
      <c r="N161" s="240"/>
      <c r="O161" s="240"/>
    </row>
    <row r="162" spans="1:15" ht="15" customHeight="1">
      <c r="A162" s="243">
        <v>44539</v>
      </c>
      <c r="B162" s="178" t="s">
        <v>467</v>
      </c>
      <c r="C162" s="178" t="s">
        <v>159</v>
      </c>
      <c r="D162" s="229" t="s">
        <v>4</v>
      </c>
      <c r="E162" s="178"/>
      <c r="F162" s="178">
        <v>15000</v>
      </c>
      <c r="G162" s="201">
        <f t="shared" si="3"/>
        <v>20604240</v>
      </c>
      <c r="H162" s="230" t="s">
        <v>49</v>
      </c>
      <c r="I162" s="178" t="s">
        <v>193</v>
      </c>
      <c r="J162" s="178" t="s">
        <v>103</v>
      </c>
      <c r="K162" s="178" t="s">
        <v>408</v>
      </c>
      <c r="L162" s="178" t="s">
        <v>315</v>
      </c>
      <c r="M162" s="178" t="s">
        <v>543</v>
      </c>
      <c r="N162" s="177" t="s">
        <v>432</v>
      </c>
      <c r="O162" s="178"/>
    </row>
    <row r="163" spans="1:15" ht="15" customHeight="1">
      <c r="A163" s="243">
        <v>44539</v>
      </c>
      <c r="B163" s="178" t="s">
        <v>490</v>
      </c>
      <c r="C163" s="178" t="s">
        <v>34</v>
      </c>
      <c r="D163" s="229" t="s">
        <v>4</v>
      </c>
      <c r="E163" s="178"/>
      <c r="F163" s="178">
        <v>8000</v>
      </c>
      <c r="G163" s="201">
        <f t="shared" si="3"/>
        <v>20596240</v>
      </c>
      <c r="H163" s="230" t="s">
        <v>49</v>
      </c>
      <c r="I163" s="178" t="s">
        <v>193</v>
      </c>
      <c r="J163" s="231" t="s">
        <v>103</v>
      </c>
      <c r="K163" s="231" t="s">
        <v>408</v>
      </c>
      <c r="L163" s="178" t="s">
        <v>315</v>
      </c>
      <c r="M163" s="178" t="s">
        <v>544</v>
      </c>
      <c r="N163" s="257" t="s">
        <v>429</v>
      </c>
      <c r="O163" s="231"/>
    </row>
    <row r="164" spans="1:15" ht="15" customHeight="1">
      <c r="A164" s="241">
        <v>44539</v>
      </c>
      <c r="B164" s="178" t="s">
        <v>297</v>
      </c>
      <c r="C164" s="178" t="s">
        <v>76</v>
      </c>
      <c r="E164" s="196">
        <v>20000</v>
      </c>
      <c r="G164" s="201">
        <f t="shared" si="3"/>
        <v>20616240</v>
      </c>
      <c r="H164" s="178" t="s">
        <v>154</v>
      </c>
      <c r="I164" s="184" t="s">
        <v>194</v>
      </c>
      <c r="L164" s="178" t="s">
        <v>315</v>
      </c>
      <c r="O164" s="178"/>
    </row>
    <row r="165" spans="1:15" ht="15" customHeight="1">
      <c r="A165" s="242">
        <v>44539</v>
      </c>
      <c r="B165" s="178" t="s">
        <v>299</v>
      </c>
      <c r="C165" s="178" t="s">
        <v>76</v>
      </c>
      <c r="E165" s="225">
        <v>20000</v>
      </c>
      <c r="F165" s="230"/>
      <c r="G165" s="201">
        <f t="shared" si="3"/>
        <v>20636240</v>
      </c>
      <c r="H165" s="178" t="s">
        <v>165</v>
      </c>
      <c r="I165" s="184" t="s">
        <v>194</v>
      </c>
      <c r="K165" s="184"/>
      <c r="L165" s="178" t="s">
        <v>315</v>
      </c>
      <c r="O165" s="178"/>
    </row>
    <row r="166" spans="1:15" ht="15" customHeight="1">
      <c r="A166" s="242">
        <v>44540</v>
      </c>
      <c r="B166" s="185" t="s">
        <v>189</v>
      </c>
      <c r="C166" s="185" t="s">
        <v>76</v>
      </c>
      <c r="E166" s="226"/>
      <c r="F166" s="254">
        <v>30000</v>
      </c>
      <c r="G166" s="201">
        <f t="shared" si="3"/>
        <v>20606240</v>
      </c>
      <c r="H166" s="207" t="s">
        <v>25</v>
      </c>
      <c r="I166" s="184" t="s">
        <v>194</v>
      </c>
      <c r="K166" s="184"/>
      <c r="L166" s="178" t="s">
        <v>315</v>
      </c>
      <c r="O166" s="178"/>
    </row>
    <row r="167" spans="1:15" ht="15" customHeight="1">
      <c r="A167" s="241">
        <v>44540</v>
      </c>
      <c r="B167" s="178" t="s">
        <v>188</v>
      </c>
      <c r="C167" s="178" t="s">
        <v>76</v>
      </c>
      <c r="E167" s="223"/>
      <c r="F167" s="250">
        <v>47000</v>
      </c>
      <c r="G167" s="201">
        <f t="shared" si="3"/>
        <v>20559240</v>
      </c>
      <c r="H167" s="178" t="s">
        <v>25</v>
      </c>
      <c r="I167" s="184" t="s">
        <v>194</v>
      </c>
      <c r="L167" s="178" t="s">
        <v>315</v>
      </c>
      <c r="O167" s="178"/>
    </row>
    <row r="168" spans="1:15" ht="15" customHeight="1">
      <c r="A168" s="246">
        <v>44540</v>
      </c>
      <c r="B168" s="209" t="s">
        <v>188</v>
      </c>
      <c r="C168" s="178" t="s">
        <v>76</v>
      </c>
      <c r="D168" s="209"/>
      <c r="E168" s="227"/>
      <c r="F168" s="253">
        <v>20000</v>
      </c>
      <c r="G168" s="201">
        <f t="shared" si="3"/>
        <v>20539240</v>
      </c>
      <c r="H168" s="210" t="s">
        <v>25</v>
      </c>
      <c r="I168" s="184" t="s">
        <v>194</v>
      </c>
      <c r="J168" s="219"/>
      <c r="K168" s="210"/>
      <c r="L168" s="178" t="s">
        <v>315</v>
      </c>
      <c r="O168" s="178"/>
    </row>
    <row r="169" spans="1:15" ht="15" customHeight="1">
      <c r="A169" s="242">
        <v>44540</v>
      </c>
      <c r="B169" s="185" t="s">
        <v>222</v>
      </c>
      <c r="C169" s="185" t="s">
        <v>178</v>
      </c>
      <c r="D169" s="185" t="s">
        <v>195</v>
      </c>
      <c r="E169" s="226"/>
      <c r="F169" s="213">
        <v>120000</v>
      </c>
      <c r="G169" s="201">
        <f t="shared" si="3"/>
        <v>20419240</v>
      </c>
      <c r="H169" s="207" t="s">
        <v>25</v>
      </c>
      <c r="I169" s="178" t="s">
        <v>193</v>
      </c>
      <c r="J169" s="184" t="s">
        <v>169</v>
      </c>
      <c r="K169" s="184" t="s">
        <v>407</v>
      </c>
      <c r="L169" s="178" t="s">
        <v>315</v>
      </c>
      <c r="O169" s="178"/>
    </row>
    <row r="170" spans="1:15" ht="15" customHeight="1">
      <c r="A170" s="241">
        <v>44540</v>
      </c>
      <c r="B170" s="178" t="s">
        <v>640</v>
      </c>
      <c r="C170" s="201" t="s">
        <v>145</v>
      </c>
      <c r="D170" s="266" t="s">
        <v>166</v>
      </c>
      <c r="E170" s="223"/>
      <c r="F170" s="214">
        <v>200000</v>
      </c>
      <c r="G170" s="201">
        <f t="shared" si="3"/>
        <v>20219240</v>
      </c>
      <c r="H170" s="178" t="s">
        <v>160</v>
      </c>
      <c r="I170" s="184">
        <v>3643580</v>
      </c>
      <c r="J170" s="178" t="s">
        <v>103</v>
      </c>
      <c r="K170" s="178" t="s">
        <v>408</v>
      </c>
      <c r="L170" s="178" t="s">
        <v>315</v>
      </c>
      <c r="M170" s="178" t="s">
        <v>545</v>
      </c>
      <c r="N170" s="177" t="s">
        <v>414</v>
      </c>
      <c r="O170" s="178"/>
    </row>
    <row r="171" spans="1:15" ht="15" customHeight="1">
      <c r="A171" s="241">
        <v>44540</v>
      </c>
      <c r="B171" s="178" t="s">
        <v>641</v>
      </c>
      <c r="C171" s="201" t="s">
        <v>145</v>
      </c>
      <c r="D171" s="266" t="s">
        <v>166</v>
      </c>
      <c r="E171" s="223"/>
      <c r="F171" s="214">
        <v>150000</v>
      </c>
      <c r="G171" s="201">
        <f t="shared" si="3"/>
        <v>20069240</v>
      </c>
      <c r="H171" s="178" t="s">
        <v>160</v>
      </c>
      <c r="I171" s="184">
        <v>3643581</v>
      </c>
      <c r="J171" s="178" t="s">
        <v>103</v>
      </c>
      <c r="K171" s="178" t="s">
        <v>408</v>
      </c>
      <c r="L171" s="178" t="s">
        <v>315</v>
      </c>
      <c r="M171" s="178" t="s">
        <v>546</v>
      </c>
      <c r="N171" s="177" t="s">
        <v>415</v>
      </c>
      <c r="O171" s="178"/>
    </row>
    <row r="172" spans="1:15" ht="15" customHeight="1">
      <c r="A172" s="241">
        <v>44540</v>
      </c>
      <c r="B172" s="178" t="s">
        <v>297</v>
      </c>
      <c r="C172" s="178" t="s">
        <v>76</v>
      </c>
      <c r="E172" s="223">
        <v>30000</v>
      </c>
      <c r="F172" s="250"/>
      <c r="G172" s="201">
        <f t="shared" si="3"/>
        <v>20099240</v>
      </c>
      <c r="H172" s="178" t="s">
        <v>155</v>
      </c>
      <c r="I172" s="184" t="s">
        <v>194</v>
      </c>
      <c r="L172" s="178" t="s">
        <v>315</v>
      </c>
      <c r="O172" s="178"/>
    </row>
    <row r="173" spans="1:15" ht="18.75" customHeight="1">
      <c r="A173" s="241">
        <v>44540</v>
      </c>
      <c r="B173" s="178" t="s">
        <v>350</v>
      </c>
      <c r="C173" s="178" t="s">
        <v>76</v>
      </c>
      <c r="E173" s="223"/>
      <c r="F173" s="250">
        <v>80000</v>
      </c>
      <c r="G173" s="201">
        <f t="shared" si="3"/>
        <v>20019240</v>
      </c>
      <c r="H173" s="178" t="s">
        <v>48</v>
      </c>
      <c r="I173" s="184" t="s">
        <v>194</v>
      </c>
      <c r="L173" s="178" t="s">
        <v>315</v>
      </c>
      <c r="O173" s="178"/>
    </row>
    <row r="174" spans="1:15" ht="15" customHeight="1">
      <c r="A174" s="244">
        <v>44540</v>
      </c>
      <c r="B174" s="185" t="s">
        <v>351</v>
      </c>
      <c r="C174" s="178" t="s">
        <v>177</v>
      </c>
      <c r="D174" s="178" t="s">
        <v>4</v>
      </c>
      <c r="E174" s="228"/>
      <c r="F174" s="213">
        <v>9500</v>
      </c>
      <c r="G174" s="201">
        <f t="shared" si="3"/>
        <v>20009740</v>
      </c>
      <c r="H174" s="185" t="s">
        <v>48</v>
      </c>
      <c r="I174" s="184" t="s">
        <v>194</v>
      </c>
      <c r="J174" s="184" t="s">
        <v>169</v>
      </c>
      <c r="K174" s="178" t="s">
        <v>407</v>
      </c>
      <c r="L174" s="178" t="s">
        <v>315</v>
      </c>
      <c r="O174" s="178"/>
    </row>
    <row r="175" spans="1:15" ht="15" customHeight="1">
      <c r="A175" s="242">
        <v>44540</v>
      </c>
      <c r="B175" s="185" t="s">
        <v>352</v>
      </c>
      <c r="C175" s="185" t="s">
        <v>167</v>
      </c>
      <c r="D175" s="178" t="s">
        <v>195</v>
      </c>
      <c r="E175" s="226"/>
      <c r="F175" s="213">
        <v>20000</v>
      </c>
      <c r="G175" s="201">
        <f t="shared" si="3"/>
        <v>19989740</v>
      </c>
      <c r="H175" s="207" t="s">
        <v>48</v>
      </c>
      <c r="I175" s="178" t="s">
        <v>193</v>
      </c>
      <c r="J175" s="184" t="s">
        <v>169</v>
      </c>
      <c r="K175" s="178" t="s">
        <v>407</v>
      </c>
      <c r="L175" s="178" t="s">
        <v>315</v>
      </c>
      <c r="O175" s="178"/>
    </row>
    <row r="176" spans="1:15" ht="15" customHeight="1">
      <c r="A176" s="242">
        <v>44540</v>
      </c>
      <c r="B176" s="185" t="s">
        <v>353</v>
      </c>
      <c r="C176" s="178" t="s">
        <v>34</v>
      </c>
      <c r="D176" s="178" t="s">
        <v>195</v>
      </c>
      <c r="E176" s="226"/>
      <c r="F176" s="213">
        <v>25000</v>
      </c>
      <c r="G176" s="201">
        <f t="shared" si="3"/>
        <v>19964740</v>
      </c>
      <c r="H176" s="207" t="s">
        <v>48</v>
      </c>
      <c r="I176" s="178" t="s">
        <v>193</v>
      </c>
      <c r="J176" s="184" t="s">
        <v>169</v>
      </c>
      <c r="K176" s="178" t="s">
        <v>407</v>
      </c>
      <c r="L176" s="178" t="s">
        <v>315</v>
      </c>
      <c r="M176" s="184"/>
      <c r="O176" s="178"/>
    </row>
    <row r="177" spans="1:15" ht="15" customHeight="1">
      <c r="A177" s="241">
        <v>44540</v>
      </c>
      <c r="B177" s="178" t="s">
        <v>354</v>
      </c>
      <c r="C177" s="178" t="s">
        <v>34</v>
      </c>
      <c r="D177" s="178" t="s">
        <v>195</v>
      </c>
      <c r="E177" s="223"/>
      <c r="F177" s="212">
        <v>25000</v>
      </c>
      <c r="G177" s="201">
        <f t="shared" si="3"/>
        <v>19939740</v>
      </c>
      <c r="H177" s="178" t="s">
        <v>48</v>
      </c>
      <c r="I177" s="178" t="s">
        <v>193</v>
      </c>
      <c r="J177" s="184" t="s">
        <v>169</v>
      </c>
      <c r="K177" s="178" t="s">
        <v>407</v>
      </c>
      <c r="L177" s="178" t="s">
        <v>315</v>
      </c>
      <c r="O177" s="178"/>
    </row>
    <row r="178" spans="1:15" ht="15" customHeight="1">
      <c r="A178" s="241">
        <v>44540</v>
      </c>
      <c r="B178" s="178" t="s">
        <v>355</v>
      </c>
      <c r="C178" s="178" t="s">
        <v>167</v>
      </c>
      <c r="D178" s="178" t="s">
        <v>195</v>
      </c>
      <c r="E178" s="223"/>
      <c r="F178" s="212">
        <v>20000</v>
      </c>
      <c r="G178" s="201">
        <f t="shared" si="3"/>
        <v>19919740</v>
      </c>
      <c r="H178" s="178" t="s">
        <v>48</v>
      </c>
      <c r="I178" s="184" t="s">
        <v>194</v>
      </c>
      <c r="J178" s="184" t="s">
        <v>169</v>
      </c>
      <c r="K178" s="178" t="s">
        <v>407</v>
      </c>
      <c r="L178" s="178" t="s">
        <v>315</v>
      </c>
      <c r="O178" s="178"/>
    </row>
    <row r="179" spans="1:15" ht="15" customHeight="1">
      <c r="A179" s="247">
        <v>44540</v>
      </c>
      <c r="B179" s="235" t="s">
        <v>378</v>
      </c>
      <c r="C179" s="236" t="s">
        <v>34</v>
      </c>
      <c r="D179" s="178" t="s">
        <v>195</v>
      </c>
      <c r="E179" s="238"/>
      <c r="F179" s="239">
        <v>25000</v>
      </c>
      <c r="G179" s="201">
        <f t="shared" si="3"/>
        <v>19894740</v>
      </c>
      <c r="H179" s="235" t="s">
        <v>114</v>
      </c>
      <c r="I179" s="178" t="s">
        <v>193</v>
      </c>
      <c r="J179" s="184" t="s">
        <v>169</v>
      </c>
      <c r="K179" s="178" t="s">
        <v>407</v>
      </c>
      <c r="L179" s="178" t="s">
        <v>315</v>
      </c>
      <c r="M179" s="240"/>
      <c r="N179" s="240"/>
      <c r="O179" s="240"/>
    </row>
    <row r="180" spans="1:15" ht="15" customHeight="1">
      <c r="A180" s="243">
        <v>44540</v>
      </c>
      <c r="B180" s="178" t="s">
        <v>380</v>
      </c>
      <c r="C180" s="178" t="s">
        <v>76</v>
      </c>
      <c r="D180" s="229"/>
      <c r="E180" s="178">
        <v>47000</v>
      </c>
      <c r="F180" s="178"/>
      <c r="G180" s="201">
        <f t="shared" si="3"/>
        <v>19941740</v>
      </c>
      <c r="H180" s="230" t="s">
        <v>49</v>
      </c>
      <c r="I180" s="184" t="s">
        <v>194</v>
      </c>
      <c r="J180" s="231"/>
      <c r="K180" s="231"/>
      <c r="L180" s="178" t="s">
        <v>315</v>
      </c>
      <c r="M180" s="231"/>
      <c r="N180" s="231"/>
      <c r="O180" s="231"/>
    </row>
    <row r="181" spans="1:15" ht="15" customHeight="1">
      <c r="A181" s="243">
        <v>44540</v>
      </c>
      <c r="B181" s="178" t="s">
        <v>380</v>
      </c>
      <c r="C181" s="178" t="s">
        <v>76</v>
      </c>
      <c r="D181" s="229"/>
      <c r="E181" s="178">
        <v>20000</v>
      </c>
      <c r="F181" s="178"/>
      <c r="G181" s="201">
        <f t="shared" si="3"/>
        <v>19961740</v>
      </c>
      <c r="H181" s="230" t="s">
        <v>49</v>
      </c>
      <c r="I181" s="184" t="s">
        <v>194</v>
      </c>
      <c r="J181" s="231"/>
      <c r="K181" s="231"/>
      <c r="L181" s="178" t="s">
        <v>315</v>
      </c>
      <c r="M181" s="231"/>
      <c r="N181" s="231"/>
      <c r="O181" s="231"/>
    </row>
    <row r="182" spans="1:15" ht="14.25" customHeight="1">
      <c r="A182" s="245">
        <v>44540</v>
      </c>
      <c r="B182" s="232" t="s">
        <v>393</v>
      </c>
      <c r="C182" s="178" t="s">
        <v>146</v>
      </c>
      <c r="D182" s="232" t="s">
        <v>166</v>
      </c>
      <c r="E182" s="233"/>
      <c r="F182" s="233">
        <v>24450</v>
      </c>
      <c r="G182" s="201">
        <f t="shared" si="3"/>
        <v>19937290</v>
      </c>
      <c r="H182" s="232" t="s">
        <v>31</v>
      </c>
      <c r="I182" s="184" t="s">
        <v>194</v>
      </c>
      <c r="J182" s="184" t="s">
        <v>169</v>
      </c>
      <c r="K182" s="178" t="s">
        <v>407</v>
      </c>
      <c r="L182" s="178" t="s">
        <v>315</v>
      </c>
      <c r="M182" s="232"/>
      <c r="N182" s="232"/>
      <c r="O182" s="232"/>
    </row>
    <row r="183" spans="1:15" ht="15" customHeight="1">
      <c r="A183" s="245">
        <v>44540</v>
      </c>
      <c r="B183" s="232" t="s">
        <v>484</v>
      </c>
      <c r="C183" s="232" t="s">
        <v>34</v>
      </c>
      <c r="D183" s="232" t="s">
        <v>168</v>
      </c>
      <c r="E183" s="233"/>
      <c r="F183" s="233">
        <v>15000</v>
      </c>
      <c r="G183" s="201">
        <f t="shared" si="3"/>
        <v>19922290</v>
      </c>
      <c r="H183" s="232" t="s">
        <v>31</v>
      </c>
      <c r="I183" s="178" t="s">
        <v>193</v>
      </c>
      <c r="J183" s="232" t="s">
        <v>103</v>
      </c>
      <c r="K183" s="222" t="s">
        <v>408</v>
      </c>
      <c r="L183" s="178" t="s">
        <v>315</v>
      </c>
      <c r="M183" s="178" t="s">
        <v>547</v>
      </c>
      <c r="N183" s="259" t="s">
        <v>429</v>
      </c>
      <c r="O183" s="232"/>
    </row>
    <row r="184" spans="1:15" ht="15" customHeight="1">
      <c r="A184" s="245">
        <v>44541</v>
      </c>
      <c r="B184" s="232" t="s">
        <v>392</v>
      </c>
      <c r="C184" s="232" t="s">
        <v>34</v>
      </c>
      <c r="D184" s="232" t="s">
        <v>168</v>
      </c>
      <c r="E184" s="233"/>
      <c r="F184" s="233">
        <v>5000</v>
      </c>
      <c r="G184" s="201">
        <f t="shared" si="3"/>
        <v>19917290</v>
      </c>
      <c r="H184" s="232" t="s">
        <v>31</v>
      </c>
      <c r="I184" s="178" t="s">
        <v>193</v>
      </c>
      <c r="J184" s="232" t="s">
        <v>169</v>
      </c>
      <c r="K184" s="222" t="s">
        <v>407</v>
      </c>
      <c r="L184" s="178" t="s">
        <v>315</v>
      </c>
      <c r="M184" s="232"/>
      <c r="N184" s="232"/>
      <c r="O184" s="232"/>
    </row>
    <row r="185" spans="1:15" ht="15" customHeight="1">
      <c r="A185" s="245">
        <v>44540</v>
      </c>
      <c r="B185" s="232" t="s">
        <v>394</v>
      </c>
      <c r="C185" s="232" t="s">
        <v>76</v>
      </c>
      <c r="D185" s="232"/>
      <c r="E185" s="233">
        <v>80000</v>
      </c>
      <c r="F185" s="252"/>
      <c r="G185" s="201">
        <f t="shared" si="3"/>
        <v>19997290</v>
      </c>
      <c r="H185" s="232" t="s">
        <v>31</v>
      </c>
      <c r="I185" s="184" t="s">
        <v>194</v>
      </c>
      <c r="J185" s="232"/>
      <c r="K185" s="222"/>
      <c r="L185" s="178" t="s">
        <v>315</v>
      </c>
      <c r="M185" s="232"/>
      <c r="N185" s="232"/>
      <c r="O185" s="232"/>
    </row>
    <row r="186" spans="1:15" ht="15" customHeight="1">
      <c r="A186" s="243">
        <v>44541</v>
      </c>
      <c r="B186" s="222" t="s">
        <v>462</v>
      </c>
      <c r="C186" s="178" t="s">
        <v>159</v>
      </c>
      <c r="D186" s="222" t="s">
        <v>168</v>
      </c>
      <c r="E186" s="265"/>
      <c r="F186" s="265">
        <v>45000</v>
      </c>
      <c r="G186" s="201">
        <f t="shared" si="3"/>
        <v>19952290</v>
      </c>
      <c r="H186" s="222" t="s">
        <v>31</v>
      </c>
      <c r="I186" s="178" t="s">
        <v>193</v>
      </c>
      <c r="J186" s="178" t="s">
        <v>103</v>
      </c>
      <c r="K186" s="178" t="s">
        <v>408</v>
      </c>
      <c r="L186" s="178" t="s">
        <v>315</v>
      </c>
      <c r="M186" s="178" t="s">
        <v>548</v>
      </c>
      <c r="N186" s="177" t="s">
        <v>432</v>
      </c>
      <c r="O186" s="222"/>
    </row>
    <row r="187" spans="1:15" ht="15" customHeight="1">
      <c r="A187" s="241">
        <v>44541</v>
      </c>
      <c r="B187" s="178" t="s">
        <v>189</v>
      </c>
      <c r="C187" s="178" t="s">
        <v>76</v>
      </c>
      <c r="E187" s="223"/>
      <c r="F187" s="212">
        <v>150000</v>
      </c>
      <c r="G187" s="201">
        <f t="shared" si="3"/>
        <v>19802290</v>
      </c>
      <c r="H187" s="178" t="s">
        <v>25</v>
      </c>
      <c r="I187" s="178" t="s">
        <v>194</v>
      </c>
      <c r="L187" s="178" t="s">
        <v>315</v>
      </c>
      <c r="O187" s="178"/>
    </row>
    <row r="188" spans="1:15" ht="15" customHeight="1">
      <c r="A188" s="241">
        <v>44541</v>
      </c>
      <c r="B188" s="178" t="s">
        <v>188</v>
      </c>
      <c r="C188" s="178" t="s">
        <v>76</v>
      </c>
      <c r="E188" s="223"/>
      <c r="F188" s="250">
        <v>12000</v>
      </c>
      <c r="G188" s="201">
        <f t="shared" si="3"/>
        <v>19790290</v>
      </c>
      <c r="H188" s="178" t="s">
        <v>25</v>
      </c>
      <c r="I188" s="184" t="s">
        <v>194</v>
      </c>
      <c r="L188" s="178" t="s">
        <v>315</v>
      </c>
      <c r="O188" s="178"/>
    </row>
    <row r="189" spans="1:15" ht="15" customHeight="1">
      <c r="A189" s="241">
        <v>44541</v>
      </c>
      <c r="B189" s="178" t="s">
        <v>29</v>
      </c>
      <c r="C189" s="178" t="s">
        <v>76</v>
      </c>
      <c r="E189" s="223"/>
      <c r="F189" s="250">
        <v>180000</v>
      </c>
      <c r="G189" s="201">
        <f t="shared" si="3"/>
        <v>19610290</v>
      </c>
      <c r="H189" s="178" t="s">
        <v>25</v>
      </c>
      <c r="I189" s="184" t="s">
        <v>194</v>
      </c>
      <c r="L189" s="178" t="s">
        <v>315</v>
      </c>
      <c r="O189" s="178"/>
    </row>
    <row r="190" spans="1:15" ht="15" customHeight="1">
      <c r="A190" s="241">
        <v>44541</v>
      </c>
      <c r="B190" s="178" t="s">
        <v>176</v>
      </c>
      <c r="C190" s="178" t="s">
        <v>76</v>
      </c>
      <c r="E190" s="225"/>
      <c r="F190" s="230">
        <v>180000</v>
      </c>
      <c r="G190" s="201">
        <f t="shared" si="3"/>
        <v>19430290</v>
      </c>
      <c r="H190" s="178" t="s">
        <v>25</v>
      </c>
      <c r="I190" s="184" t="s">
        <v>194</v>
      </c>
      <c r="L190" s="178" t="s">
        <v>315</v>
      </c>
      <c r="O190" s="178"/>
    </row>
    <row r="191" spans="1:15" ht="15" customHeight="1">
      <c r="A191" s="241">
        <v>44541</v>
      </c>
      <c r="B191" s="178" t="s">
        <v>223</v>
      </c>
      <c r="C191" s="178" t="s">
        <v>177</v>
      </c>
      <c r="D191" s="178" t="s">
        <v>195</v>
      </c>
      <c r="E191" s="225"/>
      <c r="F191" s="214">
        <v>9300</v>
      </c>
      <c r="G191" s="201">
        <f t="shared" si="3"/>
        <v>19420990</v>
      </c>
      <c r="H191" s="178" t="s">
        <v>25</v>
      </c>
      <c r="I191" s="178" t="s">
        <v>193</v>
      </c>
      <c r="J191" s="184" t="s">
        <v>169</v>
      </c>
      <c r="K191" s="178" t="s">
        <v>407</v>
      </c>
      <c r="L191" s="178" t="s">
        <v>315</v>
      </c>
      <c r="O191" s="178"/>
    </row>
    <row r="192" spans="1:15" ht="15" customHeight="1">
      <c r="A192" s="241">
        <v>44541</v>
      </c>
      <c r="B192" s="178" t="s">
        <v>224</v>
      </c>
      <c r="C192" s="178" t="s">
        <v>167</v>
      </c>
      <c r="D192" s="178" t="s">
        <v>195</v>
      </c>
      <c r="E192" s="225"/>
      <c r="F192" s="214">
        <v>110000</v>
      </c>
      <c r="G192" s="201">
        <f t="shared" si="3"/>
        <v>19310990</v>
      </c>
      <c r="H192" s="178" t="s">
        <v>25</v>
      </c>
      <c r="I192" s="184" t="s">
        <v>193</v>
      </c>
      <c r="J192" s="184" t="s">
        <v>169</v>
      </c>
      <c r="K192" s="178" t="s">
        <v>407</v>
      </c>
      <c r="L192" s="178" t="s">
        <v>315</v>
      </c>
      <c r="O192" s="178"/>
    </row>
    <row r="193" spans="1:15" ht="15" customHeight="1">
      <c r="A193" s="241">
        <v>44541</v>
      </c>
      <c r="B193" s="178" t="s">
        <v>225</v>
      </c>
      <c r="C193" s="178" t="s">
        <v>167</v>
      </c>
      <c r="D193" s="178" t="s">
        <v>195</v>
      </c>
      <c r="E193" s="225"/>
      <c r="F193" s="214">
        <v>50000</v>
      </c>
      <c r="G193" s="201">
        <f t="shared" si="3"/>
        <v>19260990</v>
      </c>
      <c r="H193" s="178" t="s">
        <v>25</v>
      </c>
      <c r="I193" s="184" t="s">
        <v>193</v>
      </c>
      <c r="J193" s="184" t="s">
        <v>169</v>
      </c>
      <c r="K193" s="178" t="s">
        <v>407</v>
      </c>
      <c r="L193" s="178" t="s">
        <v>315</v>
      </c>
      <c r="O193" s="178"/>
    </row>
    <row r="194" spans="1:15" ht="15" customHeight="1">
      <c r="A194" s="241">
        <v>44541</v>
      </c>
      <c r="B194" s="178" t="s">
        <v>207</v>
      </c>
      <c r="C194" s="178" t="s">
        <v>35</v>
      </c>
      <c r="D194" s="178" t="s">
        <v>190</v>
      </c>
      <c r="E194" s="225"/>
      <c r="F194" s="215">
        <v>8000</v>
      </c>
      <c r="G194" s="201">
        <f t="shared" si="3"/>
        <v>19252990</v>
      </c>
      <c r="H194" s="178" t="s">
        <v>25</v>
      </c>
      <c r="I194" s="178" t="s">
        <v>193</v>
      </c>
      <c r="J194" s="184" t="s">
        <v>169</v>
      </c>
      <c r="K194" s="178" t="s">
        <v>407</v>
      </c>
      <c r="L194" s="178" t="s">
        <v>315</v>
      </c>
      <c r="O194" s="178"/>
    </row>
    <row r="195" spans="1:15" ht="15" customHeight="1">
      <c r="A195" s="241">
        <v>44541</v>
      </c>
      <c r="B195" s="178" t="s">
        <v>297</v>
      </c>
      <c r="C195" s="178" t="s">
        <v>76</v>
      </c>
      <c r="E195" s="223">
        <v>150000</v>
      </c>
      <c r="F195" s="250"/>
      <c r="G195" s="201">
        <f t="shared" si="3"/>
        <v>19402990</v>
      </c>
      <c r="H195" s="178" t="s">
        <v>155</v>
      </c>
      <c r="I195" s="184" t="s">
        <v>194</v>
      </c>
      <c r="L195" s="178" t="s">
        <v>315</v>
      </c>
      <c r="O195" s="178"/>
    </row>
    <row r="196" spans="1:15" ht="15" customHeight="1">
      <c r="A196" s="241">
        <v>44541</v>
      </c>
      <c r="B196" s="178" t="s">
        <v>304</v>
      </c>
      <c r="C196" s="178" t="s">
        <v>159</v>
      </c>
      <c r="D196" s="178" t="s">
        <v>195</v>
      </c>
      <c r="E196" s="225"/>
      <c r="F196" s="215">
        <v>100000</v>
      </c>
      <c r="G196" s="201">
        <f t="shared" si="3"/>
        <v>19302990</v>
      </c>
      <c r="H196" s="178" t="s">
        <v>155</v>
      </c>
      <c r="I196" s="178" t="s">
        <v>193</v>
      </c>
      <c r="J196" s="184" t="s">
        <v>169</v>
      </c>
      <c r="K196" s="178" t="s">
        <v>407</v>
      </c>
      <c r="L196" s="178" t="s">
        <v>315</v>
      </c>
      <c r="M196" s="177"/>
      <c r="O196" s="178"/>
    </row>
    <row r="197" spans="1:15" ht="15" customHeight="1">
      <c r="A197" s="241">
        <v>44541</v>
      </c>
      <c r="B197" s="178" t="s">
        <v>305</v>
      </c>
      <c r="C197" s="178" t="s">
        <v>34</v>
      </c>
      <c r="D197" s="178" t="s">
        <v>195</v>
      </c>
      <c r="E197" s="223"/>
      <c r="F197" s="212">
        <v>50000</v>
      </c>
      <c r="G197" s="201">
        <f t="shared" si="3"/>
        <v>19252990</v>
      </c>
      <c r="H197" s="178" t="s">
        <v>155</v>
      </c>
      <c r="I197" s="178" t="s">
        <v>193</v>
      </c>
      <c r="J197" s="184" t="s">
        <v>169</v>
      </c>
      <c r="K197" s="178" t="s">
        <v>407</v>
      </c>
      <c r="L197" s="178" t="s">
        <v>315</v>
      </c>
      <c r="M197" s="184"/>
      <c r="O197" s="178"/>
    </row>
    <row r="198" spans="1:15" ht="15" customHeight="1">
      <c r="A198" s="242">
        <v>44541</v>
      </c>
      <c r="B198" s="185" t="s">
        <v>306</v>
      </c>
      <c r="C198" s="178" t="s">
        <v>159</v>
      </c>
      <c r="D198" s="178" t="s">
        <v>195</v>
      </c>
      <c r="E198" s="226"/>
      <c r="F198" s="213">
        <v>1500</v>
      </c>
      <c r="G198" s="201">
        <f t="shared" si="3"/>
        <v>19251490</v>
      </c>
      <c r="H198" s="207" t="s">
        <v>155</v>
      </c>
      <c r="I198" s="184" t="s">
        <v>194</v>
      </c>
      <c r="J198" s="184" t="s">
        <v>169</v>
      </c>
      <c r="K198" s="178" t="s">
        <v>407</v>
      </c>
      <c r="L198" s="178" t="s">
        <v>315</v>
      </c>
      <c r="O198" s="178"/>
    </row>
    <row r="199" spans="1:15" ht="15.75" customHeight="1">
      <c r="A199" s="241">
        <v>44541</v>
      </c>
      <c r="B199" s="178" t="s">
        <v>297</v>
      </c>
      <c r="C199" s="178" t="s">
        <v>332</v>
      </c>
      <c r="E199" s="223">
        <v>180000</v>
      </c>
      <c r="F199" s="250"/>
      <c r="G199" s="201">
        <f t="shared" si="3"/>
        <v>19431490</v>
      </c>
      <c r="H199" s="178" t="s">
        <v>176</v>
      </c>
      <c r="I199" s="184" t="s">
        <v>194</v>
      </c>
      <c r="L199" s="178" t="s">
        <v>315</v>
      </c>
      <c r="O199" s="178"/>
    </row>
    <row r="200" spans="1:15" ht="15.75" customHeight="1">
      <c r="A200" s="241">
        <v>44541</v>
      </c>
      <c r="B200" s="178" t="s">
        <v>404</v>
      </c>
      <c r="C200" s="178" t="s">
        <v>178</v>
      </c>
      <c r="D200" s="178" t="s">
        <v>195</v>
      </c>
      <c r="E200" s="225"/>
      <c r="F200" s="214">
        <v>80000</v>
      </c>
      <c r="G200" s="201">
        <f t="shared" si="3"/>
        <v>19351490</v>
      </c>
      <c r="H200" s="178" t="s">
        <v>48</v>
      </c>
      <c r="I200" s="178" t="s">
        <v>193</v>
      </c>
      <c r="J200" s="184" t="s">
        <v>169</v>
      </c>
      <c r="K200" s="178" t="s">
        <v>407</v>
      </c>
      <c r="L200" s="178" t="s">
        <v>315</v>
      </c>
      <c r="O200" s="178"/>
    </row>
    <row r="201" spans="1:15" ht="15" customHeight="1">
      <c r="A201" s="241">
        <v>44541</v>
      </c>
      <c r="B201" s="178" t="s">
        <v>356</v>
      </c>
      <c r="C201" s="178" t="s">
        <v>159</v>
      </c>
      <c r="D201" s="178" t="s">
        <v>195</v>
      </c>
      <c r="E201" s="225"/>
      <c r="F201" s="214">
        <v>30000</v>
      </c>
      <c r="G201" s="201">
        <f t="shared" si="3"/>
        <v>19321490</v>
      </c>
      <c r="H201" s="178" t="s">
        <v>48</v>
      </c>
      <c r="I201" s="178" t="s">
        <v>193</v>
      </c>
      <c r="J201" s="184" t="s">
        <v>169</v>
      </c>
      <c r="K201" s="178" t="s">
        <v>407</v>
      </c>
      <c r="L201" s="178" t="s">
        <v>315</v>
      </c>
      <c r="O201" s="178"/>
    </row>
    <row r="202" spans="1:15" ht="15" customHeight="1">
      <c r="A202" s="243">
        <v>44541</v>
      </c>
      <c r="B202" s="178" t="s">
        <v>380</v>
      </c>
      <c r="C202" s="178" t="s">
        <v>76</v>
      </c>
      <c r="D202" s="229"/>
      <c r="E202" s="178">
        <v>12000</v>
      </c>
      <c r="F202" s="178"/>
      <c r="G202" s="201">
        <f t="shared" si="3"/>
        <v>19333490</v>
      </c>
      <c r="H202" s="230" t="s">
        <v>49</v>
      </c>
      <c r="I202" s="184" t="s">
        <v>194</v>
      </c>
      <c r="J202" s="231"/>
      <c r="K202" s="231"/>
      <c r="L202" s="178" t="s">
        <v>315</v>
      </c>
      <c r="M202" s="231"/>
      <c r="N202" s="231"/>
      <c r="O202" s="231"/>
    </row>
    <row r="203" spans="1:15" ht="15" customHeight="1">
      <c r="A203" s="241">
        <v>44541</v>
      </c>
      <c r="B203" s="178" t="s">
        <v>396</v>
      </c>
      <c r="C203" s="178" t="s">
        <v>76</v>
      </c>
      <c r="D203" s="229"/>
      <c r="E203" s="178">
        <v>180000</v>
      </c>
      <c r="F203" s="199"/>
      <c r="G203" s="201">
        <f t="shared" si="3"/>
        <v>19513490</v>
      </c>
      <c r="H203" s="178" t="s">
        <v>29</v>
      </c>
      <c r="I203" s="184" t="s">
        <v>194</v>
      </c>
      <c r="J203" s="178"/>
      <c r="L203" s="178" t="s">
        <v>315</v>
      </c>
      <c r="N203" s="234"/>
      <c r="O203" s="231"/>
    </row>
    <row r="204" spans="1:15" ht="15" customHeight="1">
      <c r="A204" s="241">
        <v>44542</v>
      </c>
      <c r="B204" s="178" t="s">
        <v>501</v>
      </c>
      <c r="C204" s="178" t="s">
        <v>34</v>
      </c>
      <c r="D204" s="229" t="s">
        <v>4</v>
      </c>
      <c r="E204" s="178"/>
      <c r="F204" s="199">
        <v>10000</v>
      </c>
      <c r="G204" s="201">
        <f t="shared" si="3"/>
        <v>19503490</v>
      </c>
      <c r="H204" s="178" t="s">
        <v>29</v>
      </c>
      <c r="I204" s="178" t="s">
        <v>193</v>
      </c>
      <c r="J204" s="178" t="s">
        <v>103</v>
      </c>
      <c r="K204" s="178" t="s">
        <v>408</v>
      </c>
      <c r="L204" s="178" t="s">
        <v>315</v>
      </c>
      <c r="M204" s="178" t="s">
        <v>549</v>
      </c>
      <c r="N204" s="177" t="s">
        <v>429</v>
      </c>
      <c r="O204" s="178"/>
    </row>
    <row r="205" spans="1:15" ht="15" customHeight="1">
      <c r="A205" s="241">
        <v>44542</v>
      </c>
      <c r="B205" s="178" t="s">
        <v>165</v>
      </c>
      <c r="C205" s="178" t="s">
        <v>76</v>
      </c>
      <c r="E205" s="225"/>
      <c r="F205" s="251">
        <v>8000</v>
      </c>
      <c r="G205" s="201">
        <f t="shared" si="3"/>
        <v>19495490</v>
      </c>
      <c r="H205" s="178" t="s">
        <v>25</v>
      </c>
      <c r="I205" s="184" t="s">
        <v>194</v>
      </c>
      <c r="L205" s="178" t="s">
        <v>315</v>
      </c>
      <c r="O205" s="178"/>
    </row>
    <row r="206" spans="1:15" ht="15" customHeight="1">
      <c r="A206" s="241">
        <v>44542</v>
      </c>
      <c r="B206" s="178" t="s">
        <v>189</v>
      </c>
      <c r="C206" s="178" t="s">
        <v>76</v>
      </c>
      <c r="E206" s="225"/>
      <c r="F206" s="251">
        <v>8000</v>
      </c>
      <c r="G206" s="201">
        <f t="shared" si="3"/>
        <v>19487490</v>
      </c>
      <c r="H206" s="178" t="s">
        <v>25</v>
      </c>
      <c r="I206" s="184" t="s">
        <v>194</v>
      </c>
      <c r="K206" s="184"/>
      <c r="L206" s="178" t="s">
        <v>315</v>
      </c>
      <c r="O206" s="178"/>
    </row>
    <row r="207" spans="1:15" ht="15" customHeight="1">
      <c r="A207" s="242">
        <v>44542</v>
      </c>
      <c r="B207" s="185" t="s">
        <v>297</v>
      </c>
      <c r="C207" s="185" t="s">
        <v>76</v>
      </c>
      <c r="E207" s="226">
        <v>8000</v>
      </c>
      <c r="F207" s="254"/>
      <c r="G207" s="201">
        <f t="shared" ref="G207:G270" si="4">+G206+E207-F207</f>
        <v>19495490</v>
      </c>
      <c r="H207" s="207" t="s">
        <v>155</v>
      </c>
      <c r="I207" s="184" t="s">
        <v>194</v>
      </c>
      <c r="K207" s="184"/>
      <c r="L207" s="178" t="s">
        <v>315</v>
      </c>
      <c r="O207" s="178"/>
    </row>
    <row r="208" spans="1:15" ht="15" customHeight="1">
      <c r="A208" s="241">
        <v>44542</v>
      </c>
      <c r="B208" s="178" t="s">
        <v>512</v>
      </c>
      <c r="C208" s="178" t="s">
        <v>34</v>
      </c>
      <c r="D208" s="229" t="s">
        <v>4</v>
      </c>
      <c r="E208" s="223"/>
      <c r="F208" s="212">
        <v>6000</v>
      </c>
      <c r="G208" s="201">
        <f t="shared" si="4"/>
        <v>19489490</v>
      </c>
      <c r="H208" s="178" t="s">
        <v>176</v>
      </c>
      <c r="I208" s="178" t="s">
        <v>193</v>
      </c>
      <c r="J208" s="184" t="s">
        <v>169</v>
      </c>
      <c r="K208" s="178" t="s">
        <v>407</v>
      </c>
      <c r="L208" s="178" t="s">
        <v>315</v>
      </c>
      <c r="O208" s="178"/>
    </row>
    <row r="209" spans="1:15" ht="15" customHeight="1">
      <c r="A209" s="242">
        <v>44542</v>
      </c>
      <c r="B209" s="185" t="s">
        <v>314</v>
      </c>
      <c r="C209" s="185" t="s">
        <v>76</v>
      </c>
      <c r="D209" s="185"/>
      <c r="E209" s="226">
        <v>8000</v>
      </c>
      <c r="F209" s="256"/>
      <c r="G209" s="201">
        <f t="shared" si="4"/>
        <v>19497490</v>
      </c>
      <c r="H209" s="207" t="s">
        <v>165</v>
      </c>
      <c r="I209" s="184" t="s">
        <v>194</v>
      </c>
      <c r="K209" s="184"/>
      <c r="L209" s="178" t="s">
        <v>315</v>
      </c>
      <c r="O209" s="178"/>
    </row>
    <row r="210" spans="1:15" ht="15" customHeight="1">
      <c r="A210" s="242">
        <v>44542</v>
      </c>
      <c r="B210" s="185" t="s">
        <v>318</v>
      </c>
      <c r="C210" s="178" t="s">
        <v>146</v>
      </c>
      <c r="D210" s="178" t="s">
        <v>166</v>
      </c>
      <c r="E210" s="226"/>
      <c r="F210" s="213">
        <v>27000</v>
      </c>
      <c r="G210" s="201">
        <f t="shared" si="4"/>
        <v>19470490</v>
      </c>
      <c r="H210" s="207" t="s">
        <v>165</v>
      </c>
      <c r="I210" s="184" t="s">
        <v>194</v>
      </c>
      <c r="J210" s="184" t="s">
        <v>169</v>
      </c>
      <c r="K210" s="178" t="s">
        <v>407</v>
      </c>
      <c r="L210" s="178" t="s">
        <v>315</v>
      </c>
      <c r="O210" s="178"/>
    </row>
    <row r="211" spans="1:15" ht="15" customHeight="1">
      <c r="A211" s="241">
        <v>44543</v>
      </c>
      <c r="B211" s="178" t="s">
        <v>504</v>
      </c>
      <c r="C211" s="178" t="s">
        <v>159</v>
      </c>
      <c r="D211" s="229" t="s">
        <v>4</v>
      </c>
      <c r="E211" s="178"/>
      <c r="F211" s="199">
        <v>100000</v>
      </c>
      <c r="G211" s="201">
        <f t="shared" si="4"/>
        <v>19370490</v>
      </c>
      <c r="H211" s="178" t="s">
        <v>29</v>
      </c>
      <c r="I211" s="184" t="s">
        <v>194</v>
      </c>
      <c r="J211" s="178" t="s">
        <v>103</v>
      </c>
      <c r="K211" s="178" t="s">
        <v>408</v>
      </c>
      <c r="L211" s="178" t="s">
        <v>315</v>
      </c>
      <c r="M211" s="178" t="s">
        <v>550</v>
      </c>
      <c r="N211" s="177" t="s">
        <v>432</v>
      </c>
      <c r="O211" s="178"/>
    </row>
    <row r="212" spans="1:15" ht="15" customHeight="1">
      <c r="A212" s="242">
        <v>44543</v>
      </c>
      <c r="B212" s="185" t="s">
        <v>31</v>
      </c>
      <c r="C212" s="185" t="s">
        <v>76</v>
      </c>
      <c r="E212" s="226"/>
      <c r="F212" s="254">
        <v>15000</v>
      </c>
      <c r="G212" s="201">
        <f t="shared" si="4"/>
        <v>19355490</v>
      </c>
      <c r="H212" s="207" t="s">
        <v>25</v>
      </c>
      <c r="I212" s="184" t="s">
        <v>194</v>
      </c>
      <c r="K212" s="184"/>
      <c r="L212" s="178" t="s">
        <v>315</v>
      </c>
      <c r="O212" s="178"/>
    </row>
    <row r="213" spans="1:15" ht="15" customHeight="1">
      <c r="A213" s="241">
        <v>44543</v>
      </c>
      <c r="B213" s="178" t="s">
        <v>226</v>
      </c>
      <c r="C213" s="178" t="s">
        <v>35</v>
      </c>
      <c r="D213" s="178" t="s">
        <v>190</v>
      </c>
      <c r="E213" s="225"/>
      <c r="F213" s="214">
        <v>4250</v>
      </c>
      <c r="G213" s="201">
        <f t="shared" si="4"/>
        <v>19351240</v>
      </c>
      <c r="H213" s="178" t="s">
        <v>25</v>
      </c>
      <c r="I213" s="178" t="s">
        <v>193</v>
      </c>
      <c r="J213" s="184" t="s">
        <v>169</v>
      </c>
      <c r="K213" s="178" t="s">
        <v>407</v>
      </c>
      <c r="L213" s="178" t="s">
        <v>315</v>
      </c>
      <c r="O213" s="178"/>
    </row>
    <row r="214" spans="1:15" ht="15" customHeight="1">
      <c r="A214" s="241">
        <v>44543</v>
      </c>
      <c r="B214" s="178" t="s">
        <v>227</v>
      </c>
      <c r="C214" s="178" t="s">
        <v>76</v>
      </c>
      <c r="E214" s="223">
        <v>2000000</v>
      </c>
      <c r="F214" s="250"/>
      <c r="G214" s="201">
        <f t="shared" si="4"/>
        <v>21351240</v>
      </c>
      <c r="H214" s="178" t="s">
        <v>25</v>
      </c>
      <c r="I214" s="184" t="s">
        <v>194</v>
      </c>
      <c r="L214" s="178" t="s">
        <v>315</v>
      </c>
      <c r="O214" s="178"/>
    </row>
    <row r="215" spans="1:15" ht="15" customHeight="1">
      <c r="A215" s="241">
        <v>44543</v>
      </c>
      <c r="B215" s="178" t="s">
        <v>228</v>
      </c>
      <c r="C215" s="178" t="s">
        <v>35</v>
      </c>
      <c r="D215" s="185" t="s">
        <v>190</v>
      </c>
      <c r="E215" s="223"/>
      <c r="F215" s="212">
        <v>2000</v>
      </c>
      <c r="G215" s="201">
        <f t="shared" si="4"/>
        <v>21349240</v>
      </c>
      <c r="H215" s="178" t="s">
        <v>25</v>
      </c>
      <c r="I215" s="178" t="s">
        <v>193</v>
      </c>
      <c r="J215" s="184" t="s">
        <v>103</v>
      </c>
      <c r="K215" s="178" t="s">
        <v>408</v>
      </c>
      <c r="L215" s="178" t="s">
        <v>315</v>
      </c>
      <c r="M215" s="178" t="s">
        <v>551</v>
      </c>
      <c r="N215" s="177" t="s">
        <v>417</v>
      </c>
      <c r="O215" s="178"/>
    </row>
    <row r="216" spans="1:15" ht="15" customHeight="1">
      <c r="A216" s="241">
        <v>44543</v>
      </c>
      <c r="B216" s="178" t="s">
        <v>229</v>
      </c>
      <c r="C216" s="178" t="s">
        <v>167</v>
      </c>
      <c r="D216" s="232" t="s">
        <v>168</v>
      </c>
      <c r="E216" s="223"/>
      <c r="F216" s="212">
        <v>45000</v>
      </c>
      <c r="G216" s="201">
        <f t="shared" si="4"/>
        <v>21304240</v>
      </c>
      <c r="H216" s="178" t="s">
        <v>25</v>
      </c>
      <c r="I216" s="184" t="s">
        <v>194</v>
      </c>
      <c r="J216" s="184" t="s">
        <v>169</v>
      </c>
      <c r="K216" s="178" t="s">
        <v>407</v>
      </c>
      <c r="L216" s="178" t="s">
        <v>315</v>
      </c>
      <c r="O216" s="178"/>
    </row>
    <row r="217" spans="1:15" ht="15" customHeight="1">
      <c r="A217" s="241">
        <v>44543</v>
      </c>
      <c r="B217" s="178" t="s">
        <v>230</v>
      </c>
      <c r="C217" s="178" t="s">
        <v>167</v>
      </c>
      <c r="D217" s="232" t="s">
        <v>168</v>
      </c>
      <c r="E217" s="223"/>
      <c r="F217" s="212">
        <v>150000</v>
      </c>
      <c r="G217" s="201">
        <f t="shared" si="4"/>
        <v>21154240</v>
      </c>
      <c r="H217" s="178" t="s">
        <v>25</v>
      </c>
      <c r="I217" s="184" t="s">
        <v>194</v>
      </c>
      <c r="J217" s="184" t="s">
        <v>169</v>
      </c>
      <c r="K217" s="178" t="s">
        <v>407</v>
      </c>
      <c r="L217" s="178" t="s">
        <v>315</v>
      </c>
      <c r="O217" s="178"/>
    </row>
    <row r="218" spans="1:15" ht="15" customHeight="1">
      <c r="A218" s="241">
        <v>44543</v>
      </c>
      <c r="B218" s="178" t="s">
        <v>196</v>
      </c>
      <c r="C218" s="178" t="s">
        <v>76</v>
      </c>
      <c r="E218" s="223"/>
      <c r="F218" s="250">
        <v>183500</v>
      </c>
      <c r="G218" s="201">
        <f t="shared" si="4"/>
        <v>20970740</v>
      </c>
      <c r="H218" s="178" t="s">
        <v>25</v>
      </c>
      <c r="I218" s="184" t="s">
        <v>194</v>
      </c>
      <c r="L218" s="178" t="s">
        <v>315</v>
      </c>
      <c r="O218" s="178"/>
    </row>
    <row r="219" spans="1:15" ht="15" customHeight="1">
      <c r="A219" s="241">
        <v>44543</v>
      </c>
      <c r="B219" s="178" t="s">
        <v>231</v>
      </c>
      <c r="C219" s="178" t="s">
        <v>285</v>
      </c>
      <c r="D219" s="185" t="s">
        <v>190</v>
      </c>
      <c r="E219" s="223"/>
      <c r="F219" s="212">
        <v>5505</v>
      </c>
      <c r="G219" s="201">
        <f t="shared" si="4"/>
        <v>20965235</v>
      </c>
      <c r="H219" s="178" t="s">
        <v>25</v>
      </c>
      <c r="I219" s="178" t="s">
        <v>193</v>
      </c>
      <c r="J219" s="178" t="s">
        <v>103</v>
      </c>
      <c r="K219" s="178" t="s">
        <v>408</v>
      </c>
      <c r="L219" s="178" t="s">
        <v>315</v>
      </c>
      <c r="M219" s="178" t="s">
        <v>552</v>
      </c>
      <c r="N219" s="177" t="s">
        <v>428</v>
      </c>
      <c r="O219" s="178"/>
    </row>
    <row r="220" spans="1:15" ht="15" customHeight="1">
      <c r="A220" s="241">
        <v>44543</v>
      </c>
      <c r="B220" s="178" t="s">
        <v>165</v>
      </c>
      <c r="C220" s="178" t="s">
        <v>76</v>
      </c>
      <c r="E220" s="223"/>
      <c r="F220" s="250">
        <v>677000</v>
      </c>
      <c r="G220" s="201">
        <f t="shared" si="4"/>
        <v>20288235</v>
      </c>
      <c r="H220" s="178" t="s">
        <v>25</v>
      </c>
      <c r="I220" s="184" t="s">
        <v>194</v>
      </c>
      <c r="L220" s="178" t="s">
        <v>315</v>
      </c>
      <c r="O220" s="178"/>
    </row>
    <row r="221" spans="1:15" ht="15" customHeight="1">
      <c r="A221" s="241">
        <v>44543</v>
      </c>
      <c r="B221" s="178" t="s">
        <v>287</v>
      </c>
      <c r="C221" s="201" t="s">
        <v>76</v>
      </c>
      <c r="D221" s="212"/>
      <c r="E221" s="225"/>
      <c r="F221" s="230">
        <v>2000000</v>
      </c>
      <c r="G221" s="201">
        <f t="shared" si="4"/>
        <v>18288235</v>
      </c>
      <c r="H221" s="178" t="s">
        <v>24</v>
      </c>
      <c r="I221" s="184">
        <v>3643579</v>
      </c>
      <c r="J221" s="178"/>
      <c r="L221" s="178" t="s">
        <v>315</v>
      </c>
      <c r="O221" s="178"/>
    </row>
    <row r="222" spans="1:15" ht="16.5" customHeight="1">
      <c r="A222" s="244">
        <v>44543</v>
      </c>
      <c r="B222" s="184" t="s">
        <v>511</v>
      </c>
      <c r="C222" s="178" t="s">
        <v>34</v>
      </c>
      <c r="D222" s="229" t="s">
        <v>4</v>
      </c>
      <c r="E222" s="224"/>
      <c r="F222" s="212">
        <v>4000</v>
      </c>
      <c r="G222" s="201">
        <f t="shared" si="4"/>
        <v>18284235</v>
      </c>
      <c r="H222" s="178" t="s">
        <v>176</v>
      </c>
      <c r="I222" s="178" t="s">
        <v>193</v>
      </c>
      <c r="J222" s="184" t="s">
        <v>169</v>
      </c>
      <c r="K222" s="178" t="s">
        <v>407</v>
      </c>
      <c r="L222" s="178" t="s">
        <v>315</v>
      </c>
      <c r="O222" s="178"/>
    </row>
    <row r="223" spans="1:15" ht="15" customHeight="1">
      <c r="A223" s="244">
        <v>44543</v>
      </c>
      <c r="B223" s="184" t="s">
        <v>635</v>
      </c>
      <c r="C223" s="178" t="s">
        <v>159</v>
      </c>
      <c r="D223" s="229" t="s">
        <v>4</v>
      </c>
      <c r="E223" s="225"/>
      <c r="F223" s="212">
        <v>80000</v>
      </c>
      <c r="G223" s="201">
        <f t="shared" si="4"/>
        <v>18204235</v>
      </c>
      <c r="H223" s="178" t="s">
        <v>176</v>
      </c>
      <c r="I223" s="184" t="s">
        <v>194</v>
      </c>
      <c r="J223" s="184" t="s">
        <v>169</v>
      </c>
      <c r="K223" s="184" t="s">
        <v>407</v>
      </c>
      <c r="L223" s="178" t="s">
        <v>315</v>
      </c>
      <c r="O223" s="178"/>
    </row>
    <row r="224" spans="1:15" ht="15" customHeight="1">
      <c r="A224" s="245">
        <v>44543</v>
      </c>
      <c r="B224" s="232" t="s">
        <v>357</v>
      </c>
      <c r="C224" s="232" t="s">
        <v>76</v>
      </c>
      <c r="D224" s="232"/>
      <c r="E224" s="233">
        <v>15000</v>
      </c>
      <c r="F224" s="252"/>
      <c r="G224" s="201">
        <f t="shared" si="4"/>
        <v>18219235</v>
      </c>
      <c r="H224" s="232" t="s">
        <v>31</v>
      </c>
      <c r="I224" s="184" t="s">
        <v>194</v>
      </c>
      <c r="J224" s="232"/>
      <c r="K224" s="232"/>
      <c r="L224" s="178" t="s">
        <v>315</v>
      </c>
      <c r="M224" s="232"/>
      <c r="N224" s="232"/>
      <c r="O224" s="232"/>
    </row>
    <row r="225" spans="1:15" ht="15" customHeight="1">
      <c r="A225" s="241">
        <v>44544</v>
      </c>
      <c r="B225" s="178" t="s">
        <v>196</v>
      </c>
      <c r="C225" s="178" t="s">
        <v>76</v>
      </c>
      <c r="E225" s="223"/>
      <c r="F225" s="250">
        <v>62000</v>
      </c>
      <c r="G225" s="201">
        <f t="shared" si="4"/>
        <v>18157235</v>
      </c>
      <c r="H225" s="178" t="s">
        <v>25</v>
      </c>
      <c r="I225" s="184" t="s">
        <v>194</v>
      </c>
      <c r="L225" s="178" t="s">
        <v>315</v>
      </c>
      <c r="O225" s="178"/>
    </row>
    <row r="226" spans="1:15" ht="15" customHeight="1">
      <c r="A226" s="241">
        <v>44544</v>
      </c>
      <c r="B226" s="178" t="s">
        <v>231</v>
      </c>
      <c r="C226" s="178" t="s">
        <v>285</v>
      </c>
      <c r="D226" s="185" t="s">
        <v>190</v>
      </c>
      <c r="E226" s="223"/>
      <c r="F226" s="212">
        <v>1860</v>
      </c>
      <c r="G226" s="201">
        <f t="shared" si="4"/>
        <v>18155375</v>
      </c>
      <c r="H226" s="178" t="s">
        <v>25</v>
      </c>
      <c r="I226" s="178" t="s">
        <v>193</v>
      </c>
      <c r="J226" s="178" t="s">
        <v>103</v>
      </c>
      <c r="K226" s="178" t="s">
        <v>408</v>
      </c>
      <c r="L226" s="178" t="s">
        <v>315</v>
      </c>
      <c r="M226" s="178" t="s">
        <v>553</v>
      </c>
      <c r="N226" s="177" t="s">
        <v>428</v>
      </c>
      <c r="O226" s="178"/>
    </row>
    <row r="227" spans="1:15" ht="15" customHeight="1">
      <c r="A227" s="241">
        <v>44544</v>
      </c>
      <c r="B227" s="178" t="s">
        <v>232</v>
      </c>
      <c r="C227" s="178" t="s">
        <v>628</v>
      </c>
      <c r="D227" s="185" t="s">
        <v>190</v>
      </c>
      <c r="E227" s="223"/>
      <c r="F227" s="212">
        <v>12750</v>
      </c>
      <c r="G227" s="201">
        <f t="shared" si="4"/>
        <v>18142625</v>
      </c>
      <c r="H227" s="178" t="s">
        <v>25</v>
      </c>
      <c r="I227" s="178" t="s">
        <v>193</v>
      </c>
      <c r="J227" s="184" t="s">
        <v>103</v>
      </c>
      <c r="K227" s="178" t="s">
        <v>408</v>
      </c>
      <c r="L227" s="178" t="s">
        <v>315</v>
      </c>
      <c r="M227" s="178" t="s">
        <v>554</v>
      </c>
      <c r="N227" s="177" t="s">
        <v>419</v>
      </c>
      <c r="O227" s="178"/>
    </row>
    <row r="228" spans="1:15" ht="15" customHeight="1">
      <c r="A228" s="241">
        <v>44544</v>
      </c>
      <c r="B228" s="178" t="s">
        <v>188</v>
      </c>
      <c r="C228" s="178" t="s">
        <v>76</v>
      </c>
      <c r="E228" s="223"/>
      <c r="F228" s="250">
        <v>180000</v>
      </c>
      <c r="G228" s="201">
        <f t="shared" si="4"/>
        <v>17962625</v>
      </c>
      <c r="H228" s="178" t="s">
        <v>25</v>
      </c>
      <c r="I228" s="184" t="s">
        <v>194</v>
      </c>
      <c r="L228" s="178" t="s">
        <v>315</v>
      </c>
      <c r="O228" s="178"/>
    </row>
    <row r="229" spans="1:15" ht="15" customHeight="1">
      <c r="A229" s="241">
        <v>44544</v>
      </c>
      <c r="B229" s="178" t="s">
        <v>154</v>
      </c>
      <c r="C229" s="178" t="s">
        <v>76</v>
      </c>
      <c r="E229" s="223"/>
      <c r="F229" s="250">
        <v>20000</v>
      </c>
      <c r="G229" s="201">
        <f t="shared" si="4"/>
        <v>17942625</v>
      </c>
      <c r="H229" s="178" t="s">
        <v>25</v>
      </c>
      <c r="I229" s="184" t="s">
        <v>194</v>
      </c>
      <c r="L229" s="178" t="s">
        <v>315</v>
      </c>
      <c r="O229" s="178"/>
    </row>
    <row r="230" spans="1:15" ht="15" customHeight="1">
      <c r="A230" s="241">
        <v>44544</v>
      </c>
      <c r="B230" s="178" t="s">
        <v>233</v>
      </c>
      <c r="C230" s="178" t="s">
        <v>218</v>
      </c>
      <c r="D230" s="185" t="s">
        <v>2</v>
      </c>
      <c r="E230" s="223"/>
      <c r="F230" s="212">
        <v>5000</v>
      </c>
      <c r="G230" s="201">
        <f t="shared" si="4"/>
        <v>17937625</v>
      </c>
      <c r="H230" s="178" t="s">
        <v>25</v>
      </c>
      <c r="I230" s="178" t="s">
        <v>193</v>
      </c>
      <c r="J230" s="184" t="s">
        <v>103</v>
      </c>
      <c r="K230" s="178" t="s">
        <v>408</v>
      </c>
      <c r="L230" s="178" t="s">
        <v>315</v>
      </c>
      <c r="M230" s="178" t="s">
        <v>555</v>
      </c>
      <c r="N230" s="177" t="s">
        <v>416</v>
      </c>
      <c r="O230" s="178"/>
    </row>
    <row r="231" spans="1:15" ht="15" customHeight="1">
      <c r="A231" s="241">
        <v>44544</v>
      </c>
      <c r="B231" s="178" t="s">
        <v>234</v>
      </c>
      <c r="C231" s="178" t="s">
        <v>34</v>
      </c>
      <c r="D231" s="178" t="s">
        <v>195</v>
      </c>
      <c r="E231" s="223"/>
      <c r="F231" s="212">
        <v>25000</v>
      </c>
      <c r="G231" s="201">
        <f t="shared" si="4"/>
        <v>17912625</v>
      </c>
      <c r="H231" s="178" t="s">
        <v>25</v>
      </c>
      <c r="I231" s="178" t="s">
        <v>193</v>
      </c>
      <c r="J231" s="184" t="s">
        <v>169</v>
      </c>
      <c r="K231" s="178" t="s">
        <v>407</v>
      </c>
      <c r="L231" s="178" t="s">
        <v>315</v>
      </c>
      <c r="O231" s="178"/>
    </row>
    <row r="232" spans="1:15" ht="15" customHeight="1">
      <c r="A232" s="241">
        <v>44544</v>
      </c>
      <c r="B232" s="178" t="s">
        <v>357</v>
      </c>
      <c r="C232" s="178" t="s">
        <v>76</v>
      </c>
      <c r="E232" s="225">
        <v>183500</v>
      </c>
      <c r="F232" s="230"/>
      <c r="G232" s="201">
        <f t="shared" si="4"/>
        <v>18096125</v>
      </c>
      <c r="H232" s="178" t="s">
        <v>48</v>
      </c>
      <c r="I232" s="184" t="s">
        <v>194</v>
      </c>
      <c r="K232" s="184"/>
      <c r="L232" s="178" t="s">
        <v>315</v>
      </c>
      <c r="O232" s="178"/>
    </row>
    <row r="233" spans="1:15" ht="15" customHeight="1">
      <c r="A233" s="241">
        <v>44544</v>
      </c>
      <c r="B233" s="178" t="s">
        <v>455</v>
      </c>
      <c r="C233" s="178" t="s">
        <v>35</v>
      </c>
      <c r="D233" s="178" t="s">
        <v>166</v>
      </c>
      <c r="E233" s="225"/>
      <c r="F233" s="215">
        <v>65000</v>
      </c>
      <c r="G233" s="201">
        <f t="shared" si="4"/>
        <v>18031125</v>
      </c>
      <c r="H233" s="178" t="s">
        <v>48</v>
      </c>
      <c r="I233" s="178" t="s">
        <v>193</v>
      </c>
      <c r="J233" s="184" t="s">
        <v>169</v>
      </c>
      <c r="K233" s="178" t="s">
        <v>407</v>
      </c>
      <c r="L233" s="178" t="s">
        <v>315</v>
      </c>
    </row>
    <row r="234" spans="1:15" ht="15" customHeight="1">
      <c r="A234" s="243">
        <v>44544</v>
      </c>
      <c r="B234" s="178" t="s">
        <v>388</v>
      </c>
      <c r="C234" s="178" t="s">
        <v>76</v>
      </c>
      <c r="D234" s="229"/>
      <c r="E234" s="178">
        <v>180000</v>
      </c>
      <c r="F234" s="178"/>
      <c r="G234" s="201">
        <f t="shared" si="4"/>
        <v>18211125</v>
      </c>
      <c r="H234" s="230" t="s">
        <v>49</v>
      </c>
      <c r="I234" s="184" t="s">
        <v>194</v>
      </c>
      <c r="J234" s="231"/>
      <c r="K234" s="231"/>
      <c r="L234" s="178" t="s">
        <v>315</v>
      </c>
      <c r="M234" s="231"/>
      <c r="N234" s="231"/>
      <c r="O234" s="231"/>
    </row>
    <row r="235" spans="1:15" ht="15" customHeight="1">
      <c r="A235" s="243">
        <v>44544</v>
      </c>
      <c r="B235" s="178" t="s">
        <v>491</v>
      </c>
      <c r="C235" s="178" t="s">
        <v>34</v>
      </c>
      <c r="D235" s="229" t="s">
        <v>4</v>
      </c>
      <c r="E235" s="178"/>
      <c r="F235" s="178">
        <v>10000</v>
      </c>
      <c r="G235" s="201">
        <f t="shared" si="4"/>
        <v>18201125</v>
      </c>
      <c r="H235" s="230" t="s">
        <v>49</v>
      </c>
      <c r="I235" s="178" t="s">
        <v>193</v>
      </c>
      <c r="J235" s="231" t="s">
        <v>103</v>
      </c>
      <c r="K235" s="231" t="s">
        <v>408</v>
      </c>
      <c r="L235" s="178" t="s">
        <v>315</v>
      </c>
      <c r="M235" s="178" t="s">
        <v>556</v>
      </c>
      <c r="N235" s="257" t="s">
        <v>429</v>
      </c>
      <c r="O235" s="231"/>
    </row>
    <row r="236" spans="1:15" ht="15" customHeight="1">
      <c r="A236" s="241">
        <v>44544</v>
      </c>
      <c r="B236" s="178" t="s">
        <v>475</v>
      </c>
      <c r="C236" s="178" t="s">
        <v>159</v>
      </c>
      <c r="D236" s="229" t="s">
        <v>4</v>
      </c>
      <c r="E236" s="178"/>
      <c r="F236" s="199">
        <v>15000</v>
      </c>
      <c r="G236" s="201">
        <f t="shared" si="4"/>
        <v>18186125</v>
      </c>
      <c r="H236" s="178" t="s">
        <v>29</v>
      </c>
      <c r="I236" s="184" t="s">
        <v>193</v>
      </c>
      <c r="J236" s="178" t="s">
        <v>103</v>
      </c>
      <c r="K236" s="178" t="s">
        <v>408</v>
      </c>
      <c r="L236" s="178" t="s">
        <v>315</v>
      </c>
      <c r="M236" s="178" t="s">
        <v>557</v>
      </c>
      <c r="N236" s="177" t="s">
        <v>432</v>
      </c>
      <c r="O236" s="178"/>
    </row>
    <row r="237" spans="1:15" ht="15" customHeight="1">
      <c r="A237" s="241">
        <v>44544</v>
      </c>
      <c r="B237" s="178" t="s">
        <v>500</v>
      </c>
      <c r="C237" s="178" t="s">
        <v>34</v>
      </c>
      <c r="D237" s="229" t="s">
        <v>4</v>
      </c>
      <c r="E237" s="178"/>
      <c r="F237" s="199">
        <v>8000</v>
      </c>
      <c r="G237" s="201">
        <f t="shared" si="4"/>
        <v>18178125</v>
      </c>
      <c r="H237" s="178" t="s">
        <v>29</v>
      </c>
      <c r="I237" s="178" t="s">
        <v>193</v>
      </c>
      <c r="J237" s="231" t="s">
        <v>103</v>
      </c>
      <c r="K237" s="231" t="s">
        <v>408</v>
      </c>
      <c r="L237" s="178" t="s">
        <v>315</v>
      </c>
      <c r="M237" s="178" t="s">
        <v>558</v>
      </c>
      <c r="N237" s="257" t="s">
        <v>429</v>
      </c>
      <c r="O237" s="231"/>
    </row>
    <row r="238" spans="1:15" ht="15" customHeight="1">
      <c r="A238" s="241">
        <v>44544</v>
      </c>
      <c r="B238" s="178" t="s">
        <v>297</v>
      </c>
      <c r="C238" s="178" t="s">
        <v>76</v>
      </c>
      <c r="E238" s="196">
        <v>20000</v>
      </c>
      <c r="G238" s="201">
        <f t="shared" si="4"/>
        <v>18198125</v>
      </c>
      <c r="H238" s="178" t="s">
        <v>154</v>
      </c>
      <c r="I238" s="184" t="s">
        <v>194</v>
      </c>
      <c r="L238" s="178" t="s">
        <v>315</v>
      </c>
      <c r="O238" s="178"/>
    </row>
    <row r="239" spans="1:15" ht="15" customHeight="1">
      <c r="A239" s="242">
        <v>44544</v>
      </c>
      <c r="B239" s="185" t="s">
        <v>319</v>
      </c>
      <c r="C239" s="185" t="s">
        <v>76</v>
      </c>
      <c r="D239" s="185"/>
      <c r="E239" s="226">
        <v>677000</v>
      </c>
      <c r="F239" s="256"/>
      <c r="G239" s="201">
        <f t="shared" si="4"/>
        <v>18875125</v>
      </c>
      <c r="H239" s="207" t="s">
        <v>165</v>
      </c>
      <c r="I239" s="184" t="s">
        <v>194</v>
      </c>
      <c r="K239" s="184"/>
      <c r="L239" s="178" t="s">
        <v>315</v>
      </c>
      <c r="O239" s="178"/>
    </row>
    <row r="240" spans="1:15" ht="15" customHeight="1">
      <c r="A240" s="242">
        <v>44544</v>
      </c>
      <c r="B240" s="185" t="s">
        <v>320</v>
      </c>
      <c r="C240" s="178" t="s">
        <v>34</v>
      </c>
      <c r="D240" s="178" t="s">
        <v>195</v>
      </c>
      <c r="E240" s="226"/>
      <c r="F240" s="213">
        <v>400000</v>
      </c>
      <c r="G240" s="201">
        <f t="shared" si="4"/>
        <v>18475125</v>
      </c>
      <c r="H240" s="207" t="s">
        <v>165</v>
      </c>
      <c r="I240" s="184" t="s">
        <v>193</v>
      </c>
      <c r="J240" s="184" t="s">
        <v>169</v>
      </c>
      <c r="K240" s="178" t="s">
        <v>407</v>
      </c>
      <c r="L240" s="178" t="s">
        <v>315</v>
      </c>
      <c r="O240" s="178"/>
    </row>
    <row r="241" spans="1:15" ht="15" customHeight="1">
      <c r="A241" s="242">
        <v>44544</v>
      </c>
      <c r="B241" s="178" t="s">
        <v>321</v>
      </c>
      <c r="C241" s="178" t="s">
        <v>34</v>
      </c>
      <c r="D241" s="178" t="s">
        <v>195</v>
      </c>
      <c r="E241" s="223"/>
      <c r="F241" s="212">
        <v>100000</v>
      </c>
      <c r="G241" s="201">
        <f t="shared" si="4"/>
        <v>18375125</v>
      </c>
      <c r="H241" s="178" t="s">
        <v>165</v>
      </c>
      <c r="I241" s="184" t="s">
        <v>193</v>
      </c>
      <c r="J241" s="184" t="s">
        <v>169</v>
      </c>
      <c r="K241" s="178" t="s">
        <v>407</v>
      </c>
      <c r="L241" s="178" t="s">
        <v>315</v>
      </c>
      <c r="O241" s="178"/>
    </row>
    <row r="242" spans="1:15" ht="15" customHeight="1">
      <c r="A242" s="242">
        <v>44544</v>
      </c>
      <c r="B242" s="178" t="s">
        <v>322</v>
      </c>
      <c r="C242" s="178" t="s">
        <v>34</v>
      </c>
      <c r="D242" s="178" t="s">
        <v>166</v>
      </c>
      <c r="E242" s="223"/>
      <c r="F242" s="212">
        <v>12000</v>
      </c>
      <c r="G242" s="201">
        <f t="shared" si="4"/>
        <v>18363125</v>
      </c>
      <c r="H242" s="178" t="s">
        <v>165</v>
      </c>
      <c r="I242" s="184" t="s">
        <v>193</v>
      </c>
      <c r="J242" s="184" t="s">
        <v>169</v>
      </c>
      <c r="K242" s="184" t="s">
        <v>407</v>
      </c>
      <c r="L242" s="178" t="s">
        <v>315</v>
      </c>
      <c r="O242" s="178"/>
    </row>
    <row r="243" spans="1:15" ht="15" customHeight="1">
      <c r="A243" s="242">
        <v>44544</v>
      </c>
      <c r="B243" s="178" t="s">
        <v>323</v>
      </c>
      <c r="C243" s="178" t="s">
        <v>159</v>
      </c>
      <c r="D243" s="178" t="s">
        <v>166</v>
      </c>
      <c r="E243" s="223"/>
      <c r="F243" s="212">
        <v>60000</v>
      </c>
      <c r="G243" s="201">
        <f t="shared" si="4"/>
        <v>18303125</v>
      </c>
      <c r="H243" s="178" t="s">
        <v>165</v>
      </c>
      <c r="I243" s="184" t="s">
        <v>194</v>
      </c>
      <c r="J243" s="184" t="s">
        <v>169</v>
      </c>
      <c r="K243" s="184" t="s">
        <v>407</v>
      </c>
      <c r="L243" s="178" t="s">
        <v>315</v>
      </c>
      <c r="O243" s="178"/>
    </row>
    <row r="244" spans="1:15" ht="15" customHeight="1">
      <c r="A244" s="242">
        <v>44544</v>
      </c>
      <c r="B244" s="185" t="s">
        <v>451</v>
      </c>
      <c r="C244" s="178" t="s">
        <v>159</v>
      </c>
      <c r="D244" s="178" t="s">
        <v>166</v>
      </c>
      <c r="E244" s="226"/>
      <c r="F244" s="213">
        <v>20000</v>
      </c>
      <c r="G244" s="201">
        <f t="shared" si="4"/>
        <v>18283125</v>
      </c>
      <c r="H244" s="206" t="s">
        <v>165</v>
      </c>
      <c r="I244" s="184" t="s">
        <v>194</v>
      </c>
      <c r="J244" s="184" t="s">
        <v>103</v>
      </c>
      <c r="K244" s="178" t="s">
        <v>408</v>
      </c>
      <c r="L244" s="178" t="s">
        <v>315</v>
      </c>
      <c r="M244" s="178" t="s">
        <v>559</v>
      </c>
      <c r="N244" s="177" t="s">
        <v>432</v>
      </c>
      <c r="O244" s="178"/>
    </row>
    <row r="245" spans="1:15" ht="15" customHeight="1">
      <c r="A245" s="242">
        <v>44544</v>
      </c>
      <c r="B245" s="185" t="s">
        <v>431</v>
      </c>
      <c r="C245" s="178" t="s">
        <v>159</v>
      </c>
      <c r="D245" s="178" t="s">
        <v>166</v>
      </c>
      <c r="E245" s="226"/>
      <c r="F245" s="213">
        <v>20000</v>
      </c>
      <c r="G245" s="201">
        <f t="shared" si="4"/>
        <v>18263125</v>
      </c>
      <c r="H245" s="207" t="s">
        <v>165</v>
      </c>
      <c r="I245" s="184" t="s">
        <v>194</v>
      </c>
      <c r="J245" s="184" t="s">
        <v>169</v>
      </c>
      <c r="K245" s="184" t="s">
        <v>407</v>
      </c>
      <c r="L245" s="178" t="s">
        <v>315</v>
      </c>
      <c r="O245" s="178"/>
    </row>
    <row r="246" spans="1:15" ht="15" customHeight="1">
      <c r="A246" s="241">
        <v>44545</v>
      </c>
      <c r="B246" s="178" t="s">
        <v>235</v>
      </c>
      <c r="C246" s="178" t="s">
        <v>218</v>
      </c>
      <c r="D246" s="185" t="s">
        <v>2</v>
      </c>
      <c r="E246" s="223"/>
      <c r="F246" s="212">
        <v>5000</v>
      </c>
      <c r="G246" s="201">
        <f t="shared" si="4"/>
        <v>18258125</v>
      </c>
      <c r="H246" s="178" t="s">
        <v>25</v>
      </c>
      <c r="I246" s="178" t="s">
        <v>193</v>
      </c>
      <c r="J246" s="184" t="s">
        <v>103</v>
      </c>
      <c r="K246" s="178" t="s">
        <v>408</v>
      </c>
      <c r="L246" s="178" t="s">
        <v>315</v>
      </c>
      <c r="M246" s="178" t="s">
        <v>560</v>
      </c>
      <c r="N246" s="177" t="s">
        <v>416</v>
      </c>
      <c r="O246" s="178"/>
    </row>
    <row r="247" spans="1:15" ht="15" customHeight="1">
      <c r="A247" s="241">
        <v>44545</v>
      </c>
      <c r="B247" s="178" t="s">
        <v>236</v>
      </c>
      <c r="C247" s="178" t="s">
        <v>218</v>
      </c>
      <c r="D247" s="185" t="s">
        <v>166</v>
      </c>
      <c r="E247" s="223"/>
      <c r="F247" s="212">
        <v>15000</v>
      </c>
      <c r="G247" s="201">
        <f t="shared" si="4"/>
        <v>18243125</v>
      </c>
      <c r="H247" s="178" t="s">
        <v>25</v>
      </c>
      <c r="I247" s="178" t="s">
        <v>193</v>
      </c>
      <c r="J247" s="184" t="s">
        <v>103</v>
      </c>
      <c r="K247" s="178" t="s">
        <v>408</v>
      </c>
      <c r="L247" s="178" t="s">
        <v>315</v>
      </c>
      <c r="M247" s="178" t="s">
        <v>561</v>
      </c>
      <c r="N247" s="177" t="s">
        <v>416</v>
      </c>
      <c r="O247" s="178"/>
    </row>
    <row r="248" spans="1:15" ht="15" customHeight="1">
      <c r="A248" s="241">
        <v>44545</v>
      </c>
      <c r="B248" s="178" t="s">
        <v>237</v>
      </c>
      <c r="C248" s="178" t="s">
        <v>218</v>
      </c>
      <c r="D248" s="185" t="s">
        <v>166</v>
      </c>
      <c r="E248" s="223"/>
      <c r="F248" s="212">
        <v>10000</v>
      </c>
      <c r="G248" s="201">
        <f t="shared" si="4"/>
        <v>18233125</v>
      </c>
      <c r="H248" s="178" t="s">
        <v>25</v>
      </c>
      <c r="I248" s="178" t="s">
        <v>193</v>
      </c>
      <c r="J248" s="184" t="s">
        <v>169</v>
      </c>
      <c r="K248" s="178" t="s">
        <v>407</v>
      </c>
      <c r="L248" s="178" t="s">
        <v>315</v>
      </c>
      <c r="O248" s="178"/>
    </row>
    <row r="249" spans="1:15" ht="15" customHeight="1">
      <c r="A249" s="244">
        <v>44545</v>
      </c>
      <c r="B249" s="178" t="s">
        <v>238</v>
      </c>
      <c r="C249" s="178" t="s">
        <v>218</v>
      </c>
      <c r="D249" s="185" t="s">
        <v>4</v>
      </c>
      <c r="E249" s="225"/>
      <c r="F249" s="212">
        <v>20000</v>
      </c>
      <c r="G249" s="201">
        <f t="shared" si="4"/>
        <v>18213125</v>
      </c>
      <c r="H249" s="201" t="s">
        <v>25</v>
      </c>
      <c r="I249" s="178" t="s">
        <v>193</v>
      </c>
      <c r="J249" s="184" t="s">
        <v>103</v>
      </c>
      <c r="K249" s="178" t="s">
        <v>408</v>
      </c>
      <c r="L249" s="178" t="s">
        <v>315</v>
      </c>
      <c r="M249" s="178" t="s">
        <v>562</v>
      </c>
      <c r="N249" s="177" t="s">
        <v>416</v>
      </c>
      <c r="O249" s="178"/>
    </row>
    <row r="250" spans="1:15" ht="15" customHeight="1">
      <c r="A250" s="244">
        <v>44545</v>
      </c>
      <c r="B250" s="184" t="s">
        <v>239</v>
      </c>
      <c r="C250" s="178" t="s">
        <v>218</v>
      </c>
      <c r="D250" s="185" t="s">
        <v>4</v>
      </c>
      <c r="E250" s="224"/>
      <c r="F250" s="212">
        <v>10000</v>
      </c>
      <c r="G250" s="201">
        <f t="shared" si="4"/>
        <v>18203125</v>
      </c>
      <c r="H250" s="178" t="s">
        <v>25</v>
      </c>
      <c r="I250" s="178" t="s">
        <v>193</v>
      </c>
      <c r="J250" s="184" t="s">
        <v>169</v>
      </c>
      <c r="K250" s="178" t="s">
        <v>407</v>
      </c>
      <c r="L250" s="178" t="s">
        <v>315</v>
      </c>
      <c r="O250" s="178"/>
    </row>
    <row r="251" spans="1:15" ht="15" customHeight="1">
      <c r="A251" s="241">
        <v>44545</v>
      </c>
      <c r="B251" s="178" t="s">
        <v>240</v>
      </c>
      <c r="C251" s="178" t="s">
        <v>218</v>
      </c>
      <c r="D251" s="185" t="s">
        <v>168</v>
      </c>
      <c r="E251" s="223"/>
      <c r="F251" s="212">
        <v>10000</v>
      </c>
      <c r="G251" s="201">
        <f t="shared" si="4"/>
        <v>18193125</v>
      </c>
      <c r="H251" s="178" t="s">
        <v>25</v>
      </c>
      <c r="I251" s="178" t="s">
        <v>193</v>
      </c>
      <c r="J251" s="184" t="s">
        <v>103</v>
      </c>
      <c r="K251" s="178" t="s">
        <v>408</v>
      </c>
      <c r="L251" s="178" t="s">
        <v>315</v>
      </c>
      <c r="M251" s="178" t="s">
        <v>563</v>
      </c>
      <c r="N251" s="177" t="s">
        <v>416</v>
      </c>
      <c r="O251" s="178"/>
    </row>
    <row r="252" spans="1:15" ht="15" customHeight="1">
      <c r="A252" s="241">
        <v>44545</v>
      </c>
      <c r="B252" s="178" t="s">
        <v>629</v>
      </c>
      <c r="C252" s="178" t="s">
        <v>218</v>
      </c>
      <c r="D252" s="185" t="s">
        <v>2</v>
      </c>
      <c r="E252" s="225"/>
      <c r="F252" s="214">
        <v>5000</v>
      </c>
      <c r="G252" s="201">
        <f t="shared" si="4"/>
        <v>18188125</v>
      </c>
      <c r="H252" s="178" t="s">
        <v>25</v>
      </c>
      <c r="I252" s="178" t="s">
        <v>193</v>
      </c>
      <c r="J252" s="184" t="s">
        <v>103</v>
      </c>
      <c r="K252" s="178" t="s">
        <v>408</v>
      </c>
      <c r="L252" s="178" t="s">
        <v>315</v>
      </c>
      <c r="M252" s="178" t="s">
        <v>564</v>
      </c>
      <c r="N252" s="177" t="s">
        <v>416</v>
      </c>
      <c r="O252" s="178"/>
    </row>
    <row r="253" spans="1:15" ht="15" customHeight="1">
      <c r="A253" s="241">
        <v>44545</v>
      </c>
      <c r="B253" s="178" t="s">
        <v>630</v>
      </c>
      <c r="C253" s="178" t="s">
        <v>218</v>
      </c>
      <c r="D253" s="185" t="s">
        <v>166</v>
      </c>
      <c r="E253" s="225"/>
      <c r="F253" s="215">
        <v>5000</v>
      </c>
      <c r="G253" s="201">
        <f t="shared" si="4"/>
        <v>18183125</v>
      </c>
      <c r="H253" s="178" t="s">
        <v>25</v>
      </c>
      <c r="I253" s="178" t="s">
        <v>193</v>
      </c>
      <c r="J253" s="184" t="s">
        <v>103</v>
      </c>
      <c r="K253" s="178" t="s">
        <v>408</v>
      </c>
      <c r="L253" s="178" t="s">
        <v>315</v>
      </c>
      <c r="M253" s="178" t="s">
        <v>565</v>
      </c>
      <c r="N253" s="177" t="s">
        <v>416</v>
      </c>
      <c r="O253" s="178"/>
    </row>
    <row r="254" spans="1:15" ht="15" customHeight="1">
      <c r="A254" s="242">
        <v>44545</v>
      </c>
      <c r="B254" s="185" t="s">
        <v>631</v>
      </c>
      <c r="C254" s="178" t="s">
        <v>218</v>
      </c>
      <c r="D254" s="185" t="s">
        <v>4</v>
      </c>
      <c r="E254" s="226"/>
      <c r="F254" s="213">
        <v>10000</v>
      </c>
      <c r="G254" s="201">
        <f t="shared" si="4"/>
        <v>18173125</v>
      </c>
      <c r="H254" s="207" t="s">
        <v>25</v>
      </c>
      <c r="I254" s="178" t="s">
        <v>193</v>
      </c>
      <c r="J254" s="184" t="s">
        <v>103</v>
      </c>
      <c r="K254" s="178" t="s">
        <v>408</v>
      </c>
      <c r="L254" s="178" t="s">
        <v>315</v>
      </c>
      <c r="M254" s="178" t="s">
        <v>566</v>
      </c>
      <c r="N254" s="177" t="s">
        <v>416</v>
      </c>
      <c r="O254" s="178"/>
    </row>
    <row r="255" spans="1:15" ht="15" customHeight="1">
      <c r="A255" s="241">
        <v>44545</v>
      </c>
      <c r="B255" s="178" t="s">
        <v>29</v>
      </c>
      <c r="C255" s="178" t="s">
        <v>76</v>
      </c>
      <c r="E255" s="223"/>
      <c r="F255" s="250">
        <v>112000</v>
      </c>
      <c r="G255" s="201">
        <f t="shared" si="4"/>
        <v>18061125</v>
      </c>
      <c r="H255" s="178" t="s">
        <v>25</v>
      </c>
      <c r="I255" s="184" t="s">
        <v>194</v>
      </c>
      <c r="L255" s="178" t="s">
        <v>315</v>
      </c>
      <c r="O255" s="178"/>
    </row>
    <row r="256" spans="1:15" ht="15" customHeight="1">
      <c r="A256" s="246">
        <v>44545</v>
      </c>
      <c r="B256" s="209" t="s">
        <v>176</v>
      </c>
      <c r="C256" s="178" t="s">
        <v>76</v>
      </c>
      <c r="D256" s="209"/>
      <c r="E256" s="227"/>
      <c r="F256" s="253">
        <v>89000</v>
      </c>
      <c r="G256" s="201">
        <f t="shared" si="4"/>
        <v>17972125</v>
      </c>
      <c r="H256" s="210" t="s">
        <v>25</v>
      </c>
      <c r="I256" s="184" t="s">
        <v>194</v>
      </c>
      <c r="J256" s="219"/>
      <c r="K256" s="210"/>
      <c r="L256" s="178" t="s">
        <v>315</v>
      </c>
      <c r="N256" s="178"/>
      <c r="O256" s="178"/>
    </row>
    <row r="257" spans="1:15" ht="15" customHeight="1">
      <c r="A257" s="241">
        <v>44545</v>
      </c>
      <c r="B257" s="178" t="s">
        <v>241</v>
      </c>
      <c r="C257" s="178" t="s">
        <v>167</v>
      </c>
      <c r="D257" s="232" t="s">
        <v>168</v>
      </c>
      <c r="E257" s="223"/>
      <c r="F257" s="212">
        <v>39000</v>
      </c>
      <c r="G257" s="201">
        <f t="shared" si="4"/>
        <v>17933125</v>
      </c>
      <c r="H257" s="178" t="s">
        <v>25</v>
      </c>
      <c r="I257" s="184" t="s">
        <v>194</v>
      </c>
      <c r="J257" s="184" t="s">
        <v>169</v>
      </c>
      <c r="K257" s="178" t="s">
        <v>407</v>
      </c>
      <c r="L257" s="178" t="s">
        <v>315</v>
      </c>
      <c r="O257" s="178"/>
    </row>
    <row r="258" spans="1:15" ht="15" customHeight="1">
      <c r="A258" s="241">
        <v>44545</v>
      </c>
      <c r="B258" s="178" t="s">
        <v>242</v>
      </c>
      <c r="C258" s="178" t="s">
        <v>285</v>
      </c>
      <c r="D258" s="185" t="s">
        <v>190</v>
      </c>
      <c r="E258" s="223"/>
      <c r="F258" s="212">
        <v>5470</v>
      </c>
      <c r="G258" s="201">
        <f t="shared" si="4"/>
        <v>17927655</v>
      </c>
      <c r="H258" s="178" t="s">
        <v>25</v>
      </c>
      <c r="I258" s="178" t="s">
        <v>193</v>
      </c>
      <c r="J258" s="178" t="s">
        <v>103</v>
      </c>
      <c r="K258" s="178" t="s">
        <v>408</v>
      </c>
      <c r="L258" s="178" t="s">
        <v>315</v>
      </c>
      <c r="M258" s="178" t="s">
        <v>567</v>
      </c>
      <c r="N258" s="177" t="s">
        <v>428</v>
      </c>
      <c r="O258" s="178"/>
    </row>
    <row r="259" spans="1:15" ht="15" customHeight="1">
      <c r="A259" s="242">
        <v>44545</v>
      </c>
      <c r="B259" s="185" t="s">
        <v>333</v>
      </c>
      <c r="C259" s="178" t="s">
        <v>159</v>
      </c>
      <c r="D259" s="229" t="s">
        <v>4</v>
      </c>
      <c r="E259" s="226"/>
      <c r="F259" s="213">
        <v>30000</v>
      </c>
      <c r="G259" s="201">
        <f t="shared" si="4"/>
        <v>17897655</v>
      </c>
      <c r="H259" s="206" t="s">
        <v>176</v>
      </c>
      <c r="I259" s="178" t="s">
        <v>193</v>
      </c>
      <c r="J259" s="184" t="s">
        <v>169</v>
      </c>
      <c r="K259" s="184" t="s">
        <v>407</v>
      </c>
      <c r="L259" s="178" t="s">
        <v>315</v>
      </c>
      <c r="O259" s="178"/>
    </row>
    <row r="260" spans="1:15" ht="15" customHeight="1">
      <c r="A260" s="241">
        <v>44545</v>
      </c>
      <c r="B260" s="178" t="s">
        <v>341</v>
      </c>
      <c r="C260" s="178" t="s">
        <v>76</v>
      </c>
      <c r="E260" s="225">
        <v>62000</v>
      </c>
      <c r="F260" s="251"/>
      <c r="G260" s="201">
        <f t="shared" si="4"/>
        <v>17959655</v>
      </c>
      <c r="H260" s="178" t="s">
        <v>48</v>
      </c>
      <c r="I260" s="184" t="s">
        <v>194</v>
      </c>
      <c r="K260" s="184"/>
      <c r="L260" s="178" t="s">
        <v>315</v>
      </c>
      <c r="O260" s="178"/>
    </row>
    <row r="261" spans="1:15" ht="15" customHeight="1">
      <c r="A261" s="241">
        <v>44545</v>
      </c>
      <c r="B261" s="178" t="s">
        <v>481</v>
      </c>
      <c r="C261" s="178" t="s">
        <v>34</v>
      </c>
      <c r="D261" s="178" t="s">
        <v>166</v>
      </c>
      <c r="E261" s="225"/>
      <c r="F261" s="215">
        <v>15000</v>
      </c>
      <c r="G261" s="201">
        <f t="shared" si="4"/>
        <v>17944655</v>
      </c>
      <c r="H261" s="178" t="s">
        <v>48</v>
      </c>
      <c r="I261" s="178" t="s">
        <v>193</v>
      </c>
      <c r="J261" s="184" t="s">
        <v>103</v>
      </c>
      <c r="K261" s="178" t="s">
        <v>408</v>
      </c>
      <c r="L261" s="178" t="s">
        <v>315</v>
      </c>
      <c r="M261" s="178" t="s">
        <v>568</v>
      </c>
      <c r="N261" s="177" t="s">
        <v>429</v>
      </c>
      <c r="O261" s="178"/>
    </row>
    <row r="262" spans="1:15" ht="15" customHeight="1">
      <c r="A262" s="243">
        <v>44545</v>
      </c>
      <c r="B262" s="178" t="s">
        <v>471</v>
      </c>
      <c r="C262" s="178" t="s">
        <v>159</v>
      </c>
      <c r="D262" s="229" t="s">
        <v>4</v>
      </c>
      <c r="E262" s="178"/>
      <c r="F262" s="178">
        <v>80000</v>
      </c>
      <c r="G262" s="201">
        <f t="shared" si="4"/>
        <v>17864655</v>
      </c>
      <c r="H262" s="230" t="s">
        <v>49</v>
      </c>
      <c r="I262" s="184" t="s">
        <v>194</v>
      </c>
      <c r="J262" s="178" t="s">
        <v>103</v>
      </c>
      <c r="K262" s="178" t="s">
        <v>408</v>
      </c>
      <c r="L262" s="178" t="s">
        <v>315</v>
      </c>
      <c r="M262" s="178" t="s">
        <v>569</v>
      </c>
      <c r="N262" s="177" t="s">
        <v>432</v>
      </c>
      <c r="O262" s="178"/>
    </row>
    <row r="263" spans="1:15" ht="15" customHeight="1">
      <c r="A263" s="241">
        <v>44545</v>
      </c>
      <c r="B263" s="178" t="s">
        <v>399</v>
      </c>
      <c r="C263" s="178" t="s">
        <v>76</v>
      </c>
      <c r="D263" s="229"/>
      <c r="E263" s="178">
        <v>112000</v>
      </c>
      <c r="F263" s="199"/>
      <c r="G263" s="201">
        <f t="shared" si="4"/>
        <v>17976655</v>
      </c>
      <c r="H263" s="178" t="s">
        <v>29</v>
      </c>
      <c r="I263" s="184" t="s">
        <v>194</v>
      </c>
      <c r="J263" s="178"/>
      <c r="L263" s="178" t="s">
        <v>315</v>
      </c>
      <c r="N263" s="234"/>
      <c r="O263" s="231"/>
    </row>
    <row r="264" spans="1:15" ht="15" customHeight="1">
      <c r="A264" s="241">
        <v>44546</v>
      </c>
      <c r="B264" s="178" t="s">
        <v>243</v>
      </c>
      <c r="C264" s="178" t="s">
        <v>34</v>
      </c>
      <c r="D264" s="178" t="s">
        <v>195</v>
      </c>
      <c r="E264" s="223"/>
      <c r="F264" s="212">
        <v>200000</v>
      </c>
      <c r="G264" s="201">
        <f t="shared" si="4"/>
        <v>17776655</v>
      </c>
      <c r="H264" s="178" t="s">
        <v>25</v>
      </c>
      <c r="I264" s="178" t="s">
        <v>193</v>
      </c>
      <c r="J264" s="184" t="s">
        <v>169</v>
      </c>
      <c r="K264" s="178" t="s">
        <v>407</v>
      </c>
      <c r="L264" s="178" t="s">
        <v>315</v>
      </c>
      <c r="O264" s="178"/>
    </row>
    <row r="265" spans="1:15" ht="15" customHeight="1">
      <c r="A265" s="241">
        <v>44546</v>
      </c>
      <c r="B265" s="178" t="s">
        <v>165</v>
      </c>
      <c r="C265" s="178" t="s">
        <v>76</v>
      </c>
      <c r="E265" s="223"/>
      <c r="F265" s="250">
        <v>375000</v>
      </c>
      <c r="G265" s="201">
        <f t="shared" si="4"/>
        <v>17401655</v>
      </c>
      <c r="H265" s="178" t="s">
        <v>25</v>
      </c>
      <c r="I265" s="184" t="s">
        <v>194</v>
      </c>
      <c r="L265" s="178" t="s">
        <v>315</v>
      </c>
      <c r="O265" s="178"/>
    </row>
    <row r="266" spans="1:15" ht="15" customHeight="1">
      <c r="A266" s="241">
        <v>44546</v>
      </c>
      <c r="B266" s="178" t="s">
        <v>244</v>
      </c>
      <c r="C266" s="178" t="s">
        <v>285</v>
      </c>
      <c r="D266" s="185" t="s">
        <v>190</v>
      </c>
      <c r="E266" s="223"/>
      <c r="F266" s="212">
        <v>11250</v>
      </c>
      <c r="G266" s="201">
        <f t="shared" si="4"/>
        <v>17390405</v>
      </c>
      <c r="H266" s="178" t="s">
        <v>25</v>
      </c>
      <c r="I266" s="178" t="s">
        <v>193</v>
      </c>
      <c r="J266" s="178" t="s">
        <v>103</v>
      </c>
      <c r="K266" s="178" t="s">
        <v>408</v>
      </c>
      <c r="L266" s="178" t="s">
        <v>315</v>
      </c>
      <c r="M266" s="178" t="s">
        <v>570</v>
      </c>
      <c r="N266" s="177" t="s">
        <v>428</v>
      </c>
      <c r="O266" s="178"/>
    </row>
    <row r="267" spans="1:15" ht="15" customHeight="1">
      <c r="A267" s="246">
        <v>44546</v>
      </c>
      <c r="B267" s="267" t="s">
        <v>245</v>
      </c>
      <c r="C267" s="178" t="s">
        <v>218</v>
      </c>
      <c r="D267" s="185" t="s">
        <v>2</v>
      </c>
      <c r="E267" s="227"/>
      <c r="F267" s="216">
        <v>30000</v>
      </c>
      <c r="G267" s="201">
        <f t="shared" si="4"/>
        <v>17360405</v>
      </c>
      <c r="H267" s="210" t="s">
        <v>25</v>
      </c>
      <c r="I267" s="178" t="s">
        <v>193</v>
      </c>
      <c r="J267" s="184" t="s">
        <v>103</v>
      </c>
      <c r="K267" s="178" t="s">
        <v>408</v>
      </c>
      <c r="L267" s="178" t="s">
        <v>315</v>
      </c>
      <c r="M267" s="178" t="s">
        <v>571</v>
      </c>
      <c r="N267" s="177" t="s">
        <v>416</v>
      </c>
      <c r="O267" s="178"/>
    </row>
    <row r="268" spans="1:15" ht="15" customHeight="1">
      <c r="A268" s="241">
        <v>44546</v>
      </c>
      <c r="B268" s="178" t="s">
        <v>114</v>
      </c>
      <c r="C268" s="178" t="s">
        <v>76</v>
      </c>
      <c r="E268" s="223"/>
      <c r="F268" s="250">
        <v>100000</v>
      </c>
      <c r="G268" s="201">
        <f t="shared" si="4"/>
        <v>17260405</v>
      </c>
      <c r="H268" s="178" t="s">
        <v>25</v>
      </c>
      <c r="I268" s="184" t="s">
        <v>194</v>
      </c>
      <c r="L268" s="178" t="s">
        <v>315</v>
      </c>
      <c r="O268" s="178"/>
    </row>
    <row r="269" spans="1:15" ht="15" customHeight="1">
      <c r="A269" s="241">
        <v>44546</v>
      </c>
      <c r="B269" s="178" t="s">
        <v>154</v>
      </c>
      <c r="C269" s="178" t="s">
        <v>76</v>
      </c>
      <c r="E269" s="223"/>
      <c r="F269" s="250">
        <v>25000</v>
      </c>
      <c r="G269" s="201">
        <f t="shared" si="4"/>
        <v>17235405</v>
      </c>
      <c r="H269" s="178" t="s">
        <v>25</v>
      </c>
      <c r="I269" s="184" t="s">
        <v>194</v>
      </c>
      <c r="L269" s="178" t="s">
        <v>315</v>
      </c>
      <c r="O269" s="178"/>
    </row>
    <row r="270" spans="1:15" ht="15" customHeight="1">
      <c r="A270" s="241">
        <v>44546</v>
      </c>
      <c r="B270" s="178" t="s">
        <v>643</v>
      </c>
      <c r="C270" s="201" t="s">
        <v>145</v>
      </c>
      <c r="D270" s="266" t="s">
        <v>166</v>
      </c>
      <c r="E270" s="223"/>
      <c r="F270" s="214">
        <v>200000</v>
      </c>
      <c r="G270" s="201">
        <f t="shared" si="4"/>
        <v>17035405</v>
      </c>
      <c r="H270" s="178" t="s">
        <v>160</v>
      </c>
      <c r="I270" s="184">
        <v>3643582</v>
      </c>
      <c r="J270" s="178" t="s">
        <v>103</v>
      </c>
      <c r="K270" s="178" t="s">
        <v>408</v>
      </c>
      <c r="L270" s="178" t="s">
        <v>315</v>
      </c>
      <c r="M270" s="178" t="s">
        <v>572</v>
      </c>
      <c r="N270" s="177" t="s">
        <v>414</v>
      </c>
      <c r="O270" s="178"/>
    </row>
    <row r="271" spans="1:15" ht="15" customHeight="1">
      <c r="A271" s="242">
        <v>44546</v>
      </c>
      <c r="B271" s="185" t="s">
        <v>297</v>
      </c>
      <c r="C271" s="178" t="s">
        <v>332</v>
      </c>
      <c r="E271" s="226">
        <v>89000</v>
      </c>
      <c r="F271" s="254"/>
      <c r="G271" s="201">
        <f t="shared" ref="G271:G334" si="5">+G270+E271-F271</f>
        <v>17124405</v>
      </c>
      <c r="H271" s="206" t="s">
        <v>176</v>
      </c>
      <c r="I271" s="184" t="s">
        <v>194</v>
      </c>
      <c r="L271" s="178" t="s">
        <v>315</v>
      </c>
      <c r="O271" s="178"/>
    </row>
    <row r="272" spans="1:15" ht="15" customHeight="1">
      <c r="A272" s="241">
        <v>44546</v>
      </c>
      <c r="B272" s="178" t="s">
        <v>457</v>
      </c>
      <c r="C272" s="178" t="s">
        <v>159</v>
      </c>
      <c r="D272" s="178" t="s">
        <v>2</v>
      </c>
      <c r="E272" s="225"/>
      <c r="F272" s="215">
        <v>120000</v>
      </c>
      <c r="G272" s="201">
        <f t="shared" si="5"/>
        <v>17004405</v>
      </c>
      <c r="H272" s="178" t="s">
        <v>48</v>
      </c>
      <c r="I272" s="178" t="s">
        <v>193</v>
      </c>
      <c r="J272" s="178" t="s">
        <v>103</v>
      </c>
      <c r="K272" s="178" t="s">
        <v>408</v>
      </c>
      <c r="L272" s="178" t="s">
        <v>315</v>
      </c>
      <c r="M272" s="178" t="s">
        <v>573</v>
      </c>
      <c r="N272" s="177" t="s">
        <v>432</v>
      </c>
      <c r="O272" s="178"/>
    </row>
    <row r="273" spans="1:15" ht="18.75" customHeight="1">
      <c r="A273" s="247">
        <v>44546</v>
      </c>
      <c r="B273" s="235" t="s">
        <v>379</v>
      </c>
      <c r="C273" s="236" t="s">
        <v>34</v>
      </c>
      <c r="D273" s="236" t="s">
        <v>2</v>
      </c>
      <c r="E273" s="238"/>
      <c r="F273" s="239">
        <v>47700</v>
      </c>
      <c r="G273" s="201">
        <f t="shared" si="5"/>
        <v>16956705</v>
      </c>
      <c r="H273" s="235" t="s">
        <v>114</v>
      </c>
      <c r="I273" s="184" t="s">
        <v>194</v>
      </c>
      <c r="J273" s="240" t="s">
        <v>103</v>
      </c>
      <c r="K273" s="235" t="s">
        <v>408</v>
      </c>
      <c r="L273" s="178" t="s">
        <v>315</v>
      </c>
      <c r="M273" s="178" t="s">
        <v>574</v>
      </c>
      <c r="N273" s="268" t="s">
        <v>429</v>
      </c>
      <c r="O273" s="240"/>
    </row>
    <row r="274" spans="1:15" ht="15" customHeight="1">
      <c r="A274" s="247">
        <v>44546</v>
      </c>
      <c r="B274" s="235" t="s">
        <v>371</v>
      </c>
      <c r="C274" s="236" t="s">
        <v>373</v>
      </c>
      <c r="D274" s="236"/>
      <c r="E274" s="239">
        <v>100000</v>
      </c>
      <c r="F274" s="238"/>
      <c r="G274" s="201">
        <f t="shared" si="5"/>
        <v>17056705</v>
      </c>
      <c r="H274" s="235" t="s">
        <v>114</v>
      </c>
      <c r="I274" s="184" t="s">
        <v>194</v>
      </c>
      <c r="J274" s="240"/>
      <c r="K274" s="235"/>
      <c r="L274" s="178" t="s">
        <v>315</v>
      </c>
      <c r="M274" s="240"/>
      <c r="N274" s="240"/>
      <c r="O274" s="240"/>
    </row>
    <row r="275" spans="1:15" ht="15" customHeight="1">
      <c r="A275" s="241">
        <v>44546</v>
      </c>
      <c r="B275" s="178" t="s">
        <v>476</v>
      </c>
      <c r="C275" s="178" t="s">
        <v>159</v>
      </c>
      <c r="D275" s="229" t="s">
        <v>4</v>
      </c>
      <c r="E275" s="178"/>
      <c r="F275" s="199">
        <v>30000</v>
      </c>
      <c r="G275" s="201">
        <f t="shared" si="5"/>
        <v>17026705</v>
      </c>
      <c r="H275" s="178" t="s">
        <v>29</v>
      </c>
      <c r="I275" s="178" t="s">
        <v>193</v>
      </c>
      <c r="J275" s="178" t="s">
        <v>103</v>
      </c>
      <c r="K275" s="178" t="s">
        <v>408</v>
      </c>
      <c r="L275" s="178" t="s">
        <v>315</v>
      </c>
      <c r="M275" s="178" t="s">
        <v>575</v>
      </c>
      <c r="N275" s="177" t="s">
        <v>432</v>
      </c>
      <c r="O275" s="178"/>
    </row>
    <row r="276" spans="1:15" ht="15" customHeight="1">
      <c r="A276" s="241">
        <v>44546</v>
      </c>
      <c r="B276" s="178" t="s">
        <v>499</v>
      </c>
      <c r="C276" s="178" t="s">
        <v>34</v>
      </c>
      <c r="D276" s="229" t="s">
        <v>4</v>
      </c>
      <c r="E276" s="178"/>
      <c r="F276" s="199">
        <v>8000</v>
      </c>
      <c r="G276" s="201">
        <f t="shared" si="5"/>
        <v>17018705</v>
      </c>
      <c r="H276" s="178" t="s">
        <v>29</v>
      </c>
      <c r="I276" s="178" t="s">
        <v>193</v>
      </c>
      <c r="J276" s="231" t="s">
        <v>103</v>
      </c>
      <c r="K276" s="231" t="s">
        <v>408</v>
      </c>
      <c r="L276" s="178" t="s">
        <v>315</v>
      </c>
      <c r="M276" s="178" t="s">
        <v>576</v>
      </c>
      <c r="N276" s="257" t="s">
        <v>429</v>
      </c>
      <c r="O276" s="231"/>
    </row>
    <row r="277" spans="1:15" ht="15" customHeight="1">
      <c r="A277" s="241">
        <v>44546</v>
      </c>
      <c r="B277" s="178" t="s">
        <v>297</v>
      </c>
      <c r="C277" s="178" t="s">
        <v>76</v>
      </c>
      <c r="E277" s="196">
        <v>25000</v>
      </c>
      <c r="G277" s="201">
        <f t="shared" si="5"/>
        <v>17043705</v>
      </c>
      <c r="H277" s="178" t="s">
        <v>154</v>
      </c>
      <c r="I277" s="184" t="s">
        <v>194</v>
      </c>
      <c r="L277" s="178" t="s">
        <v>315</v>
      </c>
      <c r="O277" s="178"/>
    </row>
    <row r="278" spans="1:15" ht="15" customHeight="1">
      <c r="A278" s="242">
        <v>44546</v>
      </c>
      <c r="B278" s="185" t="s">
        <v>324</v>
      </c>
      <c r="C278" s="178" t="s">
        <v>159</v>
      </c>
      <c r="D278" s="178" t="s">
        <v>166</v>
      </c>
      <c r="E278" s="226"/>
      <c r="F278" s="213">
        <v>90000</v>
      </c>
      <c r="G278" s="201">
        <f t="shared" si="5"/>
        <v>16953705</v>
      </c>
      <c r="H278" s="207" t="s">
        <v>165</v>
      </c>
      <c r="I278" s="184" t="s">
        <v>193</v>
      </c>
      <c r="J278" s="184" t="s">
        <v>169</v>
      </c>
      <c r="K278" s="184" t="s">
        <v>407</v>
      </c>
      <c r="L278" s="178" t="s">
        <v>315</v>
      </c>
      <c r="O278" s="178"/>
    </row>
    <row r="279" spans="1:15" ht="15" customHeight="1">
      <c r="A279" s="242">
        <v>44546</v>
      </c>
      <c r="B279" s="185" t="s">
        <v>453</v>
      </c>
      <c r="C279" s="178" t="s">
        <v>159</v>
      </c>
      <c r="D279" s="178" t="s">
        <v>166</v>
      </c>
      <c r="E279" s="226"/>
      <c r="F279" s="213">
        <v>30000</v>
      </c>
      <c r="G279" s="201">
        <f t="shared" si="5"/>
        <v>16923705</v>
      </c>
      <c r="H279" s="207" t="s">
        <v>165</v>
      </c>
      <c r="I279" s="184" t="s">
        <v>193</v>
      </c>
      <c r="J279" s="184" t="s">
        <v>103</v>
      </c>
      <c r="K279" s="184" t="s">
        <v>408</v>
      </c>
      <c r="L279" s="178" t="s">
        <v>315</v>
      </c>
      <c r="M279" s="178" t="s">
        <v>577</v>
      </c>
      <c r="N279" s="177" t="s">
        <v>432</v>
      </c>
      <c r="O279" s="178"/>
    </row>
    <row r="280" spans="1:15" ht="15" customHeight="1">
      <c r="A280" s="242">
        <v>44546</v>
      </c>
      <c r="B280" s="185" t="s">
        <v>452</v>
      </c>
      <c r="C280" s="178" t="s">
        <v>159</v>
      </c>
      <c r="D280" s="178" t="s">
        <v>166</v>
      </c>
      <c r="E280" s="226"/>
      <c r="F280" s="213">
        <v>30000</v>
      </c>
      <c r="G280" s="201">
        <f t="shared" si="5"/>
        <v>16893705</v>
      </c>
      <c r="H280" s="207" t="s">
        <v>165</v>
      </c>
      <c r="I280" s="184" t="s">
        <v>193</v>
      </c>
      <c r="J280" s="184" t="s">
        <v>169</v>
      </c>
      <c r="K280" s="184" t="s">
        <v>407</v>
      </c>
      <c r="L280" s="178" t="s">
        <v>315</v>
      </c>
      <c r="M280" s="177"/>
    </row>
    <row r="281" spans="1:15" ht="15" customHeight="1">
      <c r="A281" s="242">
        <v>44546</v>
      </c>
      <c r="B281" s="209" t="s">
        <v>319</v>
      </c>
      <c r="C281" s="178" t="s">
        <v>76</v>
      </c>
      <c r="D281" s="209"/>
      <c r="E281" s="227">
        <v>375000</v>
      </c>
      <c r="F281" s="230"/>
      <c r="G281" s="201">
        <f t="shared" si="5"/>
        <v>17268705</v>
      </c>
      <c r="H281" s="210" t="s">
        <v>165</v>
      </c>
      <c r="I281" s="184" t="s">
        <v>194</v>
      </c>
      <c r="J281" s="219"/>
      <c r="K281" s="210"/>
      <c r="L281" s="178" t="s">
        <v>315</v>
      </c>
      <c r="N281" s="178"/>
      <c r="O281" s="178"/>
    </row>
    <row r="282" spans="1:15" ht="15" customHeight="1">
      <c r="A282" s="242">
        <v>44546</v>
      </c>
      <c r="B282" s="178" t="s">
        <v>325</v>
      </c>
      <c r="C282" s="209" t="s">
        <v>167</v>
      </c>
      <c r="D282" s="178" t="s">
        <v>195</v>
      </c>
      <c r="E282" s="225"/>
      <c r="F282" s="216">
        <v>100000</v>
      </c>
      <c r="G282" s="201">
        <f t="shared" si="5"/>
        <v>17168705</v>
      </c>
      <c r="H282" s="210" t="s">
        <v>165</v>
      </c>
      <c r="I282" s="184" t="s">
        <v>194</v>
      </c>
      <c r="J282" s="184" t="s">
        <v>169</v>
      </c>
      <c r="K282" s="178" t="s">
        <v>407</v>
      </c>
      <c r="L282" s="178" t="s">
        <v>315</v>
      </c>
      <c r="N282" s="178"/>
      <c r="O282" s="178"/>
    </row>
    <row r="283" spans="1:15" ht="15" customHeight="1">
      <c r="A283" s="242">
        <v>44546</v>
      </c>
      <c r="B283" s="178" t="s">
        <v>326</v>
      </c>
      <c r="C283" s="178" t="s">
        <v>34</v>
      </c>
      <c r="D283" s="178" t="s">
        <v>195</v>
      </c>
      <c r="E283" s="223"/>
      <c r="F283" s="212">
        <v>25000</v>
      </c>
      <c r="G283" s="201">
        <f t="shared" si="5"/>
        <v>17143705</v>
      </c>
      <c r="H283" s="178" t="s">
        <v>165</v>
      </c>
      <c r="I283" s="184" t="s">
        <v>193</v>
      </c>
      <c r="J283" s="184" t="s">
        <v>169</v>
      </c>
      <c r="K283" s="178" t="s">
        <v>407</v>
      </c>
      <c r="L283" s="178" t="s">
        <v>315</v>
      </c>
      <c r="O283" s="178"/>
    </row>
    <row r="284" spans="1:15" ht="15" customHeight="1">
      <c r="A284" s="242">
        <v>44547</v>
      </c>
      <c r="B284" s="178" t="s">
        <v>327</v>
      </c>
      <c r="C284" s="178" t="s">
        <v>76</v>
      </c>
      <c r="E284" s="223"/>
      <c r="F284" s="250">
        <v>145357</v>
      </c>
      <c r="G284" s="201">
        <f t="shared" si="5"/>
        <v>16998348</v>
      </c>
      <c r="H284" s="178" t="s">
        <v>165</v>
      </c>
      <c r="I284" s="184" t="s">
        <v>194</v>
      </c>
      <c r="L284" s="178" t="s">
        <v>315</v>
      </c>
      <c r="O284" s="178"/>
    </row>
    <row r="285" spans="1:15" ht="15" customHeight="1">
      <c r="A285" s="241">
        <v>44547</v>
      </c>
      <c r="B285" s="178" t="s">
        <v>246</v>
      </c>
      <c r="C285" s="178" t="s">
        <v>76</v>
      </c>
      <c r="E285" s="223">
        <v>145357</v>
      </c>
      <c r="F285" s="250"/>
      <c r="G285" s="201">
        <f t="shared" si="5"/>
        <v>17143705</v>
      </c>
      <c r="H285" s="178" t="s">
        <v>25</v>
      </c>
      <c r="I285" s="184" t="s">
        <v>194</v>
      </c>
      <c r="L285" s="178" t="s">
        <v>315</v>
      </c>
      <c r="O285" s="178"/>
    </row>
    <row r="286" spans="1:15" ht="15" customHeight="1">
      <c r="A286" s="241">
        <v>44547</v>
      </c>
      <c r="B286" s="178" t="s">
        <v>247</v>
      </c>
      <c r="C286" s="178" t="s">
        <v>167</v>
      </c>
      <c r="D286" s="178" t="s">
        <v>195</v>
      </c>
      <c r="E286" s="223"/>
      <c r="F286" s="212">
        <v>30000</v>
      </c>
      <c r="G286" s="201">
        <f t="shared" si="5"/>
        <v>17113705</v>
      </c>
      <c r="H286" s="178" t="s">
        <v>25</v>
      </c>
      <c r="I286" s="184" t="s">
        <v>194</v>
      </c>
      <c r="J286" s="184" t="s">
        <v>169</v>
      </c>
      <c r="K286" s="178" t="s">
        <v>407</v>
      </c>
      <c r="L286" s="178" t="s">
        <v>315</v>
      </c>
      <c r="O286" s="178"/>
    </row>
    <row r="287" spans="1:15" ht="15" customHeight="1">
      <c r="A287" s="241">
        <v>44547</v>
      </c>
      <c r="B287" s="178" t="s">
        <v>248</v>
      </c>
      <c r="C287" s="178" t="s">
        <v>167</v>
      </c>
      <c r="D287" s="178" t="s">
        <v>195</v>
      </c>
      <c r="E287" s="225"/>
      <c r="F287" s="214">
        <v>40000</v>
      </c>
      <c r="G287" s="201">
        <f t="shared" si="5"/>
        <v>17073705</v>
      </c>
      <c r="H287" s="178" t="s">
        <v>25</v>
      </c>
      <c r="I287" s="184" t="s">
        <v>194</v>
      </c>
      <c r="J287" s="184" t="s">
        <v>169</v>
      </c>
      <c r="K287" s="178" t="s">
        <v>407</v>
      </c>
      <c r="L287" s="178" t="s">
        <v>315</v>
      </c>
      <c r="O287" s="178"/>
    </row>
    <row r="288" spans="1:15" ht="15" customHeight="1">
      <c r="A288" s="241">
        <v>44547</v>
      </c>
      <c r="B288" s="178" t="s">
        <v>249</v>
      </c>
      <c r="C288" s="178" t="s">
        <v>167</v>
      </c>
      <c r="D288" s="178" t="s">
        <v>195</v>
      </c>
      <c r="E288" s="225"/>
      <c r="F288" s="214">
        <v>50000</v>
      </c>
      <c r="G288" s="201">
        <f t="shared" si="5"/>
        <v>17023705</v>
      </c>
      <c r="H288" s="178" t="s">
        <v>25</v>
      </c>
      <c r="I288" s="184" t="s">
        <v>194</v>
      </c>
      <c r="J288" s="184" t="s">
        <v>169</v>
      </c>
      <c r="K288" s="178" t="s">
        <v>407</v>
      </c>
      <c r="L288" s="178" t="s">
        <v>315</v>
      </c>
      <c r="O288" s="178"/>
    </row>
    <row r="289" spans="1:15" ht="15" customHeight="1">
      <c r="A289" s="241">
        <v>44547</v>
      </c>
      <c r="B289" s="178" t="s">
        <v>250</v>
      </c>
      <c r="C289" s="178" t="s">
        <v>167</v>
      </c>
      <c r="D289" s="178" t="s">
        <v>195</v>
      </c>
      <c r="E289" s="225"/>
      <c r="F289" s="214">
        <v>30000</v>
      </c>
      <c r="G289" s="201">
        <f t="shared" si="5"/>
        <v>16993705</v>
      </c>
      <c r="H289" s="178" t="s">
        <v>25</v>
      </c>
      <c r="I289" s="184" t="s">
        <v>194</v>
      </c>
      <c r="J289" s="184" t="s">
        <v>169</v>
      </c>
      <c r="K289" s="178" t="s">
        <v>407</v>
      </c>
      <c r="L289" s="178" t="s">
        <v>315</v>
      </c>
      <c r="O289" s="178"/>
    </row>
    <row r="290" spans="1:15" ht="15" customHeight="1">
      <c r="A290" s="241">
        <v>44547</v>
      </c>
      <c r="B290" s="178" t="s">
        <v>189</v>
      </c>
      <c r="C290" s="178" t="s">
        <v>76</v>
      </c>
      <c r="E290" s="225"/>
      <c r="F290" s="251">
        <v>15000</v>
      </c>
      <c r="G290" s="201">
        <f t="shared" si="5"/>
        <v>16978705</v>
      </c>
      <c r="H290" s="178" t="s">
        <v>25</v>
      </c>
      <c r="I290" s="184" t="s">
        <v>194</v>
      </c>
      <c r="L290" s="178" t="s">
        <v>315</v>
      </c>
      <c r="O290" s="178"/>
    </row>
    <row r="291" spans="1:15" ht="15" customHeight="1">
      <c r="A291" s="241">
        <v>44547</v>
      </c>
      <c r="B291" s="178" t="s">
        <v>251</v>
      </c>
      <c r="C291" s="178" t="s">
        <v>76</v>
      </c>
      <c r="E291" s="225">
        <v>2000000</v>
      </c>
      <c r="F291" s="251"/>
      <c r="G291" s="201">
        <f t="shared" si="5"/>
        <v>18978705</v>
      </c>
      <c r="H291" s="178" t="s">
        <v>25</v>
      </c>
      <c r="I291" s="184" t="s">
        <v>194</v>
      </c>
      <c r="K291" s="184"/>
      <c r="L291" s="178" t="s">
        <v>315</v>
      </c>
      <c r="O291" s="178"/>
    </row>
    <row r="292" spans="1:15" ht="15" customHeight="1">
      <c r="A292" s="242">
        <v>44547</v>
      </c>
      <c r="B292" s="185" t="s">
        <v>188</v>
      </c>
      <c r="C292" s="178" t="s">
        <v>76</v>
      </c>
      <c r="D292" s="185"/>
      <c r="E292" s="226"/>
      <c r="F292" s="254">
        <v>107000</v>
      </c>
      <c r="G292" s="201">
        <f t="shared" si="5"/>
        <v>18871705</v>
      </c>
      <c r="H292" s="207" t="s">
        <v>25</v>
      </c>
      <c r="I292" s="184" t="s">
        <v>194</v>
      </c>
      <c r="J292" s="218"/>
      <c r="K292" s="207"/>
      <c r="L292" s="178" t="s">
        <v>315</v>
      </c>
      <c r="O292" s="177"/>
    </row>
    <row r="293" spans="1:15" ht="15.75" customHeight="1">
      <c r="A293" s="246">
        <v>44547</v>
      </c>
      <c r="B293" s="208" t="s">
        <v>252</v>
      </c>
      <c r="C293" s="178" t="s">
        <v>285</v>
      </c>
      <c r="D293" s="185" t="s">
        <v>190</v>
      </c>
      <c r="E293" s="227"/>
      <c r="F293" s="216">
        <v>3210</v>
      </c>
      <c r="G293" s="201">
        <f t="shared" si="5"/>
        <v>18868495</v>
      </c>
      <c r="H293" s="210" t="s">
        <v>25</v>
      </c>
      <c r="I293" s="178" t="s">
        <v>193</v>
      </c>
      <c r="J293" s="178" t="s">
        <v>103</v>
      </c>
      <c r="K293" s="178" t="s">
        <v>408</v>
      </c>
      <c r="L293" s="178" t="s">
        <v>315</v>
      </c>
      <c r="M293" s="178" t="s">
        <v>578</v>
      </c>
      <c r="N293" s="177" t="s">
        <v>428</v>
      </c>
      <c r="O293" s="178"/>
    </row>
    <row r="294" spans="1:15" ht="15.75" customHeight="1">
      <c r="A294" s="244">
        <v>44547</v>
      </c>
      <c r="B294" s="202" t="s">
        <v>289</v>
      </c>
      <c r="C294" s="199" t="s">
        <v>76</v>
      </c>
      <c r="D294" s="212"/>
      <c r="E294" s="224"/>
      <c r="F294" s="230">
        <v>2000000</v>
      </c>
      <c r="G294" s="201">
        <f t="shared" si="5"/>
        <v>16868495</v>
      </c>
      <c r="H294" s="178" t="s">
        <v>160</v>
      </c>
      <c r="I294" s="184">
        <v>3643583</v>
      </c>
      <c r="J294" s="178"/>
      <c r="L294" s="178" t="s">
        <v>315</v>
      </c>
      <c r="O294" s="177"/>
    </row>
    <row r="295" spans="1:15" ht="15.75" customHeight="1">
      <c r="A295" s="241">
        <v>44547</v>
      </c>
      <c r="B295" s="178" t="s">
        <v>297</v>
      </c>
      <c r="C295" s="178" t="s">
        <v>76</v>
      </c>
      <c r="E295" s="225">
        <v>15000</v>
      </c>
      <c r="F295" s="251"/>
      <c r="G295" s="201">
        <f t="shared" si="5"/>
        <v>16883495</v>
      </c>
      <c r="H295" s="178" t="s">
        <v>155</v>
      </c>
      <c r="I295" s="184" t="s">
        <v>194</v>
      </c>
      <c r="K295" s="184"/>
      <c r="L295" s="178" t="s">
        <v>315</v>
      </c>
      <c r="O295" s="178"/>
    </row>
    <row r="296" spans="1:15" ht="15.75" customHeight="1">
      <c r="A296" s="242">
        <v>44547</v>
      </c>
      <c r="B296" s="185" t="s">
        <v>334</v>
      </c>
      <c r="C296" s="178" t="s">
        <v>159</v>
      </c>
      <c r="D296" s="229" t="s">
        <v>4</v>
      </c>
      <c r="E296" s="226"/>
      <c r="F296" s="213">
        <v>30000</v>
      </c>
      <c r="G296" s="201">
        <f t="shared" si="5"/>
        <v>16853495</v>
      </c>
      <c r="H296" s="207" t="s">
        <v>176</v>
      </c>
      <c r="I296" s="178" t="s">
        <v>193</v>
      </c>
      <c r="J296" s="184" t="s">
        <v>169</v>
      </c>
      <c r="K296" s="184" t="s">
        <v>407</v>
      </c>
      <c r="L296" s="178" t="s">
        <v>315</v>
      </c>
      <c r="O296" s="178"/>
    </row>
    <row r="297" spans="1:15" ht="15.75" customHeight="1">
      <c r="A297" s="246">
        <v>44547</v>
      </c>
      <c r="B297" s="209" t="s">
        <v>510</v>
      </c>
      <c r="C297" s="178" t="s">
        <v>34</v>
      </c>
      <c r="D297" s="229" t="s">
        <v>4</v>
      </c>
      <c r="E297" s="227"/>
      <c r="F297" s="214">
        <v>4000</v>
      </c>
      <c r="G297" s="201">
        <f t="shared" si="5"/>
        <v>16849495</v>
      </c>
      <c r="H297" s="210" t="s">
        <v>176</v>
      </c>
      <c r="I297" s="178" t="s">
        <v>193</v>
      </c>
      <c r="J297" s="184" t="s">
        <v>169</v>
      </c>
      <c r="K297" s="178" t="s">
        <v>407</v>
      </c>
      <c r="L297" s="178" t="s">
        <v>315</v>
      </c>
      <c r="O297" s="178"/>
    </row>
    <row r="298" spans="1:15" ht="15.75" customHeight="1">
      <c r="A298" s="243">
        <v>44547</v>
      </c>
      <c r="B298" s="178" t="s">
        <v>388</v>
      </c>
      <c r="C298" s="178" t="s">
        <v>76</v>
      </c>
      <c r="D298" s="229"/>
      <c r="E298" s="178">
        <v>107000</v>
      </c>
      <c r="F298" s="178"/>
      <c r="G298" s="201">
        <f t="shared" si="5"/>
        <v>16956495</v>
      </c>
      <c r="H298" s="230" t="s">
        <v>49</v>
      </c>
      <c r="I298" s="184" t="s">
        <v>194</v>
      </c>
      <c r="J298" s="231"/>
      <c r="K298" s="231"/>
      <c r="L298" s="178" t="s">
        <v>315</v>
      </c>
      <c r="M298" s="231"/>
      <c r="N298" s="231"/>
      <c r="O298" s="231"/>
    </row>
    <row r="299" spans="1:15" ht="15.75" customHeight="1">
      <c r="A299" s="241">
        <v>44547</v>
      </c>
      <c r="B299" s="178" t="s">
        <v>498</v>
      </c>
      <c r="C299" s="178" t="s">
        <v>34</v>
      </c>
      <c r="D299" s="229" t="s">
        <v>4</v>
      </c>
      <c r="E299" s="178"/>
      <c r="F299" s="199">
        <v>10000</v>
      </c>
      <c r="G299" s="201">
        <f t="shared" si="5"/>
        <v>16946495</v>
      </c>
      <c r="H299" s="178" t="s">
        <v>29</v>
      </c>
      <c r="I299" s="178" t="s">
        <v>193</v>
      </c>
      <c r="J299" s="231" t="s">
        <v>103</v>
      </c>
      <c r="K299" s="231" t="s">
        <v>408</v>
      </c>
      <c r="L299" s="178" t="s">
        <v>315</v>
      </c>
      <c r="M299" s="178" t="s">
        <v>579</v>
      </c>
      <c r="N299" s="257" t="s">
        <v>429</v>
      </c>
      <c r="O299" s="231"/>
    </row>
    <row r="300" spans="1:15" ht="15.75" customHeight="1">
      <c r="A300" s="241">
        <v>44548</v>
      </c>
      <c r="B300" s="178" t="s">
        <v>196</v>
      </c>
      <c r="C300" s="178" t="s">
        <v>76</v>
      </c>
      <c r="E300" s="223"/>
      <c r="F300" s="250">
        <v>50000</v>
      </c>
      <c r="G300" s="201">
        <f t="shared" si="5"/>
        <v>16896495</v>
      </c>
      <c r="H300" s="178" t="s">
        <v>25</v>
      </c>
      <c r="I300" s="184" t="s">
        <v>194</v>
      </c>
      <c r="L300" s="178" t="s">
        <v>315</v>
      </c>
      <c r="O300" s="178"/>
    </row>
    <row r="301" spans="1:15" ht="15.75" customHeight="1">
      <c r="A301" s="241">
        <v>44548</v>
      </c>
      <c r="B301" s="178" t="s">
        <v>189</v>
      </c>
      <c r="C301" s="178" t="s">
        <v>76</v>
      </c>
      <c r="E301" s="223"/>
      <c r="F301" s="250">
        <v>200000</v>
      </c>
      <c r="G301" s="201">
        <f t="shared" si="5"/>
        <v>16696495</v>
      </c>
      <c r="H301" s="178" t="s">
        <v>25</v>
      </c>
      <c r="I301" s="184" t="s">
        <v>194</v>
      </c>
      <c r="L301" s="178" t="s">
        <v>315</v>
      </c>
      <c r="O301" s="178"/>
    </row>
    <row r="302" spans="1:15" ht="15.75" customHeight="1">
      <c r="A302" s="241">
        <v>44548</v>
      </c>
      <c r="B302" s="178" t="s">
        <v>253</v>
      </c>
      <c r="C302" s="178" t="s">
        <v>177</v>
      </c>
      <c r="D302" s="229" t="s">
        <v>4</v>
      </c>
      <c r="E302" s="223"/>
      <c r="F302" s="212">
        <v>14000</v>
      </c>
      <c r="G302" s="201">
        <f t="shared" si="5"/>
        <v>16682495</v>
      </c>
      <c r="H302" s="178" t="s">
        <v>25</v>
      </c>
      <c r="I302" s="178" t="s">
        <v>194</v>
      </c>
      <c r="J302" s="184" t="s">
        <v>169</v>
      </c>
      <c r="K302" s="178" t="s">
        <v>407</v>
      </c>
      <c r="L302" s="178" t="s">
        <v>315</v>
      </c>
      <c r="O302" s="178"/>
    </row>
    <row r="303" spans="1:15" ht="15.75" customHeight="1">
      <c r="A303" s="241">
        <v>44548</v>
      </c>
      <c r="B303" s="178" t="s">
        <v>254</v>
      </c>
      <c r="C303" s="178" t="s">
        <v>167</v>
      </c>
      <c r="D303" s="178" t="s">
        <v>195</v>
      </c>
      <c r="E303" s="223"/>
      <c r="F303" s="212">
        <v>30000</v>
      </c>
      <c r="G303" s="201">
        <f t="shared" si="5"/>
        <v>16652495</v>
      </c>
      <c r="H303" s="178" t="s">
        <v>25</v>
      </c>
      <c r="I303" s="184" t="s">
        <v>194</v>
      </c>
      <c r="J303" s="184" t="s">
        <v>169</v>
      </c>
      <c r="K303" s="178" t="s">
        <v>407</v>
      </c>
      <c r="L303" s="178" t="s">
        <v>315</v>
      </c>
      <c r="O303" s="178"/>
    </row>
    <row r="304" spans="1:15">
      <c r="A304" s="241">
        <v>44548</v>
      </c>
      <c r="B304" s="178" t="s">
        <v>307</v>
      </c>
      <c r="C304" s="178" t="s">
        <v>76</v>
      </c>
      <c r="E304" s="223">
        <v>200000</v>
      </c>
      <c r="F304" s="250"/>
      <c r="G304" s="201">
        <f t="shared" si="5"/>
        <v>16852495</v>
      </c>
      <c r="H304" s="178" t="s">
        <v>155</v>
      </c>
      <c r="I304" s="184" t="s">
        <v>194</v>
      </c>
      <c r="L304" s="178" t="s">
        <v>315</v>
      </c>
      <c r="O304" s="178"/>
    </row>
    <row r="305" spans="1:15">
      <c r="A305" s="242">
        <v>44548</v>
      </c>
      <c r="B305" s="185" t="s">
        <v>358</v>
      </c>
      <c r="C305" s="178" t="s">
        <v>76</v>
      </c>
      <c r="D305" s="185"/>
      <c r="E305" s="226">
        <v>50000</v>
      </c>
      <c r="F305" s="254"/>
      <c r="G305" s="201">
        <f t="shared" si="5"/>
        <v>16902495</v>
      </c>
      <c r="H305" s="206" t="s">
        <v>48</v>
      </c>
      <c r="I305" s="184" t="s">
        <v>194</v>
      </c>
      <c r="L305" s="178" t="s">
        <v>315</v>
      </c>
      <c r="O305" s="178"/>
    </row>
    <row r="306" spans="1:15">
      <c r="A306" s="242">
        <v>44548</v>
      </c>
      <c r="B306" s="185" t="s">
        <v>359</v>
      </c>
      <c r="C306" s="185" t="s">
        <v>34</v>
      </c>
      <c r="D306" s="178" t="s">
        <v>195</v>
      </c>
      <c r="E306" s="226"/>
      <c r="F306" s="213">
        <v>25000</v>
      </c>
      <c r="G306" s="201">
        <f t="shared" si="5"/>
        <v>16877495</v>
      </c>
      <c r="H306" s="206" t="s">
        <v>48</v>
      </c>
      <c r="I306" s="178" t="s">
        <v>193</v>
      </c>
      <c r="J306" s="184" t="s">
        <v>169</v>
      </c>
      <c r="K306" s="178" t="s">
        <v>407</v>
      </c>
      <c r="L306" s="178" t="s">
        <v>315</v>
      </c>
      <c r="O306" s="178"/>
    </row>
    <row r="307" spans="1:15">
      <c r="A307" s="243">
        <v>44548</v>
      </c>
      <c r="B307" s="178" t="s">
        <v>469</v>
      </c>
      <c r="C307" s="178" t="s">
        <v>159</v>
      </c>
      <c r="D307" s="229" t="s">
        <v>4</v>
      </c>
      <c r="E307" s="178"/>
      <c r="F307" s="178">
        <v>45000</v>
      </c>
      <c r="G307" s="201">
        <f t="shared" si="5"/>
        <v>16832495</v>
      </c>
      <c r="H307" s="230" t="s">
        <v>49</v>
      </c>
      <c r="I307" s="178" t="s">
        <v>193</v>
      </c>
      <c r="J307" s="178" t="s">
        <v>103</v>
      </c>
      <c r="K307" s="178" t="s">
        <v>408</v>
      </c>
      <c r="L307" s="178" t="s">
        <v>315</v>
      </c>
      <c r="M307" s="178" t="s">
        <v>580</v>
      </c>
      <c r="N307" s="177" t="s">
        <v>432</v>
      </c>
      <c r="O307" s="178"/>
    </row>
    <row r="308" spans="1:15">
      <c r="A308" s="243">
        <v>44548</v>
      </c>
      <c r="B308" s="178" t="s">
        <v>492</v>
      </c>
      <c r="C308" s="178" t="s">
        <v>34</v>
      </c>
      <c r="D308" s="229" t="s">
        <v>4</v>
      </c>
      <c r="E308" s="178"/>
      <c r="F308" s="178">
        <v>5000</v>
      </c>
      <c r="G308" s="201">
        <f t="shared" si="5"/>
        <v>16827495</v>
      </c>
      <c r="H308" s="230" t="s">
        <v>49</v>
      </c>
      <c r="I308" s="178" t="s">
        <v>193</v>
      </c>
      <c r="J308" s="231" t="s">
        <v>103</v>
      </c>
      <c r="K308" s="231" t="s">
        <v>408</v>
      </c>
      <c r="L308" s="178" t="s">
        <v>315</v>
      </c>
      <c r="M308" s="178" t="s">
        <v>581</v>
      </c>
      <c r="N308" s="257" t="s">
        <v>429</v>
      </c>
      <c r="O308" s="231"/>
    </row>
    <row r="309" spans="1:15">
      <c r="A309" s="241">
        <v>44548</v>
      </c>
      <c r="B309" s="178" t="s">
        <v>477</v>
      </c>
      <c r="C309" s="178" t="s">
        <v>159</v>
      </c>
      <c r="D309" s="229" t="s">
        <v>4</v>
      </c>
      <c r="E309" s="178"/>
      <c r="F309" s="199">
        <v>30000</v>
      </c>
      <c r="G309" s="201">
        <f t="shared" si="5"/>
        <v>16797495</v>
      </c>
      <c r="H309" s="178" t="s">
        <v>29</v>
      </c>
      <c r="I309" s="178" t="s">
        <v>193</v>
      </c>
      <c r="J309" s="178" t="s">
        <v>103</v>
      </c>
      <c r="K309" s="178" t="s">
        <v>408</v>
      </c>
      <c r="L309" s="178" t="s">
        <v>315</v>
      </c>
      <c r="M309" s="178" t="s">
        <v>582</v>
      </c>
      <c r="N309" s="177" t="s">
        <v>432</v>
      </c>
      <c r="O309" s="178"/>
    </row>
    <row r="310" spans="1:15">
      <c r="A310" s="241">
        <v>44548</v>
      </c>
      <c r="B310" s="178" t="s">
        <v>502</v>
      </c>
      <c r="C310" s="178" t="s">
        <v>34</v>
      </c>
      <c r="D310" s="229" t="s">
        <v>4</v>
      </c>
      <c r="E310" s="178"/>
      <c r="F310" s="199">
        <v>7000</v>
      </c>
      <c r="G310" s="201">
        <f t="shared" si="5"/>
        <v>16790495</v>
      </c>
      <c r="H310" s="178" t="s">
        <v>29</v>
      </c>
      <c r="I310" s="178" t="s">
        <v>193</v>
      </c>
      <c r="J310" s="231" t="s">
        <v>103</v>
      </c>
      <c r="K310" s="231" t="s">
        <v>408</v>
      </c>
      <c r="L310" s="178" t="s">
        <v>315</v>
      </c>
      <c r="M310" s="178" t="s">
        <v>583</v>
      </c>
      <c r="N310" s="257" t="s">
        <v>429</v>
      </c>
      <c r="O310" s="231"/>
    </row>
    <row r="311" spans="1:15">
      <c r="A311" s="242">
        <v>44549</v>
      </c>
      <c r="B311" s="185" t="s">
        <v>335</v>
      </c>
      <c r="C311" s="178" t="s">
        <v>159</v>
      </c>
      <c r="D311" s="229" t="s">
        <v>4</v>
      </c>
      <c r="E311" s="226"/>
      <c r="F311" s="213">
        <v>30000</v>
      </c>
      <c r="G311" s="201">
        <f t="shared" si="5"/>
        <v>16760495</v>
      </c>
      <c r="H311" s="207" t="s">
        <v>176</v>
      </c>
      <c r="I311" s="178" t="s">
        <v>193</v>
      </c>
      <c r="J311" s="184" t="s">
        <v>169</v>
      </c>
      <c r="K311" s="184" t="s">
        <v>407</v>
      </c>
      <c r="L311" s="178" t="s">
        <v>315</v>
      </c>
      <c r="O311" s="178"/>
    </row>
    <row r="312" spans="1:15">
      <c r="A312" s="241">
        <v>44550</v>
      </c>
      <c r="B312" s="178" t="s">
        <v>255</v>
      </c>
      <c r="C312" s="178" t="s">
        <v>218</v>
      </c>
      <c r="D312" s="185" t="s">
        <v>190</v>
      </c>
      <c r="E312" s="223"/>
      <c r="F312" s="212">
        <v>30000</v>
      </c>
      <c r="G312" s="201">
        <f t="shared" si="5"/>
        <v>16730495</v>
      </c>
      <c r="H312" s="178" t="s">
        <v>25</v>
      </c>
      <c r="I312" s="178" t="s">
        <v>193</v>
      </c>
      <c r="J312" s="184" t="s">
        <v>103</v>
      </c>
      <c r="K312" s="178" t="s">
        <v>408</v>
      </c>
      <c r="L312" s="178" t="s">
        <v>315</v>
      </c>
      <c r="M312" s="178" t="s">
        <v>584</v>
      </c>
      <c r="N312" s="177" t="s">
        <v>416</v>
      </c>
      <c r="O312" s="178"/>
    </row>
    <row r="313" spans="1:15">
      <c r="A313" s="241">
        <v>44550</v>
      </c>
      <c r="B313" s="178" t="s">
        <v>31</v>
      </c>
      <c r="C313" s="178" t="s">
        <v>76</v>
      </c>
      <c r="E313" s="223"/>
      <c r="F313" s="250">
        <v>20000</v>
      </c>
      <c r="G313" s="201">
        <f t="shared" si="5"/>
        <v>16710495</v>
      </c>
      <c r="H313" s="178" t="s">
        <v>25</v>
      </c>
      <c r="I313" s="184" t="s">
        <v>194</v>
      </c>
      <c r="L313" s="178" t="s">
        <v>315</v>
      </c>
      <c r="O313" s="178"/>
    </row>
    <row r="314" spans="1:15">
      <c r="A314" s="241">
        <v>44550</v>
      </c>
      <c r="B314" s="178" t="s">
        <v>256</v>
      </c>
      <c r="C314" s="178" t="s">
        <v>3</v>
      </c>
      <c r="D314" s="185" t="s">
        <v>190</v>
      </c>
      <c r="E314" s="225"/>
      <c r="F314" s="214">
        <v>12000</v>
      </c>
      <c r="G314" s="201">
        <f t="shared" si="5"/>
        <v>16698495</v>
      </c>
      <c r="H314" s="178" t="s">
        <v>25</v>
      </c>
      <c r="I314" s="178" t="s">
        <v>193</v>
      </c>
      <c r="J314" s="184" t="s">
        <v>169</v>
      </c>
      <c r="K314" s="178" t="s">
        <v>407</v>
      </c>
      <c r="L314" s="178" t="s">
        <v>315</v>
      </c>
      <c r="O314" s="178"/>
    </row>
    <row r="315" spans="1:15">
      <c r="A315" s="244">
        <v>44550</v>
      </c>
      <c r="B315" s="178" t="s">
        <v>642</v>
      </c>
      <c r="C315" s="201" t="s">
        <v>145</v>
      </c>
      <c r="D315" s="266" t="s">
        <v>166</v>
      </c>
      <c r="E315" s="224"/>
      <c r="F315" s="214">
        <v>300000</v>
      </c>
      <c r="G315" s="201">
        <f t="shared" si="5"/>
        <v>16398495</v>
      </c>
      <c r="H315" s="178" t="s">
        <v>160</v>
      </c>
      <c r="I315" s="184">
        <v>3643584</v>
      </c>
      <c r="J315" s="178" t="s">
        <v>103</v>
      </c>
      <c r="K315" s="178" t="s">
        <v>408</v>
      </c>
      <c r="L315" s="178" t="s">
        <v>315</v>
      </c>
      <c r="M315" s="178" t="s">
        <v>585</v>
      </c>
      <c r="N315" s="177" t="s">
        <v>414</v>
      </c>
      <c r="O315" s="178"/>
    </row>
    <row r="316" spans="1:15">
      <c r="A316" s="241">
        <v>44550</v>
      </c>
      <c r="B316" s="178" t="s">
        <v>308</v>
      </c>
      <c r="C316" s="178" t="s">
        <v>146</v>
      </c>
      <c r="D316" s="178" t="s">
        <v>166</v>
      </c>
      <c r="E316" s="223"/>
      <c r="F316" s="212">
        <v>30000</v>
      </c>
      <c r="G316" s="201">
        <f t="shared" si="5"/>
        <v>16368495</v>
      </c>
      <c r="H316" s="178" t="s">
        <v>155</v>
      </c>
      <c r="I316" s="178" t="s">
        <v>193</v>
      </c>
      <c r="J316" s="184" t="s">
        <v>169</v>
      </c>
      <c r="K316" s="178" t="s">
        <v>407</v>
      </c>
      <c r="L316" s="178" t="s">
        <v>315</v>
      </c>
      <c r="O316" s="178"/>
    </row>
    <row r="317" spans="1:15">
      <c r="A317" s="241">
        <v>44550</v>
      </c>
      <c r="B317" s="178" t="s">
        <v>309</v>
      </c>
      <c r="C317" s="178" t="s">
        <v>146</v>
      </c>
      <c r="D317" s="178" t="s">
        <v>166</v>
      </c>
      <c r="E317" s="223"/>
      <c r="F317" s="212">
        <v>7615</v>
      </c>
      <c r="G317" s="201">
        <f t="shared" si="5"/>
        <v>16360880</v>
      </c>
      <c r="H317" s="178" t="s">
        <v>155</v>
      </c>
      <c r="I317" s="178" t="s">
        <v>193</v>
      </c>
      <c r="J317" s="184" t="s">
        <v>169</v>
      </c>
      <c r="K317" s="178" t="s">
        <v>407</v>
      </c>
      <c r="L317" s="178" t="s">
        <v>315</v>
      </c>
      <c r="O317" s="178"/>
    </row>
    <row r="318" spans="1:15">
      <c r="A318" s="243">
        <v>44550</v>
      </c>
      <c r="B318" s="178" t="s">
        <v>470</v>
      </c>
      <c r="C318" s="178" t="s">
        <v>159</v>
      </c>
      <c r="D318" s="229" t="s">
        <v>4</v>
      </c>
      <c r="E318" s="178"/>
      <c r="F318" s="178">
        <v>30000</v>
      </c>
      <c r="G318" s="201">
        <f t="shared" si="5"/>
        <v>16330880</v>
      </c>
      <c r="H318" s="230" t="s">
        <v>49</v>
      </c>
      <c r="I318" s="178" t="s">
        <v>193</v>
      </c>
      <c r="J318" s="178" t="s">
        <v>103</v>
      </c>
      <c r="K318" s="178" t="s">
        <v>408</v>
      </c>
      <c r="L318" s="178" t="s">
        <v>315</v>
      </c>
      <c r="M318" s="178" t="s">
        <v>586</v>
      </c>
      <c r="N318" s="177" t="s">
        <v>432</v>
      </c>
      <c r="O318" s="178"/>
    </row>
    <row r="319" spans="1:15" s="240" customFormat="1">
      <c r="A319" s="243">
        <v>44550</v>
      </c>
      <c r="B319" s="178" t="s">
        <v>508</v>
      </c>
      <c r="C319" s="178" t="s">
        <v>34</v>
      </c>
      <c r="D319" s="229" t="s">
        <v>4</v>
      </c>
      <c r="E319" s="178"/>
      <c r="F319" s="178">
        <v>5000</v>
      </c>
      <c r="G319" s="201">
        <f t="shared" si="5"/>
        <v>16325880</v>
      </c>
      <c r="H319" s="230" t="s">
        <v>49</v>
      </c>
      <c r="I319" s="178" t="s">
        <v>193</v>
      </c>
      <c r="J319" s="231" t="s">
        <v>103</v>
      </c>
      <c r="K319" s="231" t="s">
        <v>408</v>
      </c>
      <c r="L319" s="178" t="s">
        <v>315</v>
      </c>
      <c r="M319" s="178" t="s">
        <v>587</v>
      </c>
      <c r="N319" s="257" t="s">
        <v>429</v>
      </c>
      <c r="O319" s="231"/>
    </row>
    <row r="320" spans="1:15" s="240" customFormat="1">
      <c r="A320" s="243">
        <v>44550</v>
      </c>
      <c r="B320" s="178" t="s">
        <v>493</v>
      </c>
      <c r="C320" s="178" t="s">
        <v>34</v>
      </c>
      <c r="D320" s="229" t="s">
        <v>4</v>
      </c>
      <c r="E320" s="178"/>
      <c r="F320" s="178">
        <v>5000</v>
      </c>
      <c r="G320" s="201">
        <f t="shared" si="5"/>
        <v>16320880</v>
      </c>
      <c r="H320" s="230" t="s">
        <v>49</v>
      </c>
      <c r="I320" s="178" t="s">
        <v>193</v>
      </c>
      <c r="J320" s="231" t="s">
        <v>103</v>
      </c>
      <c r="K320" s="231" t="s">
        <v>408</v>
      </c>
      <c r="L320" s="178" t="s">
        <v>315</v>
      </c>
      <c r="M320" s="178" t="s">
        <v>588</v>
      </c>
      <c r="N320" s="257" t="s">
        <v>429</v>
      </c>
      <c r="O320" s="231"/>
    </row>
    <row r="321" spans="1:16" s="240" customFormat="1">
      <c r="A321" s="245">
        <v>44550</v>
      </c>
      <c r="B321" s="232" t="s">
        <v>357</v>
      </c>
      <c r="C321" s="232" t="s">
        <v>76</v>
      </c>
      <c r="D321" s="232"/>
      <c r="E321" s="233">
        <v>20000</v>
      </c>
      <c r="F321" s="252"/>
      <c r="G321" s="201">
        <f t="shared" si="5"/>
        <v>16340880</v>
      </c>
      <c r="H321" s="232" t="s">
        <v>31</v>
      </c>
      <c r="I321" s="184" t="s">
        <v>194</v>
      </c>
      <c r="J321" s="232"/>
      <c r="K321" s="232"/>
      <c r="L321" s="178" t="s">
        <v>315</v>
      </c>
      <c r="M321" s="232"/>
      <c r="N321" s="232"/>
      <c r="O321" s="232"/>
    </row>
    <row r="322" spans="1:16" s="240" customFormat="1">
      <c r="A322" s="241">
        <v>44550</v>
      </c>
      <c r="B322" s="178" t="s">
        <v>503</v>
      </c>
      <c r="C322" s="178" t="s">
        <v>34</v>
      </c>
      <c r="D322" s="229" t="s">
        <v>4</v>
      </c>
      <c r="E322" s="178"/>
      <c r="F322" s="199">
        <v>7000</v>
      </c>
      <c r="G322" s="201">
        <f t="shared" si="5"/>
        <v>16333880</v>
      </c>
      <c r="H322" s="178" t="s">
        <v>29</v>
      </c>
      <c r="I322" s="178" t="s">
        <v>193</v>
      </c>
      <c r="J322" s="231" t="s">
        <v>103</v>
      </c>
      <c r="K322" s="231" t="s">
        <v>408</v>
      </c>
      <c r="L322" s="178" t="s">
        <v>315</v>
      </c>
      <c r="M322" s="178" t="s">
        <v>589</v>
      </c>
      <c r="N322" s="257" t="s">
        <v>429</v>
      </c>
      <c r="O322" s="231"/>
    </row>
    <row r="323" spans="1:16" s="240" customFormat="1">
      <c r="A323" s="241">
        <v>44550</v>
      </c>
      <c r="B323" s="178" t="s">
        <v>478</v>
      </c>
      <c r="C323" s="178" t="s">
        <v>159</v>
      </c>
      <c r="D323" s="229" t="s">
        <v>4</v>
      </c>
      <c r="E323" s="178"/>
      <c r="F323" s="199">
        <v>30000</v>
      </c>
      <c r="G323" s="201">
        <f t="shared" si="5"/>
        <v>16303880</v>
      </c>
      <c r="H323" s="178" t="s">
        <v>29</v>
      </c>
      <c r="I323" s="178" t="s">
        <v>193</v>
      </c>
      <c r="J323" s="178" t="s">
        <v>103</v>
      </c>
      <c r="K323" s="178" t="s">
        <v>408</v>
      </c>
      <c r="L323" s="178" t="s">
        <v>315</v>
      </c>
      <c r="M323" s="178" t="s">
        <v>590</v>
      </c>
      <c r="N323" s="177" t="s">
        <v>432</v>
      </c>
      <c r="O323" s="178"/>
      <c r="P323" s="178"/>
    </row>
    <row r="324" spans="1:16" s="240" customFormat="1">
      <c r="A324" s="242">
        <v>44550</v>
      </c>
      <c r="B324" s="178" t="s">
        <v>328</v>
      </c>
      <c r="C324" s="178" t="s">
        <v>159</v>
      </c>
      <c r="D324" s="178" t="s">
        <v>166</v>
      </c>
      <c r="E324" s="223"/>
      <c r="F324" s="212">
        <v>11000</v>
      </c>
      <c r="G324" s="201">
        <f t="shared" si="5"/>
        <v>16292880</v>
      </c>
      <c r="H324" s="178" t="s">
        <v>165</v>
      </c>
      <c r="I324" s="184" t="s">
        <v>194</v>
      </c>
      <c r="J324" s="184" t="s">
        <v>169</v>
      </c>
      <c r="K324" s="184" t="s">
        <v>407</v>
      </c>
      <c r="L324" s="178" t="s">
        <v>315</v>
      </c>
      <c r="M324" s="178"/>
      <c r="N324" s="177"/>
      <c r="O324" s="178"/>
    </row>
    <row r="325" spans="1:16" s="240" customFormat="1" ht="15.75" customHeight="1">
      <c r="A325" s="242">
        <v>44550</v>
      </c>
      <c r="B325" s="178" t="s">
        <v>329</v>
      </c>
      <c r="C325" s="178" t="s">
        <v>34</v>
      </c>
      <c r="D325" s="178" t="s">
        <v>166</v>
      </c>
      <c r="E325" s="223"/>
      <c r="F325" s="212">
        <v>83100</v>
      </c>
      <c r="G325" s="201">
        <f t="shared" si="5"/>
        <v>16209780</v>
      </c>
      <c r="H325" s="178" t="s">
        <v>165</v>
      </c>
      <c r="I325" s="178" t="s">
        <v>194</v>
      </c>
      <c r="J325" s="184" t="s">
        <v>169</v>
      </c>
      <c r="K325" s="178" t="s">
        <v>407</v>
      </c>
      <c r="L325" s="178" t="s">
        <v>315</v>
      </c>
      <c r="M325" s="178"/>
      <c r="N325" s="177"/>
      <c r="O325" s="178"/>
    </row>
    <row r="326" spans="1:16" s="240" customFormat="1" ht="15.75" customHeight="1">
      <c r="A326" s="241">
        <v>44551</v>
      </c>
      <c r="B326" s="178" t="s">
        <v>257</v>
      </c>
      <c r="C326" s="178" t="s">
        <v>76</v>
      </c>
      <c r="D326" s="178"/>
      <c r="E326" s="225">
        <v>25000</v>
      </c>
      <c r="F326" s="230"/>
      <c r="G326" s="201">
        <f t="shared" si="5"/>
        <v>16234780</v>
      </c>
      <c r="H326" s="178" t="s">
        <v>25</v>
      </c>
      <c r="I326" s="184" t="s">
        <v>194</v>
      </c>
      <c r="J326" s="184"/>
      <c r="K326" s="178"/>
      <c r="L326" s="178" t="s">
        <v>315</v>
      </c>
      <c r="M326" s="178"/>
      <c r="N326" s="177"/>
      <c r="O326" s="178"/>
    </row>
    <row r="327" spans="1:16" s="240" customFormat="1">
      <c r="A327" s="241">
        <v>44551</v>
      </c>
      <c r="B327" s="178" t="s">
        <v>29</v>
      </c>
      <c r="C327" s="178" t="s">
        <v>76</v>
      </c>
      <c r="D327" s="178"/>
      <c r="E327" s="225"/>
      <c r="F327" s="230">
        <v>90000</v>
      </c>
      <c r="G327" s="201">
        <f t="shared" si="5"/>
        <v>16144780</v>
      </c>
      <c r="H327" s="178" t="s">
        <v>25</v>
      </c>
      <c r="I327" s="184" t="s">
        <v>194</v>
      </c>
      <c r="J327" s="184"/>
      <c r="K327" s="178"/>
      <c r="L327" s="178" t="s">
        <v>315</v>
      </c>
      <c r="M327" s="178"/>
      <c r="N327" s="177"/>
      <c r="O327" s="178"/>
    </row>
    <row r="328" spans="1:16" s="240" customFormat="1">
      <c r="A328" s="242">
        <v>44551</v>
      </c>
      <c r="B328" s="185" t="s">
        <v>644</v>
      </c>
      <c r="C328" s="178" t="s">
        <v>285</v>
      </c>
      <c r="D328" s="185" t="s">
        <v>190</v>
      </c>
      <c r="E328" s="226"/>
      <c r="F328" s="213">
        <v>2700</v>
      </c>
      <c r="G328" s="201">
        <f t="shared" si="5"/>
        <v>16142080</v>
      </c>
      <c r="H328" s="207" t="s">
        <v>25</v>
      </c>
      <c r="I328" s="178" t="s">
        <v>193</v>
      </c>
      <c r="J328" s="178" t="s">
        <v>103</v>
      </c>
      <c r="K328" s="178" t="s">
        <v>408</v>
      </c>
      <c r="L328" s="178" t="s">
        <v>315</v>
      </c>
      <c r="M328" s="178" t="s">
        <v>591</v>
      </c>
      <c r="N328" s="177" t="s">
        <v>428</v>
      </c>
      <c r="O328" s="178"/>
    </row>
    <row r="329" spans="1:16" s="240" customFormat="1">
      <c r="A329" s="241">
        <v>44551</v>
      </c>
      <c r="B329" s="178" t="s">
        <v>154</v>
      </c>
      <c r="C329" s="178" t="s">
        <v>76</v>
      </c>
      <c r="D329" s="178"/>
      <c r="E329" s="225"/>
      <c r="F329" s="230">
        <v>94000</v>
      </c>
      <c r="G329" s="201">
        <f t="shared" si="5"/>
        <v>16048080</v>
      </c>
      <c r="H329" s="178" t="s">
        <v>25</v>
      </c>
      <c r="I329" s="184" t="s">
        <v>194</v>
      </c>
      <c r="J329" s="184"/>
      <c r="K329" s="184"/>
      <c r="L329" s="178" t="s">
        <v>315</v>
      </c>
      <c r="M329" s="178"/>
      <c r="N329" s="177"/>
      <c r="O329" s="178"/>
    </row>
    <row r="330" spans="1:16" s="240" customFormat="1">
      <c r="A330" s="241">
        <v>44551</v>
      </c>
      <c r="B330" s="178" t="s">
        <v>258</v>
      </c>
      <c r="C330" s="178" t="s">
        <v>76</v>
      </c>
      <c r="D330" s="178"/>
      <c r="E330" s="225"/>
      <c r="F330" s="251">
        <v>683000</v>
      </c>
      <c r="G330" s="201">
        <f t="shared" si="5"/>
        <v>15365080</v>
      </c>
      <c r="H330" s="178" t="s">
        <v>25</v>
      </c>
      <c r="I330" s="184" t="s">
        <v>194</v>
      </c>
      <c r="J330" s="184"/>
      <c r="K330" s="184"/>
      <c r="L330" s="178" t="s">
        <v>315</v>
      </c>
      <c r="M330" s="178"/>
      <c r="N330" s="177"/>
      <c r="O330" s="178"/>
    </row>
    <row r="331" spans="1:16" s="240" customFormat="1">
      <c r="A331" s="242">
        <v>44551</v>
      </c>
      <c r="B331" s="185" t="s">
        <v>196</v>
      </c>
      <c r="C331" s="178" t="s">
        <v>76</v>
      </c>
      <c r="D331" s="185"/>
      <c r="E331" s="226"/>
      <c r="F331" s="254">
        <v>123000</v>
      </c>
      <c r="G331" s="201">
        <f t="shared" si="5"/>
        <v>15242080</v>
      </c>
      <c r="H331" s="206" t="s">
        <v>25</v>
      </c>
      <c r="I331" s="184" t="s">
        <v>194</v>
      </c>
      <c r="J331" s="184"/>
      <c r="K331" s="178"/>
      <c r="L331" s="178" t="s">
        <v>315</v>
      </c>
      <c r="M331" s="177"/>
      <c r="N331" s="177"/>
      <c r="O331" s="178"/>
    </row>
    <row r="332" spans="1:16" s="240" customFormat="1">
      <c r="A332" s="246">
        <v>44551</v>
      </c>
      <c r="B332" s="208" t="s">
        <v>189</v>
      </c>
      <c r="C332" s="178" t="s">
        <v>76</v>
      </c>
      <c r="D332" s="209"/>
      <c r="E332" s="227"/>
      <c r="F332" s="253">
        <v>98000</v>
      </c>
      <c r="G332" s="201">
        <f t="shared" si="5"/>
        <v>15144080</v>
      </c>
      <c r="H332" s="210" t="s">
        <v>25</v>
      </c>
      <c r="I332" s="184" t="s">
        <v>194</v>
      </c>
      <c r="J332" s="219"/>
      <c r="K332" s="210"/>
      <c r="L332" s="178" t="s">
        <v>315</v>
      </c>
      <c r="M332" s="178"/>
      <c r="N332" s="178"/>
      <c r="O332" s="178"/>
    </row>
    <row r="333" spans="1:16" s="240" customFormat="1">
      <c r="A333" s="241">
        <v>44551</v>
      </c>
      <c r="B333" s="178" t="s">
        <v>31</v>
      </c>
      <c r="C333" s="178" t="s">
        <v>76</v>
      </c>
      <c r="D333" s="232"/>
      <c r="E333" s="223"/>
      <c r="F333" s="212">
        <v>30000</v>
      </c>
      <c r="G333" s="201">
        <f t="shared" si="5"/>
        <v>15114080</v>
      </c>
      <c r="H333" s="178" t="s">
        <v>25</v>
      </c>
      <c r="I333" s="184" t="s">
        <v>194</v>
      </c>
      <c r="J333" s="184"/>
      <c r="K333" s="178"/>
      <c r="L333" s="178" t="s">
        <v>315</v>
      </c>
      <c r="M333" s="178"/>
      <c r="N333" s="177"/>
      <c r="O333" s="178"/>
    </row>
    <row r="334" spans="1:16" s="240" customFormat="1">
      <c r="A334" s="241">
        <v>44551</v>
      </c>
      <c r="B334" s="178" t="s">
        <v>259</v>
      </c>
      <c r="C334" s="178" t="s">
        <v>167</v>
      </c>
      <c r="D334" s="232" t="s">
        <v>168</v>
      </c>
      <c r="E334" s="223"/>
      <c r="F334" s="212">
        <v>245000</v>
      </c>
      <c r="G334" s="201">
        <f t="shared" si="5"/>
        <v>14869080</v>
      </c>
      <c r="H334" s="178" t="s">
        <v>25</v>
      </c>
      <c r="I334" s="184" t="s">
        <v>194</v>
      </c>
      <c r="J334" s="184" t="s">
        <v>169</v>
      </c>
      <c r="K334" s="178" t="s">
        <v>407</v>
      </c>
      <c r="L334" s="178" t="s">
        <v>315</v>
      </c>
      <c r="M334" s="178"/>
      <c r="N334" s="177"/>
      <c r="O334" s="178"/>
    </row>
    <row r="335" spans="1:16" s="240" customFormat="1">
      <c r="A335" s="244">
        <v>44551</v>
      </c>
      <c r="B335" s="178" t="s">
        <v>290</v>
      </c>
      <c r="C335" s="185" t="s">
        <v>192</v>
      </c>
      <c r="D335" s="178" t="s">
        <v>166</v>
      </c>
      <c r="E335" s="224"/>
      <c r="F335" s="214">
        <v>357982</v>
      </c>
      <c r="G335" s="201">
        <f t="shared" ref="G335:G398" si="6">+G334+E335-F335</f>
        <v>14511098</v>
      </c>
      <c r="H335" s="178" t="s">
        <v>160</v>
      </c>
      <c r="I335" s="184">
        <v>3643586</v>
      </c>
      <c r="J335" s="178" t="s">
        <v>103</v>
      </c>
      <c r="K335" s="178" t="s">
        <v>408</v>
      </c>
      <c r="L335" s="178" t="s">
        <v>315</v>
      </c>
      <c r="M335" s="178" t="s">
        <v>592</v>
      </c>
      <c r="N335" s="177" t="s">
        <v>420</v>
      </c>
      <c r="O335" s="178"/>
    </row>
    <row r="336" spans="1:16">
      <c r="A336" s="244">
        <v>44551</v>
      </c>
      <c r="B336" s="178" t="s">
        <v>291</v>
      </c>
      <c r="C336" s="185" t="s">
        <v>192</v>
      </c>
      <c r="D336" s="266" t="s">
        <v>2</v>
      </c>
      <c r="E336" s="224"/>
      <c r="F336" s="214">
        <v>350000</v>
      </c>
      <c r="G336" s="201">
        <f t="shared" si="6"/>
        <v>14161098</v>
      </c>
      <c r="H336" s="178" t="s">
        <v>160</v>
      </c>
      <c r="I336" s="184">
        <v>3643585</v>
      </c>
      <c r="J336" s="178" t="s">
        <v>103</v>
      </c>
      <c r="K336" s="178" t="s">
        <v>408</v>
      </c>
      <c r="L336" s="178" t="s">
        <v>315</v>
      </c>
      <c r="M336" s="178" t="s">
        <v>593</v>
      </c>
      <c r="N336" s="177" t="s">
        <v>421</v>
      </c>
      <c r="O336" s="178"/>
    </row>
    <row r="337" spans="1:15" s="231" customFormat="1">
      <c r="A337" s="244">
        <v>44551</v>
      </c>
      <c r="B337" s="178" t="s">
        <v>292</v>
      </c>
      <c r="C337" s="185" t="s">
        <v>192</v>
      </c>
      <c r="D337" s="178" t="s">
        <v>166</v>
      </c>
      <c r="E337" s="224"/>
      <c r="F337" s="214">
        <v>193600</v>
      </c>
      <c r="G337" s="201">
        <f t="shared" si="6"/>
        <v>13967498</v>
      </c>
      <c r="H337" s="178" t="s">
        <v>160</v>
      </c>
      <c r="I337" s="184">
        <v>3643588</v>
      </c>
      <c r="J337" s="178" t="s">
        <v>103</v>
      </c>
      <c r="K337" s="178" t="s">
        <v>408</v>
      </c>
      <c r="L337" s="178" t="s">
        <v>315</v>
      </c>
      <c r="M337" s="178" t="s">
        <v>594</v>
      </c>
      <c r="N337" s="177" t="s">
        <v>420</v>
      </c>
      <c r="O337" s="178"/>
    </row>
    <row r="338" spans="1:15">
      <c r="A338" s="244">
        <v>44551</v>
      </c>
      <c r="B338" s="178" t="s">
        <v>293</v>
      </c>
      <c r="C338" s="185" t="s">
        <v>192</v>
      </c>
      <c r="D338" s="232" t="s">
        <v>168</v>
      </c>
      <c r="E338" s="224"/>
      <c r="F338" s="214">
        <v>234309</v>
      </c>
      <c r="G338" s="201">
        <f t="shared" si="6"/>
        <v>13733189</v>
      </c>
      <c r="H338" s="178" t="s">
        <v>160</v>
      </c>
      <c r="I338" s="184">
        <v>3643587</v>
      </c>
      <c r="J338" s="178" t="s">
        <v>103</v>
      </c>
      <c r="K338" s="178" t="s">
        <v>408</v>
      </c>
      <c r="L338" s="178" t="s">
        <v>315</v>
      </c>
      <c r="M338" s="178" t="s">
        <v>595</v>
      </c>
      <c r="N338" s="177" t="s">
        <v>422</v>
      </c>
      <c r="O338" s="178"/>
    </row>
    <row r="339" spans="1:15" s="231" customFormat="1">
      <c r="A339" s="244">
        <v>44551</v>
      </c>
      <c r="B339" s="178" t="s">
        <v>294</v>
      </c>
      <c r="C339" s="185" t="s">
        <v>192</v>
      </c>
      <c r="D339" s="229" t="s">
        <v>4</v>
      </c>
      <c r="E339" s="224"/>
      <c r="F339" s="214">
        <v>850000</v>
      </c>
      <c r="G339" s="201">
        <f t="shared" si="6"/>
        <v>12883189</v>
      </c>
      <c r="H339" s="178" t="s">
        <v>160</v>
      </c>
      <c r="I339" s="184">
        <v>3643589</v>
      </c>
      <c r="J339" s="178" t="s">
        <v>103</v>
      </c>
      <c r="K339" s="178" t="s">
        <v>408</v>
      </c>
      <c r="L339" s="178" t="s">
        <v>315</v>
      </c>
      <c r="M339" s="178" t="s">
        <v>596</v>
      </c>
      <c r="N339" s="177" t="s">
        <v>423</v>
      </c>
      <c r="O339" s="178"/>
    </row>
    <row r="340" spans="1:15" s="231" customFormat="1">
      <c r="A340" s="241">
        <v>44551</v>
      </c>
      <c r="B340" s="208" t="s">
        <v>295</v>
      </c>
      <c r="C340" s="185" t="s">
        <v>192</v>
      </c>
      <c r="D340" s="229" t="s">
        <v>4</v>
      </c>
      <c r="E340" s="225"/>
      <c r="F340" s="214">
        <v>395000</v>
      </c>
      <c r="G340" s="201">
        <f t="shared" si="6"/>
        <v>12488189</v>
      </c>
      <c r="H340" s="178" t="s">
        <v>160</v>
      </c>
      <c r="I340" s="184">
        <v>3643590</v>
      </c>
      <c r="J340" s="178" t="s">
        <v>103</v>
      </c>
      <c r="K340" s="178" t="s">
        <v>408</v>
      </c>
      <c r="L340" s="178" t="s">
        <v>315</v>
      </c>
      <c r="M340" s="178" t="s">
        <v>597</v>
      </c>
      <c r="N340" s="177" t="s">
        <v>423</v>
      </c>
      <c r="O340" s="178"/>
    </row>
    <row r="341" spans="1:15" s="231" customFormat="1">
      <c r="A341" s="241">
        <v>44551</v>
      </c>
      <c r="B341" s="178" t="s">
        <v>299</v>
      </c>
      <c r="C341" s="178" t="s">
        <v>76</v>
      </c>
      <c r="D341" s="178"/>
      <c r="E341" s="223">
        <v>98000</v>
      </c>
      <c r="F341" s="250"/>
      <c r="G341" s="201">
        <f t="shared" si="6"/>
        <v>12586189</v>
      </c>
      <c r="H341" s="178" t="s">
        <v>155</v>
      </c>
      <c r="I341" s="184" t="s">
        <v>194</v>
      </c>
      <c r="J341" s="184"/>
      <c r="K341" s="178"/>
      <c r="L341" s="178" t="s">
        <v>315</v>
      </c>
      <c r="M341" s="178"/>
      <c r="N341" s="177"/>
      <c r="O341" s="178"/>
    </row>
    <row r="342" spans="1:15" s="231" customFormat="1">
      <c r="A342" s="241">
        <v>44551</v>
      </c>
      <c r="B342" s="178" t="s">
        <v>485</v>
      </c>
      <c r="C342" s="178" t="s">
        <v>34</v>
      </c>
      <c r="D342" s="178" t="s">
        <v>166</v>
      </c>
      <c r="E342" s="223"/>
      <c r="F342" s="212">
        <v>10000</v>
      </c>
      <c r="G342" s="201">
        <f t="shared" si="6"/>
        <v>12576189</v>
      </c>
      <c r="H342" s="178" t="s">
        <v>155</v>
      </c>
      <c r="I342" s="178" t="s">
        <v>193</v>
      </c>
      <c r="J342" s="184" t="s">
        <v>103</v>
      </c>
      <c r="K342" s="178" t="s">
        <v>408</v>
      </c>
      <c r="L342" s="178" t="s">
        <v>315</v>
      </c>
      <c r="M342" s="178" t="s">
        <v>598</v>
      </c>
      <c r="N342" s="177" t="s">
        <v>429</v>
      </c>
      <c r="O342" s="178"/>
    </row>
    <row r="343" spans="1:15" s="231" customFormat="1">
      <c r="A343" s="242">
        <v>44551</v>
      </c>
      <c r="B343" s="185" t="s">
        <v>336</v>
      </c>
      <c r="C343" s="178" t="s">
        <v>159</v>
      </c>
      <c r="D343" s="229" t="s">
        <v>4</v>
      </c>
      <c r="E343" s="226"/>
      <c r="F343" s="213">
        <v>30000</v>
      </c>
      <c r="G343" s="201">
        <f t="shared" si="6"/>
        <v>12546189</v>
      </c>
      <c r="H343" s="207" t="s">
        <v>176</v>
      </c>
      <c r="I343" s="178" t="s">
        <v>193</v>
      </c>
      <c r="J343" s="184" t="s">
        <v>169</v>
      </c>
      <c r="K343" s="184" t="s">
        <v>407</v>
      </c>
      <c r="L343" s="178" t="s">
        <v>315</v>
      </c>
      <c r="M343" s="177"/>
      <c r="N343" s="177"/>
      <c r="O343" s="178"/>
    </row>
    <row r="344" spans="1:15" s="231" customFormat="1">
      <c r="A344" s="241">
        <v>44551</v>
      </c>
      <c r="B344" s="178" t="s">
        <v>509</v>
      </c>
      <c r="C344" s="178" t="s">
        <v>34</v>
      </c>
      <c r="D344" s="229" t="s">
        <v>4</v>
      </c>
      <c r="E344" s="223"/>
      <c r="F344" s="212">
        <v>6000</v>
      </c>
      <c r="G344" s="201">
        <f t="shared" si="6"/>
        <v>12540189</v>
      </c>
      <c r="H344" s="178" t="s">
        <v>176</v>
      </c>
      <c r="I344" s="178" t="s">
        <v>193</v>
      </c>
      <c r="J344" s="184" t="s">
        <v>169</v>
      </c>
      <c r="K344" s="178" t="s">
        <v>407</v>
      </c>
      <c r="L344" s="178" t="s">
        <v>315</v>
      </c>
      <c r="M344" s="178"/>
      <c r="N344" s="177"/>
      <c r="O344" s="178"/>
    </row>
    <row r="345" spans="1:15" s="231" customFormat="1">
      <c r="A345" s="242">
        <v>44551</v>
      </c>
      <c r="B345" s="185" t="s">
        <v>360</v>
      </c>
      <c r="C345" s="178" t="s">
        <v>76</v>
      </c>
      <c r="D345" s="178"/>
      <c r="E345" s="226"/>
      <c r="F345" s="254">
        <v>25000</v>
      </c>
      <c r="G345" s="201">
        <f t="shared" si="6"/>
        <v>12515189</v>
      </c>
      <c r="H345" s="206" t="s">
        <v>48</v>
      </c>
      <c r="I345" s="184" t="s">
        <v>194</v>
      </c>
      <c r="J345" s="184"/>
      <c r="K345" s="178"/>
      <c r="L345" s="178" t="s">
        <v>315</v>
      </c>
      <c r="M345" s="178"/>
      <c r="N345" s="177"/>
      <c r="O345" s="178"/>
    </row>
    <row r="346" spans="1:15" s="231" customFormat="1">
      <c r="A346" s="242">
        <v>44551</v>
      </c>
      <c r="B346" s="185" t="s">
        <v>341</v>
      </c>
      <c r="C346" s="185" t="s">
        <v>76</v>
      </c>
      <c r="D346" s="178"/>
      <c r="E346" s="226">
        <v>123000</v>
      </c>
      <c r="F346" s="254"/>
      <c r="G346" s="201">
        <f t="shared" si="6"/>
        <v>12638189</v>
      </c>
      <c r="H346" s="207" t="s">
        <v>48</v>
      </c>
      <c r="I346" s="184" t="s">
        <v>194</v>
      </c>
      <c r="J346" s="184"/>
      <c r="K346" s="184"/>
      <c r="L346" s="178" t="s">
        <v>315</v>
      </c>
      <c r="M346" s="178"/>
      <c r="N346" s="177"/>
      <c r="O346" s="178"/>
    </row>
    <row r="347" spans="1:15" s="231" customFormat="1">
      <c r="A347" s="242">
        <v>44551</v>
      </c>
      <c r="B347" s="185" t="s">
        <v>482</v>
      </c>
      <c r="C347" s="178" t="s">
        <v>34</v>
      </c>
      <c r="D347" s="178" t="s">
        <v>2</v>
      </c>
      <c r="E347" s="226"/>
      <c r="F347" s="213">
        <v>10000</v>
      </c>
      <c r="G347" s="201">
        <f t="shared" si="6"/>
        <v>12628189</v>
      </c>
      <c r="H347" s="207" t="s">
        <v>48</v>
      </c>
      <c r="I347" s="178" t="s">
        <v>193</v>
      </c>
      <c r="J347" s="184" t="s">
        <v>103</v>
      </c>
      <c r="K347" s="184" t="s">
        <v>408</v>
      </c>
      <c r="L347" s="178" t="s">
        <v>315</v>
      </c>
      <c r="M347" s="178" t="s">
        <v>599</v>
      </c>
      <c r="N347" s="177" t="s">
        <v>429</v>
      </c>
      <c r="O347" s="178"/>
    </row>
    <row r="348" spans="1:15" s="231" customFormat="1">
      <c r="A348" s="241">
        <v>44551</v>
      </c>
      <c r="B348" s="178" t="s">
        <v>396</v>
      </c>
      <c r="C348" s="178" t="s">
        <v>76</v>
      </c>
      <c r="D348" s="229"/>
      <c r="E348" s="178">
        <v>90000</v>
      </c>
      <c r="F348" s="199"/>
      <c r="G348" s="201">
        <f t="shared" si="6"/>
        <v>12718189</v>
      </c>
      <c r="H348" s="178" t="s">
        <v>29</v>
      </c>
      <c r="I348" s="184" t="s">
        <v>194</v>
      </c>
      <c r="J348" s="178"/>
      <c r="K348" s="178"/>
      <c r="L348" s="178" t="s">
        <v>315</v>
      </c>
      <c r="M348" s="178"/>
      <c r="N348" s="234"/>
    </row>
    <row r="349" spans="1:15" s="231" customFormat="1">
      <c r="A349" s="241">
        <v>44551</v>
      </c>
      <c r="B349" s="178" t="s">
        <v>435</v>
      </c>
      <c r="C349" s="178" t="s">
        <v>76</v>
      </c>
      <c r="D349" s="178"/>
      <c r="E349" s="196">
        <v>94000</v>
      </c>
      <c r="F349" s="248"/>
      <c r="G349" s="201">
        <f t="shared" si="6"/>
        <v>12812189</v>
      </c>
      <c r="H349" s="178" t="s">
        <v>154</v>
      </c>
      <c r="I349" s="184" t="s">
        <v>194</v>
      </c>
      <c r="J349" s="184"/>
      <c r="K349" s="178"/>
      <c r="L349" s="178" t="s">
        <v>315</v>
      </c>
      <c r="M349" s="178"/>
      <c r="N349" s="177"/>
      <c r="O349" s="178"/>
    </row>
    <row r="350" spans="1:15" s="231" customFormat="1">
      <c r="A350" s="241">
        <v>44551</v>
      </c>
      <c r="B350" s="178" t="s">
        <v>436</v>
      </c>
      <c r="C350" s="178" t="s">
        <v>76</v>
      </c>
      <c r="D350" s="178"/>
      <c r="E350" s="196">
        <v>683000</v>
      </c>
      <c r="F350" s="248"/>
      <c r="G350" s="201">
        <f t="shared" si="6"/>
        <v>13495189</v>
      </c>
      <c r="H350" s="178" t="s">
        <v>154</v>
      </c>
      <c r="I350" s="184" t="s">
        <v>194</v>
      </c>
      <c r="J350" s="184"/>
      <c r="K350" s="178"/>
      <c r="L350" s="178" t="s">
        <v>315</v>
      </c>
      <c r="M350" s="178"/>
      <c r="N350" s="177"/>
      <c r="O350" s="178"/>
    </row>
    <row r="351" spans="1:15">
      <c r="A351" s="241">
        <v>44552</v>
      </c>
      <c r="B351" s="178" t="s">
        <v>463</v>
      </c>
      <c r="C351" s="178" t="s">
        <v>159</v>
      </c>
      <c r="D351" s="178" t="s">
        <v>166</v>
      </c>
      <c r="E351" s="223"/>
      <c r="F351" s="212">
        <v>20000</v>
      </c>
      <c r="G351" s="201">
        <f t="shared" si="6"/>
        <v>13475189</v>
      </c>
      <c r="H351" s="178" t="s">
        <v>155</v>
      </c>
      <c r="I351" s="184" t="s">
        <v>194</v>
      </c>
      <c r="J351" s="178" t="s">
        <v>103</v>
      </c>
      <c r="K351" s="178" t="s">
        <v>408</v>
      </c>
      <c r="L351" s="178" t="s">
        <v>315</v>
      </c>
      <c r="M351" s="178" t="s">
        <v>600</v>
      </c>
      <c r="N351" s="177" t="s">
        <v>432</v>
      </c>
      <c r="O351" s="178"/>
    </row>
    <row r="352" spans="1:15" s="231" customFormat="1">
      <c r="A352" s="241">
        <v>44552</v>
      </c>
      <c r="B352" s="178" t="s">
        <v>310</v>
      </c>
      <c r="C352" s="178" t="s">
        <v>35</v>
      </c>
      <c r="D352" s="178" t="s">
        <v>166</v>
      </c>
      <c r="E352" s="223"/>
      <c r="F352" s="212">
        <v>400</v>
      </c>
      <c r="G352" s="201">
        <f t="shared" si="6"/>
        <v>13474789</v>
      </c>
      <c r="H352" s="178" t="s">
        <v>155</v>
      </c>
      <c r="I352" s="178" t="s">
        <v>193</v>
      </c>
      <c r="J352" s="184" t="s">
        <v>169</v>
      </c>
      <c r="K352" s="178" t="s">
        <v>407</v>
      </c>
      <c r="L352" s="178" t="s">
        <v>315</v>
      </c>
      <c r="M352" s="178"/>
      <c r="N352" s="177"/>
      <c r="O352" s="178"/>
    </row>
    <row r="353" spans="1:15">
      <c r="A353" s="246">
        <v>44552</v>
      </c>
      <c r="B353" s="209" t="s">
        <v>458</v>
      </c>
      <c r="C353" s="178" t="s">
        <v>159</v>
      </c>
      <c r="D353" s="178" t="s">
        <v>2</v>
      </c>
      <c r="E353" s="225"/>
      <c r="F353" s="216">
        <v>90000</v>
      </c>
      <c r="G353" s="201">
        <f t="shared" si="6"/>
        <v>13384789</v>
      </c>
      <c r="H353" s="210" t="s">
        <v>48</v>
      </c>
      <c r="I353" s="178" t="s">
        <v>193</v>
      </c>
      <c r="J353" s="178" t="s">
        <v>103</v>
      </c>
      <c r="K353" s="178" t="s">
        <v>408</v>
      </c>
      <c r="L353" s="178" t="s">
        <v>315</v>
      </c>
      <c r="M353" s="178" t="s">
        <v>601</v>
      </c>
      <c r="N353" s="177" t="s">
        <v>432</v>
      </c>
      <c r="O353" s="178"/>
    </row>
    <row r="354" spans="1:15" s="231" customFormat="1">
      <c r="A354" s="243">
        <v>44552</v>
      </c>
      <c r="B354" s="178" t="s">
        <v>388</v>
      </c>
      <c r="C354" s="178" t="s">
        <v>76</v>
      </c>
      <c r="D354" s="229"/>
      <c r="E354" s="178">
        <v>150000</v>
      </c>
      <c r="F354" s="178"/>
      <c r="G354" s="201">
        <f t="shared" si="6"/>
        <v>13534789</v>
      </c>
      <c r="H354" s="230" t="s">
        <v>49</v>
      </c>
      <c r="I354" s="184" t="s">
        <v>194</v>
      </c>
      <c r="L354" s="178" t="s">
        <v>315</v>
      </c>
    </row>
    <row r="355" spans="1:15" s="231" customFormat="1">
      <c r="A355" s="243">
        <v>44552</v>
      </c>
      <c r="B355" s="178" t="s">
        <v>507</v>
      </c>
      <c r="C355" s="178" t="s">
        <v>159</v>
      </c>
      <c r="D355" s="229" t="s">
        <v>4</v>
      </c>
      <c r="E355" s="178"/>
      <c r="F355" s="178">
        <v>75000</v>
      </c>
      <c r="G355" s="201">
        <f t="shared" si="6"/>
        <v>13459789</v>
      </c>
      <c r="H355" s="230" t="s">
        <v>49</v>
      </c>
      <c r="I355" s="178" t="s">
        <v>193</v>
      </c>
      <c r="J355" s="231" t="s">
        <v>169</v>
      </c>
      <c r="K355" s="231" t="s">
        <v>407</v>
      </c>
      <c r="L355" s="178" t="s">
        <v>315</v>
      </c>
    </row>
    <row r="356" spans="1:15" s="231" customFormat="1">
      <c r="A356" s="241">
        <v>44552</v>
      </c>
      <c r="B356" s="178" t="s">
        <v>626</v>
      </c>
      <c r="C356" s="178" t="s">
        <v>505</v>
      </c>
      <c r="D356" s="229" t="s">
        <v>4</v>
      </c>
      <c r="E356" s="178"/>
      <c r="F356" s="199">
        <v>20000</v>
      </c>
      <c r="G356" s="201">
        <f t="shared" si="6"/>
        <v>13439789</v>
      </c>
      <c r="H356" s="178" t="s">
        <v>29</v>
      </c>
      <c r="I356" s="178" t="s">
        <v>193</v>
      </c>
      <c r="J356" s="178" t="s">
        <v>103</v>
      </c>
      <c r="K356" s="178" t="s">
        <v>408</v>
      </c>
      <c r="L356" s="178" t="s">
        <v>315</v>
      </c>
      <c r="M356" s="178" t="s">
        <v>602</v>
      </c>
      <c r="N356" s="259" t="s">
        <v>418</v>
      </c>
    </row>
    <row r="357" spans="1:15">
      <c r="A357" s="241">
        <v>44552</v>
      </c>
      <c r="B357" s="178" t="s">
        <v>637</v>
      </c>
      <c r="C357" s="178" t="s">
        <v>159</v>
      </c>
      <c r="D357" s="229" t="s">
        <v>4</v>
      </c>
      <c r="E357" s="178"/>
      <c r="F357" s="199">
        <v>45000</v>
      </c>
      <c r="G357" s="201">
        <f t="shared" si="6"/>
        <v>13394789</v>
      </c>
      <c r="H357" s="178" t="s">
        <v>29</v>
      </c>
      <c r="I357" s="178" t="s">
        <v>193</v>
      </c>
      <c r="J357" s="178" t="s">
        <v>103</v>
      </c>
      <c r="K357" s="178" t="s">
        <v>408</v>
      </c>
      <c r="L357" s="178" t="s">
        <v>315</v>
      </c>
      <c r="M357" s="178" t="s">
        <v>603</v>
      </c>
      <c r="N357" s="177" t="s">
        <v>432</v>
      </c>
      <c r="O357" s="178"/>
    </row>
    <row r="358" spans="1:15" s="231" customFormat="1">
      <c r="A358" s="241">
        <v>44552</v>
      </c>
      <c r="B358" s="178" t="s">
        <v>400</v>
      </c>
      <c r="C358" s="178" t="s">
        <v>76</v>
      </c>
      <c r="D358" s="229"/>
      <c r="E358" s="178">
        <v>300000</v>
      </c>
      <c r="F358" s="199"/>
      <c r="G358" s="201">
        <f t="shared" si="6"/>
        <v>13694789</v>
      </c>
      <c r="H358" s="178" t="s">
        <v>29</v>
      </c>
      <c r="I358" s="184" t="s">
        <v>194</v>
      </c>
      <c r="J358" s="178"/>
      <c r="K358" s="178"/>
      <c r="L358" s="178" t="s">
        <v>315</v>
      </c>
      <c r="M358" s="178"/>
      <c r="N358" s="234"/>
    </row>
    <row r="359" spans="1:15" s="231" customFormat="1">
      <c r="A359" s="241">
        <v>44552</v>
      </c>
      <c r="B359" s="178" t="s">
        <v>632</v>
      </c>
      <c r="C359" s="178" t="s">
        <v>159</v>
      </c>
      <c r="D359" s="178" t="s">
        <v>2</v>
      </c>
      <c r="E359" s="196"/>
      <c r="F359" s="248">
        <v>20000</v>
      </c>
      <c r="G359" s="201">
        <f t="shared" si="6"/>
        <v>13674789</v>
      </c>
      <c r="H359" s="178" t="s">
        <v>154</v>
      </c>
      <c r="I359" s="184" t="s">
        <v>194</v>
      </c>
      <c r="J359" s="184" t="s">
        <v>103</v>
      </c>
      <c r="K359" s="178" t="s">
        <v>408</v>
      </c>
      <c r="L359" s="178" t="s">
        <v>315</v>
      </c>
      <c r="M359" s="178" t="s">
        <v>604</v>
      </c>
      <c r="N359" s="177" t="s">
        <v>432</v>
      </c>
      <c r="O359" s="178"/>
    </row>
    <row r="360" spans="1:15" s="231" customFormat="1">
      <c r="A360" s="241">
        <v>44552</v>
      </c>
      <c r="B360" s="178" t="s">
        <v>487</v>
      </c>
      <c r="C360" s="178" t="s">
        <v>34</v>
      </c>
      <c r="D360" s="178" t="s">
        <v>2</v>
      </c>
      <c r="E360" s="196"/>
      <c r="F360" s="248">
        <v>10000</v>
      </c>
      <c r="G360" s="201">
        <f t="shared" si="6"/>
        <v>13664789</v>
      </c>
      <c r="H360" s="178" t="s">
        <v>154</v>
      </c>
      <c r="I360" s="184" t="s">
        <v>193</v>
      </c>
      <c r="J360" s="184" t="s">
        <v>103</v>
      </c>
      <c r="K360" s="178" t="s">
        <v>408</v>
      </c>
      <c r="L360" s="178" t="s">
        <v>315</v>
      </c>
      <c r="M360" s="178" t="s">
        <v>605</v>
      </c>
      <c r="N360" s="177" t="s">
        <v>429</v>
      </c>
      <c r="O360" s="178"/>
    </row>
    <row r="361" spans="1:15" s="231" customFormat="1">
      <c r="A361" s="241">
        <v>44552</v>
      </c>
      <c r="B361" s="178" t="s">
        <v>437</v>
      </c>
      <c r="C361" s="178" t="s">
        <v>76</v>
      </c>
      <c r="D361" s="178"/>
      <c r="E361" s="196"/>
      <c r="F361" s="248">
        <v>300000</v>
      </c>
      <c r="G361" s="201">
        <f t="shared" si="6"/>
        <v>13364789</v>
      </c>
      <c r="H361" s="178" t="s">
        <v>154</v>
      </c>
      <c r="I361" s="184" t="s">
        <v>194</v>
      </c>
      <c r="J361" s="184"/>
      <c r="K361" s="178"/>
      <c r="L361" s="178" t="s">
        <v>315</v>
      </c>
      <c r="M361" s="178"/>
      <c r="N361" s="177"/>
      <c r="O361" s="178"/>
    </row>
    <row r="362" spans="1:15" s="231" customFormat="1">
      <c r="A362" s="241">
        <v>44552</v>
      </c>
      <c r="B362" s="178" t="s">
        <v>438</v>
      </c>
      <c r="C362" s="178" t="s">
        <v>76</v>
      </c>
      <c r="D362" s="178"/>
      <c r="E362" s="196"/>
      <c r="F362" s="248">
        <v>150000</v>
      </c>
      <c r="G362" s="201">
        <f t="shared" si="6"/>
        <v>13214789</v>
      </c>
      <c r="H362" s="178" t="s">
        <v>154</v>
      </c>
      <c r="I362" s="184" t="s">
        <v>194</v>
      </c>
      <c r="J362" s="184"/>
      <c r="K362" s="178"/>
      <c r="L362" s="178" t="s">
        <v>315</v>
      </c>
      <c r="M362" s="178"/>
      <c r="N362" s="177"/>
      <c r="O362" s="178"/>
    </row>
    <row r="363" spans="1:15" s="231" customFormat="1">
      <c r="A363" s="241">
        <v>44553</v>
      </c>
      <c r="B363" s="178" t="s">
        <v>410</v>
      </c>
      <c r="C363" s="178" t="s">
        <v>159</v>
      </c>
      <c r="D363" s="178" t="s">
        <v>195</v>
      </c>
      <c r="E363" s="223"/>
      <c r="F363" s="212">
        <v>8000</v>
      </c>
      <c r="G363" s="201">
        <f t="shared" si="6"/>
        <v>13206789</v>
      </c>
      <c r="H363" s="178" t="s">
        <v>155</v>
      </c>
      <c r="I363" s="184" t="s">
        <v>194</v>
      </c>
      <c r="J363" s="184" t="s">
        <v>169</v>
      </c>
      <c r="K363" s="178" t="s">
        <v>407</v>
      </c>
      <c r="L363" s="178" t="s">
        <v>315</v>
      </c>
      <c r="M363" s="178"/>
      <c r="N363" s="177"/>
      <c r="O363" s="178"/>
    </row>
    <row r="364" spans="1:15" s="231" customFormat="1">
      <c r="A364" s="241">
        <v>44553</v>
      </c>
      <c r="B364" s="178" t="s">
        <v>311</v>
      </c>
      <c r="C364" s="178" t="s">
        <v>146</v>
      </c>
      <c r="D364" s="178" t="s">
        <v>166</v>
      </c>
      <c r="E364" s="223"/>
      <c r="F364" s="212">
        <v>52000</v>
      </c>
      <c r="G364" s="201">
        <f t="shared" si="6"/>
        <v>13154789</v>
      </c>
      <c r="H364" s="178" t="s">
        <v>155</v>
      </c>
      <c r="I364" s="184" t="s">
        <v>194</v>
      </c>
      <c r="J364" s="184" t="s">
        <v>169</v>
      </c>
      <c r="K364" s="178" t="s">
        <v>407</v>
      </c>
      <c r="L364" s="178" t="s">
        <v>315</v>
      </c>
      <c r="M364" s="178"/>
      <c r="N364" s="177"/>
      <c r="O364" s="178"/>
    </row>
    <row r="365" spans="1:15">
      <c r="A365" s="241">
        <v>44553</v>
      </c>
      <c r="B365" s="178" t="s">
        <v>464</v>
      </c>
      <c r="C365" s="178" t="s">
        <v>159</v>
      </c>
      <c r="D365" s="178" t="s">
        <v>166</v>
      </c>
      <c r="E365" s="223"/>
      <c r="F365" s="212">
        <v>30000</v>
      </c>
      <c r="G365" s="201">
        <f t="shared" si="6"/>
        <v>13124789</v>
      </c>
      <c r="H365" s="178" t="s">
        <v>155</v>
      </c>
      <c r="I365" s="178" t="s">
        <v>193</v>
      </c>
      <c r="J365" s="178" t="s">
        <v>103</v>
      </c>
      <c r="K365" s="178" t="s">
        <v>408</v>
      </c>
      <c r="L365" s="178" t="s">
        <v>315</v>
      </c>
      <c r="M365" s="178" t="s">
        <v>606</v>
      </c>
      <c r="N365" s="177" t="s">
        <v>432</v>
      </c>
      <c r="O365" s="178"/>
    </row>
    <row r="366" spans="1:15" s="231" customFormat="1">
      <c r="A366" s="246">
        <v>44553</v>
      </c>
      <c r="B366" s="209" t="s">
        <v>347</v>
      </c>
      <c r="C366" s="209" t="s">
        <v>76</v>
      </c>
      <c r="D366" s="178"/>
      <c r="E366" s="225">
        <v>250000</v>
      </c>
      <c r="F366" s="253"/>
      <c r="G366" s="201">
        <f t="shared" si="6"/>
        <v>13374789</v>
      </c>
      <c r="H366" s="210" t="s">
        <v>48</v>
      </c>
      <c r="I366" s="184" t="s">
        <v>194</v>
      </c>
      <c r="J366" s="184"/>
      <c r="K366" s="184"/>
      <c r="L366" s="178" t="s">
        <v>315</v>
      </c>
      <c r="M366" s="178"/>
      <c r="N366" s="178"/>
      <c r="O366" s="178"/>
    </row>
    <row r="367" spans="1:15" s="231" customFormat="1">
      <c r="A367" s="246">
        <v>44553</v>
      </c>
      <c r="B367" s="178" t="s">
        <v>361</v>
      </c>
      <c r="C367" s="178" t="s">
        <v>167</v>
      </c>
      <c r="D367" s="178" t="s">
        <v>195</v>
      </c>
      <c r="E367" s="225"/>
      <c r="F367" s="216">
        <v>150000</v>
      </c>
      <c r="G367" s="201">
        <f t="shared" si="6"/>
        <v>13224789</v>
      </c>
      <c r="H367" s="210" t="s">
        <v>48</v>
      </c>
      <c r="I367" s="178" t="s">
        <v>193</v>
      </c>
      <c r="J367" s="184" t="s">
        <v>169</v>
      </c>
      <c r="K367" s="178" t="s">
        <v>407</v>
      </c>
      <c r="L367" s="178" t="s">
        <v>315</v>
      </c>
      <c r="M367" s="178"/>
      <c r="N367" s="178"/>
      <c r="O367" s="178"/>
    </row>
    <row r="368" spans="1:15" s="231" customFormat="1">
      <c r="A368" s="242">
        <v>44553</v>
      </c>
      <c r="B368" s="185" t="s">
        <v>362</v>
      </c>
      <c r="C368" s="178" t="s">
        <v>76</v>
      </c>
      <c r="D368" s="178"/>
      <c r="E368" s="226">
        <v>8000</v>
      </c>
      <c r="F368" s="248"/>
      <c r="G368" s="201">
        <f t="shared" si="6"/>
        <v>13232789</v>
      </c>
      <c r="H368" s="210" t="s">
        <v>48</v>
      </c>
      <c r="I368" s="184" t="s">
        <v>194</v>
      </c>
      <c r="J368" s="184"/>
      <c r="K368" s="178"/>
      <c r="L368" s="178" t="s">
        <v>315</v>
      </c>
      <c r="M368" s="178"/>
      <c r="N368" s="178"/>
      <c r="O368" s="178"/>
    </row>
    <row r="369" spans="1:16" s="231" customFormat="1">
      <c r="A369" s="242">
        <v>44553</v>
      </c>
      <c r="B369" s="185" t="s">
        <v>363</v>
      </c>
      <c r="C369" s="178" t="s">
        <v>167</v>
      </c>
      <c r="D369" s="178" t="s">
        <v>195</v>
      </c>
      <c r="E369" s="226"/>
      <c r="F369" s="191">
        <v>10000</v>
      </c>
      <c r="G369" s="201">
        <f t="shared" si="6"/>
        <v>13222789</v>
      </c>
      <c r="H369" s="178" t="s">
        <v>48</v>
      </c>
      <c r="I369" s="178" t="s">
        <v>193</v>
      </c>
      <c r="J369" s="184" t="s">
        <v>169</v>
      </c>
      <c r="K369" s="178" t="s">
        <v>407</v>
      </c>
      <c r="L369" s="178" t="s">
        <v>315</v>
      </c>
      <c r="M369" s="178"/>
      <c r="N369" s="178"/>
      <c r="O369" s="178"/>
    </row>
    <row r="370" spans="1:16" s="231" customFormat="1">
      <c r="A370" s="242">
        <v>44553</v>
      </c>
      <c r="B370" s="178" t="s">
        <v>364</v>
      </c>
      <c r="C370" s="178" t="s">
        <v>159</v>
      </c>
      <c r="D370" s="178" t="s">
        <v>195</v>
      </c>
      <c r="E370" s="196"/>
      <c r="F370" s="191">
        <v>8000</v>
      </c>
      <c r="G370" s="201">
        <f t="shared" si="6"/>
        <v>13214789</v>
      </c>
      <c r="H370" s="178" t="s">
        <v>48</v>
      </c>
      <c r="I370" s="184" t="s">
        <v>194</v>
      </c>
      <c r="J370" s="184" t="s">
        <v>169</v>
      </c>
      <c r="K370" s="178" t="s">
        <v>407</v>
      </c>
      <c r="L370" s="178" t="s">
        <v>315</v>
      </c>
      <c r="M370" s="178"/>
      <c r="N370" s="178"/>
      <c r="O370" s="178"/>
    </row>
    <row r="371" spans="1:16" s="232" customFormat="1">
      <c r="A371" s="242">
        <v>44553</v>
      </c>
      <c r="B371" s="178" t="s">
        <v>515</v>
      </c>
      <c r="C371" s="178" t="s">
        <v>192</v>
      </c>
      <c r="D371" s="178" t="s">
        <v>191</v>
      </c>
      <c r="E371" s="196"/>
      <c r="F371" s="191">
        <v>5000</v>
      </c>
      <c r="G371" s="201">
        <f t="shared" si="6"/>
        <v>13209789</v>
      </c>
      <c r="H371" s="178" t="s">
        <v>48</v>
      </c>
      <c r="I371" s="178" t="s">
        <v>193</v>
      </c>
      <c r="J371" s="184" t="s">
        <v>169</v>
      </c>
      <c r="K371" s="178" t="s">
        <v>407</v>
      </c>
      <c r="L371" s="178" t="s">
        <v>315</v>
      </c>
      <c r="M371" s="178"/>
      <c r="N371" s="178"/>
      <c r="O371" s="178"/>
    </row>
    <row r="372" spans="1:16" s="232" customFormat="1">
      <c r="A372" s="242">
        <v>44553</v>
      </c>
      <c r="B372" s="178" t="s">
        <v>369</v>
      </c>
      <c r="C372" s="178" t="s">
        <v>192</v>
      </c>
      <c r="D372" s="178" t="s">
        <v>191</v>
      </c>
      <c r="E372" s="196"/>
      <c r="F372" s="191">
        <v>6275</v>
      </c>
      <c r="G372" s="201">
        <f t="shared" si="6"/>
        <v>13203514</v>
      </c>
      <c r="H372" s="178" t="s">
        <v>48</v>
      </c>
      <c r="I372" s="178" t="s">
        <v>193</v>
      </c>
      <c r="J372" s="184" t="s">
        <v>169</v>
      </c>
      <c r="K372" s="178" t="s">
        <v>407</v>
      </c>
      <c r="L372" s="178" t="s">
        <v>315</v>
      </c>
      <c r="M372" s="178"/>
      <c r="N372" s="178"/>
      <c r="O372" s="178"/>
    </row>
    <row r="373" spans="1:16" s="222" customFormat="1">
      <c r="A373" s="243">
        <v>44553</v>
      </c>
      <c r="B373" s="178" t="s">
        <v>468</v>
      </c>
      <c r="C373" s="178" t="s">
        <v>159</v>
      </c>
      <c r="D373" s="229" t="s">
        <v>4</v>
      </c>
      <c r="E373" s="178"/>
      <c r="F373" s="178">
        <v>45000</v>
      </c>
      <c r="G373" s="201">
        <f t="shared" si="6"/>
        <v>13158514</v>
      </c>
      <c r="H373" s="230" t="s">
        <v>49</v>
      </c>
      <c r="I373" s="178" t="s">
        <v>193</v>
      </c>
      <c r="J373" s="178" t="s">
        <v>103</v>
      </c>
      <c r="K373" s="178" t="s">
        <v>408</v>
      </c>
      <c r="L373" s="178" t="s">
        <v>315</v>
      </c>
      <c r="M373" s="178" t="s">
        <v>607</v>
      </c>
      <c r="N373" s="177" t="s">
        <v>432</v>
      </c>
      <c r="O373" s="178"/>
      <c r="P373" s="178"/>
    </row>
    <row r="374" spans="1:16" s="232" customFormat="1">
      <c r="A374" s="243">
        <v>44553</v>
      </c>
      <c r="B374" s="178" t="s">
        <v>506</v>
      </c>
      <c r="C374" s="178" t="s">
        <v>34</v>
      </c>
      <c r="D374" s="178" t="s">
        <v>195</v>
      </c>
      <c r="E374" s="178"/>
      <c r="F374" s="178">
        <v>70000</v>
      </c>
      <c r="G374" s="201">
        <f t="shared" si="6"/>
        <v>13088514</v>
      </c>
      <c r="H374" s="230" t="s">
        <v>49</v>
      </c>
      <c r="I374" s="178" t="s">
        <v>193</v>
      </c>
      <c r="J374" s="184" t="s">
        <v>169</v>
      </c>
      <c r="K374" s="178" t="s">
        <v>407</v>
      </c>
      <c r="L374" s="178" t="s">
        <v>315</v>
      </c>
      <c r="M374" s="231"/>
      <c r="N374" s="231"/>
      <c r="O374" s="231"/>
    </row>
    <row r="375" spans="1:16" s="232" customFormat="1">
      <c r="A375" s="241">
        <v>44553</v>
      </c>
      <c r="B375" s="178" t="s">
        <v>401</v>
      </c>
      <c r="C375" s="178" t="s">
        <v>76</v>
      </c>
      <c r="D375" s="229"/>
      <c r="E375" s="178"/>
      <c r="F375" s="199">
        <v>250000</v>
      </c>
      <c r="G375" s="201">
        <f t="shared" si="6"/>
        <v>12838514</v>
      </c>
      <c r="H375" s="178" t="s">
        <v>29</v>
      </c>
      <c r="I375" s="184" t="s">
        <v>194</v>
      </c>
      <c r="J375" s="178"/>
      <c r="K375" s="178"/>
      <c r="L375" s="178" t="s">
        <v>315</v>
      </c>
      <c r="M375" s="178"/>
      <c r="N375" s="234"/>
      <c r="O375" s="231"/>
    </row>
    <row r="376" spans="1:16" s="232" customFormat="1">
      <c r="A376" s="241">
        <v>44553</v>
      </c>
      <c r="B376" s="178" t="s">
        <v>400</v>
      </c>
      <c r="C376" s="178" t="s">
        <v>76</v>
      </c>
      <c r="D376" s="229"/>
      <c r="E376" s="178">
        <v>30000</v>
      </c>
      <c r="F376" s="199"/>
      <c r="G376" s="201">
        <f t="shared" si="6"/>
        <v>12868514</v>
      </c>
      <c r="H376" s="178" t="s">
        <v>29</v>
      </c>
      <c r="I376" s="184" t="s">
        <v>194</v>
      </c>
      <c r="J376" s="178"/>
      <c r="K376" s="178"/>
      <c r="L376" s="178" t="s">
        <v>315</v>
      </c>
      <c r="M376" s="178"/>
      <c r="N376" s="234"/>
      <c r="O376" s="231"/>
    </row>
    <row r="377" spans="1:16" s="232" customFormat="1">
      <c r="A377" s="241">
        <v>44553</v>
      </c>
      <c r="B377" s="178" t="s">
        <v>402</v>
      </c>
      <c r="C377" s="178" t="s">
        <v>177</v>
      </c>
      <c r="D377" s="229" t="s">
        <v>4</v>
      </c>
      <c r="E377" s="178"/>
      <c r="F377" s="199">
        <v>146500</v>
      </c>
      <c r="G377" s="201">
        <f t="shared" si="6"/>
        <v>12722014</v>
      </c>
      <c r="H377" s="178" t="s">
        <v>29</v>
      </c>
      <c r="I377" s="178" t="s">
        <v>193</v>
      </c>
      <c r="J377" s="184" t="s">
        <v>169</v>
      </c>
      <c r="K377" s="178" t="s">
        <v>407</v>
      </c>
      <c r="L377" s="178" t="s">
        <v>315</v>
      </c>
      <c r="M377" s="178"/>
      <c r="N377" s="234"/>
      <c r="O377" s="231"/>
    </row>
    <row r="378" spans="1:16" s="232" customFormat="1">
      <c r="A378" s="241">
        <v>44553</v>
      </c>
      <c r="B378" s="178" t="s">
        <v>439</v>
      </c>
      <c r="C378" s="178" t="s">
        <v>34</v>
      </c>
      <c r="D378" s="178" t="s">
        <v>195</v>
      </c>
      <c r="E378" s="196"/>
      <c r="F378" s="248">
        <v>25000</v>
      </c>
      <c r="G378" s="201">
        <f t="shared" si="6"/>
        <v>12697014</v>
      </c>
      <c r="H378" s="178" t="s">
        <v>154</v>
      </c>
      <c r="I378" s="184" t="s">
        <v>193</v>
      </c>
      <c r="J378" s="184" t="s">
        <v>169</v>
      </c>
      <c r="K378" s="178" t="s">
        <v>407</v>
      </c>
      <c r="L378" s="178" t="s">
        <v>315</v>
      </c>
      <c r="M378" s="178"/>
      <c r="N378" s="177"/>
      <c r="O378" s="178"/>
    </row>
    <row r="379" spans="1:16" s="232" customFormat="1">
      <c r="A379" s="241">
        <v>44553</v>
      </c>
      <c r="B379" s="178" t="s">
        <v>440</v>
      </c>
      <c r="C379" s="178" t="s">
        <v>159</v>
      </c>
      <c r="D379" s="178" t="s">
        <v>195</v>
      </c>
      <c r="E379" s="196"/>
      <c r="F379" s="248">
        <v>11700</v>
      </c>
      <c r="G379" s="201">
        <f t="shared" si="6"/>
        <v>12685314</v>
      </c>
      <c r="H379" s="178" t="s">
        <v>154</v>
      </c>
      <c r="I379" s="184" t="s">
        <v>193</v>
      </c>
      <c r="J379" s="184" t="s">
        <v>169</v>
      </c>
      <c r="K379" s="178" t="s">
        <v>407</v>
      </c>
      <c r="L379" s="178" t="s">
        <v>315</v>
      </c>
      <c r="M379" s="178"/>
      <c r="N379" s="177"/>
      <c r="O379" s="178"/>
    </row>
    <row r="380" spans="1:16" s="232" customFormat="1">
      <c r="A380" s="241">
        <v>44553</v>
      </c>
      <c r="B380" s="178" t="s">
        <v>441</v>
      </c>
      <c r="C380" s="178" t="s">
        <v>76</v>
      </c>
      <c r="D380" s="178"/>
      <c r="E380" s="196"/>
      <c r="F380" s="248">
        <v>30000</v>
      </c>
      <c r="G380" s="201">
        <f t="shared" si="6"/>
        <v>12655314</v>
      </c>
      <c r="H380" s="178" t="s">
        <v>154</v>
      </c>
      <c r="I380" s="184" t="s">
        <v>194</v>
      </c>
      <c r="J380" s="184"/>
      <c r="K380" s="178"/>
      <c r="L380" s="178" t="s">
        <v>315</v>
      </c>
      <c r="M380" s="178"/>
      <c r="N380" s="177"/>
      <c r="O380" s="178"/>
    </row>
    <row r="381" spans="1:16" s="232" customFormat="1">
      <c r="A381" s="241">
        <v>44553</v>
      </c>
      <c r="B381" s="178" t="s">
        <v>442</v>
      </c>
      <c r="C381" s="178" t="s">
        <v>76</v>
      </c>
      <c r="D381" s="178"/>
      <c r="E381" s="196"/>
      <c r="F381" s="248">
        <v>8000</v>
      </c>
      <c r="G381" s="201">
        <f t="shared" si="6"/>
        <v>12647314</v>
      </c>
      <c r="H381" s="178" t="s">
        <v>154</v>
      </c>
      <c r="I381" s="184" t="s">
        <v>194</v>
      </c>
      <c r="J381" s="184"/>
      <c r="K381" s="178"/>
      <c r="L381" s="178" t="s">
        <v>315</v>
      </c>
      <c r="M381" s="178"/>
      <c r="N381" s="177"/>
      <c r="O381" s="178"/>
    </row>
    <row r="382" spans="1:16" s="232" customFormat="1">
      <c r="A382" s="241">
        <v>44553</v>
      </c>
      <c r="B382" s="178" t="s">
        <v>443</v>
      </c>
      <c r="C382" s="178" t="s">
        <v>159</v>
      </c>
      <c r="D382" s="178" t="s">
        <v>2</v>
      </c>
      <c r="E382" s="196"/>
      <c r="F382" s="248">
        <v>30000</v>
      </c>
      <c r="G382" s="201">
        <f t="shared" si="6"/>
        <v>12617314</v>
      </c>
      <c r="H382" s="178" t="s">
        <v>154</v>
      </c>
      <c r="I382" s="184" t="s">
        <v>193</v>
      </c>
      <c r="J382" s="184" t="s">
        <v>103</v>
      </c>
      <c r="K382" s="178" t="s">
        <v>408</v>
      </c>
      <c r="L382" s="178" t="s">
        <v>315</v>
      </c>
      <c r="M382" s="178" t="s">
        <v>608</v>
      </c>
      <c r="N382" s="177" t="s">
        <v>432</v>
      </c>
      <c r="O382" s="178"/>
    </row>
    <row r="383" spans="1:16" s="232" customFormat="1">
      <c r="A383" s="244">
        <v>44554</v>
      </c>
      <c r="B383" s="185" t="s">
        <v>486</v>
      </c>
      <c r="C383" s="185" t="s">
        <v>34</v>
      </c>
      <c r="D383" s="178" t="s">
        <v>166</v>
      </c>
      <c r="E383" s="228"/>
      <c r="F383" s="213">
        <v>10000</v>
      </c>
      <c r="G383" s="201">
        <f t="shared" si="6"/>
        <v>12607314</v>
      </c>
      <c r="H383" s="185" t="s">
        <v>155</v>
      </c>
      <c r="I383" s="178" t="s">
        <v>193</v>
      </c>
      <c r="J383" s="184" t="s">
        <v>103</v>
      </c>
      <c r="K383" s="178" t="s">
        <v>408</v>
      </c>
      <c r="L383" s="178" t="s">
        <v>315</v>
      </c>
      <c r="M383" s="178" t="s">
        <v>609</v>
      </c>
      <c r="N383" s="177" t="s">
        <v>429</v>
      </c>
      <c r="O383" s="178"/>
    </row>
    <row r="384" spans="1:16" s="232" customFormat="1">
      <c r="A384" s="242">
        <v>44554</v>
      </c>
      <c r="B384" s="178" t="s">
        <v>365</v>
      </c>
      <c r="C384" s="178" t="s">
        <v>35</v>
      </c>
      <c r="D384" s="178" t="s">
        <v>166</v>
      </c>
      <c r="E384" s="196"/>
      <c r="F384" s="191">
        <v>1800</v>
      </c>
      <c r="G384" s="201">
        <f t="shared" si="6"/>
        <v>12605514</v>
      </c>
      <c r="H384" s="178" t="s">
        <v>48</v>
      </c>
      <c r="I384" s="178" t="s">
        <v>193</v>
      </c>
      <c r="J384" s="184" t="s">
        <v>169</v>
      </c>
      <c r="K384" s="178" t="s">
        <v>407</v>
      </c>
      <c r="L384" s="178" t="s">
        <v>315</v>
      </c>
      <c r="M384" s="178"/>
      <c r="N384" s="178"/>
      <c r="O384" s="178"/>
    </row>
    <row r="385" spans="1:15" s="232" customFormat="1">
      <c r="A385" s="242">
        <v>44554</v>
      </c>
      <c r="B385" s="178" t="s">
        <v>514</v>
      </c>
      <c r="C385" s="178" t="s">
        <v>35</v>
      </c>
      <c r="D385" s="178" t="s">
        <v>166</v>
      </c>
      <c r="E385" s="196"/>
      <c r="F385" s="191">
        <v>7250</v>
      </c>
      <c r="G385" s="201">
        <f t="shared" si="6"/>
        <v>12598264</v>
      </c>
      <c r="H385" s="178" t="s">
        <v>48</v>
      </c>
      <c r="I385" s="178" t="s">
        <v>193</v>
      </c>
      <c r="J385" s="184" t="s">
        <v>169</v>
      </c>
      <c r="K385" s="178" t="s">
        <v>407</v>
      </c>
      <c r="L385" s="178" t="s">
        <v>315</v>
      </c>
      <c r="M385" s="178"/>
      <c r="N385" s="178"/>
      <c r="O385" s="178"/>
    </row>
    <row r="386" spans="1:15">
      <c r="A386" s="241">
        <v>44554</v>
      </c>
      <c r="B386" s="178" t="s">
        <v>633</v>
      </c>
      <c r="C386" s="178" t="s">
        <v>34</v>
      </c>
      <c r="D386" s="178" t="s">
        <v>2</v>
      </c>
      <c r="F386" s="248">
        <v>10000</v>
      </c>
      <c r="G386" s="201">
        <f t="shared" si="6"/>
        <v>12588264</v>
      </c>
      <c r="H386" s="178" t="s">
        <v>154</v>
      </c>
      <c r="I386" s="184" t="s">
        <v>193</v>
      </c>
      <c r="J386" s="184" t="s">
        <v>103</v>
      </c>
      <c r="K386" s="178" t="s">
        <v>408</v>
      </c>
      <c r="L386" s="178" t="s">
        <v>315</v>
      </c>
      <c r="M386" s="178" t="s">
        <v>610</v>
      </c>
      <c r="N386" s="177" t="s">
        <v>429</v>
      </c>
      <c r="O386" s="178"/>
    </row>
    <row r="387" spans="1:15">
      <c r="A387" s="241">
        <v>44557</v>
      </c>
      <c r="B387" s="178" t="s">
        <v>260</v>
      </c>
      <c r="C387" s="178" t="s">
        <v>76</v>
      </c>
      <c r="E387" s="225">
        <v>170000</v>
      </c>
      <c r="F387" s="230"/>
      <c r="G387" s="201">
        <f t="shared" si="6"/>
        <v>12758264</v>
      </c>
      <c r="H387" s="178" t="s">
        <v>25</v>
      </c>
      <c r="I387" s="184" t="s">
        <v>194</v>
      </c>
      <c r="L387" s="178" t="s">
        <v>315</v>
      </c>
      <c r="O387" s="178"/>
    </row>
    <row r="388" spans="1:15">
      <c r="A388" s="241">
        <v>44557</v>
      </c>
      <c r="B388" s="178" t="s">
        <v>251</v>
      </c>
      <c r="C388" s="178" t="s">
        <v>76</v>
      </c>
      <c r="E388" s="225">
        <v>2000000</v>
      </c>
      <c r="F388" s="230"/>
      <c r="G388" s="201">
        <f t="shared" si="6"/>
        <v>14758264</v>
      </c>
      <c r="H388" s="178" t="s">
        <v>25</v>
      </c>
      <c r="I388" s="184" t="s">
        <v>194</v>
      </c>
      <c r="L388" s="178" t="s">
        <v>315</v>
      </c>
      <c r="O388" s="178"/>
    </row>
    <row r="389" spans="1:15">
      <c r="A389" s="241">
        <v>44557</v>
      </c>
      <c r="B389" s="178" t="s">
        <v>261</v>
      </c>
      <c r="C389" s="178" t="s">
        <v>167</v>
      </c>
      <c r="D389" s="232" t="s">
        <v>168</v>
      </c>
      <c r="E389" s="225"/>
      <c r="F389" s="214">
        <v>29000</v>
      </c>
      <c r="G389" s="201">
        <f t="shared" si="6"/>
        <v>14729264</v>
      </c>
      <c r="H389" s="178" t="s">
        <v>25</v>
      </c>
      <c r="I389" s="184" t="s">
        <v>194</v>
      </c>
      <c r="J389" s="184" t="s">
        <v>169</v>
      </c>
      <c r="K389" s="178" t="s">
        <v>407</v>
      </c>
      <c r="L389" s="178" t="s">
        <v>315</v>
      </c>
      <c r="O389" s="178"/>
    </row>
    <row r="390" spans="1:15">
      <c r="A390" s="241">
        <v>44557</v>
      </c>
      <c r="B390" s="178" t="s">
        <v>31</v>
      </c>
      <c r="C390" s="178" t="s">
        <v>76</v>
      </c>
      <c r="D390" s="232"/>
      <c r="E390" s="225"/>
      <c r="F390" s="214">
        <v>50000</v>
      </c>
      <c r="G390" s="201">
        <f t="shared" si="6"/>
        <v>14679264</v>
      </c>
      <c r="H390" s="178" t="s">
        <v>25</v>
      </c>
      <c r="I390" s="184" t="s">
        <v>194</v>
      </c>
      <c r="L390" s="178" t="s">
        <v>315</v>
      </c>
      <c r="O390" s="178"/>
    </row>
    <row r="391" spans="1:15">
      <c r="A391" s="241">
        <v>44557</v>
      </c>
      <c r="B391" s="178" t="s">
        <v>262</v>
      </c>
      <c r="C391" s="178" t="s">
        <v>167</v>
      </c>
      <c r="D391" s="232" t="s">
        <v>168</v>
      </c>
      <c r="E391" s="225"/>
      <c r="F391" s="214">
        <v>150000</v>
      </c>
      <c r="G391" s="201">
        <f t="shared" si="6"/>
        <v>14529264</v>
      </c>
      <c r="H391" s="178" t="s">
        <v>25</v>
      </c>
      <c r="I391" s="184" t="s">
        <v>194</v>
      </c>
      <c r="J391" s="184" t="s">
        <v>169</v>
      </c>
      <c r="K391" s="178" t="s">
        <v>407</v>
      </c>
      <c r="L391" s="178" t="s">
        <v>315</v>
      </c>
      <c r="O391" s="178"/>
    </row>
    <row r="392" spans="1:15">
      <c r="A392" s="241">
        <v>44557</v>
      </c>
      <c r="B392" s="178" t="s">
        <v>31</v>
      </c>
      <c r="C392" s="178" t="s">
        <v>76</v>
      </c>
      <c r="E392" s="225"/>
      <c r="F392" s="230">
        <v>20000</v>
      </c>
      <c r="G392" s="201">
        <f t="shared" si="6"/>
        <v>14509264</v>
      </c>
      <c r="H392" s="178" t="s">
        <v>25</v>
      </c>
      <c r="I392" s="184" t="s">
        <v>194</v>
      </c>
      <c r="L392" s="178" t="s">
        <v>315</v>
      </c>
      <c r="O392" s="178"/>
    </row>
    <row r="393" spans="1:15">
      <c r="A393" s="241">
        <v>44557</v>
      </c>
      <c r="B393" s="178" t="s">
        <v>263</v>
      </c>
      <c r="C393" s="178" t="s">
        <v>35</v>
      </c>
      <c r="D393" s="185" t="s">
        <v>190</v>
      </c>
      <c r="E393" s="225"/>
      <c r="F393" s="214">
        <v>16950</v>
      </c>
      <c r="G393" s="201">
        <f t="shared" si="6"/>
        <v>14492314</v>
      </c>
      <c r="H393" s="178" t="s">
        <v>25</v>
      </c>
      <c r="I393" s="178" t="s">
        <v>193</v>
      </c>
      <c r="J393" s="184" t="s">
        <v>103</v>
      </c>
      <c r="K393" s="178" t="s">
        <v>408</v>
      </c>
      <c r="L393" s="178" t="s">
        <v>315</v>
      </c>
      <c r="M393" s="178" t="s">
        <v>611</v>
      </c>
      <c r="N393" s="177" t="s">
        <v>417</v>
      </c>
      <c r="O393" s="178"/>
    </row>
    <row r="394" spans="1:15">
      <c r="A394" s="241">
        <v>44557</v>
      </c>
      <c r="B394" s="178" t="s">
        <v>264</v>
      </c>
      <c r="C394" s="178" t="s">
        <v>35</v>
      </c>
      <c r="D394" s="185" t="s">
        <v>190</v>
      </c>
      <c r="E394" s="225"/>
      <c r="F394" s="215">
        <v>18000</v>
      </c>
      <c r="G394" s="201">
        <f t="shared" si="6"/>
        <v>14474314</v>
      </c>
      <c r="H394" s="178" t="s">
        <v>25</v>
      </c>
      <c r="I394" s="178" t="s">
        <v>193</v>
      </c>
      <c r="J394" s="184" t="s">
        <v>103</v>
      </c>
      <c r="K394" s="178" t="s">
        <v>408</v>
      </c>
      <c r="L394" s="178" t="s">
        <v>315</v>
      </c>
      <c r="M394" s="178" t="s">
        <v>612</v>
      </c>
      <c r="N394" s="177" t="s">
        <v>417</v>
      </c>
      <c r="O394" s="178"/>
    </row>
    <row r="395" spans="1:15">
      <c r="A395" s="241">
        <v>44557</v>
      </c>
      <c r="B395" s="178" t="s">
        <v>176</v>
      </c>
      <c r="C395" s="178" t="s">
        <v>76</v>
      </c>
      <c r="E395" s="225"/>
      <c r="F395" s="230">
        <v>30000</v>
      </c>
      <c r="G395" s="201">
        <f t="shared" si="6"/>
        <v>14444314</v>
      </c>
      <c r="H395" s="178" t="s">
        <v>25</v>
      </c>
      <c r="I395" s="184" t="s">
        <v>194</v>
      </c>
      <c r="L395" s="178" t="s">
        <v>315</v>
      </c>
      <c r="O395" s="178"/>
    </row>
    <row r="396" spans="1:15">
      <c r="A396" s="241">
        <v>44557</v>
      </c>
      <c r="B396" s="178" t="s">
        <v>265</v>
      </c>
      <c r="C396" s="178" t="s">
        <v>3</v>
      </c>
      <c r="D396" s="185" t="s">
        <v>190</v>
      </c>
      <c r="E396" s="225"/>
      <c r="F396" s="214">
        <v>75625</v>
      </c>
      <c r="G396" s="201">
        <f t="shared" si="6"/>
        <v>14368689</v>
      </c>
      <c r="H396" s="178" t="s">
        <v>25</v>
      </c>
      <c r="I396" s="178" t="s">
        <v>193</v>
      </c>
      <c r="J396" s="184" t="s">
        <v>169</v>
      </c>
      <c r="K396" s="178" t="s">
        <v>407</v>
      </c>
      <c r="L396" s="178" t="s">
        <v>315</v>
      </c>
      <c r="O396" s="178"/>
    </row>
    <row r="397" spans="1:15">
      <c r="A397" s="241">
        <v>44557</v>
      </c>
      <c r="B397" s="178" t="s">
        <v>296</v>
      </c>
      <c r="C397" s="178" t="s">
        <v>76</v>
      </c>
      <c r="D397" s="214"/>
      <c r="E397" s="225"/>
      <c r="F397" s="230">
        <v>2000000</v>
      </c>
      <c r="G397" s="201">
        <f t="shared" si="6"/>
        <v>12368689</v>
      </c>
      <c r="H397" s="178" t="s">
        <v>160</v>
      </c>
      <c r="I397" s="184">
        <v>3643591</v>
      </c>
      <c r="J397" s="178"/>
      <c r="K397" s="184"/>
      <c r="L397" s="178" t="s">
        <v>315</v>
      </c>
      <c r="O397" s="178"/>
    </row>
    <row r="398" spans="1:15">
      <c r="A398" s="241">
        <v>44557</v>
      </c>
      <c r="B398" s="178" t="s">
        <v>297</v>
      </c>
      <c r="C398" s="178" t="s">
        <v>332</v>
      </c>
      <c r="E398" s="223">
        <v>30000</v>
      </c>
      <c r="F398" s="250"/>
      <c r="G398" s="201">
        <f t="shared" si="6"/>
        <v>12398689</v>
      </c>
      <c r="H398" s="178" t="s">
        <v>176</v>
      </c>
      <c r="I398" s="184" t="s">
        <v>194</v>
      </c>
      <c r="L398" s="178" t="s">
        <v>315</v>
      </c>
      <c r="O398" s="178"/>
    </row>
    <row r="399" spans="1:15">
      <c r="A399" s="242">
        <v>44557</v>
      </c>
      <c r="B399" s="178" t="s">
        <v>366</v>
      </c>
      <c r="C399" s="178" t="s">
        <v>146</v>
      </c>
      <c r="D399" s="178" t="s">
        <v>166</v>
      </c>
      <c r="F399" s="191">
        <v>2705</v>
      </c>
      <c r="G399" s="201">
        <f t="shared" ref="G399:G435" si="7">+G398+E399-F399</f>
        <v>12395984</v>
      </c>
      <c r="H399" s="178" t="s">
        <v>48</v>
      </c>
      <c r="I399" s="178" t="s">
        <v>193</v>
      </c>
      <c r="J399" s="184" t="s">
        <v>169</v>
      </c>
      <c r="K399" s="178" t="s">
        <v>407</v>
      </c>
      <c r="L399" s="178" t="s">
        <v>315</v>
      </c>
      <c r="N399" s="178"/>
      <c r="O399" s="178"/>
    </row>
    <row r="400" spans="1:15">
      <c r="A400" s="242">
        <v>44557</v>
      </c>
      <c r="B400" s="178" t="s">
        <v>367</v>
      </c>
      <c r="C400" s="178" t="s">
        <v>146</v>
      </c>
      <c r="D400" s="178" t="s">
        <v>166</v>
      </c>
      <c r="F400" s="191">
        <v>7495</v>
      </c>
      <c r="G400" s="201">
        <f t="shared" si="7"/>
        <v>12388489</v>
      </c>
      <c r="H400" s="178" t="s">
        <v>48</v>
      </c>
      <c r="I400" s="178" t="s">
        <v>193</v>
      </c>
      <c r="J400" s="184" t="s">
        <v>169</v>
      </c>
      <c r="K400" s="178" t="s">
        <v>407</v>
      </c>
      <c r="L400" s="178" t="s">
        <v>315</v>
      </c>
      <c r="N400" s="178"/>
      <c r="O400" s="178"/>
    </row>
    <row r="401" spans="1:15">
      <c r="A401" s="245">
        <v>44557</v>
      </c>
      <c r="B401" s="232" t="s">
        <v>357</v>
      </c>
      <c r="C401" s="232" t="s">
        <v>76</v>
      </c>
      <c r="D401" s="232"/>
      <c r="E401" s="233">
        <v>20000</v>
      </c>
      <c r="F401" s="252"/>
      <c r="G401" s="201">
        <f t="shared" si="7"/>
        <v>12408489</v>
      </c>
      <c r="H401" s="232" t="s">
        <v>31</v>
      </c>
      <c r="I401" s="184" t="s">
        <v>194</v>
      </c>
      <c r="J401" s="232"/>
      <c r="K401" s="232"/>
      <c r="L401" s="178" t="s">
        <v>315</v>
      </c>
      <c r="M401" s="232"/>
      <c r="N401" s="232"/>
      <c r="O401" s="232"/>
    </row>
    <row r="402" spans="1:15">
      <c r="A402" s="241">
        <v>44557</v>
      </c>
      <c r="B402" s="178" t="s">
        <v>444</v>
      </c>
      <c r="C402" s="178" t="s">
        <v>76</v>
      </c>
      <c r="F402" s="248">
        <v>170000</v>
      </c>
      <c r="G402" s="201">
        <f t="shared" si="7"/>
        <v>12238489</v>
      </c>
      <c r="H402" s="178" t="s">
        <v>154</v>
      </c>
      <c r="I402" s="184" t="s">
        <v>194</v>
      </c>
      <c r="L402" s="178" t="s">
        <v>315</v>
      </c>
      <c r="O402" s="178"/>
    </row>
    <row r="403" spans="1:15">
      <c r="A403" s="241">
        <v>44558</v>
      </c>
      <c r="B403" s="178" t="s">
        <v>266</v>
      </c>
      <c r="C403" s="178" t="s">
        <v>140</v>
      </c>
      <c r="D403" s="185" t="s">
        <v>190</v>
      </c>
      <c r="E403" s="225"/>
      <c r="F403" s="214">
        <v>89175</v>
      </c>
      <c r="G403" s="201">
        <f t="shared" si="7"/>
        <v>12149314</v>
      </c>
      <c r="H403" s="178" t="s">
        <v>25</v>
      </c>
      <c r="I403" s="178" t="s">
        <v>193</v>
      </c>
      <c r="J403" s="184" t="s">
        <v>103</v>
      </c>
      <c r="K403" s="178" t="s">
        <v>408</v>
      </c>
      <c r="L403" s="178" t="s">
        <v>315</v>
      </c>
      <c r="M403" s="178" t="s">
        <v>613</v>
      </c>
      <c r="N403" s="177" t="s">
        <v>411</v>
      </c>
      <c r="O403" s="178"/>
    </row>
    <row r="404" spans="1:15">
      <c r="A404" s="241">
        <v>44558</v>
      </c>
      <c r="B404" s="178" t="s">
        <v>196</v>
      </c>
      <c r="C404" s="178" t="s">
        <v>76</v>
      </c>
      <c r="E404" s="225"/>
      <c r="F404" s="230">
        <v>122000</v>
      </c>
      <c r="G404" s="201">
        <f t="shared" si="7"/>
        <v>12027314</v>
      </c>
      <c r="H404" s="178" t="s">
        <v>25</v>
      </c>
      <c r="I404" s="184" t="s">
        <v>194</v>
      </c>
      <c r="L404" s="178" t="s">
        <v>315</v>
      </c>
      <c r="O404" s="178"/>
    </row>
    <row r="405" spans="1:15">
      <c r="A405" s="241">
        <v>44558</v>
      </c>
      <c r="B405" s="178" t="s">
        <v>231</v>
      </c>
      <c r="C405" s="178" t="s">
        <v>285</v>
      </c>
      <c r="D405" s="185" t="s">
        <v>190</v>
      </c>
      <c r="E405" s="223"/>
      <c r="F405" s="212">
        <v>3660</v>
      </c>
      <c r="G405" s="201">
        <f t="shared" si="7"/>
        <v>12023654</v>
      </c>
      <c r="H405" s="178" t="s">
        <v>25</v>
      </c>
      <c r="I405" s="178" t="s">
        <v>193</v>
      </c>
      <c r="J405" s="178" t="s">
        <v>103</v>
      </c>
      <c r="K405" s="178" t="s">
        <v>408</v>
      </c>
      <c r="L405" s="178" t="s">
        <v>315</v>
      </c>
      <c r="M405" s="178" t="s">
        <v>614</v>
      </c>
      <c r="N405" s="177" t="s">
        <v>428</v>
      </c>
      <c r="O405" s="178"/>
    </row>
    <row r="406" spans="1:15">
      <c r="A406" s="241">
        <v>44558</v>
      </c>
      <c r="B406" s="178" t="s">
        <v>267</v>
      </c>
      <c r="C406" s="178" t="s">
        <v>76</v>
      </c>
      <c r="E406" s="223">
        <v>30000</v>
      </c>
      <c r="F406" s="250"/>
      <c r="G406" s="201">
        <f t="shared" si="7"/>
        <v>12053654</v>
      </c>
      <c r="H406" s="178" t="s">
        <v>25</v>
      </c>
      <c r="I406" s="184" t="s">
        <v>194</v>
      </c>
      <c r="L406" s="178" t="s">
        <v>315</v>
      </c>
      <c r="O406" s="178"/>
    </row>
    <row r="407" spans="1:15">
      <c r="A407" s="241">
        <v>44558</v>
      </c>
      <c r="B407" s="178" t="s">
        <v>424</v>
      </c>
      <c r="C407" s="185" t="s">
        <v>192</v>
      </c>
      <c r="D407" s="178" t="s">
        <v>639</v>
      </c>
      <c r="E407" s="225"/>
      <c r="F407" s="214">
        <v>278175</v>
      </c>
      <c r="G407" s="201">
        <f t="shared" si="7"/>
        <v>11775479</v>
      </c>
      <c r="H407" s="178" t="s">
        <v>25</v>
      </c>
      <c r="I407" s="178" t="s">
        <v>193</v>
      </c>
      <c r="J407" s="184" t="s">
        <v>169</v>
      </c>
      <c r="K407" s="178" t="s">
        <v>407</v>
      </c>
      <c r="L407" s="178" t="s">
        <v>315</v>
      </c>
      <c r="O407" s="178"/>
    </row>
    <row r="408" spans="1:15">
      <c r="A408" s="241">
        <v>44558</v>
      </c>
      <c r="B408" s="178" t="s">
        <v>445</v>
      </c>
      <c r="C408" s="178" t="s">
        <v>34</v>
      </c>
      <c r="D408" s="178" t="s">
        <v>2</v>
      </c>
      <c r="F408" s="248">
        <v>83500</v>
      </c>
      <c r="G408" s="201">
        <f t="shared" si="7"/>
        <v>11691979</v>
      </c>
      <c r="H408" s="178" t="s">
        <v>154</v>
      </c>
      <c r="I408" s="184" t="s">
        <v>194</v>
      </c>
      <c r="J408" s="184" t="s">
        <v>103</v>
      </c>
      <c r="K408" s="178" t="s">
        <v>408</v>
      </c>
      <c r="L408" s="178" t="s">
        <v>315</v>
      </c>
      <c r="M408" s="178" t="s">
        <v>615</v>
      </c>
      <c r="N408" s="177" t="s">
        <v>429</v>
      </c>
      <c r="O408" s="178"/>
    </row>
    <row r="409" spans="1:15">
      <c r="A409" s="241">
        <v>44559</v>
      </c>
      <c r="B409" s="178" t="s">
        <v>268</v>
      </c>
      <c r="C409" s="178" t="s">
        <v>35</v>
      </c>
      <c r="D409" s="185" t="s">
        <v>190</v>
      </c>
      <c r="E409" s="225"/>
      <c r="F409" s="214">
        <v>6000</v>
      </c>
      <c r="G409" s="201">
        <f t="shared" si="7"/>
        <v>11685979</v>
      </c>
      <c r="H409" s="178" t="s">
        <v>25</v>
      </c>
      <c r="I409" s="178" t="s">
        <v>193</v>
      </c>
      <c r="J409" s="184" t="s">
        <v>169</v>
      </c>
      <c r="K409" s="178" t="s">
        <v>407</v>
      </c>
      <c r="L409" s="178" t="s">
        <v>315</v>
      </c>
      <c r="O409" s="178"/>
    </row>
    <row r="410" spans="1:15">
      <c r="A410" s="241">
        <v>44559</v>
      </c>
      <c r="B410" s="178" t="s">
        <v>176</v>
      </c>
      <c r="C410" s="178" t="s">
        <v>76</v>
      </c>
      <c r="E410" s="225"/>
      <c r="F410" s="230">
        <v>15000</v>
      </c>
      <c r="G410" s="201">
        <f t="shared" si="7"/>
        <v>11670979</v>
      </c>
      <c r="H410" s="178" t="s">
        <v>25</v>
      </c>
      <c r="I410" s="184" t="s">
        <v>194</v>
      </c>
      <c r="L410" s="178" t="s">
        <v>315</v>
      </c>
      <c r="O410" s="178"/>
    </row>
    <row r="411" spans="1:15">
      <c r="A411" s="241">
        <v>44559</v>
      </c>
      <c r="B411" s="178" t="s">
        <v>269</v>
      </c>
      <c r="C411" s="178" t="s">
        <v>76</v>
      </c>
      <c r="E411" s="225">
        <v>50000</v>
      </c>
      <c r="F411" s="230"/>
      <c r="G411" s="201">
        <f t="shared" si="7"/>
        <v>11720979</v>
      </c>
      <c r="H411" s="178" t="s">
        <v>25</v>
      </c>
      <c r="I411" s="184" t="s">
        <v>194</v>
      </c>
      <c r="L411" s="178" t="s">
        <v>315</v>
      </c>
      <c r="O411" s="178"/>
    </row>
    <row r="412" spans="1:15">
      <c r="A412" s="241">
        <v>44559</v>
      </c>
      <c r="B412" s="178" t="s">
        <v>297</v>
      </c>
      <c r="C412" s="178" t="s">
        <v>332</v>
      </c>
      <c r="E412" s="223">
        <v>15000</v>
      </c>
      <c r="F412" s="250"/>
      <c r="G412" s="201">
        <f t="shared" si="7"/>
        <v>11735979</v>
      </c>
      <c r="H412" s="178" t="s">
        <v>176</v>
      </c>
      <c r="I412" s="184" t="s">
        <v>194</v>
      </c>
      <c r="L412" s="178" t="s">
        <v>315</v>
      </c>
      <c r="O412" s="178"/>
    </row>
    <row r="413" spans="1:15">
      <c r="A413" s="243">
        <v>44559</v>
      </c>
      <c r="B413" s="178" t="s">
        <v>389</v>
      </c>
      <c r="C413" s="178" t="s">
        <v>177</v>
      </c>
      <c r="D413" s="229" t="s">
        <v>4</v>
      </c>
      <c r="E413" s="178"/>
      <c r="F413" s="178">
        <v>57500</v>
      </c>
      <c r="G413" s="201">
        <f t="shared" si="7"/>
        <v>11678479</v>
      </c>
      <c r="H413" s="230" t="s">
        <v>49</v>
      </c>
      <c r="I413" s="184" t="s">
        <v>194</v>
      </c>
      <c r="J413" s="184" t="s">
        <v>169</v>
      </c>
      <c r="K413" s="178" t="s">
        <v>407</v>
      </c>
      <c r="L413" s="178" t="s">
        <v>315</v>
      </c>
      <c r="M413" s="231"/>
      <c r="N413" s="231"/>
      <c r="O413" s="231"/>
    </row>
    <row r="414" spans="1:15">
      <c r="A414" s="242">
        <v>44559</v>
      </c>
      <c r="B414" s="178" t="s">
        <v>341</v>
      </c>
      <c r="C414" s="178" t="s">
        <v>76</v>
      </c>
      <c r="E414" s="196">
        <v>122000</v>
      </c>
      <c r="G414" s="201">
        <f t="shared" si="7"/>
        <v>11800479</v>
      </c>
      <c r="H414" s="178" t="s">
        <v>48</v>
      </c>
      <c r="I414" s="184" t="s">
        <v>194</v>
      </c>
      <c r="L414" s="178" t="s">
        <v>315</v>
      </c>
      <c r="N414" s="178"/>
      <c r="O414" s="178"/>
    </row>
    <row r="415" spans="1:15">
      <c r="A415" s="241">
        <v>44560</v>
      </c>
      <c r="B415" s="178" t="s">
        <v>337</v>
      </c>
      <c r="C415" s="178" t="s">
        <v>177</v>
      </c>
      <c r="D415" s="229" t="s">
        <v>4</v>
      </c>
      <c r="E415" s="223"/>
      <c r="F415" s="212">
        <v>43500</v>
      </c>
      <c r="G415" s="201">
        <f t="shared" si="7"/>
        <v>11756979</v>
      </c>
      <c r="H415" s="178" t="s">
        <v>176</v>
      </c>
      <c r="I415" s="184" t="s">
        <v>194</v>
      </c>
      <c r="J415" s="184" t="s">
        <v>169</v>
      </c>
      <c r="K415" s="178" t="s">
        <v>407</v>
      </c>
      <c r="L415" s="178" t="s">
        <v>315</v>
      </c>
      <c r="O415" s="178"/>
    </row>
    <row r="416" spans="1:15">
      <c r="A416" s="243">
        <v>44559</v>
      </c>
      <c r="B416" s="178" t="s">
        <v>390</v>
      </c>
      <c r="C416" s="178" t="s">
        <v>34</v>
      </c>
      <c r="D416" s="229" t="s">
        <v>4</v>
      </c>
      <c r="E416" s="178"/>
      <c r="F416" s="178">
        <v>112700</v>
      </c>
      <c r="G416" s="201">
        <f t="shared" si="7"/>
        <v>11644279</v>
      </c>
      <c r="H416" s="230" t="s">
        <v>49</v>
      </c>
      <c r="I416" s="184" t="s">
        <v>194</v>
      </c>
      <c r="J416" s="231" t="s">
        <v>103</v>
      </c>
      <c r="K416" s="231" t="s">
        <v>408</v>
      </c>
      <c r="L416" s="178" t="s">
        <v>315</v>
      </c>
      <c r="M416" s="178" t="s">
        <v>616</v>
      </c>
      <c r="N416" s="257" t="s">
        <v>429</v>
      </c>
      <c r="O416" s="231"/>
    </row>
    <row r="417" spans="1:15">
      <c r="A417" s="241">
        <v>44559</v>
      </c>
      <c r="B417" s="178" t="s">
        <v>403</v>
      </c>
      <c r="C417" s="178" t="s">
        <v>34</v>
      </c>
      <c r="D417" s="229" t="s">
        <v>4</v>
      </c>
      <c r="E417" s="178"/>
      <c r="F417" s="199">
        <v>76000</v>
      </c>
      <c r="G417" s="201">
        <f t="shared" si="7"/>
        <v>11568279</v>
      </c>
      <c r="H417" s="178" t="s">
        <v>29</v>
      </c>
      <c r="I417" s="184" t="s">
        <v>194</v>
      </c>
      <c r="J417" s="231" t="s">
        <v>103</v>
      </c>
      <c r="K417" s="231" t="s">
        <v>408</v>
      </c>
      <c r="L417" s="178" t="s">
        <v>315</v>
      </c>
      <c r="M417" s="178" t="s">
        <v>617</v>
      </c>
      <c r="N417" s="257" t="s">
        <v>429</v>
      </c>
      <c r="O417" s="231"/>
    </row>
    <row r="418" spans="1:15">
      <c r="A418" s="242">
        <v>44560</v>
      </c>
      <c r="B418" s="185" t="s">
        <v>270</v>
      </c>
      <c r="C418" s="178" t="s">
        <v>271</v>
      </c>
      <c r="D418" s="185" t="s">
        <v>190</v>
      </c>
      <c r="E418" s="226"/>
      <c r="F418" s="213">
        <v>175000</v>
      </c>
      <c r="G418" s="201">
        <f t="shared" si="7"/>
        <v>11393279</v>
      </c>
      <c r="H418" s="207" t="s">
        <v>25</v>
      </c>
      <c r="I418" s="178" t="s">
        <v>193</v>
      </c>
      <c r="J418" s="218" t="s">
        <v>103</v>
      </c>
      <c r="K418" s="207" t="s">
        <v>408</v>
      </c>
      <c r="L418" s="178" t="s">
        <v>315</v>
      </c>
      <c r="M418" s="178" t="s">
        <v>618</v>
      </c>
      <c r="N418" s="177" t="s">
        <v>412</v>
      </c>
      <c r="O418" s="178"/>
    </row>
    <row r="419" spans="1:15">
      <c r="A419" s="241">
        <v>44560</v>
      </c>
      <c r="B419" s="178" t="s">
        <v>272</v>
      </c>
      <c r="C419" s="178" t="s">
        <v>285</v>
      </c>
      <c r="D419" s="185" t="s">
        <v>190</v>
      </c>
      <c r="E419" s="223"/>
      <c r="F419" s="212">
        <v>11386</v>
      </c>
      <c r="G419" s="201">
        <f t="shared" si="7"/>
        <v>11381893</v>
      </c>
      <c r="H419" s="178" t="s">
        <v>25</v>
      </c>
      <c r="I419" s="178" t="s">
        <v>193</v>
      </c>
      <c r="J419" s="178" t="s">
        <v>103</v>
      </c>
      <c r="K419" s="178" t="s">
        <v>408</v>
      </c>
      <c r="L419" s="178" t="s">
        <v>315</v>
      </c>
      <c r="M419" s="178" t="s">
        <v>619</v>
      </c>
      <c r="N419" s="177" t="s">
        <v>428</v>
      </c>
      <c r="O419" s="178"/>
    </row>
    <row r="420" spans="1:15">
      <c r="A420" s="241">
        <v>44560</v>
      </c>
      <c r="B420" s="178" t="s">
        <v>273</v>
      </c>
      <c r="C420" s="178" t="s">
        <v>167</v>
      </c>
      <c r="D420" s="232" t="s">
        <v>168</v>
      </c>
      <c r="E420" s="223"/>
      <c r="F420" s="212">
        <v>39000</v>
      </c>
      <c r="G420" s="201">
        <f t="shared" si="7"/>
        <v>11342893</v>
      </c>
      <c r="H420" s="178" t="s">
        <v>25</v>
      </c>
      <c r="I420" s="184" t="s">
        <v>194</v>
      </c>
      <c r="J420" s="184" t="s">
        <v>169</v>
      </c>
      <c r="K420" s="178" t="s">
        <v>407</v>
      </c>
      <c r="L420" s="178" t="s">
        <v>315</v>
      </c>
      <c r="O420" s="178"/>
    </row>
    <row r="421" spans="1:15">
      <c r="A421" s="241">
        <v>44560</v>
      </c>
      <c r="B421" s="178" t="s">
        <v>274</v>
      </c>
      <c r="C421" s="178" t="s">
        <v>3</v>
      </c>
      <c r="D421" s="185" t="s">
        <v>190</v>
      </c>
      <c r="E421" s="223"/>
      <c r="F421" s="212">
        <v>17000</v>
      </c>
      <c r="G421" s="201">
        <f t="shared" si="7"/>
        <v>11325893</v>
      </c>
      <c r="H421" s="178" t="s">
        <v>25</v>
      </c>
      <c r="I421" s="178" t="s">
        <v>193</v>
      </c>
      <c r="J421" s="184" t="s">
        <v>169</v>
      </c>
      <c r="K421" s="178" t="s">
        <v>407</v>
      </c>
      <c r="L421" s="178" t="s">
        <v>315</v>
      </c>
      <c r="O421" s="178"/>
    </row>
    <row r="422" spans="1:15">
      <c r="A422" s="241">
        <v>44560</v>
      </c>
      <c r="B422" s="178" t="s">
        <v>176</v>
      </c>
      <c r="C422" s="178" t="s">
        <v>76</v>
      </c>
      <c r="E422" s="223"/>
      <c r="F422" s="250">
        <v>10000</v>
      </c>
      <c r="G422" s="201">
        <f t="shared" si="7"/>
        <v>11315893</v>
      </c>
      <c r="H422" s="178" t="s">
        <v>25</v>
      </c>
      <c r="I422" s="184" t="s">
        <v>194</v>
      </c>
      <c r="L422" s="178" t="s">
        <v>315</v>
      </c>
      <c r="O422" s="178"/>
    </row>
    <row r="423" spans="1:15">
      <c r="A423" s="244">
        <v>44560</v>
      </c>
      <c r="B423" s="185" t="s">
        <v>312</v>
      </c>
      <c r="C423" s="178" t="s">
        <v>34</v>
      </c>
      <c r="D423" s="178" t="s">
        <v>166</v>
      </c>
      <c r="E423" s="228"/>
      <c r="F423" s="213">
        <v>77200</v>
      </c>
      <c r="G423" s="201">
        <f t="shared" si="7"/>
        <v>11238693</v>
      </c>
      <c r="H423" s="185" t="s">
        <v>155</v>
      </c>
      <c r="I423" s="184" t="s">
        <v>194</v>
      </c>
      <c r="J423" s="184" t="s">
        <v>103</v>
      </c>
      <c r="K423" s="178" t="s">
        <v>408</v>
      </c>
      <c r="L423" s="178" t="s">
        <v>315</v>
      </c>
      <c r="M423" s="178" t="s">
        <v>620</v>
      </c>
      <c r="N423" s="177" t="s">
        <v>429</v>
      </c>
      <c r="O423" s="178"/>
    </row>
    <row r="424" spans="1:15">
      <c r="A424" s="241">
        <v>44560</v>
      </c>
      <c r="B424" s="178" t="s">
        <v>338</v>
      </c>
      <c r="C424" s="178" t="s">
        <v>159</v>
      </c>
      <c r="D424" s="229" t="s">
        <v>4</v>
      </c>
      <c r="E424" s="223"/>
      <c r="F424" s="212">
        <v>11000</v>
      </c>
      <c r="G424" s="201">
        <f t="shared" si="7"/>
        <v>11227693</v>
      </c>
      <c r="H424" s="178" t="s">
        <v>176</v>
      </c>
      <c r="I424" s="184" t="s">
        <v>194</v>
      </c>
      <c r="J424" s="184" t="s">
        <v>169</v>
      </c>
      <c r="K424" s="184" t="s">
        <v>407</v>
      </c>
      <c r="L424" s="178" t="s">
        <v>315</v>
      </c>
      <c r="O424" s="178"/>
    </row>
    <row r="425" spans="1:15">
      <c r="A425" s="241">
        <v>44560</v>
      </c>
      <c r="B425" s="178" t="s">
        <v>339</v>
      </c>
      <c r="C425" s="178" t="s">
        <v>34</v>
      </c>
      <c r="D425" s="229" t="s">
        <v>4</v>
      </c>
      <c r="E425" s="223"/>
      <c r="F425" s="212">
        <v>96000</v>
      </c>
      <c r="G425" s="201">
        <f t="shared" si="7"/>
        <v>11131693</v>
      </c>
      <c r="H425" s="178" t="s">
        <v>176</v>
      </c>
      <c r="I425" s="184" t="s">
        <v>194</v>
      </c>
      <c r="J425" s="184" t="s">
        <v>169</v>
      </c>
      <c r="K425" s="178" t="s">
        <v>407</v>
      </c>
      <c r="L425" s="178" t="s">
        <v>315</v>
      </c>
      <c r="O425" s="178"/>
    </row>
    <row r="426" spans="1:15">
      <c r="A426" s="241">
        <v>44560</v>
      </c>
      <c r="B426" s="178" t="s">
        <v>297</v>
      </c>
      <c r="C426" s="178" t="s">
        <v>332</v>
      </c>
      <c r="E426" s="223">
        <v>10000</v>
      </c>
      <c r="F426" s="250"/>
      <c r="G426" s="201">
        <f t="shared" si="7"/>
        <v>11141693</v>
      </c>
      <c r="H426" s="178" t="s">
        <v>176</v>
      </c>
      <c r="I426" s="184" t="s">
        <v>194</v>
      </c>
      <c r="L426" s="178" t="s">
        <v>315</v>
      </c>
      <c r="O426" s="178"/>
    </row>
    <row r="427" spans="1:15">
      <c r="A427" s="242">
        <v>44560</v>
      </c>
      <c r="B427" s="178" t="s">
        <v>368</v>
      </c>
      <c r="C427" s="178" t="s">
        <v>146</v>
      </c>
      <c r="D427" s="178" t="s">
        <v>166</v>
      </c>
      <c r="F427" s="191">
        <v>72000</v>
      </c>
      <c r="G427" s="201">
        <f t="shared" si="7"/>
        <v>11069693</v>
      </c>
      <c r="H427" s="178" t="s">
        <v>48</v>
      </c>
      <c r="I427" s="184" t="s">
        <v>194</v>
      </c>
      <c r="J427" s="184" t="s">
        <v>169</v>
      </c>
      <c r="K427" s="178" t="s">
        <v>407</v>
      </c>
      <c r="L427" s="178" t="s">
        <v>315</v>
      </c>
      <c r="N427" s="178"/>
      <c r="O427" s="178"/>
    </row>
    <row r="428" spans="1:15">
      <c r="A428" s="242">
        <v>44560</v>
      </c>
      <c r="B428" s="178" t="s">
        <v>513</v>
      </c>
      <c r="C428" s="178" t="s">
        <v>34</v>
      </c>
      <c r="D428" s="178" t="s">
        <v>166</v>
      </c>
      <c r="F428" s="191">
        <v>10000</v>
      </c>
      <c r="G428" s="201">
        <f t="shared" si="7"/>
        <v>11059693</v>
      </c>
      <c r="H428" s="178" t="s">
        <v>48</v>
      </c>
      <c r="I428" s="178" t="s">
        <v>193</v>
      </c>
      <c r="J428" s="184" t="s">
        <v>103</v>
      </c>
      <c r="K428" s="178" t="s">
        <v>408</v>
      </c>
      <c r="L428" s="178" t="s">
        <v>315</v>
      </c>
      <c r="M428" s="178" t="s">
        <v>621</v>
      </c>
      <c r="N428" s="177" t="s">
        <v>429</v>
      </c>
      <c r="O428" s="178"/>
    </row>
    <row r="429" spans="1:15">
      <c r="A429" s="245">
        <v>44560</v>
      </c>
      <c r="B429" s="232" t="s">
        <v>395</v>
      </c>
      <c r="C429" s="232" t="s">
        <v>34</v>
      </c>
      <c r="D429" s="232" t="s">
        <v>168</v>
      </c>
      <c r="E429" s="233"/>
      <c r="F429" s="233">
        <v>94500</v>
      </c>
      <c r="G429" s="201">
        <f t="shared" si="7"/>
        <v>10965193</v>
      </c>
      <c r="H429" s="232" t="s">
        <v>31</v>
      </c>
      <c r="I429" s="184" t="s">
        <v>194</v>
      </c>
      <c r="J429" s="232" t="s">
        <v>103</v>
      </c>
      <c r="K429" s="232" t="s">
        <v>408</v>
      </c>
      <c r="L429" s="178" t="s">
        <v>315</v>
      </c>
      <c r="M429" s="178" t="s">
        <v>622</v>
      </c>
      <c r="N429" s="259" t="s">
        <v>429</v>
      </c>
      <c r="O429" s="232"/>
    </row>
    <row r="430" spans="1:15">
      <c r="A430" s="241">
        <v>44561</v>
      </c>
      <c r="B430" s="178" t="s">
        <v>275</v>
      </c>
      <c r="C430" s="178" t="s">
        <v>167</v>
      </c>
      <c r="D430" s="178" t="s">
        <v>195</v>
      </c>
      <c r="E430" s="225"/>
      <c r="F430" s="214">
        <v>20000</v>
      </c>
      <c r="G430" s="201">
        <f t="shared" si="7"/>
        <v>10945193</v>
      </c>
      <c r="H430" s="178" t="s">
        <v>25</v>
      </c>
      <c r="I430" s="184" t="s">
        <v>194</v>
      </c>
      <c r="J430" s="184" t="s">
        <v>169</v>
      </c>
      <c r="K430" s="178" t="s">
        <v>407</v>
      </c>
      <c r="L430" s="178" t="s">
        <v>315</v>
      </c>
      <c r="M430" s="177"/>
      <c r="O430" s="178"/>
    </row>
    <row r="431" spans="1:15">
      <c r="A431" s="241">
        <v>44561</v>
      </c>
      <c r="B431" s="178" t="s">
        <v>276</v>
      </c>
      <c r="C431" s="178" t="s">
        <v>167</v>
      </c>
      <c r="D431" s="178" t="s">
        <v>195</v>
      </c>
      <c r="E431" s="223"/>
      <c r="F431" s="212">
        <v>50000</v>
      </c>
      <c r="G431" s="201">
        <f t="shared" si="7"/>
        <v>10895193</v>
      </c>
      <c r="H431" s="178" t="s">
        <v>25</v>
      </c>
      <c r="I431" s="184" t="s">
        <v>194</v>
      </c>
      <c r="J431" s="184" t="s">
        <v>169</v>
      </c>
      <c r="K431" s="178" t="s">
        <v>407</v>
      </c>
      <c r="L431" s="178" t="s">
        <v>315</v>
      </c>
      <c r="O431" s="178"/>
    </row>
    <row r="432" spans="1:15">
      <c r="A432" s="241">
        <v>44561</v>
      </c>
      <c r="B432" s="178" t="s">
        <v>277</v>
      </c>
      <c r="C432" s="178" t="s">
        <v>167</v>
      </c>
      <c r="D432" s="178" t="s">
        <v>166</v>
      </c>
      <c r="E432" s="223"/>
      <c r="F432" s="212">
        <v>50000</v>
      </c>
      <c r="G432" s="201">
        <f t="shared" si="7"/>
        <v>10845193</v>
      </c>
      <c r="H432" s="178" t="s">
        <v>25</v>
      </c>
      <c r="I432" s="184" t="s">
        <v>194</v>
      </c>
      <c r="J432" s="184" t="s">
        <v>169</v>
      </c>
      <c r="K432" s="178" t="s">
        <v>407</v>
      </c>
      <c r="L432" s="178" t="s">
        <v>315</v>
      </c>
      <c r="O432" s="178"/>
    </row>
    <row r="433" spans="1:15">
      <c r="A433" s="241">
        <v>44561</v>
      </c>
      <c r="B433" s="178" t="s">
        <v>278</v>
      </c>
      <c r="C433" s="178" t="s">
        <v>167</v>
      </c>
      <c r="D433" s="178" t="s">
        <v>166</v>
      </c>
      <c r="E433" s="223"/>
      <c r="F433" s="212">
        <v>20000</v>
      </c>
      <c r="G433" s="201">
        <f t="shared" si="7"/>
        <v>10825193</v>
      </c>
      <c r="H433" s="178" t="s">
        <v>25</v>
      </c>
      <c r="I433" s="184" t="s">
        <v>194</v>
      </c>
      <c r="J433" s="184" t="s">
        <v>169</v>
      </c>
      <c r="K433" s="178" t="s">
        <v>407</v>
      </c>
      <c r="L433" s="178" t="s">
        <v>315</v>
      </c>
      <c r="O433" s="178"/>
    </row>
    <row r="434" spans="1:15">
      <c r="A434" s="241">
        <v>44561</v>
      </c>
      <c r="B434" s="178" t="s">
        <v>279</v>
      </c>
      <c r="C434" s="185" t="s">
        <v>192</v>
      </c>
      <c r="D434" s="178" t="s">
        <v>166</v>
      </c>
      <c r="E434" s="223"/>
      <c r="F434" s="212">
        <v>154370</v>
      </c>
      <c r="G434" s="201">
        <f t="shared" si="7"/>
        <v>10670823</v>
      </c>
      <c r="H434" s="178" t="s">
        <v>25</v>
      </c>
      <c r="I434" s="184" t="s">
        <v>194</v>
      </c>
      <c r="J434" s="184" t="s">
        <v>169</v>
      </c>
      <c r="K434" s="178" t="s">
        <v>407</v>
      </c>
      <c r="L434" s="178" t="s">
        <v>315</v>
      </c>
      <c r="O434" s="178"/>
    </row>
    <row r="435" spans="1:15">
      <c r="A435" s="241">
        <v>44561</v>
      </c>
      <c r="B435" s="178" t="s">
        <v>280</v>
      </c>
      <c r="C435" s="185" t="s">
        <v>192</v>
      </c>
      <c r="D435" s="232" t="s">
        <v>168</v>
      </c>
      <c r="E435" s="223"/>
      <c r="F435" s="212">
        <v>132280</v>
      </c>
      <c r="G435" s="201">
        <f t="shared" si="7"/>
        <v>10538543</v>
      </c>
      <c r="H435" s="178" t="s">
        <v>25</v>
      </c>
      <c r="I435" s="184" t="s">
        <v>194</v>
      </c>
      <c r="J435" s="184" t="s">
        <v>169</v>
      </c>
      <c r="K435" s="178" t="s">
        <v>407</v>
      </c>
      <c r="L435" s="178" t="s">
        <v>315</v>
      </c>
      <c r="O435" s="178"/>
    </row>
    <row r="436" spans="1:15">
      <c r="A436" s="241">
        <v>44561</v>
      </c>
      <c r="B436" s="178" t="s">
        <v>281</v>
      </c>
      <c r="C436" s="185" t="s">
        <v>192</v>
      </c>
      <c r="D436" s="222" t="s">
        <v>168</v>
      </c>
      <c r="E436" s="223"/>
      <c r="F436" s="212">
        <v>60149</v>
      </c>
      <c r="G436" s="201">
        <f t="shared" ref="G436:G442" si="8">+G435+E436-F436</f>
        <v>10478394</v>
      </c>
      <c r="H436" s="178" t="s">
        <v>25</v>
      </c>
      <c r="I436" s="184" t="s">
        <v>194</v>
      </c>
      <c r="J436" s="184" t="s">
        <v>103</v>
      </c>
      <c r="K436" s="178" t="s">
        <v>408</v>
      </c>
      <c r="L436" s="178" t="s">
        <v>315</v>
      </c>
      <c r="M436" s="178" t="s">
        <v>623</v>
      </c>
      <c r="N436" s="177" t="s">
        <v>422</v>
      </c>
      <c r="O436" s="178"/>
    </row>
    <row r="437" spans="1:15">
      <c r="A437" s="241">
        <v>44561</v>
      </c>
      <c r="B437" s="178" t="s">
        <v>282</v>
      </c>
      <c r="C437" s="178" t="s">
        <v>76</v>
      </c>
      <c r="E437" s="223">
        <v>40000</v>
      </c>
      <c r="F437" s="250"/>
      <c r="G437" s="201">
        <f t="shared" si="8"/>
        <v>10518394</v>
      </c>
      <c r="H437" s="178" t="s">
        <v>25</v>
      </c>
      <c r="I437" s="184" t="s">
        <v>194</v>
      </c>
      <c r="L437" s="178" t="s">
        <v>315</v>
      </c>
      <c r="O437" s="178"/>
    </row>
    <row r="438" spans="1:15">
      <c r="A438" s="242">
        <v>44561</v>
      </c>
      <c r="B438" s="185" t="s">
        <v>283</v>
      </c>
      <c r="C438" s="178" t="s">
        <v>76</v>
      </c>
      <c r="D438" s="185"/>
      <c r="E438" s="226">
        <v>120000</v>
      </c>
      <c r="F438" s="254"/>
      <c r="G438" s="201">
        <f t="shared" si="8"/>
        <v>10638394</v>
      </c>
      <c r="H438" s="207" t="s">
        <v>25</v>
      </c>
      <c r="I438" s="184" t="s">
        <v>194</v>
      </c>
      <c r="J438" s="211"/>
      <c r="L438" s="178" t="s">
        <v>315</v>
      </c>
      <c r="O438" s="178"/>
    </row>
    <row r="439" spans="1:15">
      <c r="A439" s="244">
        <v>44561</v>
      </c>
      <c r="B439" s="185" t="s">
        <v>313</v>
      </c>
      <c r="C439" s="178" t="s">
        <v>76</v>
      </c>
      <c r="D439" s="206"/>
      <c r="E439" s="226"/>
      <c r="F439" s="255">
        <v>120000</v>
      </c>
      <c r="G439" s="201">
        <f t="shared" si="8"/>
        <v>10518394</v>
      </c>
      <c r="H439" s="185" t="s">
        <v>155</v>
      </c>
      <c r="I439" s="184" t="s">
        <v>194</v>
      </c>
      <c r="L439" s="178" t="s">
        <v>315</v>
      </c>
      <c r="O439" s="178"/>
    </row>
    <row r="440" spans="1:15">
      <c r="A440" s="242">
        <v>44561</v>
      </c>
      <c r="B440" s="178" t="s">
        <v>459</v>
      </c>
      <c r="C440" s="178" t="s">
        <v>159</v>
      </c>
      <c r="D440" s="178" t="s">
        <v>2</v>
      </c>
      <c r="F440" s="191">
        <v>135000</v>
      </c>
      <c r="G440" s="201">
        <f t="shared" si="8"/>
        <v>10383394</v>
      </c>
      <c r="H440" s="178" t="s">
        <v>48</v>
      </c>
      <c r="I440" s="178" t="s">
        <v>193</v>
      </c>
      <c r="J440" s="178" t="s">
        <v>103</v>
      </c>
      <c r="K440" s="178" t="s">
        <v>408</v>
      </c>
      <c r="L440" s="178" t="s">
        <v>315</v>
      </c>
      <c r="M440" s="178" t="s">
        <v>624</v>
      </c>
      <c r="N440" s="177" t="s">
        <v>432</v>
      </c>
      <c r="O440" s="178"/>
    </row>
    <row r="441" spans="1:15">
      <c r="A441" s="242">
        <v>44561</v>
      </c>
      <c r="B441" s="178" t="s">
        <v>370</v>
      </c>
      <c r="C441" s="178" t="s">
        <v>34</v>
      </c>
      <c r="D441" s="178" t="s">
        <v>166</v>
      </c>
      <c r="F441" s="191">
        <v>120900</v>
      </c>
      <c r="G441" s="201">
        <f t="shared" si="8"/>
        <v>10262494</v>
      </c>
      <c r="H441" s="178" t="s">
        <v>48</v>
      </c>
      <c r="I441" s="184" t="s">
        <v>194</v>
      </c>
      <c r="J441" s="184" t="s">
        <v>103</v>
      </c>
      <c r="K441" s="178" t="s">
        <v>408</v>
      </c>
      <c r="L441" s="178" t="s">
        <v>315</v>
      </c>
      <c r="M441" s="178" t="s">
        <v>625</v>
      </c>
      <c r="N441" s="177" t="s">
        <v>429</v>
      </c>
      <c r="O441" s="178"/>
    </row>
    <row r="442" spans="1:15">
      <c r="A442" s="242">
        <v>44561</v>
      </c>
      <c r="B442" s="178" t="s">
        <v>360</v>
      </c>
      <c r="C442" s="178" t="s">
        <v>76</v>
      </c>
      <c r="F442" s="248">
        <v>40000</v>
      </c>
      <c r="G442" s="201">
        <f t="shared" si="8"/>
        <v>10222494</v>
      </c>
      <c r="H442" s="178" t="s">
        <v>48</v>
      </c>
      <c r="I442" s="184" t="s">
        <v>194</v>
      </c>
      <c r="L442" s="178" t="s">
        <v>315</v>
      </c>
      <c r="N442" s="178"/>
      <c r="O442" s="178"/>
    </row>
    <row r="444" spans="1:15">
      <c r="F444" s="196"/>
    </row>
  </sheetData>
  <autoFilter ref="A11:P442">
    <filterColumn colId="0"/>
    <filterColumn colId="2"/>
    <filterColumn colId="7"/>
    <filterColumn colId="10"/>
    <filterColumn colId="15"/>
    <sortState ref="A15:P435">
      <sortCondition ref="A11:A442"/>
    </sortState>
  </autoFilter>
  <sortState ref="A12:P196">
    <sortCondition ref="M18"/>
  </sortState>
  <mergeCells count="1">
    <mergeCell ref="A1:O1"/>
  </mergeCells>
  <dataValidations count="1">
    <dataValidation type="list" allowBlank="1" showInputMessage="1" showErrorMessage="1" sqref="O386:O423">
      <formula1>"typeDD"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Récapitulatif</vt:lpstr>
      <vt:lpstr>Feuil1</vt:lpstr>
      <vt:lpstr>Donateurs</vt:lpstr>
      <vt:lpstr>DATA  Décembre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2021-06-11T09:45:49Z</cp:lastPrinted>
  <dcterms:created xsi:type="dcterms:W3CDTF">2020-09-02T13:35:58Z</dcterms:created>
  <dcterms:modified xsi:type="dcterms:W3CDTF">2022-02-25T11:47:29Z</dcterms:modified>
</cp:coreProperties>
</file>