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 tabRatio="553" activeTab="3"/>
  </bookViews>
  <sheets>
    <sheet name="Récapitulatif" sheetId="16" r:id="rId1"/>
    <sheet name="Donateurs" sheetId="131" r:id="rId2"/>
    <sheet name="Feuil2" sheetId="137" r:id="rId3"/>
    <sheet name="DATA  FEVRIER 2022" sheetId="9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3" hidden="1">'DATA  FEVRIER 2022'!$A$11:$P$440</definedName>
  </definedNames>
  <calcPr calcId="124519"/>
  <pivotCaches>
    <pivotCache cacheId="48" r:id="rId16"/>
    <pivotCache cacheId="49" r:id="rId17"/>
  </pivotCaches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18" i="137"/>
  <c r="AT17"/>
  <c r="AU7"/>
  <c r="AV7" s="1"/>
  <c r="AU8"/>
  <c r="AV8" s="1"/>
  <c r="AU9"/>
  <c r="AV9" s="1"/>
  <c r="AU10"/>
  <c r="AV10" s="1"/>
  <c r="AU11"/>
  <c r="AV11" s="1"/>
  <c r="AU12"/>
  <c r="AV12" s="1"/>
  <c r="AU13"/>
  <c r="AV13" s="1"/>
  <c r="AU14"/>
  <c r="AV14" s="1"/>
  <c r="AU15"/>
  <c r="AV15" s="1"/>
  <c r="AU16"/>
  <c r="AV16" s="1"/>
  <c r="AU17"/>
  <c r="AV17" s="1"/>
  <c r="AU6"/>
  <c r="AT7"/>
  <c r="AT8"/>
  <c r="AT9"/>
  <c r="AT10"/>
  <c r="AT11"/>
  <c r="AT12"/>
  <c r="AT13"/>
  <c r="AT14"/>
  <c r="AT15"/>
  <c r="AT16"/>
  <c r="AT6"/>
  <c r="AS7"/>
  <c r="AS8"/>
  <c r="AS9"/>
  <c r="AS10"/>
  <c r="AS11"/>
  <c r="AS12"/>
  <c r="AS13"/>
  <c r="AS14"/>
  <c r="AS15"/>
  <c r="AS16"/>
  <c r="AS17"/>
  <c r="AS6"/>
  <c r="F93" i="95"/>
  <c r="AT18" i="137" l="1"/>
  <c r="AU18"/>
  <c r="AV6"/>
  <c r="AV18" s="1"/>
  <c r="F333" i="95"/>
  <c r="F190"/>
  <c r="F171"/>
  <c r="F123"/>
  <c r="U49"/>
  <c r="F14"/>
  <c r="AV20" i="137"/>
  <c r="AU20" l="1"/>
  <c r="C43" i="16"/>
  <c r="C42"/>
  <c r="C40"/>
  <c r="C38"/>
  <c r="C37"/>
  <c r="C36"/>
  <c r="C35"/>
  <c r="C34"/>
  <c r="C33"/>
  <c r="C32"/>
  <c r="C31"/>
  <c r="C30"/>
  <c r="C29"/>
  <c r="A29"/>
  <c r="A30" s="1"/>
  <c r="A31" s="1"/>
  <c r="A32" s="1"/>
  <c r="A33" s="1"/>
  <c r="A34" s="1"/>
  <c r="C28"/>
  <c r="O17"/>
  <c r="N17"/>
  <c r="M17"/>
  <c r="L17"/>
  <c r="H17"/>
  <c r="C17"/>
  <c r="A20" s="1"/>
  <c r="G16"/>
  <c r="F16"/>
  <c r="H38" s="1"/>
  <c r="E16"/>
  <c r="I38" s="1"/>
  <c r="D16"/>
  <c r="E38" s="1"/>
  <c r="A16"/>
  <c r="G15"/>
  <c r="F15"/>
  <c r="H37" s="1"/>
  <c r="E15"/>
  <c r="I37" s="1"/>
  <c r="D15"/>
  <c r="E37" s="1"/>
  <c r="A15"/>
  <c r="G14"/>
  <c r="F14"/>
  <c r="H36" s="1"/>
  <c r="E14"/>
  <c r="I36" s="1"/>
  <c r="D14"/>
  <c r="E36" s="1"/>
  <c r="A14"/>
  <c r="G13"/>
  <c r="F13"/>
  <c r="H35" s="1"/>
  <c r="E13"/>
  <c r="I35" s="1"/>
  <c r="D13"/>
  <c r="E35" s="1"/>
  <c r="A13"/>
  <c r="G12"/>
  <c r="F12"/>
  <c r="H34" s="1"/>
  <c r="E12"/>
  <c r="I34" s="1"/>
  <c r="D12"/>
  <c r="E34" s="1"/>
  <c r="A12"/>
  <c r="G11"/>
  <c r="F11"/>
  <c r="H33" s="1"/>
  <c r="E11"/>
  <c r="I33" s="1"/>
  <c r="D11"/>
  <c r="E33" s="1"/>
  <c r="A11"/>
  <c r="G10"/>
  <c r="F10"/>
  <c r="H32" s="1"/>
  <c r="J32" s="1"/>
  <c r="E10"/>
  <c r="I32" s="1"/>
  <c r="D10"/>
  <c r="E32" s="1"/>
  <c r="A10"/>
  <c r="G9"/>
  <c r="F9"/>
  <c r="H31" s="1"/>
  <c r="E9"/>
  <c r="I31" s="1"/>
  <c r="D9"/>
  <c r="E31" s="1"/>
  <c r="A9"/>
  <c r="G8"/>
  <c r="F8"/>
  <c r="H30" s="1"/>
  <c r="E8"/>
  <c r="I30" s="1"/>
  <c r="D8"/>
  <c r="E30" s="1"/>
  <c r="A8"/>
  <c r="G7"/>
  <c r="F7"/>
  <c r="H29" s="1"/>
  <c r="E7"/>
  <c r="I29" s="1"/>
  <c r="D7"/>
  <c r="E29" s="1"/>
  <c r="A7"/>
  <c r="G6"/>
  <c r="F6"/>
  <c r="H40" s="1"/>
  <c r="E6"/>
  <c r="I40" s="1"/>
  <c r="D6"/>
  <c r="A6"/>
  <c r="G5"/>
  <c r="D43" s="1"/>
  <c r="F5"/>
  <c r="H43" s="1"/>
  <c r="E5"/>
  <c r="I43" s="1"/>
  <c r="D5"/>
  <c r="A5"/>
  <c r="G4"/>
  <c r="D42" s="1"/>
  <c r="F4"/>
  <c r="H42" s="1"/>
  <c r="E4"/>
  <c r="I42" s="1"/>
  <c r="D4"/>
  <c r="A4"/>
  <c r="G3"/>
  <c r="F3"/>
  <c r="H28" s="1"/>
  <c r="E3"/>
  <c r="I28" s="1"/>
  <c r="D3"/>
  <c r="E28" s="1"/>
  <c r="A3"/>
  <c r="I4" l="1"/>
  <c r="J4" s="1"/>
  <c r="C44"/>
  <c r="I6"/>
  <c r="J6" s="1"/>
  <c r="I44"/>
  <c r="G17"/>
  <c r="B20" s="1"/>
  <c r="I5"/>
  <c r="J5" s="1"/>
  <c r="J36"/>
  <c r="J28"/>
  <c r="J29"/>
  <c r="J33"/>
  <c r="J37"/>
  <c r="A36"/>
  <c r="A35"/>
  <c r="A37" s="1"/>
  <c r="A38" s="1"/>
  <c r="A40" s="1"/>
  <c r="A42" s="1"/>
  <c r="A43" s="1"/>
  <c r="J43"/>
  <c r="J31"/>
  <c r="J35"/>
  <c r="J42"/>
  <c r="K42" s="1"/>
  <c r="J30"/>
  <c r="J34"/>
  <c r="J38"/>
  <c r="I3"/>
  <c r="I7"/>
  <c r="J7" s="1"/>
  <c r="I11"/>
  <c r="J11" s="1"/>
  <c r="I15"/>
  <c r="J15" s="1"/>
  <c r="F17"/>
  <c r="I8"/>
  <c r="J8" s="1"/>
  <c r="I12"/>
  <c r="J12" s="1"/>
  <c r="I16"/>
  <c r="J16" s="1"/>
  <c r="E17"/>
  <c r="C20" s="1"/>
  <c r="I9"/>
  <c r="J9" s="1"/>
  <c r="I13"/>
  <c r="J13" s="1"/>
  <c r="D17"/>
  <c r="E40"/>
  <c r="J40" s="1"/>
  <c r="K40" s="1"/>
  <c r="I10"/>
  <c r="J10" s="1"/>
  <c r="I14"/>
  <c r="J14" s="1"/>
  <c r="K32" l="1"/>
  <c r="K43"/>
  <c r="D20"/>
  <c r="G19"/>
  <c r="K29"/>
  <c r="J3"/>
  <c r="I17"/>
  <c r="K30"/>
  <c r="K31"/>
  <c r="K33"/>
  <c r="K28"/>
  <c r="J44"/>
  <c r="K38"/>
  <c r="K34"/>
  <c r="K35"/>
  <c r="K36"/>
  <c r="K37"/>
  <c r="K44" l="1"/>
  <c r="I18"/>
  <c r="E20"/>
  <c r="J17"/>
  <c r="C88"/>
  <c r="C87"/>
  <c r="C85"/>
  <c r="C83"/>
  <c r="C82"/>
  <c r="C81"/>
  <c r="C80"/>
  <c r="C79"/>
  <c r="C78"/>
  <c r="C77"/>
  <c r="C76"/>
  <c r="C75"/>
  <c r="C74"/>
  <c r="C73"/>
  <c r="A74"/>
  <c r="A75" s="1"/>
  <c r="A76" s="1"/>
  <c r="A77" s="1"/>
  <c r="A78" s="1"/>
  <c r="A79" s="1"/>
  <c r="O62"/>
  <c r="N62"/>
  <c r="M62"/>
  <c r="L62"/>
  <c r="H62"/>
  <c r="C62"/>
  <c r="A65" s="1"/>
  <c r="G61"/>
  <c r="F61"/>
  <c r="H83" s="1"/>
  <c r="E61"/>
  <c r="I83" s="1"/>
  <c r="D61"/>
  <c r="E83" s="1"/>
  <c r="A61"/>
  <c r="G60"/>
  <c r="F60"/>
  <c r="H82" s="1"/>
  <c r="E60"/>
  <c r="I82" s="1"/>
  <c r="D60"/>
  <c r="A60"/>
  <c r="G59"/>
  <c r="F59"/>
  <c r="H81" s="1"/>
  <c r="E59"/>
  <c r="I81" s="1"/>
  <c r="D59"/>
  <c r="E81" s="1"/>
  <c r="A59"/>
  <c r="G58"/>
  <c r="F58"/>
  <c r="H80" s="1"/>
  <c r="E58"/>
  <c r="I80" s="1"/>
  <c r="D58"/>
  <c r="E80" s="1"/>
  <c r="A58"/>
  <c r="G57"/>
  <c r="F57"/>
  <c r="H79" s="1"/>
  <c r="E57"/>
  <c r="I79" s="1"/>
  <c r="D57"/>
  <c r="E79" s="1"/>
  <c r="A57"/>
  <c r="G56"/>
  <c r="F56"/>
  <c r="H78" s="1"/>
  <c r="E56"/>
  <c r="I78" s="1"/>
  <c r="D56"/>
  <c r="A56"/>
  <c r="G55"/>
  <c r="F55"/>
  <c r="H77" s="1"/>
  <c r="E55"/>
  <c r="I77" s="1"/>
  <c r="D55"/>
  <c r="E77" s="1"/>
  <c r="A55"/>
  <c r="G54"/>
  <c r="F54"/>
  <c r="H76" s="1"/>
  <c r="E54"/>
  <c r="I76" s="1"/>
  <c r="D54"/>
  <c r="E76" s="1"/>
  <c r="A54"/>
  <c r="G53"/>
  <c r="F53"/>
  <c r="H75" s="1"/>
  <c r="E53"/>
  <c r="I75" s="1"/>
  <c r="D53"/>
  <c r="E75" s="1"/>
  <c r="A53"/>
  <c r="G52"/>
  <c r="F52"/>
  <c r="H74" s="1"/>
  <c r="E52"/>
  <c r="I74" s="1"/>
  <c r="D52"/>
  <c r="A52"/>
  <c r="G51"/>
  <c r="F51"/>
  <c r="H85" s="1"/>
  <c r="E51"/>
  <c r="I85" s="1"/>
  <c r="D51"/>
  <c r="E85" s="1"/>
  <c r="A51"/>
  <c r="G50"/>
  <c r="D88" s="1"/>
  <c r="F50"/>
  <c r="H88" s="1"/>
  <c r="E50"/>
  <c r="I88" s="1"/>
  <c r="D50"/>
  <c r="A50"/>
  <c r="G49"/>
  <c r="D87" s="1"/>
  <c r="F49"/>
  <c r="H87" s="1"/>
  <c r="E49"/>
  <c r="I87" s="1"/>
  <c r="D49"/>
  <c r="A49"/>
  <c r="G48"/>
  <c r="F48"/>
  <c r="H73" s="1"/>
  <c r="E48"/>
  <c r="I73" s="1"/>
  <c r="D48"/>
  <c r="E73" s="1"/>
  <c r="A48"/>
  <c r="E104"/>
  <c r="G62" l="1"/>
  <c r="B65" s="1"/>
  <c r="I50"/>
  <c r="J50" s="1"/>
  <c r="I49"/>
  <c r="J49" s="1"/>
  <c r="C89"/>
  <c r="J88"/>
  <c r="I52"/>
  <c r="J52" s="1"/>
  <c r="J76"/>
  <c r="I56"/>
  <c r="J56" s="1"/>
  <c r="J80"/>
  <c r="I60"/>
  <c r="J60" s="1"/>
  <c r="F62"/>
  <c r="J73"/>
  <c r="I89"/>
  <c r="J85"/>
  <c r="J77"/>
  <c r="J81"/>
  <c r="A81"/>
  <c r="A80"/>
  <c r="A82" s="1"/>
  <c r="A83" s="1"/>
  <c r="A85" s="1"/>
  <c r="A87" s="1"/>
  <c r="A88" s="1"/>
  <c r="J87"/>
  <c r="K87" s="1"/>
  <c r="J75"/>
  <c r="J79"/>
  <c r="J83"/>
  <c r="I53"/>
  <c r="J53" s="1"/>
  <c r="I57"/>
  <c r="J57" s="1"/>
  <c r="I61"/>
  <c r="J61" s="1"/>
  <c r="E62"/>
  <c r="C65" s="1"/>
  <c r="E74"/>
  <c r="J74" s="1"/>
  <c r="E78"/>
  <c r="J78" s="1"/>
  <c r="K78" s="1"/>
  <c r="E82"/>
  <c r="J82" s="1"/>
  <c r="I54"/>
  <c r="J54" s="1"/>
  <c r="I58"/>
  <c r="J58" s="1"/>
  <c r="D62"/>
  <c r="I51"/>
  <c r="J51" s="1"/>
  <c r="I55"/>
  <c r="J55" s="1"/>
  <c r="I59"/>
  <c r="J59" s="1"/>
  <c r="I48"/>
  <c r="J48" s="1"/>
  <c r="N109"/>
  <c r="M109"/>
  <c r="O109"/>
  <c r="L109"/>
  <c r="D106"/>
  <c r="D65" l="1"/>
  <c r="K74"/>
  <c r="K88"/>
  <c r="K83"/>
  <c r="G64"/>
  <c r="K82"/>
  <c r="I62"/>
  <c r="K80"/>
  <c r="K73"/>
  <c r="K85"/>
  <c r="K77"/>
  <c r="J89"/>
  <c r="K75"/>
  <c r="K79"/>
  <c r="K76"/>
  <c r="K81"/>
  <c r="J62" l="1"/>
  <c r="I63"/>
  <c r="E65"/>
  <c r="K89"/>
  <c r="C136" l="1"/>
  <c r="C135"/>
  <c r="C133"/>
  <c r="C131"/>
  <c r="C130"/>
  <c r="C129"/>
  <c r="C128"/>
  <c r="C127"/>
  <c r="C126"/>
  <c r="C125"/>
  <c r="C124"/>
  <c r="C123"/>
  <c r="C122"/>
  <c r="C121"/>
  <c r="A121"/>
  <c r="A122" s="1"/>
  <c r="A123" s="1"/>
  <c r="A124" s="1"/>
  <c r="A125" s="1"/>
  <c r="A126" s="1"/>
  <c r="A127" s="1"/>
  <c r="C120"/>
  <c r="H109"/>
  <c r="C109"/>
  <c r="A112" s="1"/>
  <c r="G108"/>
  <c r="F108"/>
  <c r="H131" s="1"/>
  <c r="E108"/>
  <c r="I131" s="1"/>
  <c r="D108"/>
  <c r="E131" s="1"/>
  <c r="A108"/>
  <c r="G107"/>
  <c r="F107"/>
  <c r="H130" s="1"/>
  <c r="E107"/>
  <c r="I130" s="1"/>
  <c r="D107"/>
  <c r="A107"/>
  <c r="G106"/>
  <c r="F106"/>
  <c r="H129" s="1"/>
  <c r="E106"/>
  <c r="A106"/>
  <c r="G105"/>
  <c r="F105"/>
  <c r="H128" s="1"/>
  <c r="E105"/>
  <c r="I128" s="1"/>
  <c r="D105"/>
  <c r="E128" s="1"/>
  <c r="A105"/>
  <c r="G104"/>
  <c r="F104"/>
  <c r="H127" s="1"/>
  <c r="I127"/>
  <c r="D104"/>
  <c r="E127" s="1"/>
  <c r="A104"/>
  <c r="G103"/>
  <c r="F103"/>
  <c r="H126" s="1"/>
  <c r="E103"/>
  <c r="I126" s="1"/>
  <c r="D103"/>
  <c r="A103"/>
  <c r="G102"/>
  <c r="F102"/>
  <c r="H125" s="1"/>
  <c r="E102"/>
  <c r="I125" s="1"/>
  <c r="D102"/>
  <c r="E125" s="1"/>
  <c r="A102"/>
  <c r="G101"/>
  <c r="F101"/>
  <c r="H124" s="1"/>
  <c r="E101"/>
  <c r="I124" s="1"/>
  <c r="D101"/>
  <c r="E124" s="1"/>
  <c r="A101"/>
  <c r="G100"/>
  <c r="F100"/>
  <c r="H123" s="1"/>
  <c r="E100"/>
  <c r="I123" s="1"/>
  <c r="D100"/>
  <c r="E123" s="1"/>
  <c r="A100"/>
  <c r="G99"/>
  <c r="F99"/>
  <c r="H122" s="1"/>
  <c r="E99"/>
  <c r="I122" s="1"/>
  <c r="D99"/>
  <c r="A99"/>
  <c r="G98"/>
  <c r="F98"/>
  <c r="H133" s="1"/>
  <c r="E98"/>
  <c r="I133" s="1"/>
  <c r="D98"/>
  <c r="E133" s="1"/>
  <c r="A98"/>
  <c r="G97"/>
  <c r="D136" s="1"/>
  <c r="F97"/>
  <c r="H136" s="1"/>
  <c r="E97"/>
  <c r="I136" s="1"/>
  <c r="D97"/>
  <c r="A97"/>
  <c r="G96"/>
  <c r="D135" s="1"/>
  <c r="F96"/>
  <c r="H135" s="1"/>
  <c r="E96"/>
  <c r="I135" s="1"/>
  <c r="D96"/>
  <c r="A96"/>
  <c r="G95"/>
  <c r="F95"/>
  <c r="H121" s="1"/>
  <c r="E95"/>
  <c r="I121" s="1"/>
  <c r="D95"/>
  <c r="E121" s="1"/>
  <c r="A95"/>
  <c r="G94"/>
  <c r="F94"/>
  <c r="E94"/>
  <c r="I120" s="1"/>
  <c r="D94"/>
  <c r="E120" s="1"/>
  <c r="A94"/>
  <c r="I129" l="1"/>
  <c r="I137" s="1"/>
  <c r="I106"/>
  <c r="J106" s="1"/>
  <c r="I99"/>
  <c r="J99" s="1"/>
  <c r="J125"/>
  <c r="G109"/>
  <c r="B112" s="1"/>
  <c r="C137"/>
  <c r="I107"/>
  <c r="J107" s="1"/>
  <c r="J133"/>
  <c r="I103"/>
  <c r="J103" s="1"/>
  <c r="I97"/>
  <c r="J97" s="1"/>
  <c r="F109"/>
  <c r="I96"/>
  <c r="J96" s="1"/>
  <c r="E129"/>
  <c r="H120"/>
  <c r="J136"/>
  <c r="J124"/>
  <c r="J128"/>
  <c r="J120"/>
  <c r="J135"/>
  <c r="J123"/>
  <c r="J127"/>
  <c r="J131"/>
  <c r="J121"/>
  <c r="A129"/>
  <c r="A128"/>
  <c r="A130" s="1"/>
  <c r="A131" s="1"/>
  <c r="A133" s="1"/>
  <c r="A135" s="1"/>
  <c r="A136" s="1"/>
  <c r="I101"/>
  <c r="J101" s="1"/>
  <c r="D109"/>
  <c r="I100"/>
  <c r="J100" s="1"/>
  <c r="I104"/>
  <c r="J104" s="1"/>
  <c r="I108"/>
  <c r="J108" s="1"/>
  <c r="E109"/>
  <c r="C112" s="1"/>
  <c r="E122"/>
  <c r="J122" s="1"/>
  <c r="E126"/>
  <c r="J126" s="1"/>
  <c r="E130"/>
  <c r="J130" s="1"/>
  <c r="I105"/>
  <c r="J105" s="1"/>
  <c r="I94"/>
  <c r="I98"/>
  <c r="J98" s="1"/>
  <c r="I102"/>
  <c r="J102" s="1"/>
  <c r="I95"/>
  <c r="J95" s="1"/>
  <c r="C184"/>
  <c r="C183"/>
  <c r="C181"/>
  <c r="C175"/>
  <c r="C176"/>
  <c r="C177"/>
  <c r="C178"/>
  <c r="C179"/>
  <c r="C174"/>
  <c r="C173"/>
  <c r="C172"/>
  <c r="C171"/>
  <c r="C170"/>
  <c r="C169"/>
  <c r="C168"/>
  <c r="C157"/>
  <c r="K135" l="1"/>
  <c r="D112"/>
  <c r="J129"/>
  <c r="K129" s="1"/>
  <c r="K122"/>
  <c r="K130"/>
  <c r="K136"/>
  <c r="K126"/>
  <c r="G111"/>
  <c r="K120"/>
  <c r="K127"/>
  <c r="K128"/>
  <c r="K133"/>
  <c r="K131"/>
  <c r="K125"/>
  <c r="K121"/>
  <c r="I109"/>
  <c r="J94"/>
  <c r="K123"/>
  <c r="K124"/>
  <c r="C185"/>
  <c r="A155"/>
  <c r="A156"/>
  <c r="J137" l="1"/>
  <c r="K137" s="1"/>
  <c r="J109"/>
  <c r="I110"/>
  <c r="E112"/>
  <c r="G12" i="95" l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A169" i="16"/>
  <c r="A170" s="1"/>
  <c r="A171" s="1"/>
  <c r="A172" s="1"/>
  <c r="A173" s="1"/>
  <c r="A174" s="1"/>
  <c r="A175" s="1"/>
  <c r="C193"/>
  <c r="E229"/>
  <c r="H157"/>
  <c r="D142"/>
  <c r="E168" s="1"/>
  <c r="D143"/>
  <c r="E169" s="1"/>
  <c r="D144"/>
  <c r="D145"/>
  <c r="D146"/>
  <c r="D147"/>
  <c r="E170" s="1"/>
  <c r="D148"/>
  <c r="E171" s="1"/>
  <c r="D149"/>
  <c r="E172" s="1"/>
  <c r="D150"/>
  <c r="E173" s="1"/>
  <c r="D151"/>
  <c r="E174" s="1"/>
  <c r="D152"/>
  <c r="E175" s="1"/>
  <c r="D153"/>
  <c r="E176" s="1"/>
  <c r="D154"/>
  <c r="E177" s="1"/>
  <c r="D155"/>
  <c r="E178" s="1"/>
  <c r="E181" l="1"/>
  <c r="A177"/>
  <c r="A176"/>
  <c r="A178" s="1"/>
  <c r="A179" s="1"/>
  <c r="A181" s="1"/>
  <c r="A183" s="1"/>
  <c r="A184" s="1"/>
  <c r="E193"/>
  <c r="G155" l="1"/>
  <c r="G154"/>
  <c r="F154"/>
  <c r="H177" s="1"/>
  <c r="E142" l="1"/>
  <c r="I168" s="1"/>
  <c r="F142"/>
  <c r="H168" s="1"/>
  <c r="G142"/>
  <c r="G143"/>
  <c r="D208" s="1"/>
  <c r="G144"/>
  <c r="A153"/>
  <c r="A154"/>
  <c r="A142"/>
  <c r="E154"/>
  <c r="I177" s="1"/>
  <c r="J177" s="1"/>
  <c r="E202"/>
  <c r="H202"/>
  <c r="C202"/>
  <c r="J168" l="1"/>
  <c r="D209"/>
  <c r="D183"/>
  <c r="I202"/>
  <c r="J202" s="1"/>
  <c r="I154"/>
  <c r="J154" s="1"/>
  <c r="I193"/>
  <c r="I142"/>
  <c r="H193"/>
  <c r="J193" l="1"/>
  <c r="K193" s="1"/>
  <c r="K168"/>
  <c r="K177"/>
  <c r="K202"/>
  <c r="J142"/>
  <c r="C209" l="1"/>
  <c r="C208"/>
  <c r="C206"/>
  <c r="C204"/>
  <c r="C203"/>
  <c r="C201"/>
  <c r="C200"/>
  <c r="C199"/>
  <c r="C198"/>
  <c r="C197"/>
  <c r="C196"/>
  <c r="C195"/>
  <c r="A195"/>
  <c r="A196" s="1"/>
  <c r="A197" s="1"/>
  <c r="A198" s="1"/>
  <c r="A199" s="1"/>
  <c r="A200" s="1"/>
  <c r="C194"/>
  <c r="A160"/>
  <c r="G156"/>
  <c r="F156"/>
  <c r="E156"/>
  <c r="D156"/>
  <c r="E179" s="1"/>
  <c r="F155"/>
  <c r="E155"/>
  <c r="E203"/>
  <c r="G153"/>
  <c r="F153"/>
  <c r="E153"/>
  <c r="G152"/>
  <c r="F152"/>
  <c r="E152"/>
  <c r="A152"/>
  <c r="G151"/>
  <c r="F151"/>
  <c r="E151"/>
  <c r="E199"/>
  <c r="A151"/>
  <c r="G150"/>
  <c r="F150"/>
  <c r="E150"/>
  <c r="E198"/>
  <c r="A150"/>
  <c r="G149"/>
  <c r="F149"/>
  <c r="E149"/>
  <c r="E197"/>
  <c r="A149"/>
  <c r="G148"/>
  <c r="F148"/>
  <c r="E148"/>
  <c r="A148"/>
  <c r="G147"/>
  <c r="F147"/>
  <c r="E147"/>
  <c r="E195"/>
  <c r="A147"/>
  <c r="G146"/>
  <c r="F146"/>
  <c r="E146"/>
  <c r="E194"/>
  <c r="A146"/>
  <c r="G145"/>
  <c r="D184" s="1"/>
  <c r="F145"/>
  <c r="E145"/>
  <c r="I184" s="1"/>
  <c r="A145"/>
  <c r="F144"/>
  <c r="E144"/>
  <c r="A144"/>
  <c r="F143"/>
  <c r="H169" s="1"/>
  <c r="E143"/>
  <c r="I169" s="1"/>
  <c r="A143"/>
  <c r="H209" l="1"/>
  <c r="H183"/>
  <c r="H194"/>
  <c r="H181"/>
  <c r="I195"/>
  <c r="I170"/>
  <c r="I196"/>
  <c r="I171"/>
  <c r="J169"/>
  <c r="I209"/>
  <c r="I183"/>
  <c r="H206"/>
  <c r="H184"/>
  <c r="J184" s="1"/>
  <c r="I194"/>
  <c r="I181"/>
  <c r="I146"/>
  <c r="J146" s="1"/>
  <c r="H195"/>
  <c r="J195" s="1"/>
  <c r="H170"/>
  <c r="J170" s="1"/>
  <c r="H196"/>
  <c r="H171"/>
  <c r="J171" s="1"/>
  <c r="I197"/>
  <c r="I172"/>
  <c r="H198"/>
  <c r="H173"/>
  <c r="I199"/>
  <c r="I174"/>
  <c r="I200"/>
  <c r="I175"/>
  <c r="H201"/>
  <c r="H176"/>
  <c r="H203"/>
  <c r="H178"/>
  <c r="I204"/>
  <c r="I179"/>
  <c r="H197"/>
  <c r="H172"/>
  <c r="I198"/>
  <c r="I173"/>
  <c r="H199"/>
  <c r="H174"/>
  <c r="H200"/>
  <c r="H175"/>
  <c r="I201"/>
  <c r="I176"/>
  <c r="I203"/>
  <c r="I178"/>
  <c r="H204"/>
  <c r="H179"/>
  <c r="A201"/>
  <c r="A203" s="1"/>
  <c r="A204" s="1"/>
  <c r="A206" s="1"/>
  <c r="A208" s="1"/>
  <c r="A209" s="1"/>
  <c r="A202"/>
  <c r="I206"/>
  <c r="I145"/>
  <c r="J145" s="1"/>
  <c r="E204"/>
  <c r="D157"/>
  <c r="F157"/>
  <c r="I208"/>
  <c r="E157"/>
  <c r="C160" s="1"/>
  <c r="G157"/>
  <c r="B160" s="1"/>
  <c r="E206"/>
  <c r="C210"/>
  <c r="I143"/>
  <c r="I144"/>
  <c r="J144" s="1"/>
  <c r="I148"/>
  <c r="J148" s="1"/>
  <c r="I152"/>
  <c r="J152" s="1"/>
  <c r="I153"/>
  <c r="J153" s="1"/>
  <c r="I155"/>
  <c r="J155" s="1"/>
  <c r="I150"/>
  <c r="J150" s="1"/>
  <c r="I149"/>
  <c r="J149" s="1"/>
  <c r="I156"/>
  <c r="J156" s="1"/>
  <c r="E196"/>
  <c r="E200"/>
  <c r="E201"/>
  <c r="H208"/>
  <c r="I151"/>
  <c r="J151" s="1"/>
  <c r="I147"/>
  <c r="J147" s="1"/>
  <c r="C229"/>
  <c r="J196" l="1"/>
  <c r="J203"/>
  <c r="K203" s="1"/>
  <c r="J199"/>
  <c r="J197"/>
  <c r="K197" s="1"/>
  <c r="J179"/>
  <c r="J174"/>
  <c r="K174" s="1"/>
  <c r="J172"/>
  <c r="K172" s="1"/>
  <c r="J204"/>
  <c r="K204" s="1"/>
  <c r="J209"/>
  <c r="K209" s="1"/>
  <c r="J200"/>
  <c r="K200" s="1"/>
  <c r="J208"/>
  <c r="K208" s="1"/>
  <c r="J198"/>
  <c r="K198" s="1"/>
  <c r="J194"/>
  <c r="J175"/>
  <c r="J201"/>
  <c r="K201" s="1"/>
  <c r="I185"/>
  <c r="D160"/>
  <c r="I210"/>
  <c r="K184"/>
  <c r="K169"/>
  <c r="K179"/>
  <c r="K175"/>
  <c r="J178"/>
  <c r="K178" s="1"/>
  <c r="J176"/>
  <c r="K176" s="1"/>
  <c r="J173"/>
  <c r="K173" s="1"/>
  <c r="K171"/>
  <c r="K170"/>
  <c r="J181"/>
  <c r="K181" s="1"/>
  <c r="J183"/>
  <c r="K183" s="1"/>
  <c r="G159"/>
  <c r="J206"/>
  <c r="K206" s="1"/>
  <c r="J143"/>
  <c r="I157"/>
  <c r="K196"/>
  <c r="K199"/>
  <c r="K194"/>
  <c r="K195"/>
  <c r="E220"/>
  <c r="E219"/>
  <c r="E218"/>
  <c r="J210" l="1"/>
  <c r="K210" s="1"/>
  <c r="I158"/>
  <c r="J185"/>
  <c r="K185" s="1"/>
  <c r="E160"/>
  <c r="J157"/>
  <c r="A219" l="1"/>
  <c r="A220" s="1"/>
  <c r="A221" s="1"/>
  <c r="A222" s="1"/>
  <c r="A223" s="1"/>
  <c r="A224" s="1"/>
  <c r="A225" s="1"/>
  <c r="A226" s="1"/>
  <c r="C232"/>
  <c r="C231"/>
  <c r="C227"/>
  <c r="C226"/>
  <c r="C225"/>
  <c r="C224"/>
  <c r="C223"/>
  <c r="C222"/>
  <c r="C221"/>
  <c r="C220"/>
  <c r="C219"/>
  <c r="C218"/>
  <c r="H227"/>
  <c r="I227"/>
  <c r="E227"/>
  <c r="H226"/>
  <c r="I226"/>
  <c r="H225"/>
  <c r="I225"/>
  <c r="E225"/>
  <c r="H224"/>
  <c r="I224"/>
  <c r="E224"/>
  <c r="H223"/>
  <c r="I223"/>
  <c r="H222"/>
  <c r="I222"/>
  <c r="E222"/>
  <c r="H221"/>
  <c r="I221"/>
  <c r="E221"/>
  <c r="H220"/>
  <c r="I220"/>
  <c r="H219"/>
  <c r="I219"/>
  <c r="H218"/>
  <c r="I218"/>
  <c r="H229"/>
  <c r="I229"/>
  <c r="H232"/>
  <c r="I232"/>
  <c r="I231"/>
  <c r="C5" i="95"/>
  <c r="A227" i="16" l="1"/>
  <c r="A229" s="1"/>
  <c r="A231" s="1"/>
  <c r="A232" s="1"/>
  <c r="J232"/>
  <c r="J224"/>
  <c r="J227"/>
  <c r="C233"/>
  <c r="J220"/>
  <c r="J218"/>
  <c r="J233" s="1"/>
  <c r="K233" s="1"/>
  <c r="J229"/>
  <c r="I233"/>
  <c r="J221"/>
  <c r="J225"/>
  <c r="J222"/>
  <c r="J219"/>
  <c r="E226"/>
  <c r="J226" s="1"/>
  <c r="E223"/>
  <c r="J223" s="1"/>
  <c r="H231"/>
  <c r="J231" s="1"/>
  <c r="C6" i="95"/>
  <c r="C7" s="1"/>
  <c r="E6" l="1"/>
  <c r="D7"/>
  <c r="K223" i="16"/>
  <c r="K226"/>
  <c r="K231"/>
  <c r="K227"/>
  <c r="K219"/>
  <c r="K229"/>
  <c r="K225"/>
  <c r="K220"/>
  <c r="K232"/>
  <c r="K222"/>
  <c r="K224"/>
  <c r="K218"/>
  <c r="K221"/>
  <c r="C255" l="1"/>
  <c r="C241"/>
  <c r="C250"/>
  <c r="I246" l="1"/>
  <c r="I247"/>
  <c r="I248"/>
  <c r="I249"/>
  <c r="I250"/>
  <c r="I251"/>
  <c r="I245"/>
  <c r="I244"/>
  <c r="I255"/>
  <c r="H250"/>
  <c r="E250"/>
  <c r="J250" l="1"/>
  <c r="K250" l="1"/>
  <c r="C256" l="1"/>
  <c r="C253"/>
  <c r="C251"/>
  <c r="C249"/>
  <c r="C248"/>
  <c r="C247"/>
  <c r="C246"/>
  <c r="C245"/>
  <c r="C244"/>
  <c r="C243"/>
  <c r="C242"/>
  <c r="H255"/>
  <c r="J255" s="1"/>
  <c r="C276"/>
  <c r="K255" l="1"/>
  <c r="C257"/>
  <c r="C279"/>
  <c r="J279" s="1"/>
  <c r="K279" s="1"/>
  <c r="C278"/>
  <c r="J278" s="1"/>
  <c r="K278" s="1"/>
  <c r="J276"/>
  <c r="C266"/>
  <c r="J266" s="1"/>
  <c r="C267"/>
  <c r="J267" s="1"/>
  <c r="C268"/>
  <c r="J268" s="1"/>
  <c r="C269"/>
  <c r="J269" s="1"/>
  <c r="C270"/>
  <c r="J270" s="1"/>
  <c r="C271"/>
  <c r="J271" s="1"/>
  <c r="C272"/>
  <c r="J272" s="1"/>
  <c r="C273"/>
  <c r="C274"/>
  <c r="J274" s="1"/>
  <c r="C265"/>
  <c r="J265" s="1"/>
  <c r="I280"/>
  <c r="J273"/>
  <c r="C280" l="1"/>
  <c r="J280"/>
  <c r="G281" s="1"/>
  <c r="K271" l="1"/>
  <c r="K267"/>
  <c r="K276"/>
  <c r="K274" l="1"/>
  <c r="K266"/>
  <c r="K265"/>
  <c r="K272"/>
  <c r="K268"/>
  <c r="K269"/>
  <c r="K270"/>
  <c r="K273"/>
  <c r="K280" l="1"/>
  <c r="F292" l="1"/>
  <c r="H291"/>
  <c r="F290"/>
  <c r="C300" l="1"/>
  <c r="J300" s="1"/>
  <c r="C299"/>
  <c r="J299" s="1"/>
  <c r="C298"/>
  <c r="J298" s="1"/>
  <c r="C297"/>
  <c r="J297" s="1"/>
  <c r="C296"/>
  <c r="J296" s="1"/>
  <c r="C295"/>
  <c r="J295" s="1"/>
  <c r="C294"/>
  <c r="J294" s="1"/>
  <c r="C293"/>
  <c r="J293" s="1"/>
  <c r="C292"/>
  <c r="J292" s="1"/>
  <c r="C291"/>
  <c r="J291" s="1"/>
  <c r="C290"/>
  <c r="J290" s="1"/>
  <c r="C289"/>
  <c r="J289" s="1"/>
  <c r="C302"/>
  <c r="J302" s="1"/>
  <c r="C305"/>
  <c r="J305" s="1"/>
  <c r="I306"/>
  <c r="C332"/>
  <c r="C304" l="1"/>
  <c r="J304" s="1"/>
  <c r="J306" s="1"/>
  <c r="C306" l="1"/>
  <c r="I332" l="1"/>
  <c r="J331" l="1"/>
  <c r="J330"/>
  <c r="J328"/>
  <c r="J326"/>
  <c r="J325"/>
  <c r="J324"/>
  <c r="J323"/>
  <c r="J322"/>
  <c r="J321"/>
  <c r="J320"/>
  <c r="J319"/>
  <c r="J318"/>
  <c r="J317"/>
  <c r="J316"/>
  <c r="J315"/>
  <c r="J314"/>
  <c r="J332" l="1"/>
  <c r="J351" l="1"/>
  <c r="J350"/>
  <c r="J349"/>
  <c r="J348"/>
  <c r="J347"/>
  <c r="J346"/>
  <c r="J345"/>
  <c r="J343"/>
  <c r="J340"/>
  <c r="J354"/>
  <c r="J357"/>
  <c r="J356"/>
  <c r="I358"/>
  <c r="J344"/>
  <c r="C358" l="1"/>
  <c r="J342"/>
  <c r="J341"/>
  <c r="J352"/>
  <c r="J358" l="1"/>
  <c r="F378" l="1"/>
  <c r="H378"/>
  <c r="F369"/>
  <c r="H368"/>
  <c r="F367"/>
  <c r="I384"/>
  <c r="J378" l="1"/>
  <c r="J377"/>
  <c r="J376"/>
  <c r="J375"/>
  <c r="J374"/>
  <c r="J373"/>
  <c r="J372"/>
  <c r="J371"/>
  <c r="J370"/>
  <c r="J369"/>
  <c r="J368"/>
  <c r="J367"/>
  <c r="J380"/>
  <c r="J383"/>
  <c r="J382"/>
  <c r="J366" l="1"/>
  <c r="J384" s="1"/>
  <c r="C384"/>
  <c r="I413" l="1"/>
  <c r="J407"/>
  <c r="J393" l="1"/>
  <c r="J406" l="1"/>
  <c r="J405"/>
  <c r="J404"/>
  <c r="J403"/>
  <c r="J402"/>
  <c r="J401"/>
  <c r="J400"/>
  <c r="J399"/>
  <c r="J398"/>
  <c r="J397"/>
  <c r="J396"/>
  <c r="J395"/>
  <c r="C409"/>
  <c r="J409" s="1"/>
  <c r="C412"/>
  <c r="J412" s="1"/>
  <c r="C411"/>
  <c r="J411" s="1"/>
  <c r="C440"/>
  <c r="J394" l="1"/>
  <c r="J413" s="1"/>
  <c r="C413"/>
  <c r="J453" l="1"/>
  <c r="J434" l="1"/>
  <c r="J433"/>
  <c r="J432"/>
  <c r="J431"/>
  <c r="J430"/>
  <c r="J429"/>
  <c r="J428"/>
  <c r="J427"/>
  <c r="J426"/>
  <c r="J425"/>
  <c r="J424"/>
  <c r="J423"/>
  <c r="J422"/>
  <c r="J436"/>
  <c r="J439"/>
  <c r="J438"/>
  <c r="I440"/>
  <c r="J421" l="1"/>
  <c r="J440" s="1"/>
  <c r="I468" l="1"/>
  <c r="J461" l="1"/>
  <c r="J458" l="1"/>
  <c r="J454"/>
  <c r="J450"/>
  <c r="J464"/>
  <c r="J466"/>
  <c r="J467"/>
  <c r="J460"/>
  <c r="J459"/>
  <c r="J457"/>
  <c r="J456"/>
  <c r="J455"/>
  <c r="J452"/>
  <c r="J451"/>
  <c r="J449"/>
  <c r="J462" l="1"/>
  <c r="J468" s="1"/>
  <c r="K468" s="1"/>
  <c r="C385" l="1"/>
  <c r="C359"/>
  <c r="J485"/>
  <c r="J486" l="1"/>
  <c r="J484"/>
  <c r="J483"/>
  <c r="J482"/>
  <c r="J481"/>
  <c r="J480"/>
  <c r="J479"/>
  <c r="J478"/>
  <c r="J477"/>
  <c r="J476"/>
  <c r="J490"/>
  <c r="J493"/>
  <c r="J492"/>
  <c r="J488" l="1"/>
  <c r="J487"/>
  <c r="J494" l="1"/>
  <c r="J512" l="1"/>
  <c r="F502" l="1"/>
  <c r="J536"/>
  <c r="J539"/>
  <c r="J520"/>
  <c r="J519"/>
  <c r="J518"/>
  <c r="C511" l="1"/>
  <c r="J511" s="1"/>
  <c r="C510"/>
  <c r="J510" s="1"/>
  <c r="C509"/>
  <c r="J509" s="1"/>
  <c r="C508"/>
  <c r="J508" s="1"/>
  <c r="C507"/>
  <c r="J507" s="1"/>
  <c r="J506"/>
  <c r="C505"/>
  <c r="J505" s="1"/>
  <c r="C504"/>
  <c r="J504" s="1"/>
  <c r="C503"/>
  <c r="J503" s="1"/>
  <c r="C502"/>
  <c r="J502" s="1"/>
  <c r="C514"/>
  <c r="J514" s="1"/>
  <c r="C517"/>
  <c r="J517" s="1"/>
  <c r="C516" l="1"/>
  <c r="J516" s="1"/>
  <c r="J521" s="1"/>
  <c r="J547" l="1"/>
  <c r="J546"/>
  <c r="J545"/>
  <c r="J598"/>
  <c r="J571"/>
  <c r="J570"/>
  <c r="J568"/>
  <c r="E566"/>
  <c r="J566" s="1"/>
  <c r="E565"/>
  <c r="J565" s="1"/>
  <c r="E563"/>
  <c r="J563" s="1"/>
  <c r="H562"/>
  <c r="E562"/>
  <c r="F561"/>
  <c r="E561"/>
  <c r="E560"/>
  <c r="J560" s="1"/>
  <c r="I559"/>
  <c r="H559"/>
  <c r="E559"/>
  <c r="I558"/>
  <c r="E558"/>
  <c r="H557"/>
  <c r="E557"/>
  <c r="I556"/>
  <c r="J548"/>
  <c r="J532"/>
  <c r="J544"/>
  <c r="B532" l="1"/>
  <c r="B536"/>
  <c r="B537"/>
  <c r="B530"/>
  <c r="B533"/>
  <c r="B534"/>
  <c r="B531"/>
  <c r="B535"/>
  <c r="J531"/>
  <c r="I573"/>
  <c r="J558"/>
  <c r="J541"/>
  <c r="J557"/>
  <c r="J529"/>
  <c r="J535"/>
  <c r="J530"/>
  <c r="J543"/>
  <c r="J538"/>
  <c r="J561"/>
  <c r="J559"/>
  <c r="J562"/>
  <c r="J556"/>
  <c r="J534" l="1"/>
  <c r="J533"/>
  <c r="J537"/>
  <c r="C564"/>
  <c r="J549" l="1"/>
  <c r="C573"/>
  <c r="J564"/>
  <c r="J573" s="1"/>
  <c r="K302" l="1"/>
  <c r="K289"/>
  <c r="K305"/>
  <c r="K295"/>
  <c r="K300"/>
  <c r="K299"/>
  <c r="K371" l="1"/>
  <c r="K293"/>
  <c r="K322"/>
  <c r="K296"/>
  <c r="K291"/>
  <c r="K323"/>
  <c r="K297"/>
  <c r="K292"/>
  <c r="K290"/>
  <c r="K320"/>
  <c r="K294"/>
  <c r="K324"/>
  <c r="K319"/>
  <c r="K372"/>
  <c r="K368"/>
  <c r="K383"/>
  <c r="K331"/>
  <c r="K318"/>
  <c r="K370"/>
  <c r="K325"/>
  <c r="K377"/>
  <c r="K326"/>
  <c r="K378"/>
  <c r="K373"/>
  <c r="K321"/>
  <c r="K380"/>
  <c r="K328"/>
  <c r="K304"/>
  <c r="K367"/>
  <c r="K375"/>
  <c r="K366"/>
  <c r="K374"/>
  <c r="K317"/>
  <c r="K315"/>
  <c r="K316"/>
  <c r="K369"/>
  <c r="K314"/>
  <c r="K376" l="1"/>
  <c r="K298"/>
  <c r="K382"/>
  <c r="K330"/>
  <c r="K306" l="1"/>
  <c r="K384"/>
  <c r="K521"/>
  <c r="K332"/>
  <c r="H241" l="1"/>
  <c r="H242"/>
  <c r="H253"/>
  <c r="H243"/>
  <c r="I253"/>
  <c r="H256"/>
  <c r="H247"/>
  <c r="H246"/>
  <c r="H244"/>
  <c r="H248"/>
  <c r="J248" s="1"/>
  <c r="I241"/>
  <c r="H245"/>
  <c r="I256"/>
  <c r="H249"/>
  <c r="H251"/>
  <c r="I243"/>
  <c r="E247"/>
  <c r="E246"/>
  <c r="E245"/>
  <c r="I242"/>
  <c r="E249"/>
  <c r="K248" l="1"/>
  <c r="J256"/>
  <c r="K256" s="1"/>
  <c r="J243"/>
  <c r="K243" s="1"/>
  <c r="E244"/>
  <c r="J244" s="1"/>
  <c r="K244" s="1"/>
  <c r="E242"/>
  <c r="J242" s="1"/>
  <c r="E251"/>
  <c r="J251" s="1"/>
  <c r="K251" s="1"/>
  <c r="I257"/>
  <c r="J246"/>
  <c r="J249"/>
  <c r="J245"/>
  <c r="E241"/>
  <c r="J241" s="1"/>
  <c r="J247"/>
  <c r="J253"/>
  <c r="K246" l="1"/>
  <c r="K253"/>
  <c r="K242"/>
  <c r="K241"/>
  <c r="J257"/>
  <c r="K245"/>
  <c r="K247"/>
  <c r="K249"/>
  <c r="G258" l="1"/>
  <c r="K257"/>
  <c r="G59" i="95" l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  <c r="G285" s="1"/>
  <c r="G286" s="1"/>
  <c r="G287" s="1"/>
  <c r="G288" s="1"/>
  <c r="G289" s="1"/>
  <c r="G290" s="1"/>
  <c r="G291" s="1"/>
  <c r="G292" s="1"/>
  <c r="G293" s="1"/>
  <c r="G294" s="1"/>
  <c r="G295" s="1"/>
  <c r="G296" s="1"/>
  <c r="G297" s="1"/>
  <c r="G298" s="1"/>
  <c r="G299" s="1"/>
  <c r="G300" s="1"/>
  <c r="G301" s="1"/>
  <c r="G302" s="1"/>
  <c r="G303" s="1"/>
  <c r="G304" s="1"/>
  <c r="G305" s="1"/>
  <c r="G306" s="1"/>
  <c r="G307" s="1"/>
  <c r="G308" s="1"/>
  <c r="G309" s="1"/>
  <c r="G310" s="1"/>
  <c r="G311" s="1"/>
  <c r="G312" s="1"/>
  <c r="G313" s="1"/>
  <c r="G314" s="1"/>
  <c r="G315" s="1"/>
  <c r="G316" s="1"/>
  <c r="G317" s="1"/>
  <c r="G318" s="1"/>
  <c r="G319" s="1"/>
  <c r="G320" s="1"/>
  <c r="G321" s="1"/>
  <c r="G322" s="1"/>
  <c r="G323" s="1"/>
  <c r="G324" s="1"/>
  <c r="G325" s="1"/>
  <c r="G326" s="1"/>
  <c r="G327" s="1"/>
  <c r="G328" s="1"/>
  <c r="G329" s="1"/>
  <c r="G330" s="1"/>
  <c r="G331" s="1"/>
  <c r="G332" s="1"/>
  <c r="G333" s="1"/>
  <c r="G334" s="1"/>
  <c r="G335" s="1"/>
  <c r="G336" s="1"/>
  <c r="G337" s="1"/>
  <c r="G338" s="1"/>
  <c r="G339" s="1"/>
  <c r="G340" s="1"/>
  <c r="G341" s="1"/>
  <c r="G342" s="1"/>
  <c r="G343" s="1"/>
  <c r="G344" s="1"/>
  <c r="G345" s="1"/>
  <c r="G346" s="1"/>
  <c r="G347" s="1"/>
  <c r="G348" s="1"/>
  <c r="G349" s="1"/>
  <c r="G350" s="1"/>
  <c r="G351" s="1"/>
  <c r="G352" s="1"/>
  <c r="G353" s="1"/>
  <c r="G354" s="1"/>
  <c r="G355" s="1"/>
  <c r="G356" s="1"/>
  <c r="G357" s="1"/>
  <c r="G358" s="1"/>
  <c r="G359" s="1"/>
  <c r="G360" l="1"/>
  <c r="G361"/>
  <c r="G362" s="1"/>
  <c r="G363" s="1"/>
  <c r="G364" s="1"/>
  <c r="G365" s="1"/>
  <c r="G366" s="1"/>
  <c r="G367" s="1"/>
  <c r="G368" s="1"/>
  <c r="G369" s="1"/>
  <c r="G370" s="1"/>
  <c r="G371" s="1"/>
  <c r="G372" s="1"/>
  <c r="G373" l="1"/>
  <c r="G374"/>
  <c r="G375" s="1"/>
  <c r="G376" s="1"/>
  <c r="G377" s="1"/>
  <c r="G378" s="1"/>
  <c r="G379" s="1"/>
</calcChain>
</file>

<file path=xl/sharedStrings.xml><?xml version="1.0" encoding="utf-8"?>
<sst xmlns="http://schemas.openxmlformats.org/spreadsheetml/2006/main" count="3780" uniqueCount="661">
  <si>
    <t>Date</t>
  </si>
  <si>
    <t>Département</t>
  </si>
  <si>
    <t>Management</t>
  </si>
  <si>
    <t>Services</t>
  </si>
  <si>
    <t>Investigation</t>
  </si>
  <si>
    <t>Perrine ODIER</t>
  </si>
  <si>
    <t>Rubriques</t>
  </si>
  <si>
    <t xml:space="preserve">Montant en FCFA </t>
  </si>
  <si>
    <t>Total montant reçu</t>
  </si>
  <si>
    <t>Total montant dépensé</t>
  </si>
  <si>
    <t>Solde</t>
  </si>
  <si>
    <t>Details</t>
  </si>
  <si>
    <t>Type de dépenses</t>
  </si>
  <si>
    <t>Departement</t>
  </si>
  <si>
    <t>Received</t>
  </si>
  <si>
    <t>Spent</t>
  </si>
  <si>
    <t>Balance</t>
  </si>
  <si>
    <t>Name</t>
  </si>
  <si>
    <t>Receipt</t>
  </si>
  <si>
    <t>Donor</t>
  </si>
  <si>
    <t>Project</t>
  </si>
  <si>
    <t>Country</t>
  </si>
  <si>
    <t>Contrôle</t>
  </si>
  <si>
    <t>Code budgetaire</t>
  </si>
  <si>
    <t>BCI</t>
  </si>
  <si>
    <t>Caisse</t>
  </si>
  <si>
    <t>Herick</t>
  </si>
  <si>
    <t>Jospin</t>
  </si>
  <si>
    <t>Dalia</t>
  </si>
  <si>
    <t>P29</t>
  </si>
  <si>
    <t>I23C</t>
  </si>
  <si>
    <t>Evariste</t>
  </si>
  <si>
    <t>Ted</t>
  </si>
  <si>
    <t>Shely</t>
  </si>
  <si>
    <t>Transport</t>
  </si>
  <si>
    <t>Office Materials</t>
  </si>
  <si>
    <t>Jack-Bénisson</t>
  </si>
  <si>
    <t>Noms &amp; Prénoms</t>
  </si>
  <si>
    <t>Total reçu</t>
  </si>
  <si>
    <t>Total Dépenses</t>
  </si>
  <si>
    <t>Total versement</t>
  </si>
  <si>
    <t>Fonds Exterieur pour le projet</t>
  </si>
  <si>
    <t>Balance calculée</t>
  </si>
  <si>
    <t>Versement reçu</t>
  </si>
  <si>
    <t>Versements faits</t>
  </si>
  <si>
    <t>Dépenses</t>
  </si>
  <si>
    <t>Donations</t>
  </si>
  <si>
    <t>Banque</t>
  </si>
  <si>
    <t>Crépin</t>
  </si>
  <si>
    <t>i23c</t>
  </si>
  <si>
    <t>Perrine Odier</t>
  </si>
  <si>
    <t>TOTAL</t>
  </si>
  <si>
    <t>DIFFERENCE</t>
  </si>
  <si>
    <r>
      <t xml:space="preserve">Monnaie de tenue de compte: </t>
    </r>
    <r>
      <rPr>
        <b/>
        <sz val="10"/>
        <color theme="5"/>
        <rFont val="Arial Narrow"/>
        <family val="2"/>
      </rPr>
      <t>XAF</t>
    </r>
  </si>
  <si>
    <t>Mois</t>
  </si>
  <si>
    <t>Noms &amp; prénoms</t>
  </si>
  <si>
    <t>MONTANT RECU DE</t>
  </si>
  <si>
    <t>Transféré</t>
  </si>
  <si>
    <t>Dépensé</t>
  </si>
  <si>
    <t xml:space="preserve">Remboursement </t>
  </si>
  <si>
    <t>Caisses</t>
  </si>
  <si>
    <t>CAISSE</t>
  </si>
  <si>
    <t>CAISSE PALF</t>
  </si>
  <si>
    <t>BANQUES</t>
  </si>
  <si>
    <t>BCI-Compte principal</t>
  </si>
  <si>
    <t>BCI-sous compte</t>
  </si>
  <si>
    <t>BALANCE CAISSES ET BANQUE AU 31 AOÜT 2020</t>
  </si>
  <si>
    <t>AOÜT</t>
  </si>
  <si>
    <t>Balance au          01 AOÜT 2020</t>
  </si>
  <si>
    <t>Balance au 31 AOÜT  2020</t>
  </si>
  <si>
    <t>Hérick</t>
  </si>
  <si>
    <t>Monnaie de tenue de compte: XAF</t>
  </si>
  <si>
    <t>BALANCE CAISSES ET BANQUE AU 31 JUILLET 2020</t>
  </si>
  <si>
    <t>JUILLET</t>
  </si>
  <si>
    <t>Balance au 01
 JUILLET 2020</t>
  </si>
  <si>
    <t>Balance au 31
 JUILLET 2020</t>
  </si>
  <si>
    <t>Versement</t>
  </si>
  <si>
    <t>Christian</t>
  </si>
  <si>
    <t>Geisner</t>
  </si>
  <si>
    <t>BALANCE CAISSES ET BANQUE AU 30 Septembre  2020</t>
  </si>
  <si>
    <t>SEPTEMBRE</t>
  </si>
  <si>
    <t>Balance au          01 Septembre 2020</t>
  </si>
  <si>
    <t>N°Pièce</t>
  </si>
  <si>
    <t>Naftalie</t>
  </si>
  <si>
    <t>I73X</t>
  </si>
  <si>
    <t>I55S</t>
  </si>
  <si>
    <t>Ecart à régulariser</t>
  </si>
  <si>
    <t>Balance au 30 Septembre 2020</t>
  </si>
  <si>
    <t>BALANCE CAISSES ET BANQUE AU 31 Octobre 2020</t>
  </si>
  <si>
    <t>Balance au          01 Octobre 2020</t>
  </si>
  <si>
    <t>Balance au 31 Octobre 2020</t>
  </si>
  <si>
    <t>OCTOBRE</t>
  </si>
  <si>
    <t>Jack/Crépin</t>
  </si>
  <si>
    <t>Naftali</t>
  </si>
  <si>
    <t>Merveille</t>
  </si>
  <si>
    <t>Perrine</t>
  </si>
  <si>
    <t>BALANCE CAISSES ET BANQUE AU 30 Novembre 2020</t>
  </si>
  <si>
    <t>Balance au          01 Novembre 2020</t>
  </si>
  <si>
    <t>Balance au 30 Novembre 2020</t>
  </si>
  <si>
    <t>NOVEMBRE</t>
  </si>
  <si>
    <t>Hérick/Christian</t>
  </si>
  <si>
    <t xml:space="preserve">Ecart </t>
  </si>
  <si>
    <t>T44</t>
  </si>
  <si>
    <t>UE</t>
  </si>
  <si>
    <t>DECEMBRE</t>
  </si>
  <si>
    <t>Balance au          01 Décembre 2020</t>
  </si>
  <si>
    <t>Balance au 31 Décembre 2020</t>
  </si>
  <si>
    <t>BALANCE CAISSES ET BANQUE AU 31 Décembre 2020</t>
  </si>
  <si>
    <t>Hérick/Geisner</t>
  </si>
  <si>
    <t>JANVIER</t>
  </si>
  <si>
    <t>BALANCE CAISSES ET BANQUE AU 31 JANVIER 2021</t>
  </si>
  <si>
    <t>Balance au          01 Janvier 2021</t>
  </si>
  <si>
    <t>Balance au 31 Janvier 2021</t>
  </si>
  <si>
    <t>Hérick/Crépin</t>
  </si>
  <si>
    <t>Tiffany</t>
  </si>
  <si>
    <t>BALANCE CAISSES ET BANQUE AU 28 FEVRIER  2021</t>
  </si>
  <si>
    <t>FEVRIER</t>
  </si>
  <si>
    <t>Balance au          01 Février  2021</t>
  </si>
  <si>
    <t>Balance au 28 Février 2021</t>
  </si>
  <si>
    <t>Hérick/Geis</t>
  </si>
  <si>
    <t>BALANCE CAISSES ET BANQUE AU 31 Mars  2021</t>
  </si>
  <si>
    <t>MARS</t>
  </si>
  <si>
    <t>Balance au          01 Mars  2021</t>
  </si>
  <si>
    <t>Balance au 31 Mars 2021</t>
  </si>
  <si>
    <t>Activiste</t>
  </si>
  <si>
    <t>BALANCE CAISSES ET BANQUE AU 30 AVRIL  2021</t>
  </si>
  <si>
    <t>Balance au          01 Avril  2021</t>
  </si>
  <si>
    <t>Balance au 30 Avril 2021</t>
  </si>
  <si>
    <t>AVRIL</t>
  </si>
  <si>
    <t>Étiquettes de lignes</t>
  </si>
  <si>
    <t>Total général</t>
  </si>
  <si>
    <t>Étiquettes de colonnes</t>
  </si>
  <si>
    <t>BALANCE CAISSES ET BANQUE AU 30  Mai  2021</t>
  </si>
  <si>
    <t>Balance au          01 Mai  2021</t>
  </si>
  <si>
    <t>Balance au 30 Mai 2021</t>
  </si>
  <si>
    <t>MAI</t>
  </si>
  <si>
    <t>Somme de Spent</t>
  </si>
  <si>
    <t>Total Somme de Received</t>
  </si>
  <si>
    <t>Somme de Received</t>
  </si>
  <si>
    <t>Total Somme de Spent</t>
  </si>
  <si>
    <t>Internet</t>
  </si>
  <si>
    <t>BALANCE CAISSES ET BANQUE AU 30  Juin  2021</t>
  </si>
  <si>
    <t>Balance au 30 Juin  2021</t>
  </si>
  <si>
    <t>Balance au          01 Juin  2021</t>
  </si>
  <si>
    <t>JUIN</t>
  </si>
  <si>
    <t>Lawyer Fees</t>
  </si>
  <si>
    <t>Jail Visits</t>
  </si>
  <si>
    <t>BALANCE CAISSES ET BANQUE AU 31 Juillet  2021</t>
  </si>
  <si>
    <t>Balance au          01 Juillet  2021</t>
  </si>
  <si>
    <t>Balance au 31 Juillet  2021</t>
  </si>
  <si>
    <t>AOUT</t>
  </si>
  <si>
    <t>Balance au          01 Août 2021</t>
  </si>
  <si>
    <t>BALANCE CAISSES ET BANQUE AU 31 Août  2021</t>
  </si>
  <si>
    <t>Balance au 31 Août 2021</t>
  </si>
  <si>
    <t>Grace</t>
  </si>
  <si>
    <t>Godfré</t>
  </si>
  <si>
    <t>BALANCE CAISSES ET BANQUE AU 30 Septembre 2021</t>
  </si>
  <si>
    <t>Balance a   01 Septembre 2021</t>
  </si>
  <si>
    <t>Serdroque</t>
  </si>
  <si>
    <t>Travel Subsistence</t>
  </si>
  <si>
    <t>BCI-Sous Compte</t>
  </si>
  <si>
    <t>Balance a   01 Octobre 2021</t>
  </si>
  <si>
    <t>Balance au 31 Octobre 2021</t>
  </si>
  <si>
    <t>Balance au 31 Septembre 2021</t>
  </si>
  <si>
    <t>BALANCE CAISSES ET BANQUE AU 31 Octobre 2021</t>
  </si>
  <si>
    <t>Axel</t>
  </si>
  <si>
    <t>Legal</t>
  </si>
  <si>
    <t>Media</t>
  </si>
  <si>
    <t>Wildcat</t>
  </si>
  <si>
    <t>BCI-</t>
  </si>
  <si>
    <t>BALANCE 30 Novembre 2021</t>
  </si>
  <si>
    <t>BALANCE 01 Novembre 2021</t>
  </si>
  <si>
    <t>BALANCE CAISSES ET BANQUE AU 30 Novembre 2021</t>
  </si>
  <si>
    <t>TOTAL RECU EN Novembre</t>
  </si>
  <si>
    <t>Balance a   01 Novembre 2021</t>
  </si>
  <si>
    <t>B52</t>
  </si>
  <si>
    <t>Flight</t>
  </si>
  <si>
    <t>TOTAL DEPENSE EN NOVEMBRE</t>
  </si>
  <si>
    <t>Solde au 01/12/2021</t>
  </si>
  <si>
    <t>BALANCE 01 Décembre 2021</t>
  </si>
  <si>
    <t>TOTAL RECU EN DECEMBRE</t>
  </si>
  <si>
    <t>TOTAL DEPENSE EN DECEMBRE</t>
  </si>
  <si>
    <t>Balance a   01 Décembre 2021</t>
  </si>
  <si>
    <t>Balance au 31 Décembre 2021</t>
  </si>
  <si>
    <t>Balance au 30 Novembre 2021</t>
  </si>
  <si>
    <t>Personnel</t>
  </si>
  <si>
    <t>Telephone</t>
  </si>
  <si>
    <t>Transfer Fees</t>
  </si>
  <si>
    <t>CONGO</t>
  </si>
  <si>
    <t xml:space="preserve">Versement </t>
  </si>
  <si>
    <t>BALANCE CAISSES ET BANQUE AU 31 Décembre 2021</t>
  </si>
  <si>
    <t>Equipement</t>
  </si>
  <si>
    <t>BALANCE 31 Décembre 2021</t>
  </si>
  <si>
    <t>Rent &amp; Utilities</t>
  </si>
  <si>
    <t>BALANCE 01 Janvier 2022</t>
  </si>
  <si>
    <t>TOTAL DEPENSE EN JANVIER</t>
  </si>
  <si>
    <t>TOTAL RECU EN JANVIER</t>
  </si>
  <si>
    <t>BALANCE 31 Janvier 2022</t>
  </si>
  <si>
    <t>BALANCE CAISSES ET BANQUE AU 31 Janvier 2022</t>
  </si>
  <si>
    <t>Balance au 31 Janvier 2022</t>
  </si>
  <si>
    <t>Balance a   01 Janvier 2022</t>
  </si>
  <si>
    <t>Court Fees</t>
  </si>
  <si>
    <t>Trust building</t>
  </si>
  <si>
    <t>Bank Fees</t>
  </si>
  <si>
    <t>5.6</t>
  </si>
  <si>
    <t>4.5</t>
  </si>
  <si>
    <t>5.2.2</t>
  </si>
  <si>
    <t>4.3</t>
  </si>
  <si>
    <t>1.1.2.1</t>
  </si>
  <si>
    <t>1.1.1.9</t>
  </si>
  <si>
    <t>1.1.1.4</t>
  </si>
  <si>
    <t>1.1.1.7</t>
  </si>
  <si>
    <t>4.2</t>
  </si>
  <si>
    <t>4.4</t>
  </si>
  <si>
    <t>4.6</t>
  </si>
  <si>
    <t>2.2</t>
  </si>
  <si>
    <t>2.1</t>
  </si>
  <si>
    <t>1.3.2</t>
  </si>
  <si>
    <t>Names</t>
  </si>
  <si>
    <t>BALANCE 01 Février 2022</t>
  </si>
  <si>
    <t>TOTAL RECU EN FEVRIER</t>
  </si>
  <si>
    <t>TOTAL DEPENSE EN FEVRIER</t>
  </si>
  <si>
    <t>BALANCE 31 FEVRIER 2022</t>
  </si>
  <si>
    <t>Balance a   01 Février 2022</t>
  </si>
  <si>
    <t>Solde au 01/01/2022</t>
  </si>
  <si>
    <t>RAPPORT FINANCIER FEVRIER 2022</t>
  </si>
  <si>
    <t>BALANCE CAISSES ET BANQUE AU 28 Février 2022</t>
  </si>
  <si>
    <t>Balance au 28 Février 2022</t>
  </si>
  <si>
    <t>Achat credit  teléphonique MTN/PALF/Prémière partie Février 2022/Management</t>
  </si>
  <si>
    <t xml:space="preserve">Management </t>
  </si>
  <si>
    <t>Oui</t>
  </si>
  <si>
    <t>Achat credit  teléphonique MTN/PALF/Prémière partie Février 2022/Legal</t>
  </si>
  <si>
    <t>Achat credit  teléphonique MTN/PALF/Prémière partie Février 2022/Investigation</t>
  </si>
  <si>
    <t>Achat credit  teléphonique MTN/PALF/Prémière partie Février 2022/Media</t>
  </si>
  <si>
    <t>Achat credit  teléphonique Airtel/PALF/Prémière partie Février 2022/Management</t>
  </si>
  <si>
    <t>Achat credit  teléphonique Airtel/PALF/Prémière partie Février 2022/Legal</t>
  </si>
  <si>
    <t>Achat credit  teléphonique Airtel/PALF/Prémière partie Février 2022/Investigation Volontaire</t>
  </si>
  <si>
    <t>Achat credit  teléphonique Airtel/PALF/Prémière partie Février 2022/Média</t>
  </si>
  <si>
    <t>Achat baguette et colle en tube</t>
  </si>
  <si>
    <t>Office</t>
  </si>
  <si>
    <t>Expedition Courrier UE vers la Belgique par DHL</t>
  </si>
  <si>
    <t>Godfre /retour caisse pour remboursement prêt</t>
  </si>
  <si>
    <t>Achat 04 bonbones d'eau bureau</t>
  </si>
  <si>
    <t>BCI-3654468/34</t>
  </si>
  <si>
    <t xml:space="preserve">Godfre /retour caisse </t>
  </si>
  <si>
    <t>Godfre</t>
  </si>
  <si>
    <t>Entretien général du jardin bureau PALF</t>
  </si>
  <si>
    <t>Frais de mission maitre Séverin BIYOUDI à Pointe-Noire du 06 au 08/01/2022</t>
  </si>
  <si>
    <t>Achat 02 Parapheurs  de 12 et 18 compartiments/Protocole d'accord</t>
  </si>
  <si>
    <t>Décharge</t>
  </si>
  <si>
    <t>Crépin/Avance Frais Médicaux</t>
  </si>
  <si>
    <t>Achat 03 Paires de gants et 15 Scéllés pour cages perroquet</t>
  </si>
  <si>
    <t>BCI-3643611/56</t>
  </si>
  <si>
    <t>BCI-3643612/56</t>
  </si>
  <si>
    <t xml:space="preserve">  </t>
  </si>
  <si>
    <t>Frais de transfert charden farell/Grâce,Crépin,Godfré et Evariste</t>
  </si>
  <si>
    <t>Frais de transfert charden farell/Godfré</t>
  </si>
  <si>
    <t>Frais de Mission maitre Scrutin MOUYETI à Dolisie du 10 au 12/02/2022</t>
  </si>
  <si>
    <t>Frais de transfert charden Farell/Grace et Godfré</t>
  </si>
  <si>
    <t>Achat nourriture pour Perroquets/banane,noix de palme,mais,concombre papaye et Arachide</t>
  </si>
  <si>
    <t>Operation</t>
  </si>
  <si>
    <t>Achat billet Brazzaville - Pointe Noire/Tiffany GOBERT</t>
  </si>
  <si>
    <t>Achat œufs,eau,et poulet pour Chouette (Hibou)</t>
  </si>
  <si>
    <t>Crepin</t>
  </si>
  <si>
    <t>Frais de transfert charden Farell/Crépin et Evariste</t>
  </si>
  <si>
    <t>Achat billet  Pointe Noire -Brazzaville /Tiffany GOBERT</t>
  </si>
  <si>
    <t>Frais de transfert charden farell/p29</t>
  </si>
  <si>
    <t>BCI-3643613/57</t>
  </si>
  <si>
    <t>Frais de transfert charden farell à I23C</t>
  </si>
  <si>
    <t>Reglement Facture d'Eau Janvier-Février 2022/LCDE</t>
  </si>
  <si>
    <t>Bonus télécongo OP à oyo</t>
  </si>
  <si>
    <t>Bonus</t>
  </si>
  <si>
    <t>Achat crédit pour informateur/B52</t>
  </si>
  <si>
    <t>Frais de trust building/B52</t>
  </si>
  <si>
    <t>Informer Fees</t>
  </si>
  <si>
    <t>Achat credit  teléphonique Airtel/PALF/Deuxième partie Février 2022/Invinstigation</t>
  </si>
  <si>
    <t>Achat credit  teléphonique Airtel/PALF/Deuxième partie Février 2022/Legal</t>
  </si>
  <si>
    <t>Achat credit  teléphonique MTN/PALF/Deuxième partie Février 2022/Management</t>
  </si>
  <si>
    <t>Achat credit  teléphonique MTN/PALF/Deuxième partie Février 2022/Investigation</t>
  </si>
  <si>
    <t>Achat credit  teléphonique MTN/PALF/Deuxième partie Février 2022/Legal</t>
  </si>
  <si>
    <t>Achat credit  teléphonique MTN/PALF/Deuxième partie Février 2022/Média</t>
  </si>
  <si>
    <t xml:space="preserve">Bonus média OP à OYO </t>
  </si>
  <si>
    <t>Bonus média /audience du 07/02/2022</t>
  </si>
  <si>
    <t>Bonus média/portant sur la journée Mondiale du pangolin</t>
  </si>
  <si>
    <t>Frais impression photos trafiquant</t>
  </si>
  <si>
    <t xml:space="preserve">Frais de transfert charden Farell/Grace </t>
  </si>
  <si>
    <t>Frais de transfert charden Farell/Godfré</t>
  </si>
  <si>
    <t>Frais de transfert charden Farell/Crépin</t>
  </si>
  <si>
    <t>BCI-3643619/57</t>
  </si>
  <si>
    <t>Frais de transfert Charden farell/Crépin</t>
  </si>
  <si>
    <t>Reglément Facture Congo Telecom Redevance Mars 2022</t>
  </si>
  <si>
    <t>Frais de transfert charden farell à Evariste</t>
  </si>
  <si>
    <t>Grace/Remboursement dernière tranche frais telephone acquis le 04/10/2022</t>
  </si>
  <si>
    <t>Crépin/retour Caisse</t>
  </si>
  <si>
    <t>Frais de transfert Maouene Express/P29</t>
  </si>
  <si>
    <t>Retrait especes/appro caisse/bord n°3643611</t>
  </si>
  <si>
    <t>Retrait especes/appro caisse/bord n°3643612</t>
  </si>
  <si>
    <t>Retrait especes/appro caisse/bord n°3643613</t>
  </si>
  <si>
    <t>Solde honoraires contrat n°37_Pointe Noire/Maitre Séverin BIYOUDI/cas OYAGA</t>
  </si>
  <si>
    <t>Solde honoraires contrat n°38_Brazzaville/Maitre Séverin BIYOUDI/cas NGOMBELE</t>
  </si>
  <si>
    <t>Reglement loyer mois de Janvier 2022/Bureau PALF</t>
  </si>
  <si>
    <t>Reglement loyer mois de Février 2022/Bureau PALF</t>
  </si>
  <si>
    <t>Retrait especes/appro caisse/bord n°3643619</t>
  </si>
  <si>
    <t>Virement</t>
  </si>
  <si>
    <t>Paiment Salaire Mois Février 2022/Grace MOLENDE</t>
  </si>
  <si>
    <t>Paiment Salaire Mois Février 2022/Merveille MAHANGA</t>
  </si>
  <si>
    <t>Paiment Salaire Mois Février 2022/Evariste LELOUSSI</t>
  </si>
  <si>
    <t>Paiment Salaire Mois Février 2022/Godfré MALONGA</t>
  </si>
  <si>
    <t>Paiment Salaire Mois Février 2022/Crépin Evariste IBOUILI-IBOUILI</t>
  </si>
  <si>
    <t>Reglement facture honoraire du mois de Février 2022/I23C/chq n°3643624</t>
  </si>
  <si>
    <t>Reglement facture honoraire du mois de Février 2022/P29/chq n°3643626</t>
  </si>
  <si>
    <t>Relevé</t>
  </si>
  <si>
    <t>Retrait especes/appro caisse/bord n°3654468</t>
  </si>
  <si>
    <t>Reglement Facture Gardiennage Mois de Janvier 2022/3654469</t>
  </si>
  <si>
    <t>Reçu Caisse</t>
  </si>
  <si>
    <t>Reçu caisse/Frais de Mission OP OYO</t>
  </si>
  <si>
    <t>Achat Billet Brazzaville-Oyo/Grace</t>
  </si>
  <si>
    <t>Frais d'expédition des Cages plastique</t>
  </si>
  <si>
    <t>Reçu caisse/Frais de Mission OP 1 OYO</t>
  </si>
  <si>
    <t>Transfert à I23C/frais location Apprt+Commission</t>
  </si>
  <si>
    <t>Transfert à P29/flash money+Supplément Trust</t>
  </si>
  <si>
    <t>Transfert à I23C/frais d'Extraction P29</t>
  </si>
  <si>
    <t>Transfert à I23C/Fabrication 07 Cages</t>
  </si>
  <si>
    <t>Carburant aller owando BJ</t>
  </si>
  <si>
    <t>Carburant retour owando BJ</t>
  </si>
  <si>
    <t>Bonus autorité 14 gendarmes OP à OYO</t>
  </si>
  <si>
    <t>Bonus autorité 01 Eaux et Forêts OP à OYO</t>
  </si>
  <si>
    <t>Achat Boissons avant OP avec les 03 gendarmes/ Grillades+Jus</t>
  </si>
  <si>
    <t>Achat fruits et légumes 94 perroquets</t>
  </si>
  <si>
    <t>Reçu caisse/Complement frais de Mission OP OYO</t>
  </si>
  <si>
    <t>Frais de Location BJ TOYOTA LAND CRUISER/Transport perroquets</t>
  </si>
  <si>
    <t>Transfert à Crépin/Solde frais de mission</t>
  </si>
  <si>
    <t>Frais d'expédition Hibou dans sa cage</t>
  </si>
  <si>
    <t>Retour Caisse /Frais de Mission Oyo</t>
  </si>
  <si>
    <t>Reçu caisse/Av Frais de Mission OP 2 OYO</t>
  </si>
  <si>
    <t>Reçu caisse/solde Frais de Mission OP 2 OYO</t>
  </si>
  <si>
    <t>Impression Coleur/Fiche Interpol</t>
  </si>
  <si>
    <t>Transfert à I23C/Frais 1er Appartement 02 nuitées</t>
  </si>
  <si>
    <t>Transfert à Crépin/Frais 2em Appartement 02 nuitées</t>
  </si>
  <si>
    <t>Transfert à I23C/Frais d'Extraction pour Ngo + Supplement Budget</t>
  </si>
  <si>
    <t>Bonus Autorités/17 gendarmes OP 2 à OYO</t>
  </si>
  <si>
    <t>Bonus Autorités/02 Agents EF OP 2 à OYO</t>
  </si>
  <si>
    <t>Achat Carburant BJ /OP 2 Oyo</t>
  </si>
  <si>
    <t>Transfert à Crépin/</t>
  </si>
  <si>
    <t>Reçu Caisse /Budget 02 Policiers</t>
  </si>
  <si>
    <t xml:space="preserve">Bonus Autorités / 02 Policiers </t>
  </si>
  <si>
    <t>Cumul frais de Transport local mois de Fevrier 2022/Grace MOLENDE</t>
  </si>
  <si>
    <t>Retour Caisse /Derrière tranche rembourssement téléphone acquis le 04/10/21</t>
  </si>
  <si>
    <t>Versement Caisse/ Tiffany</t>
  </si>
  <si>
    <t>oui</t>
  </si>
  <si>
    <t>TIFFANY - CONGO Food allowance- Mission Pointe Noire du 10 au 14/02/2022</t>
  </si>
  <si>
    <t>Cumul frais transport local mois de Février 2022/Tiffany</t>
  </si>
  <si>
    <t>Reçu caisse</t>
  </si>
  <si>
    <t>Cumul frais de transport local mois de Février 2022/Merveille</t>
  </si>
  <si>
    <t>Reçu de caisse</t>
  </si>
  <si>
    <t>Frais d'acte d'appel cas Mampaka</t>
  </si>
  <si>
    <t>Frais de l'expédition cas Mampaka</t>
  </si>
  <si>
    <t>Reçu de caisse/Frais Médicaux</t>
  </si>
  <si>
    <t>Billet: Brazzaville-Oyo /Crépin</t>
  </si>
  <si>
    <t>CREPIN IBOUILI - CONGO Food-Allowance du 06 au 16/02/2022 à oyo</t>
  </si>
  <si>
    <t>Reçu de caisse via Grace</t>
  </si>
  <si>
    <t>Boissons et nourriture (grillades) pendant l'attente du top pour op de 03 gendarme, 01 agent des eaux et forets et moi</t>
  </si>
  <si>
    <t>Cumul Ration  du 10/02/2022 de 04 Gendarmes de recherches Owando à Oyo (DOUNIAMA OBOURA, OBAMI Ger, NYANGA Marie , EWOBOKO Ghislain)</t>
  </si>
  <si>
    <t>Cumul Ration  du 11/02/2022 de 04 Gendarmes de recherches Owando à Oyo (DOUNIAMA OBOURA, OBAMI Ger, NYANGA Marie , EWOBOKO Ghislain)</t>
  </si>
  <si>
    <t>Reçu de caisse via Evariste</t>
  </si>
  <si>
    <t>Cumul Ration  du 12/02/2022 de 04 Gendarmes de recherches Owando à Oyo (DOUNIAMA OBOURA, OBAMI Ger, NYANGA Marie , EWOBOKO Ghislain)</t>
  </si>
  <si>
    <t>Cumul Ration  du 13/02/2022 de 04 Gendarmes de recherches Owando à Oyo (DOUNIAMA OBOURA, OBAMI Ger, NYANGA Marie , EWOBOKO Ghislain)</t>
  </si>
  <si>
    <t>05 Nuitées du 09 au 14/02/2022 à Oyo pour 04 Gendarmes de recherches (DOUNIAMA OBOURA, OBAMI Ger, NYANGA Marie , EWOBOKO Ghislain)</t>
  </si>
  <si>
    <t>Frais d'impression de la procédure de la gendarmerie</t>
  </si>
  <si>
    <t>Cumul Ration  du 14/02/2022 de 04 Gendarmes de recherches Owando à Oyo (DOUNIAMA OBOURA, OBAMI Ger, NYANGA Marie , EWOBOKO Ghislain)</t>
  </si>
  <si>
    <t>Frais de transport Oyo-Owando pour 04 gendarmes</t>
  </si>
  <si>
    <t>Frais d'Hotel 01 Nuitée du 14 au 15/02/2022 à Oyo pour 04 Gendarmes de recherches (DOUNIAMA OBOURA, OBAMI Ger, NYANGA Marie , EWOBOKO Ghislain)</t>
  </si>
  <si>
    <t>Billet: Oyo-Brazzaville/Crépin</t>
  </si>
  <si>
    <t>CREPIN IBOUILI - CONGO Frais d'Hotel 10 Nuitées du 06 au 16/02/2022 à Oyo</t>
  </si>
  <si>
    <t>Billet: Brazzaville -Oyo/Crépin</t>
  </si>
  <si>
    <t>Reçu de Grace</t>
  </si>
  <si>
    <t>Boissons  pendant l'attente du top pour op de 03 gendarme, 02 agent des eaux et forets et moi</t>
  </si>
  <si>
    <t>Frais de location de 03 taxis pendant plus d'une (01) heure pour la suite des interpellations</t>
  </si>
  <si>
    <t>Frais d'Hotel du 18 au 20/02/2022 OYO (02 nuitées) pour OP 2/Appartement OP</t>
  </si>
  <si>
    <t>Cumul ration du 20/02/2022 de 04 gendarmes (DOUNIAMA,MVIRI Farel, OBAMI Ger, NYANGA Marien)</t>
  </si>
  <si>
    <t>Cumul ration du 21/02/2022 de 04 gendarmes (DOUNIAMA,MVIRI Farel, OBAMI Ger, NYANGA Marien)</t>
  </si>
  <si>
    <t>Cumul ration du 22/02/2022 de 04 gendarmes(DOUNIAMA,MVIRI Farel, OBAMI Ger, NYANGA Marien)</t>
  </si>
  <si>
    <t>Cumul ration du 23/02/2022 de 04 gendarmes(DOUNIAMA,MVIRI Farel, OBAMI Ger, NYANGA Marien)</t>
  </si>
  <si>
    <t>Transfert à Godfré</t>
  </si>
  <si>
    <t>Cumul frais de Jail visit Mois Février 2022/Crépin</t>
  </si>
  <si>
    <t>Jail visits</t>
  </si>
  <si>
    <t>Cumul ration du 24/02/2022 de 04 gendarmes(DOUNIAMA,MVIRI Farel, OBAMI Ger, NYANGA Marien)</t>
  </si>
  <si>
    <t>Cumul ration du 24/02/2022 de 02 policiers (NIMI Alphonse et MALONGA Hervé)</t>
  </si>
  <si>
    <t>Billets pour 02 policiers: Oyo-Makoua/Crépin</t>
  </si>
  <si>
    <t>Frais d'Hotel 01 Nuitée du 24 au 25/02/2022 pour 02 policiers à Oyo (NIMI Alphonse et MALONGA Hervé)</t>
  </si>
  <si>
    <t>Frais de l'impression de la procédure EF</t>
  </si>
  <si>
    <t>Frais de l'impression de la procédure de la gendarmerie</t>
  </si>
  <si>
    <t>Frais de transport Oyo-Owando pour les 04 gendarmes (DOUNIAMA,MVIRI Farel, OBAMI Ger, NYANGA Marien)</t>
  </si>
  <si>
    <t>Frais d'Hotel 07 Nuitées pour 4 gendarmes du 19 au 26/02/2022 (DOUNIAMA,MVIRI Farel, OBAMI Ger, NYANGA Marien)</t>
  </si>
  <si>
    <t>Cumul ration du 25/02/2022 de 04 gendarmes(DOUNIAMA,MVIRI Farel, OBAMI Ger, NYANGA Marien)</t>
  </si>
  <si>
    <t>CREPIN IBOUILI - CONGO Frais d'Hotel 07 Nuitées à Oyo du 19 au 26/02/2022</t>
  </si>
  <si>
    <t>Cumul frais de transport local Février 2022/Crépin</t>
  </si>
  <si>
    <t>Retour à la caisse</t>
  </si>
  <si>
    <t>Reçu de la caisse</t>
  </si>
  <si>
    <t>Achat billet Brazzaville-Oyo /Evariste</t>
  </si>
  <si>
    <t>EVARISTE LELOUSSI - CONGO Food Allowance du 6 au 13 février 2021 mission Oyo</t>
  </si>
  <si>
    <t>Achats des jus, eau mineral et biscuit pour mon équipe lors de l'opération</t>
  </si>
  <si>
    <t xml:space="preserve">Achat pointes de 2, grillage à la quincaillerie </t>
  </si>
  <si>
    <t>Mains d'œuvre du menuisier pour mettre les grillages sur 4 cages</t>
  </si>
  <si>
    <t xml:space="preserve">Reçu de la caisse </t>
  </si>
  <si>
    <t>EVARISTE LELOUSSI - CONGO Frais d'hôtel du 06 au 13 février 2022  ( 7 nuitées)</t>
  </si>
  <si>
    <t>Billet Oyo-Brazzaville/Evariste</t>
  </si>
  <si>
    <t>Achat billet Brazzaville-Oyo/Evariste</t>
  </si>
  <si>
    <t>EVARISTE LELOUSSI - CONGO Food Allowance du 18 au 26 février 2022 mission Oyo</t>
  </si>
  <si>
    <t>Achat Jus, Biscuits et eau minérale pour l'équipe de l'opération d'Oyo</t>
  </si>
  <si>
    <t>Impression des photos des trafs au Labo photo Khanisoft</t>
  </si>
  <si>
    <t>Cumul Frais de Transport Local du mois  Février 2022/Evariste LELOUSSI</t>
  </si>
  <si>
    <t>EVARISTE LELOUSSI - CONGO Frais d'hôtel du 18 au 26 février 2022 (8 nuités)</t>
  </si>
  <si>
    <t>Achat billet Oyo-Brazzaville/Evariste</t>
  </si>
  <si>
    <t>Cumul frais Jail visits mois de Février 2022/EVARISTE LELOUSSI</t>
  </si>
  <si>
    <t xml:space="preserve">Retour Caisse </t>
  </si>
  <si>
    <t>Achat billet aller(Brazzaville-Pointe-Noire)/Godfré</t>
  </si>
  <si>
    <t>GODFRE-CONGO  Food Allowance du 06 au 12/02/2022 à Pointe-Noire et Dolisie</t>
  </si>
  <si>
    <t>Frais de mandat d'arrêt</t>
  </si>
  <si>
    <t>Frais d'impression documents</t>
  </si>
  <si>
    <t>GODFRE-CONGO Frais d'hôtel (trois nuitées) du 06 au 09/02/2022 à Pointe-Noire</t>
  </si>
  <si>
    <t>Achat billet(Pointe Noire-Dolisie)/Godfré</t>
  </si>
  <si>
    <t>Achat billet retour(Dolisie-Brazzaville)/Godfre</t>
  </si>
  <si>
    <t>Achat billet aller (Brazzaville-Oyo)/Godfré</t>
  </si>
  <si>
    <t>GODFRE-CONGO Food Allowance du 18 au 23/02/2022 à Oyo</t>
  </si>
  <si>
    <t>Achat boissons et sandwich pour 4 gendarmes de mon équipe et moi pendant l'opération</t>
  </si>
  <si>
    <t>GODFRE-CONGO Frais d'hôtel 02 nuitées Du 18 au 20/02/22 à OYO</t>
  </si>
  <si>
    <t xml:space="preserve">Frais impression des deux PV de Armel </t>
  </si>
  <si>
    <t>Frais de location de véhicule(acheminer Armel de MAKOUA à Brazzaville)</t>
  </si>
  <si>
    <t>GODFRE-CONGO Frais d'hôtel 03 nuitées du 20 au 23/02/2022 à MAKOUA</t>
  </si>
  <si>
    <t>Achat boissons et sandwich des policiers pendant le voyage de MAKOUA à BZV</t>
  </si>
  <si>
    <t>Cumul frais de jail visits du mois de Février 2022/Godfré</t>
  </si>
  <si>
    <t>Cumul frais de transport local février 2022/Godfré</t>
  </si>
  <si>
    <t>Réçu de caisse</t>
  </si>
  <si>
    <t>Achat billet BZ-Oyo (mission pour Oyo)/I23C</t>
  </si>
  <si>
    <t>I23C - CONGO Food allowance mission Oyo du 4 au 10 février 2022</t>
  </si>
  <si>
    <t>Paiement démarcheur pour recherche appartement</t>
  </si>
  <si>
    <t>Location Appartement  3 nuitées du 7 au 10 février 2022/OP 1 à Oyo</t>
  </si>
  <si>
    <t>Achat 07 Cages en bois cages</t>
  </si>
  <si>
    <t>Réçu de caisse (fond extraction)</t>
  </si>
  <si>
    <t>Récu de caisse de P29</t>
  </si>
  <si>
    <t>Paiement Taxi extraction Oyo-Ngo (Extraction)/I23C</t>
  </si>
  <si>
    <t>Transfert à P29 (budget supplémentaire) extrait du flash</t>
  </si>
  <si>
    <t>Taxi Ngo-Brazzaville (départ pour BZ)/I23C</t>
  </si>
  <si>
    <t>Réçu caisse</t>
  </si>
  <si>
    <t>I23C - CONGO Food allowance mission Oyo du 14 au 20 février 2022</t>
  </si>
  <si>
    <t>Réçu caisse (de grace pour payement appartement)</t>
  </si>
  <si>
    <t>Location Appartement OP 2 à Oyo/ 2 nuitées du 18 au 20 février 2022</t>
  </si>
  <si>
    <t>Réçu de caisse (budget supplémentaire et extraction)</t>
  </si>
  <si>
    <t>Achat billet BZ-Loudima (cfr mission Sibiti)/I23C</t>
  </si>
  <si>
    <t>I23C - CONGO Food allowance mission Sibiti du 24 au 28 février 2022</t>
  </si>
  <si>
    <t>Taxi Loudima - Sibiti (départ pour Sibiti)/I23C</t>
  </si>
  <si>
    <t>Cumul frais de trust building du mois Février 2022/I23C</t>
  </si>
  <si>
    <t>Taxi Sibiti- Loudima (départ pour Loudima)/I23C</t>
  </si>
  <si>
    <t>Taxi Loudima- Brazzaville (départ pour BZ)/I23C</t>
  </si>
  <si>
    <t>Cumul frais de transport local mois Février 2022/I23C</t>
  </si>
  <si>
    <t>Recu de caisse</t>
  </si>
  <si>
    <t>Decharge</t>
  </si>
  <si>
    <t>Achat billet brazza-oyo/P29</t>
  </si>
  <si>
    <t xml:space="preserve">Achat aliment 94 perroquets </t>
  </si>
  <si>
    <t>Transfert à I23C</t>
  </si>
  <si>
    <t xml:space="preserve">Recu de Francy </t>
  </si>
  <si>
    <t>Achat billet ngo-brazzaville/P29</t>
  </si>
  <si>
    <t>Achat billet brazza-loudima/P29</t>
  </si>
  <si>
    <t>Achat billet loudima- sibiti/P29</t>
  </si>
  <si>
    <t>Frais Commission,visite appartement/Démarcheur</t>
  </si>
  <si>
    <t>Achat billet sibiti-loudima/P29</t>
  </si>
  <si>
    <t>Achat billet loudima- brazzaville/P29</t>
  </si>
  <si>
    <t>P29 - CONGO Food allowance mission du 24 au 01/03/2022 à Sibiti</t>
  </si>
  <si>
    <t>Achat billet loudima-sibiti/P29</t>
  </si>
  <si>
    <t>Achat billet sibiti-zanaga/P29</t>
  </si>
  <si>
    <t>Cumul Frais de Trust Building du Mois Février 2022/P29</t>
  </si>
  <si>
    <t>Cumul frais de transport local mois de février 2022/P29</t>
  </si>
  <si>
    <t>Recu de Grace</t>
  </si>
  <si>
    <t>reçu de caisse</t>
  </si>
  <si>
    <t>versement</t>
  </si>
  <si>
    <t>Cumul Frais de Trust Building février 2022/B52</t>
  </si>
  <si>
    <t>Cumul frais de ration février 2022/B52</t>
  </si>
  <si>
    <t>Cumul frais de transport local mois de Février 2022/B52</t>
  </si>
  <si>
    <t>Frais bancaire Février 2022/Compte 56</t>
  </si>
  <si>
    <t>Frais bancaire Février 2022/Compte 34</t>
  </si>
  <si>
    <t>RALFF</t>
  </si>
  <si>
    <t>PALF</t>
  </si>
  <si>
    <t>Frais de mission à OYO du 13 au 15/02/2022 maitre Marie Hélène NANITELAMIO</t>
  </si>
  <si>
    <t>Acompte Honoraire Contrat N°42-OYO / Me Hélène NANITELAMIO /Cas NGATSONGO Fabrice</t>
  </si>
  <si>
    <t>Frais de mission à OYO du 23 au 25/02/2022 maitre Marie Hélène NANITELAMIO</t>
  </si>
  <si>
    <t>Complément Frais de mission à OYO du 25 au 26/02/2022 maitre Marie Hélène NANITELAMIO</t>
  </si>
  <si>
    <t>Achat billet aller Oyo-MAKOUA/Godfré</t>
  </si>
  <si>
    <t>Ration Journalière 04 gendarmes à Oyo/procédures</t>
  </si>
  <si>
    <t>Frais de mission à pointe-Noire du 27/02 AU 01/03/2022,cas Jimmy/Me Anicet NGOMA-MOUSSAHOU</t>
  </si>
  <si>
    <t>Achat billet départ Brazzaville -Dolisie/Godfré</t>
  </si>
  <si>
    <t>GODFRE-CONGO Food Allowance du 24/02/2022 au à 2/03/2022à Dolisie et à P/N</t>
  </si>
  <si>
    <t>Achat billet départ Dolisie - Pointe-Noire/Godfré</t>
  </si>
  <si>
    <t>Achat billet Brazzaville-Oyo (mission pour Oyo)/I23C</t>
  </si>
  <si>
    <t>Transport 6 cages par Canadian</t>
  </si>
  <si>
    <t xml:space="preserve">Transport 4 cages par TAC (hors format) </t>
  </si>
  <si>
    <t>Frais de Mission maitre Scrutin MOUYETI à Dolisie du 24  au 26/02/2022</t>
  </si>
  <si>
    <t>Reçu caisse de crépin</t>
  </si>
  <si>
    <t>Frais d'Hotel granilia 01 nuitées pour 02 policiers du 23 au 24 /02/2022 /Brazzaville (Cas Armel)</t>
  </si>
  <si>
    <t xml:space="preserve">Cumul Ration Journalière 02 policiers (après la route fait de Makoua à brazzaville/du soir) </t>
  </si>
  <si>
    <t>Achat credit  teléphonique MTN/PALF/Prémière partie Février 2022/Invenstigation volontaire</t>
  </si>
  <si>
    <t>Achat credit  teléphonique Airtel/PALF/Prémière partie Février 2022/Invenstigation</t>
  </si>
  <si>
    <t>Team Building</t>
  </si>
  <si>
    <t>Service traiteur et bonus média pour signature du protocole d'accord/Avance</t>
  </si>
  <si>
    <t>Paiement frais de démarcheur</t>
  </si>
  <si>
    <t>CREPIN IBOUILI - CONGO Food Allowance du 18 au 26/02/2021 à Oyo</t>
  </si>
  <si>
    <t>P29 - CONGO Food allowance mission du 04 au 10/02/2022 à Oyo</t>
  </si>
  <si>
    <t>P29 - CONGO Food allowance mission du 14 au 19/02/2022 à Sibiti</t>
  </si>
  <si>
    <t>GRACE -CONGO Food Allowance du 06 au 10/02/2022 à OYO</t>
  </si>
  <si>
    <t>GRACE - CONGO Food Allowance du 18 au 20/02/2022 à OYO</t>
  </si>
  <si>
    <t>GRACE - CONGO Frais d'Hotel 02 nuitées du 18 au 20/02/2022 à OYO/Grace</t>
  </si>
  <si>
    <t>GRACE - CONGO Frais d'Hotel 04 nuitées du 06 au 10/02/2022 à OYO/Grace</t>
  </si>
  <si>
    <t>GODFRE-CONGO Frais d'hôtel 03 nuitées à Dolisie du 09 au 12/02/2022</t>
  </si>
  <si>
    <t>I23C - CONGO Frais Hôtel 1 nuit du 19 au 20 février 2022 à Ngo</t>
  </si>
  <si>
    <t>I23C - CONGO Frais Hôtel 1 nuitée du 9 au 10 février 2022 à Ngo</t>
  </si>
  <si>
    <t>I23C - CONGO Frais Hôtel 4 nuitées du 14 au 18 Février (cfr mission Oyo)</t>
  </si>
  <si>
    <t>I23C - CONGO Frais Hôtel 4 nuitées du 24 au 28 févr 2022 Sibiti</t>
  </si>
  <si>
    <t>I23C - CONGO Frais Hôtel 5 nuitées du 4 au 9/2/2022 à Oyo</t>
  </si>
  <si>
    <t>P29 - CONGO Frais Hôtel 1 nuitée du 09 au 10/02/2022 à Ngo</t>
  </si>
  <si>
    <t>P29 - CONGO Frais Hôtel 2 nuitées du 24 au 26/02/2022 à zanaga</t>
  </si>
  <si>
    <t>P29 - CONGO Frais Hôtel 4 nuitées du 04 au 08/02/2022 à Oyo</t>
  </si>
  <si>
    <t>P29 - CONGO Frais Hôtel 5 nuitées du 14 au 19/02/2022 à Sibiti</t>
  </si>
  <si>
    <t>GODFRE - CONGO Frais d'hôtel 02 nuitées du 24/02 au 26/02/2022 à Dolisie</t>
  </si>
  <si>
    <t>GODFRE - CONGO Frais d'hôtel du 26/02 au 28/02/2022 à Pointe Noire</t>
  </si>
  <si>
    <t>RALFF-CO2989</t>
  </si>
  <si>
    <t>RALFF-CO2990</t>
  </si>
  <si>
    <t>RALFF-CO2991</t>
  </si>
  <si>
    <t>RALFF-CO2992</t>
  </si>
  <si>
    <t>RALFF-CO2993</t>
  </si>
  <si>
    <t>RALFF-CO2994</t>
  </si>
  <si>
    <t>RALFF-CO2995</t>
  </si>
  <si>
    <t>RALFF-CO2996</t>
  </si>
  <si>
    <t>RALFF-CO2997</t>
  </si>
  <si>
    <t>RALFF-CO2998</t>
  </si>
  <si>
    <t>RALFF-CO2999</t>
  </si>
  <si>
    <t>RALFF-CO3000</t>
  </si>
  <si>
    <t>RALFF-CO3001</t>
  </si>
  <si>
    <t>RALFF-CO3002</t>
  </si>
  <si>
    <t>RALFF-CO3003</t>
  </si>
  <si>
    <t>RALFF-CO3004</t>
  </si>
  <si>
    <t>RALFF-CO3005</t>
  </si>
  <si>
    <t>RALFF-CO3006</t>
  </si>
  <si>
    <t>RALFF-CO3007</t>
  </si>
  <si>
    <t>RALFF-CO3008</t>
  </si>
  <si>
    <t>RALFF-CO3009</t>
  </si>
  <si>
    <t>RALFF-CO3010</t>
  </si>
  <si>
    <t>RALFF-CO3011</t>
  </si>
  <si>
    <t>RALFF-CO3012</t>
  </si>
  <si>
    <t>RALFF-CO3013</t>
  </si>
  <si>
    <t>RALFF-CO3014</t>
  </si>
  <si>
    <t>RALFF-CO3015</t>
  </si>
  <si>
    <t>RALFF-CO3016</t>
  </si>
  <si>
    <t>RALFF-CO3017</t>
  </si>
  <si>
    <t>RALFF-CO3018</t>
  </si>
  <si>
    <t>RALFF-CO3019</t>
  </si>
  <si>
    <t>RALFF-CO3020</t>
  </si>
  <si>
    <t>RALFF-CO3021</t>
  </si>
  <si>
    <t>RALFF-CO3022</t>
  </si>
  <si>
    <t>RALFF-CO3023</t>
  </si>
  <si>
    <t>RALFF-CO3024</t>
  </si>
  <si>
    <t>RALFF-CO3025</t>
  </si>
  <si>
    <t>RALFF-CO3026</t>
  </si>
  <si>
    <t>RALFF-CO3027</t>
  </si>
  <si>
    <t>RALFF-CO3028</t>
  </si>
  <si>
    <t>RALFF-CO3029</t>
  </si>
  <si>
    <t>RALFF-CO3030</t>
  </si>
  <si>
    <t>RALFF-CO3031</t>
  </si>
  <si>
    <t>RALFF-CO3032</t>
  </si>
  <si>
    <t>RALFF-CO3033</t>
  </si>
  <si>
    <t>RALFF-CO3034</t>
  </si>
  <si>
    <t>RALFF-CO3035</t>
  </si>
  <si>
    <t>RALFF-CO3036</t>
  </si>
  <si>
    <t>RALFF-CO3037</t>
  </si>
  <si>
    <t>RALFF-CO3038</t>
  </si>
  <si>
    <t>RALFF-CO3039</t>
  </si>
  <si>
    <t>RALFF-CO3040</t>
  </si>
  <si>
    <t>RALFF-CO3041</t>
  </si>
  <si>
    <t>RALFF-CO3042</t>
  </si>
  <si>
    <t>RALFF-CO3043</t>
  </si>
  <si>
    <t>RALFF-CO3044</t>
  </si>
  <si>
    <t>RALFF-CO3045</t>
  </si>
  <si>
    <t>RALFF-CO3046</t>
  </si>
  <si>
    <t>RALFF-CO3047</t>
  </si>
  <si>
    <t>RALFF-CO3048</t>
  </si>
  <si>
    <t>RALFF-CO3049</t>
  </si>
  <si>
    <t>RALFF-CO3050</t>
  </si>
  <si>
    <t>RALFF-CO3051</t>
  </si>
  <si>
    <t>RALFF-CO3052</t>
  </si>
  <si>
    <t>RALFF-CO3053</t>
  </si>
  <si>
    <t>RALFF-CO3054</t>
  </si>
  <si>
    <t>RALFF-CO3055</t>
  </si>
  <si>
    <t>RALFF-CO3056</t>
  </si>
  <si>
    <t>RALFF-CO3057</t>
  </si>
  <si>
    <t>RALFF-CO3058</t>
  </si>
  <si>
    <t>RALFF-CO3059</t>
  </si>
  <si>
    <t>RALFF-CO3060</t>
  </si>
  <si>
    <t>RALFF-CO3061</t>
  </si>
  <si>
    <t>RALFF-CO3062</t>
  </si>
  <si>
    <t>RALFF-CO3063</t>
  </si>
  <si>
    <t>RALFF-CO3064</t>
  </si>
  <si>
    <t>RALFF-CO3065</t>
  </si>
  <si>
    <t>RALFF-CO3066</t>
  </si>
  <si>
    <t>RALFF-CO3067</t>
  </si>
  <si>
    <t>RALFF-CO3068</t>
  </si>
  <si>
    <t>RALFF-CO3069</t>
  </si>
  <si>
    <t>RALFF-CO3070</t>
  </si>
  <si>
    <t>RALFF-CO3071</t>
  </si>
  <si>
    <t>RALFF-CO3072</t>
  </si>
  <si>
    <t>RALFF-CO3073</t>
  </si>
  <si>
    <t>RALFF-CO3074</t>
  </si>
  <si>
    <t>RALFF-CO3075</t>
  </si>
  <si>
    <t>RALFF-CO3076</t>
  </si>
  <si>
    <t>RALFF-CO3077</t>
  </si>
  <si>
    <t>RALFF-CO3078</t>
  </si>
  <si>
    <t>RALFF-CO3079</t>
  </si>
  <si>
    <t>RALFF-CO3080</t>
  </si>
  <si>
    <t>RALFF-CO3081</t>
  </si>
  <si>
    <t>RALFF-CO3082</t>
  </si>
  <si>
    <t>RALFF-CO3083</t>
  </si>
  <si>
    <t>RALFF-CO3084</t>
  </si>
  <si>
    <t>RALFF-CO3085</t>
  </si>
  <si>
    <t>RALFF-CO3086</t>
  </si>
  <si>
    <t>RALFF-CO3087</t>
  </si>
  <si>
    <t>RALFF-CO3088</t>
  </si>
  <si>
    <t>RALFF-CO3089</t>
  </si>
  <si>
    <t>RALFF-CO3090</t>
  </si>
  <si>
    <t>RALFF-CO3091</t>
  </si>
  <si>
    <t>RALFF-CO3092</t>
  </si>
  <si>
    <t>RALFF-CO3093</t>
  </si>
  <si>
    <t>RALFF-CO3094</t>
  </si>
  <si>
    <t>RALFF-CO3095</t>
  </si>
  <si>
    <t>RALFF-CO3096</t>
  </si>
  <si>
    <t>RALFF-CO3097</t>
  </si>
  <si>
    <t>RALFF-CO3098</t>
  </si>
  <si>
    <t>RALFF-CO3099</t>
  </si>
  <si>
    <t>RALFF-CO3100</t>
  </si>
  <si>
    <t>RALFF-CO3101</t>
  </si>
  <si>
    <t>RALFF-CO3102</t>
  </si>
  <si>
    <t>RALFF-CO3103</t>
  </si>
  <si>
    <t>RALFF-CO3104</t>
  </si>
  <si>
    <t>RALFF-CO3105</t>
  </si>
  <si>
    <t>RALFF-CO3106</t>
  </si>
  <si>
    <t>RALFF-CO3107</t>
  </si>
  <si>
    <t>RALFF-CO3108</t>
  </si>
  <si>
    <t>RALFF-CO3109</t>
  </si>
  <si>
    <t>RALFF-CO3110</t>
  </si>
  <si>
    <t>RALFF-CO3111</t>
  </si>
  <si>
    <t>RALFF-CO3112</t>
  </si>
  <si>
    <t>RALFF-CO3113</t>
  </si>
  <si>
    <t>RALFF-CO3114</t>
  </si>
  <si>
    <t>RALFF-CO3115</t>
  </si>
  <si>
    <t>RALFF-CO3116</t>
  </si>
  <si>
    <t>RALFF-CO3117</t>
  </si>
  <si>
    <t>RALFF-CO3118</t>
  </si>
  <si>
    <t>RALFF-CO3119</t>
  </si>
  <si>
    <t>RALFF-CO3120</t>
  </si>
  <si>
    <t>RALFF-CO3121</t>
  </si>
  <si>
    <t>RALFF-CO3122</t>
  </si>
  <si>
    <t>Reglement loyer Tiffany mois de Janvier et Février 2022/800USD</t>
  </si>
  <si>
    <t>Achat Billet Oyo-Brazzaville/Grace</t>
  </si>
  <si>
    <t>Achat billet  bzv-loudima/P29</t>
  </si>
</sst>
</file>

<file path=xl/styles.xml><?xml version="1.0" encoding="utf-8"?>
<styleSheet xmlns="http://schemas.openxmlformats.org/spreadsheetml/2006/main">
  <numFmts count="9">
    <numFmt numFmtId="41" formatCode="_-* #,##0\ _F_C_F_A_-;\-* #,##0\ _F_C_F_A_-;_-* &quot;-&quot;\ _F_C_F_A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\ _€_-;\-* #,##0\ _€_-;_-* &quot;-&quot;??\ _€_-;_-@"/>
    <numFmt numFmtId="167" formatCode="[$-409]d\-mmm\-yy;@"/>
    <numFmt numFmtId="168" formatCode="[$-40C]0"/>
    <numFmt numFmtId="169" formatCode="&quot; &quot;#,##0&quot;    &quot;;&quot;-&quot;#,##0&quot;    &quot;;&quot; -&quot;#&quot;    &quot;;&quot; &quot;@&quot; &quot;"/>
    <numFmt numFmtId="170" formatCode="[$-40C]General"/>
    <numFmt numFmtId="171" formatCode="[$]d\ mmm\ yyyy;@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theme="5"/>
      <name val="Arial Narrow"/>
      <family val="2"/>
    </font>
    <font>
      <b/>
      <sz val="10"/>
      <color theme="5"/>
      <name val="Arial Narrow"/>
      <family val="2"/>
    </font>
    <font>
      <b/>
      <i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rgb="FFFF0000"/>
      <name val="Calibri"/>
      <family val="2"/>
      <scheme val="minor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sz val="9"/>
      <color rgb="FF000000"/>
      <name val="Arial Narrow"/>
      <family val="2"/>
    </font>
    <font>
      <sz val="10"/>
      <color rgb="FFED7D31"/>
      <name val="Arial Narrow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sz val="12"/>
      <color theme="1"/>
      <name val="Arial Narrow"/>
      <family val="2"/>
    </font>
    <font>
      <sz val="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sz val="12"/>
      <name val="Arial Narrow"/>
      <family val="2"/>
    </font>
    <font>
      <sz val="12"/>
      <color theme="0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8"/>
      <color rgb="FFFF0000"/>
      <name val="Calibri"/>
      <family val="2"/>
      <scheme val="minor"/>
    </font>
    <font>
      <b/>
      <sz val="12"/>
      <color theme="1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lightGray">
        <bgColor theme="5" tint="0.3999755851924192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0" fillId="0" borderId="0"/>
    <xf numFmtId="41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23" fillId="0" borderId="0" applyBorder="0" applyProtection="0"/>
  </cellStyleXfs>
  <cellXfs count="36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11" fillId="6" borderId="1" xfId="3" applyNumberFormat="1" applyFont="1" applyFill="1" applyBorder="1"/>
    <xf numFmtId="0" fontId="11" fillId="6" borderId="1" xfId="3" applyFont="1" applyFill="1" applyBorder="1"/>
    <xf numFmtId="0" fontId="12" fillId="0" borderId="1" xfId="0" applyFont="1" applyFill="1" applyBorder="1" applyAlignment="1"/>
    <xf numFmtId="165" fontId="0" fillId="0" borderId="0" xfId="0" applyNumberFormat="1" applyAlignment="1">
      <alignment vertical="center"/>
    </xf>
    <xf numFmtId="0" fontId="12" fillId="0" borderId="0" xfId="0" applyFont="1" applyFill="1" applyBorder="1" applyAlignment="1"/>
    <xf numFmtId="0" fontId="13" fillId="0" borderId="0" xfId="0" applyFont="1" applyBorder="1" applyAlignment="1">
      <alignment vertical="center"/>
    </xf>
    <xf numFmtId="165" fontId="14" fillId="0" borderId="0" xfId="1" applyNumberFormat="1" applyFont="1" applyBorder="1" applyProtection="1">
      <protection locked="0"/>
    </xf>
    <xf numFmtId="165" fontId="15" fillId="0" borderId="0" xfId="1" applyNumberFormat="1" applyFont="1" applyBorder="1" applyProtection="1">
      <protection locked="0"/>
    </xf>
    <xf numFmtId="165" fontId="12" fillId="0" borderId="0" xfId="0" applyNumberFormat="1" applyFont="1" applyFill="1" applyBorder="1" applyAlignment="1"/>
    <xf numFmtId="165" fontId="13" fillId="0" borderId="0" xfId="0" applyNumberFormat="1" applyFont="1" applyBorder="1" applyAlignment="1">
      <alignment vertical="center"/>
    </xf>
    <xf numFmtId="0" fontId="16" fillId="0" borderId="0" xfId="0" applyFont="1" applyAlignment="1"/>
    <xf numFmtId="0" fontId="4" fillId="0" borderId="0" xfId="0" applyFont="1" applyAlignment="1"/>
    <xf numFmtId="0" fontId="5" fillId="7" borderId="0" xfId="0" applyFont="1" applyFill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Alignment="1"/>
    <xf numFmtId="165" fontId="4" fillId="0" borderId="0" xfId="1" applyNumberFormat="1" applyFont="1" applyFill="1" applyProtection="1"/>
    <xf numFmtId="165" fontId="5" fillId="0" borderId="3" xfId="1" applyNumberFormat="1" applyFont="1" applyFill="1" applyBorder="1" applyAlignment="1" applyProtection="1">
      <alignment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4" fillId="10" borderId="4" xfId="1" applyNumberFormat="1" applyFont="1" applyFill="1" applyBorder="1" applyAlignment="1" applyProtection="1">
      <alignment horizontal="center" vertical="center"/>
    </xf>
    <xf numFmtId="0" fontId="18" fillId="10" borderId="5" xfId="0" applyFont="1" applyFill="1" applyBorder="1" applyAlignment="1"/>
    <xf numFmtId="165" fontId="4" fillId="10" borderId="5" xfId="1" applyNumberFormat="1" applyFont="1" applyFill="1" applyBorder="1" applyProtection="1"/>
    <xf numFmtId="165" fontId="4" fillId="10" borderId="5" xfId="0" applyNumberFormat="1" applyFont="1" applyFill="1" applyBorder="1" applyAlignment="1"/>
    <xf numFmtId="165" fontId="4" fillId="0" borderId="3" xfId="1" applyNumberFormat="1" applyFont="1" applyBorder="1" applyProtection="1"/>
    <xf numFmtId="165" fontId="0" fillId="0" borderId="1" xfId="1" applyNumberFormat="1" applyFont="1" applyFill="1" applyBorder="1" applyProtection="1"/>
    <xf numFmtId="165" fontId="4" fillId="0" borderId="6" xfId="1" applyNumberFormat="1" applyFont="1" applyFill="1" applyBorder="1" applyProtection="1"/>
    <xf numFmtId="165" fontId="4" fillId="0" borderId="1" xfId="0" applyNumberFormat="1" applyFont="1" applyFill="1" applyBorder="1" applyAlignment="1"/>
    <xf numFmtId="165" fontId="4" fillId="0" borderId="1" xfId="1" applyNumberFormat="1" applyFont="1" applyFill="1" applyBorder="1" applyProtection="1"/>
    <xf numFmtId="165" fontId="19" fillId="0" borderId="1" xfId="1" applyNumberFormat="1" applyFont="1" applyFill="1" applyBorder="1" applyProtection="1"/>
    <xf numFmtId="165" fontId="1" fillId="0" borderId="1" xfId="1" applyNumberFormat="1" applyFont="1" applyFill="1" applyBorder="1" applyProtection="1"/>
    <xf numFmtId="165" fontId="5" fillId="10" borderId="4" xfId="1" applyNumberFormat="1" applyFont="1" applyFill="1" applyBorder="1" applyAlignment="1" applyProtection="1">
      <alignment horizontal="left"/>
    </xf>
    <xf numFmtId="165" fontId="5" fillId="10" borderId="5" xfId="1" applyNumberFormat="1" applyFont="1" applyFill="1" applyBorder="1" applyAlignment="1" applyProtection="1">
      <alignment horizontal="left"/>
    </xf>
    <xf numFmtId="165" fontId="4" fillId="10" borderId="1" xfId="0" applyNumberFormat="1" applyFont="1" applyFill="1" applyBorder="1" applyAlignment="1"/>
    <xf numFmtId="0" fontId="5" fillId="0" borderId="4" xfId="0" applyFont="1" applyFill="1" applyBorder="1" applyAlignment="1"/>
    <xf numFmtId="165" fontId="4" fillId="0" borderId="1" xfId="1" applyNumberFormat="1" applyFont="1" applyFill="1" applyBorder="1" applyAlignment="1" applyProtection="1"/>
    <xf numFmtId="165" fontId="4" fillId="0" borderId="6" xfId="1" applyNumberFormat="1" applyFont="1" applyBorder="1" applyProtection="1"/>
    <xf numFmtId="165" fontId="20" fillId="0" borderId="1" xfId="1" applyNumberFormat="1" applyFont="1" applyBorder="1" applyProtection="1"/>
    <xf numFmtId="165" fontId="20" fillId="0" borderId="0" xfId="1" applyNumberFormat="1" applyFont="1" applyProtection="1"/>
    <xf numFmtId="165" fontId="10" fillId="0" borderId="1" xfId="0" applyNumberFormat="1" applyFont="1" applyBorder="1" applyAlignment="1"/>
    <xf numFmtId="0" fontId="18" fillId="10" borderId="4" xfId="0" applyFont="1" applyFill="1" applyBorder="1" applyAlignment="1"/>
    <xf numFmtId="165" fontId="0" fillId="0" borderId="1" xfId="1" applyNumberFormat="1" applyFont="1" applyBorder="1" applyProtection="1"/>
    <xf numFmtId="165" fontId="4" fillId="0" borderId="1" xfId="0" applyNumberFormat="1" applyFont="1" applyBorder="1" applyAlignment="1"/>
    <xf numFmtId="0" fontId="0" fillId="0" borderId="1" xfId="0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165" fontId="16" fillId="0" borderId="6" xfId="1" applyNumberFormat="1" applyFont="1" applyBorder="1" applyProtection="1"/>
    <xf numFmtId="165" fontId="19" fillId="0" borderId="6" xfId="1" applyNumberFormat="1" applyFont="1" applyBorder="1" applyProtection="1"/>
    <xf numFmtId="165" fontId="19" fillId="0" borderId="1" xfId="1" applyNumberFormat="1" applyFont="1" applyBorder="1" applyAlignment="1" applyProtection="1">
      <alignment vertical="center"/>
    </xf>
    <xf numFmtId="165" fontId="19" fillId="5" borderId="1" xfId="1" applyNumberFormat="1" applyFont="1" applyFill="1" applyBorder="1" applyProtection="1"/>
    <xf numFmtId="165" fontId="9" fillId="0" borderId="3" xfId="1" applyNumberFormat="1" applyFont="1" applyFill="1" applyBorder="1" applyProtection="1"/>
    <xf numFmtId="165" fontId="19" fillId="5" borderId="1" xfId="1" applyNumberFormat="1" applyFont="1" applyFill="1" applyBorder="1" applyAlignment="1" applyProtection="1">
      <alignment vertical="center"/>
    </xf>
    <xf numFmtId="165" fontId="1" fillId="0" borderId="0" xfId="1" applyNumberFormat="1" applyFont="1" applyFill="1" applyProtection="1"/>
    <xf numFmtId="165" fontId="19" fillId="0" borderId="1" xfId="1" applyNumberFormat="1" applyFont="1" applyFill="1" applyBorder="1" applyAlignment="1" applyProtection="1">
      <alignment horizontal="center" vertical="center"/>
    </xf>
    <xf numFmtId="165" fontId="8" fillId="0" borderId="6" xfId="1" applyNumberFormat="1" applyFont="1" applyFill="1" applyBorder="1" applyProtection="1"/>
    <xf numFmtId="165" fontId="21" fillId="0" borderId="0" xfId="1" applyNumberFormat="1" applyFont="1" applyBorder="1" applyProtection="1">
      <protection locked="0"/>
    </xf>
    <xf numFmtId="0" fontId="6" fillId="0" borderId="1" xfId="0" applyFont="1" applyFill="1" applyBorder="1" applyAlignment="1"/>
    <xf numFmtId="0" fontId="22" fillId="0" borderId="1" xfId="0" applyFont="1" applyBorder="1" applyAlignment="1">
      <alignment vertical="center"/>
    </xf>
    <xf numFmtId="165" fontId="23" fillId="0" borderId="1" xfId="1" applyNumberFormat="1" applyFont="1" applyBorder="1" applyProtection="1">
      <protection locked="0"/>
    </xf>
    <xf numFmtId="165" fontId="24" fillId="0" borderId="1" xfId="1" applyNumberFormat="1" applyFont="1" applyBorder="1" applyProtection="1">
      <protection locked="0"/>
    </xf>
    <xf numFmtId="0" fontId="7" fillId="0" borderId="0" xfId="0" applyFont="1" applyAlignment="1">
      <alignment vertical="center"/>
    </xf>
    <xf numFmtId="0" fontId="2" fillId="7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0" fillId="10" borderId="1" xfId="0" applyFill="1" applyBorder="1" applyAlignment="1">
      <alignment vertical="center"/>
    </xf>
    <xf numFmtId="3" fontId="0" fillId="10" borderId="1" xfId="0" applyNumberForma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7" fillId="0" borderId="0" xfId="0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13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24" fillId="0" borderId="0" xfId="0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65" fontId="4" fillId="0" borderId="0" xfId="1" applyNumberFormat="1" applyFont="1" applyFill="1" applyBorder="1" applyProtection="1"/>
    <xf numFmtId="165" fontId="4" fillId="17" borderId="4" xfId="1" applyNumberFormat="1" applyFont="1" applyFill="1" applyBorder="1" applyAlignment="1" applyProtection="1">
      <alignment horizontal="center" vertical="center"/>
    </xf>
    <xf numFmtId="0" fontId="18" fillId="17" borderId="5" xfId="0" applyFont="1" applyFill="1" applyBorder="1" applyAlignment="1"/>
    <xf numFmtId="165" fontId="4" fillId="17" borderId="5" xfId="1" applyNumberFormat="1" applyFont="1" applyFill="1" applyBorder="1" applyProtection="1"/>
    <xf numFmtId="165" fontId="4" fillId="17" borderId="5" xfId="0" applyNumberFormat="1" applyFont="1" applyFill="1" applyBorder="1" applyAlignment="1"/>
    <xf numFmtId="165" fontId="4" fillId="0" borderId="3" xfId="1" applyNumberFormat="1" applyFont="1" applyFill="1" applyBorder="1" applyProtection="1"/>
    <xf numFmtId="165" fontId="24" fillId="0" borderId="1" xfId="1" applyNumberFormat="1" applyFont="1" applyFill="1" applyBorder="1" applyProtection="1"/>
    <xf numFmtId="165" fontId="28" fillId="0" borderId="1" xfId="1" applyNumberFormat="1" applyFont="1" applyFill="1" applyBorder="1" applyAlignment="1" applyProtection="1">
      <alignment horizontal="center" vertical="center"/>
    </xf>
    <xf numFmtId="165" fontId="23" fillId="0" borderId="1" xfId="1" applyNumberFormat="1" applyFont="1" applyFill="1" applyBorder="1" applyProtection="1"/>
    <xf numFmtId="165" fontId="28" fillId="0" borderId="1" xfId="1" applyNumberFormat="1" applyFont="1" applyFill="1" applyBorder="1" applyProtection="1"/>
    <xf numFmtId="165" fontId="23" fillId="0" borderId="0" xfId="1" applyNumberFormat="1" applyFont="1" applyFill="1" applyBorder="1" applyProtection="1"/>
    <xf numFmtId="165" fontId="5" fillId="17" borderId="4" xfId="1" applyNumberFormat="1" applyFont="1" applyFill="1" applyBorder="1" applyAlignment="1" applyProtection="1">
      <alignment horizontal="left"/>
    </xf>
    <xf numFmtId="165" fontId="5" fillId="17" borderId="5" xfId="1" applyNumberFormat="1" applyFont="1" applyFill="1" applyBorder="1" applyAlignment="1" applyProtection="1">
      <alignment horizontal="left"/>
    </xf>
    <xf numFmtId="165" fontId="4" fillId="17" borderId="1" xfId="0" applyNumberFormat="1" applyFont="1" applyFill="1" applyBorder="1" applyAlignment="1"/>
    <xf numFmtId="165" fontId="29" fillId="0" borderId="1" xfId="1" applyNumberFormat="1" applyFont="1" applyFill="1" applyBorder="1" applyProtection="1"/>
    <xf numFmtId="3" fontId="24" fillId="0" borderId="1" xfId="0" applyNumberFormat="1" applyFont="1" applyFill="1" applyBorder="1" applyAlignment="1">
      <alignment vertical="center"/>
    </xf>
    <xf numFmtId="165" fontId="29" fillId="0" borderId="0" xfId="1" applyNumberFormat="1" applyFont="1" applyFill="1" applyBorder="1" applyProtection="1"/>
    <xf numFmtId="165" fontId="10" fillId="0" borderId="1" xfId="0" applyNumberFormat="1" applyFont="1" applyFill="1" applyBorder="1" applyAlignment="1"/>
    <xf numFmtId="0" fontId="18" fillId="17" borderId="4" xfId="0" applyFont="1" applyFill="1" applyBorder="1" applyAlignment="1"/>
    <xf numFmtId="165" fontId="30" fillId="0" borderId="3" xfId="1" applyNumberFormat="1" applyFont="1" applyFill="1" applyBorder="1" applyProtection="1"/>
    <xf numFmtId="165" fontId="28" fillId="0" borderId="6" xfId="1" applyNumberFormat="1" applyFont="1" applyFill="1" applyBorder="1" applyProtection="1"/>
    <xf numFmtId="165" fontId="28" fillId="18" borderId="1" xfId="1" applyNumberFormat="1" applyFont="1" applyFill="1" applyBorder="1" applyProtection="1"/>
    <xf numFmtId="165" fontId="28" fillId="18" borderId="1" xfId="1" applyNumberFormat="1" applyFont="1" applyFill="1" applyBorder="1" applyAlignment="1" applyProtection="1">
      <alignment vertical="center"/>
    </xf>
    <xf numFmtId="165" fontId="31" fillId="0" borderId="6" xfId="1" applyNumberFormat="1" applyFont="1" applyFill="1" applyBorder="1" applyProtection="1"/>
    <xf numFmtId="165" fontId="31" fillId="0" borderId="1" xfId="1" applyNumberFormat="1" applyFont="1" applyFill="1" applyBorder="1" applyProtection="1"/>
    <xf numFmtId="165" fontId="28" fillId="0" borderId="1" xfId="1" applyNumberFormat="1" applyFont="1" applyFill="1" applyBorder="1" applyAlignment="1" applyProtection="1">
      <alignment vertical="center"/>
    </xf>
    <xf numFmtId="165" fontId="24" fillId="0" borderId="0" xfId="0" applyNumberFormat="1" applyFont="1" applyFill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6" fillId="0" borderId="1" xfId="0" applyFont="1" applyFill="1" applyBorder="1" applyAlignment="1"/>
    <xf numFmtId="165" fontId="19" fillId="0" borderId="6" xfId="1" applyNumberFormat="1" applyFont="1" applyFill="1" applyBorder="1" applyProtection="1"/>
    <xf numFmtId="165" fontId="19" fillId="0" borderId="1" xfId="0" applyNumberFormat="1" applyFont="1" applyFill="1" applyBorder="1" applyAlignment="1"/>
    <xf numFmtId="165" fontId="7" fillId="0" borderId="0" xfId="0" applyNumberFormat="1" applyFont="1" applyAlignment="1">
      <alignment vertical="center"/>
    </xf>
    <xf numFmtId="165" fontId="8" fillId="0" borderId="6" xfId="1" applyNumberFormat="1" applyFont="1" applyBorder="1" applyProtection="1"/>
    <xf numFmtId="165" fontId="8" fillId="0" borderId="1" xfId="1" applyNumberFormat="1" applyFont="1" applyFill="1" applyBorder="1" applyProtection="1"/>
    <xf numFmtId="165" fontId="32" fillId="0" borderId="0" xfId="0" applyNumberFormat="1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7" fillId="22" borderId="0" xfId="0" applyNumberFormat="1" applyFont="1" applyFill="1" applyAlignment="1">
      <alignment vertical="center"/>
    </xf>
    <xf numFmtId="165" fontId="4" fillId="3" borderId="3" xfId="1" applyNumberFormat="1" applyFont="1" applyFill="1" applyBorder="1" applyProtection="1"/>
    <xf numFmtId="0" fontId="12" fillId="3" borderId="1" xfId="0" applyFont="1" applyFill="1" applyBorder="1" applyAlignment="1"/>
    <xf numFmtId="165" fontId="0" fillId="3" borderId="1" xfId="1" applyNumberFormat="1" applyFont="1" applyFill="1" applyBorder="1" applyProtection="1"/>
    <xf numFmtId="165" fontId="4" fillId="3" borderId="1" xfId="1" applyNumberFormat="1" applyFont="1" applyFill="1" applyBorder="1" applyProtection="1"/>
    <xf numFmtId="165" fontId="4" fillId="3" borderId="6" xfId="1" applyNumberFormat="1" applyFont="1" applyFill="1" applyBorder="1" applyProtection="1"/>
    <xf numFmtId="0" fontId="0" fillId="3" borderId="0" xfId="0" applyFill="1" applyAlignment="1">
      <alignment vertical="center"/>
    </xf>
    <xf numFmtId="165" fontId="1" fillId="3" borderId="1" xfId="1" applyNumberFormat="1" applyFont="1" applyFill="1" applyBorder="1" applyProtection="1"/>
    <xf numFmtId="165" fontId="4" fillId="3" borderId="1" xfId="0" applyNumberFormat="1" applyFont="1" applyFill="1" applyBorder="1" applyAlignment="1"/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6" fillId="21" borderId="1" xfId="0" applyFont="1" applyFill="1" applyBorder="1" applyAlignment="1"/>
    <xf numFmtId="0" fontId="22" fillId="21" borderId="1" xfId="0" applyFont="1" applyFill="1" applyBorder="1" applyAlignment="1">
      <alignment vertical="center"/>
    </xf>
    <xf numFmtId="165" fontId="23" fillId="21" borderId="1" xfId="1" applyNumberFormat="1" applyFont="1" applyFill="1" applyBorder="1" applyProtection="1">
      <protection locked="0"/>
    </xf>
    <xf numFmtId="165" fontId="24" fillId="21" borderId="1" xfId="1" applyNumberFormat="1" applyFont="1" applyFill="1" applyBorder="1" applyProtection="1">
      <protection locked="0"/>
    </xf>
    <xf numFmtId="165" fontId="4" fillId="5" borderId="1" xfId="1" applyNumberFormat="1" applyFont="1" applyFill="1" applyBorder="1" applyProtection="1"/>
    <xf numFmtId="165" fontId="19" fillId="21" borderId="1" xfId="1" applyNumberFormat="1" applyFont="1" applyFill="1" applyBorder="1" applyProtection="1"/>
    <xf numFmtId="165" fontId="4" fillId="21" borderId="1" xfId="0" applyNumberFormat="1" applyFont="1" applyFill="1" applyBorder="1" applyAlignment="1"/>
    <xf numFmtId="165" fontId="4" fillId="0" borderId="1" xfId="1" applyNumberFormat="1" applyFont="1" applyBorder="1" applyProtection="1"/>
    <xf numFmtId="165" fontId="4" fillId="21" borderId="1" xfId="1" applyNumberFormat="1" applyFont="1" applyFill="1" applyBorder="1" applyProtection="1"/>
    <xf numFmtId="165" fontId="19" fillId="5" borderId="1" xfId="0" applyNumberFormat="1" applyFont="1" applyFill="1" applyBorder="1" applyAlignment="1"/>
    <xf numFmtId="165" fontId="19" fillId="0" borderId="1" xfId="1" applyNumberFormat="1" applyFont="1" applyBorder="1" applyProtection="1"/>
    <xf numFmtId="165" fontId="19" fillId="0" borderId="0" xfId="1" applyNumberFormat="1" applyFont="1" applyProtection="1"/>
    <xf numFmtId="0" fontId="5" fillId="0" borderId="1" xfId="0" applyFont="1" applyFill="1" applyBorder="1" applyAlignment="1"/>
    <xf numFmtId="0" fontId="5" fillId="5" borderId="1" xfId="0" applyFont="1" applyFill="1" applyBorder="1" applyAlignment="1"/>
    <xf numFmtId="0" fontId="5" fillId="21" borderId="1" xfId="0" applyFont="1" applyFill="1" applyBorder="1" applyAlignment="1"/>
    <xf numFmtId="0" fontId="19" fillId="5" borderId="1" xfId="0" applyFont="1" applyFill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165" fontId="19" fillId="0" borderId="3" xfId="1" applyNumberFormat="1" applyFont="1" applyFill="1" applyBorder="1" applyProtection="1"/>
    <xf numFmtId="0" fontId="33" fillId="0" borderId="0" xfId="0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35" fillId="0" borderId="0" xfId="1" applyNumberFormat="1" applyFont="1" applyBorder="1" applyProtection="1">
      <protection locked="0"/>
    </xf>
    <xf numFmtId="165" fontId="8" fillId="0" borderId="1" xfId="1" applyNumberFormat="1" applyFont="1" applyFill="1" applyBorder="1" applyAlignment="1" applyProtection="1">
      <alignment horizontal="center" vertical="center"/>
    </xf>
    <xf numFmtId="165" fontId="8" fillId="5" borderId="1" xfId="1" applyNumberFormat="1" applyFont="1" applyFill="1" applyBorder="1" applyProtection="1"/>
    <xf numFmtId="165" fontId="8" fillId="21" borderId="1" xfId="1" applyNumberFormat="1" applyFont="1" applyFill="1" applyBorder="1" applyProtection="1"/>
    <xf numFmtId="0" fontId="8" fillId="5" borderId="1" xfId="0" applyFont="1" applyFill="1" applyBorder="1" applyAlignment="1">
      <alignment vertical="center"/>
    </xf>
    <xf numFmtId="165" fontId="8" fillId="0" borderId="1" xfId="1" applyNumberFormat="1" applyFont="1" applyBorder="1" applyProtection="1"/>
    <xf numFmtId="165" fontId="34" fillId="0" borderId="0" xfId="0" applyNumberFormat="1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37" fillId="0" borderId="0" xfId="0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40" fillId="0" borderId="4" xfId="0" applyFont="1" applyFill="1" applyBorder="1" applyAlignment="1"/>
    <xf numFmtId="165" fontId="19" fillId="0" borderId="1" xfId="0" applyNumberFormat="1" applyFont="1" applyBorder="1" applyAlignment="1"/>
    <xf numFmtId="0" fontId="40" fillId="0" borderId="0" xfId="0" applyFont="1" applyFill="1" applyBorder="1" applyAlignment="1"/>
    <xf numFmtId="0" fontId="40" fillId="0" borderId="1" xfId="0" applyFont="1" applyFill="1" applyBorder="1" applyAlignment="1"/>
    <xf numFmtId="165" fontId="19" fillId="0" borderId="3" xfId="1" applyNumberFormat="1" applyFont="1" applyBorder="1" applyProtection="1"/>
    <xf numFmtId="165" fontId="1" fillId="0" borderId="1" xfId="1" applyNumberFormat="1" applyFont="1" applyBorder="1" applyProtection="1"/>
    <xf numFmtId="165" fontId="19" fillId="22" borderId="1" xfId="0" applyNumberFormat="1" applyFont="1" applyFill="1" applyBorder="1" applyAlignment="1"/>
    <xf numFmtId="0" fontId="1" fillId="0" borderId="1" xfId="0" applyFont="1" applyBorder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NumberFormat="1"/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65" fontId="15" fillId="0" borderId="0" xfId="1" applyNumberFormat="1" applyFont="1" applyFill="1" applyBorder="1" applyProtection="1">
      <protection locked="0"/>
    </xf>
    <xf numFmtId="165" fontId="14" fillId="0" borderId="0" xfId="1" applyNumberFormat="1" applyFont="1" applyFill="1" applyBorder="1" applyProtection="1">
      <protection locked="0"/>
    </xf>
    <xf numFmtId="165" fontId="13" fillId="0" borderId="0" xfId="0" applyNumberFormat="1" applyFont="1" applyFill="1" applyBorder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/>
    </xf>
    <xf numFmtId="165" fontId="24" fillId="0" borderId="1" xfId="1" applyNumberFormat="1" applyFont="1" applyFill="1" applyBorder="1" applyProtection="1">
      <protection locked="0"/>
    </xf>
    <xf numFmtId="165" fontId="19" fillId="21" borderId="1" xfId="1" applyNumberFormat="1" applyFont="1" applyFill="1" applyBorder="1" applyAlignment="1" applyProtection="1">
      <alignment horizontal="center"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36" fillId="0" borderId="1" xfId="0" applyFont="1" applyFill="1" applyBorder="1" applyAlignment="1">
      <alignment horizontal="left" vertical="center"/>
    </xf>
    <xf numFmtId="168" fontId="36" fillId="0" borderId="1" xfId="2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1" xfId="0" applyFont="1" applyFill="1" applyBorder="1" applyAlignment="1">
      <alignment vertical="center"/>
    </xf>
    <xf numFmtId="14" fontId="41" fillId="0" borderId="1" xfId="3" applyNumberFormat="1" applyFont="1" applyFill="1" applyBorder="1"/>
    <xf numFmtId="165" fontId="5" fillId="0" borderId="3" xfId="1" applyNumberFormat="1" applyFont="1" applyFill="1" applyBorder="1" applyAlignment="1" applyProtection="1">
      <alignment horizontal="center" vertical="center" wrapText="1"/>
    </xf>
    <xf numFmtId="14" fontId="36" fillId="0" borderId="1" xfId="0" applyNumberFormat="1" applyFont="1" applyFill="1" applyBorder="1" applyAlignment="1">
      <alignment vertical="center"/>
    </xf>
    <xf numFmtId="3" fontId="36" fillId="0" borderId="1" xfId="1" applyNumberFormat="1" applyFont="1" applyFill="1" applyBorder="1" applyAlignment="1" applyProtection="1">
      <alignment horizontal="right"/>
    </xf>
    <xf numFmtId="0" fontId="36" fillId="5" borderId="1" xfId="0" applyFont="1" applyFill="1" applyBorder="1" applyAlignment="1">
      <alignment vertical="center"/>
    </xf>
    <xf numFmtId="0" fontId="36" fillId="19" borderId="1" xfId="0" applyFont="1" applyFill="1" applyBorder="1" applyAlignment="1">
      <alignment vertical="center"/>
    </xf>
    <xf numFmtId="0" fontId="36" fillId="23" borderId="1" xfId="0" applyFont="1" applyFill="1" applyBorder="1" applyAlignment="1">
      <alignment vertical="center"/>
    </xf>
    <xf numFmtId="41" fontId="36" fillId="23" borderId="1" xfId="4" applyFont="1" applyFill="1" applyBorder="1" applyAlignment="1">
      <alignment vertical="center"/>
    </xf>
    <xf numFmtId="3" fontId="36" fillId="0" borderId="1" xfId="1" applyNumberFormat="1" applyFont="1" applyFill="1" applyBorder="1" applyAlignment="1" applyProtection="1">
      <alignment horizontal="right" vertical="center"/>
    </xf>
    <xf numFmtId="165" fontId="36" fillId="0" borderId="1" xfId="1" applyNumberFormat="1" applyFont="1" applyFill="1" applyBorder="1" applyAlignment="1" applyProtection="1">
      <alignment vertical="center"/>
    </xf>
    <xf numFmtId="0" fontId="42" fillId="21" borderId="1" xfId="0" applyFont="1" applyFill="1" applyBorder="1" applyAlignment="1">
      <alignment vertical="center"/>
    </xf>
    <xf numFmtId="165" fontId="36" fillId="0" borderId="1" xfId="0" applyNumberFormat="1" applyFont="1" applyFill="1" applyBorder="1" applyAlignment="1">
      <alignment vertical="center"/>
    </xf>
    <xf numFmtId="165" fontId="43" fillId="0" borderId="1" xfId="0" applyNumberFormat="1" applyFont="1" applyFill="1" applyBorder="1" applyAlignment="1">
      <alignment vertical="center"/>
    </xf>
    <xf numFmtId="165" fontId="36" fillId="0" borderId="1" xfId="1" applyNumberFormat="1" applyFont="1" applyFill="1" applyBorder="1" applyAlignment="1">
      <alignment vertical="center"/>
    </xf>
    <xf numFmtId="166" fontId="36" fillId="0" borderId="1" xfId="0" applyNumberFormat="1" applyFont="1" applyFill="1" applyBorder="1" applyAlignment="1">
      <alignment vertical="center"/>
    </xf>
    <xf numFmtId="0" fontId="36" fillId="12" borderId="1" xfId="0" applyFont="1" applyFill="1" applyBorder="1" applyAlignment="1">
      <alignment vertical="center"/>
    </xf>
    <xf numFmtId="165" fontId="36" fillId="12" borderId="1" xfId="1" applyNumberFormat="1" applyFont="1" applyFill="1" applyBorder="1" applyAlignment="1" applyProtection="1">
      <alignment vertical="center"/>
    </xf>
    <xf numFmtId="0" fontId="36" fillId="12" borderId="1" xfId="0" applyFont="1" applyFill="1" applyBorder="1" applyAlignment="1">
      <alignment horizontal="left" vertical="center"/>
    </xf>
    <xf numFmtId="0" fontId="36" fillId="0" borderId="1" xfId="2" applyFont="1" applyFill="1" applyBorder="1" applyAlignment="1">
      <alignment vertical="center"/>
    </xf>
    <xf numFmtId="168" fontId="36" fillId="0" borderId="1" xfId="2" applyNumberFormat="1" applyFont="1" applyFill="1" applyBorder="1" applyAlignment="1">
      <alignment vertical="center" wrapText="1"/>
    </xf>
    <xf numFmtId="0" fontId="36" fillId="0" borderId="1" xfId="2" applyFont="1" applyFill="1" applyBorder="1" applyAlignment="1" applyProtection="1">
      <alignment vertical="center"/>
    </xf>
    <xf numFmtId="168" fontId="36" fillId="0" borderId="1" xfId="2" applyNumberFormat="1" applyFont="1" applyFill="1" applyBorder="1" applyAlignment="1" applyProtection="1">
      <alignment vertical="center"/>
    </xf>
    <xf numFmtId="168" fontId="36" fillId="0" borderId="1" xfId="2" applyNumberFormat="1" applyFont="1" applyFill="1" applyBorder="1" applyAlignment="1" applyProtection="1">
      <alignment vertical="center" wrapText="1"/>
    </xf>
    <xf numFmtId="165" fontId="36" fillId="0" borderId="1" xfId="1" applyNumberFormat="1" applyFont="1" applyFill="1" applyBorder="1" applyAlignment="1">
      <alignment horizontal="left" vertical="center" wrapText="1"/>
    </xf>
    <xf numFmtId="165" fontId="36" fillId="0" borderId="1" xfId="1" applyNumberFormat="1" applyFont="1" applyFill="1" applyBorder="1" applyAlignment="1">
      <alignment horizontal="right"/>
    </xf>
    <xf numFmtId="169" fontId="36" fillId="0" borderId="1" xfId="6" applyNumberFormat="1" applyFont="1" applyFill="1" applyBorder="1" applyAlignment="1">
      <alignment horizontal="right" wrapText="1"/>
    </xf>
    <xf numFmtId="0" fontId="36" fillId="0" borderId="1" xfId="0" applyFont="1" applyFill="1" applyBorder="1" applyAlignment="1">
      <alignment horizontal="right"/>
    </xf>
    <xf numFmtId="169" fontId="36" fillId="0" borderId="1" xfId="6" applyNumberFormat="1" applyFont="1" applyFill="1" applyBorder="1" applyAlignment="1" applyProtection="1">
      <alignment horizontal="right" wrapText="1"/>
    </xf>
    <xf numFmtId="165" fontId="36" fillId="0" borderId="1" xfId="0" applyNumberFormat="1" applyFont="1" applyFill="1" applyBorder="1" applyAlignment="1">
      <alignment horizontal="left" vertical="center"/>
    </xf>
    <xf numFmtId="0" fontId="36" fillId="0" borderId="1" xfId="2" applyFont="1" applyFill="1" applyBorder="1" applyAlignment="1" applyProtection="1">
      <alignment horizontal="left" vertical="center"/>
    </xf>
    <xf numFmtId="3" fontId="36" fillId="12" borderId="1" xfId="1" applyNumberFormat="1" applyFont="1" applyFill="1" applyBorder="1" applyAlignment="1" applyProtection="1">
      <alignment horizontal="right"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36" fillId="0" borderId="1" xfId="0" applyFont="1" applyFill="1" applyBorder="1"/>
    <xf numFmtId="165" fontId="36" fillId="0" borderId="1" xfId="1" applyNumberFormat="1" applyFont="1" applyFill="1" applyBorder="1" applyAlignment="1">
      <alignment horizontal="right" vertical="center"/>
    </xf>
    <xf numFmtId="165" fontId="36" fillId="0" borderId="1" xfId="0" applyNumberFormat="1" applyFont="1" applyFill="1" applyBorder="1" applyAlignment="1">
      <alignment horizontal="right" vertical="center"/>
    </xf>
    <xf numFmtId="0" fontId="36" fillId="0" borderId="1" xfId="0" applyFont="1" applyFill="1" applyBorder="1" applyAlignment="1">
      <alignment horizontal="right" vertical="center"/>
    </xf>
    <xf numFmtId="169" fontId="36" fillId="0" borderId="1" xfId="6" applyNumberFormat="1" applyFont="1" applyFill="1" applyBorder="1" applyAlignment="1">
      <alignment horizontal="right" vertical="center" wrapText="1"/>
    </xf>
    <xf numFmtId="169" fontId="36" fillId="0" borderId="1" xfId="6" applyNumberFormat="1" applyFont="1" applyFill="1" applyBorder="1" applyAlignment="1" applyProtection="1">
      <alignment horizontal="right" vertical="center" wrapText="1"/>
    </xf>
    <xf numFmtId="169" fontId="36" fillId="0" borderId="1" xfId="6" applyNumberFormat="1" applyFont="1" applyFill="1" applyBorder="1" applyAlignment="1">
      <alignment horizontal="right" vertical="center"/>
    </xf>
    <xf numFmtId="0" fontId="36" fillId="0" borderId="1" xfId="2" applyFont="1" applyFill="1" applyBorder="1" applyAlignment="1" applyProtection="1"/>
    <xf numFmtId="0" fontId="36" fillId="0" borderId="1" xfId="0" applyFont="1" applyFill="1" applyBorder="1" applyAlignment="1"/>
    <xf numFmtId="0" fontId="36" fillId="0" borderId="1" xfId="0" applyFont="1" applyBorder="1" applyAlignment="1">
      <alignment vertical="center"/>
    </xf>
    <xf numFmtId="0" fontId="36" fillId="0" borderId="1" xfId="0" applyFont="1" applyBorder="1"/>
    <xf numFmtId="165" fontId="36" fillId="0" borderId="1" xfId="1" applyNumberFormat="1" applyFont="1" applyBorder="1"/>
    <xf numFmtId="0" fontId="36" fillId="0" borderId="1" xfId="0" applyFont="1" applyBorder="1" applyAlignment="1"/>
    <xf numFmtId="168" fontId="36" fillId="0" borderId="1" xfId="2" applyNumberFormat="1" applyFont="1" applyFill="1" applyBorder="1" applyAlignment="1">
      <alignment vertical="top"/>
    </xf>
    <xf numFmtId="170" fontId="36" fillId="0" borderId="1" xfId="2" applyNumberFormat="1" applyFont="1" applyFill="1" applyBorder="1" applyAlignment="1">
      <alignment vertical="top"/>
    </xf>
    <xf numFmtId="169" fontId="36" fillId="0" borderId="1" xfId="6" applyNumberFormat="1" applyFont="1" applyFill="1" applyBorder="1" applyAlignment="1">
      <alignment horizontal="right" vertical="top" wrapText="1"/>
    </xf>
    <xf numFmtId="170" fontId="36" fillId="0" borderId="1" xfId="2" applyNumberFormat="1" applyFont="1" applyFill="1" applyBorder="1" applyAlignment="1"/>
    <xf numFmtId="3" fontId="36" fillId="0" borderId="1" xfId="1" applyNumberFormat="1" applyFont="1" applyFill="1" applyBorder="1" applyAlignment="1" applyProtection="1"/>
    <xf numFmtId="165" fontId="36" fillId="0" borderId="1" xfId="1" applyNumberFormat="1" applyFont="1" applyFill="1" applyBorder="1" applyAlignment="1"/>
    <xf numFmtId="165" fontId="36" fillId="0" borderId="1" xfId="0" applyNumberFormat="1" applyFont="1" applyFill="1" applyBorder="1" applyAlignment="1"/>
    <xf numFmtId="165" fontId="36" fillId="0" borderId="1" xfId="1" applyNumberFormat="1" applyFont="1" applyBorder="1" applyAlignment="1"/>
    <xf numFmtId="169" fontId="36" fillId="0" borderId="1" xfId="6" applyNumberFormat="1" applyFont="1" applyFill="1" applyBorder="1" applyAlignment="1">
      <alignment wrapText="1"/>
    </xf>
    <xf numFmtId="169" fontId="36" fillId="0" borderId="1" xfId="6" applyNumberFormat="1" applyFont="1" applyFill="1" applyBorder="1" applyAlignment="1"/>
    <xf numFmtId="168" fontId="36" fillId="0" borderId="1" xfId="2" applyNumberFormat="1" applyFont="1" applyFill="1" applyBorder="1" applyAlignment="1">
      <alignment wrapText="1"/>
    </xf>
    <xf numFmtId="0" fontId="36" fillId="0" borderId="1" xfId="0" applyFont="1" applyBorder="1" applyAlignment="1">
      <alignment horizontal="center" vertical="center"/>
    </xf>
    <xf numFmtId="0" fontId="36" fillId="12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/>
    </xf>
    <xf numFmtId="3" fontId="34" fillId="0" borderId="0" xfId="0" applyNumberFormat="1" applyFont="1"/>
    <xf numFmtId="3" fontId="44" fillId="24" borderId="1" xfId="1" applyNumberFormat="1" applyFont="1" applyFill="1" applyBorder="1" applyAlignment="1" applyProtection="1">
      <alignment horizontal="right" vertical="center"/>
    </xf>
    <xf numFmtId="0" fontId="45" fillId="0" borderId="0" xfId="0" applyFont="1"/>
    <xf numFmtId="0" fontId="43" fillId="0" borderId="1" xfId="0" applyFont="1" applyFill="1" applyBorder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8" fontId="43" fillId="0" borderId="1" xfId="2" applyNumberFormat="1" applyFont="1" applyFill="1" applyBorder="1" applyAlignment="1">
      <alignment vertical="center"/>
    </xf>
    <xf numFmtId="169" fontId="43" fillId="0" borderId="1" xfId="6" applyNumberFormat="1" applyFont="1" applyFill="1" applyBorder="1" applyAlignment="1">
      <alignment horizontal="right" vertical="center" wrapText="1"/>
    </xf>
    <xf numFmtId="169" fontId="43" fillId="0" borderId="1" xfId="6" applyNumberFormat="1" applyFont="1" applyFill="1" applyBorder="1" applyAlignment="1">
      <alignment horizontal="right" wrapText="1"/>
    </xf>
    <xf numFmtId="165" fontId="43" fillId="0" borderId="1" xfId="1" applyNumberFormat="1" applyFont="1" applyFill="1" applyBorder="1" applyAlignment="1">
      <alignment vertical="center"/>
    </xf>
    <xf numFmtId="168" fontId="43" fillId="0" borderId="1" xfId="2" applyNumberFormat="1" applyFont="1" applyFill="1" applyBorder="1" applyAlignment="1">
      <alignment vertical="center" wrapText="1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165" fontId="43" fillId="0" borderId="1" xfId="1" applyNumberFormat="1" applyFont="1" applyFill="1" applyBorder="1" applyAlignment="1">
      <alignment horizontal="right" vertical="center"/>
    </xf>
    <xf numFmtId="0" fontId="43" fillId="0" borderId="1" xfId="0" applyFont="1" applyFill="1" applyBorder="1" applyAlignment="1">
      <alignment horizontal="right"/>
    </xf>
    <xf numFmtId="0" fontId="43" fillId="0" borderId="1" xfId="0" applyFont="1" applyBorder="1" applyAlignment="1">
      <alignment vertical="center"/>
    </xf>
    <xf numFmtId="0" fontId="43" fillId="0" borderId="1" xfId="0" applyFont="1" applyBorder="1"/>
    <xf numFmtId="0" fontId="43" fillId="0" borderId="1" xfId="2" applyFont="1" applyFill="1" applyBorder="1" applyAlignment="1" applyProtection="1"/>
    <xf numFmtId="0" fontId="43" fillId="0" borderId="1" xfId="0" applyFont="1" applyFill="1" applyBorder="1" applyAlignment="1">
      <alignment horizontal="right" vertical="center"/>
    </xf>
    <xf numFmtId="165" fontId="43" fillId="0" borderId="1" xfId="1" applyNumberFormat="1" applyFont="1" applyFill="1" applyBorder="1" applyAlignment="1">
      <alignment horizontal="right"/>
    </xf>
    <xf numFmtId="165" fontId="43" fillId="0" borderId="1" xfId="0" applyNumberFormat="1" applyFont="1" applyFill="1" applyBorder="1" applyAlignment="1">
      <alignment horizontal="right"/>
    </xf>
    <xf numFmtId="0" fontId="43" fillId="0" borderId="1" xfId="2" applyFont="1" applyFill="1" applyBorder="1" applyAlignment="1">
      <alignment horizontal="left" vertical="center"/>
    </xf>
    <xf numFmtId="3" fontId="43" fillId="0" borderId="1" xfId="1" applyNumberFormat="1" applyFont="1" applyFill="1" applyBorder="1" applyAlignment="1" applyProtection="1">
      <alignment horizontal="right" vertical="center"/>
    </xf>
    <xf numFmtId="3" fontId="43" fillId="0" borderId="1" xfId="1" applyNumberFormat="1" applyFont="1" applyFill="1" applyBorder="1" applyAlignment="1" applyProtection="1">
      <alignment horizontal="right"/>
    </xf>
    <xf numFmtId="0" fontId="43" fillId="0" borderId="1" xfId="0" applyFont="1" applyBorder="1" applyAlignment="1">
      <alignment horizontal="center" vertical="center"/>
    </xf>
    <xf numFmtId="0" fontId="43" fillId="0" borderId="1" xfId="0" applyFont="1" applyFill="1" applyBorder="1" applyAlignment="1"/>
    <xf numFmtId="3" fontId="43" fillId="0" borderId="1" xfId="1" applyNumberFormat="1" applyFont="1" applyFill="1" applyBorder="1" applyAlignment="1" applyProtection="1"/>
    <xf numFmtId="169" fontId="43" fillId="0" borderId="1" xfId="6" applyNumberFormat="1" applyFont="1" applyFill="1" applyBorder="1" applyAlignment="1">
      <alignment horizontal="right" vertical="center"/>
    </xf>
    <xf numFmtId="0" fontId="0" fillId="25" borderId="0" xfId="0" applyFill="1" applyAlignment="1">
      <alignment vertical="center"/>
    </xf>
    <xf numFmtId="165" fontId="2" fillId="25" borderId="0" xfId="0" applyNumberFormat="1" applyFont="1" applyFill="1" applyAlignment="1">
      <alignment vertical="center"/>
    </xf>
    <xf numFmtId="165" fontId="34" fillId="25" borderId="0" xfId="0" applyNumberFormat="1" applyFont="1" applyFill="1" applyAlignment="1">
      <alignment vertical="center"/>
    </xf>
    <xf numFmtId="165" fontId="32" fillId="25" borderId="0" xfId="0" applyNumberFormat="1" applyFont="1" applyFill="1" applyAlignment="1">
      <alignment vertical="center"/>
    </xf>
    <xf numFmtId="3" fontId="0" fillId="25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6" fillId="0" borderId="1" xfId="0" applyFont="1" applyFill="1" applyBorder="1" applyAlignment="1">
      <alignment vertical="center"/>
    </xf>
    <xf numFmtId="0" fontId="36" fillId="0" borderId="1" xfId="0" applyFont="1" applyFill="1" applyBorder="1" applyAlignment="1">
      <alignment horizontal="left"/>
    </xf>
    <xf numFmtId="165" fontId="36" fillId="0" borderId="1" xfId="1" applyNumberFormat="1" applyFont="1" applyFill="1" applyBorder="1" applyAlignment="1" applyProtection="1"/>
    <xf numFmtId="170" fontId="36" fillId="0" borderId="1" xfId="2" applyNumberFormat="1" applyFont="1" applyFill="1" applyBorder="1" applyAlignment="1">
      <alignment horizontal="left"/>
    </xf>
    <xf numFmtId="171" fontId="36" fillId="0" borderId="1" xfId="0" applyNumberFormat="1" applyFont="1" applyFill="1" applyBorder="1" applyAlignment="1"/>
    <xf numFmtId="171" fontId="36" fillId="0" borderId="1" xfId="0" applyNumberFormat="1" applyFont="1" applyBorder="1" applyAlignment="1"/>
    <xf numFmtId="171" fontId="36" fillId="0" borderId="1" xfId="2" applyNumberFormat="1" applyFont="1" applyFill="1" applyBorder="1" applyAlignment="1"/>
    <xf numFmtId="171" fontId="36" fillId="0" borderId="1" xfId="2" applyNumberFormat="1" applyFont="1" applyFill="1" applyBorder="1" applyAlignment="1">
      <alignment wrapText="1"/>
    </xf>
    <xf numFmtId="168" fontId="36" fillId="0" borderId="1" xfId="2" applyNumberFormat="1" applyFont="1" applyFill="1" applyBorder="1" applyAlignment="1"/>
    <xf numFmtId="0" fontId="36" fillId="0" borderId="1" xfId="2" applyFont="1" applyFill="1" applyBorder="1" applyAlignment="1"/>
    <xf numFmtId="165" fontId="36" fillId="0" borderId="1" xfId="1" applyNumberFormat="1" applyFont="1" applyFill="1" applyBorder="1" applyAlignment="1">
      <alignment wrapText="1"/>
    </xf>
    <xf numFmtId="168" fontId="36" fillId="0" borderId="1" xfId="2" applyNumberFormat="1" applyFont="1" applyFill="1" applyBorder="1" applyAlignment="1">
      <alignment horizontal="left"/>
    </xf>
    <xf numFmtId="171" fontId="36" fillId="0" borderId="1" xfId="2" applyNumberFormat="1" applyFont="1" applyFill="1" applyBorder="1" applyAlignment="1" applyProtection="1">
      <alignment wrapText="1"/>
    </xf>
    <xf numFmtId="168" fontId="36" fillId="0" borderId="1" xfId="2" applyNumberFormat="1" applyFont="1" applyFill="1" applyBorder="1" applyAlignment="1" applyProtection="1"/>
    <xf numFmtId="168" fontId="36" fillId="0" borderId="1" xfId="2" applyNumberFormat="1" applyFont="1" applyFill="1" applyBorder="1" applyAlignment="1" applyProtection="1">
      <alignment wrapText="1"/>
    </xf>
    <xf numFmtId="165" fontId="46" fillId="0" borderId="1" xfId="0" applyNumberFormat="1" applyFont="1" applyFill="1" applyBorder="1" applyAlignment="1">
      <alignment vertical="center"/>
    </xf>
    <xf numFmtId="171" fontId="36" fillId="5" borderId="1" xfId="2" applyNumberFormat="1" applyFont="1" applyFill="1" applyBorder="1" applyAlignment="1">
      <alignment wrapText="1"/>
    </xf>
    <xf numFmtId="168" fontId="36" fillId="5" borderId="1" xfId="2" applyNumberFormat="1" applyFont="1" applyFill="1" applyBorder="1" applyAlignment="1"/>
    <xf numFmtId="0" fontId="36" fillId="5" borderId="1" xfId="0" applyFont="1" applyFill="1" applyBorder="1" applyAlignment="1"/>
    <xf numFmtId="168" fontId="36" fillId="5" borderId="1" xfId="2" applyNumberFormat="1" applyFont="1" applyFill="1" applyBorder="1" applyAlignment="1">
      <alignment wrapText="1"/>
    </xf>
    <xf numFmtId="0" fontId="36" fillId="5" borderId="1" xfId="0" applyFont="1" applyFill="1" applyBorder="1" applyAlignment="1">
      <alignment horizontal="left"/>
    </xf>
    <xf numFmtId="41" fontId="36" fillId="0" borderId="1" xfId="4" applyFont="1" applyFill="1" applyBorder="1" applyAlignment="1"/>
    <xf numFmtId="41" fontId="36" fillId="0" borderId="1" xfId="4" applyFont="1" applyFill="1" applyBorder="1" applyAlignment="1" applyProtection="1"/>
    <xf numFmtId="41" fontId="36" fillId="12" borderId="1" xfId="4" applyFont="1" applyFill="1" applyBorder="1" applyAlignment="1" applyProtection="1"/>
    <xf numFmtId="41" fontId="36" fillId="0" borderId="1" xfId="4" applyFont="1" applyFill="1" applyBorder="1" applyAlignment="1" applyProtection="1">
      <alignment horizontal="right"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36" fillId="0" borderId="1" xfId="0" applyNumberFormat="1" applyFont="1" applyFill="1" applyBorder="1" applyAlignment="1">
      <alignment horizontal="right"/>
    </xf>
    <xf numFmtId="168" fontId="36" fillId="0" borderId="1" xfId="0" applyNumberFormat="1" applyFont="1" applyFill="1" applyBorder="1" applyAlignment="1">
      <alignment vertical="center"/>
    </xf>
    <xf numFmtId="165" fontId="36" fillId="0" borderId="1" xfId="1" applyNumberFormat="1" applyFont="1" applyFill="1" applyBorder="1" applyAlignment="1">
      <alignment horizontal="left"/>
    </xf>
    <xf numFmtId="170" fontId="36" fillId="0" borderId="1" xfId="2" applyNumberFormat="1" applyFont="1" applyFill="1" applyBorder="1" applyAlignment="1">
      <alignment horizontal="center"/>
    </xf>
    <xf numFmtId="171" fontId="36" fillId="12" borderId="1" xfId="0" applyNumberFormat="1" applyFont="1" applyFill="1" applyBorder="1" applyAlignment="1"/>
    <xf numFmtId="171" fontId="43" fillId="0" borderId="1" xfId="0" applyNumberFormat="1" applyFont="1" applyFill="1" applyBorder="1" applyAlignment="1"/>
    <xf numFmtId="171" fontId="43" fillId="0" borderId="1" xfId="2" applyNumberFormat="1" applyFont="1" applyFill="1" applyBorder="1" applyAlignment="1"/>
    <xf numFmtId="171" fontId="43" fillId="0" borderId="1" xfId="2" applyNumberFormat="1" applyFont="1" applyFill="1" applyBorder="1" applyAlignment="1">
      <alignment wrapText="1"/>
    </xf>
    <xf numFmtId="0" fontId="36" fillId="0" borderId="1" xfId="2" applyFont="1" applyFill="1" applyBorder="1" applyAlignment="1">
      <alignment horizontal="right"/>
    </xf>
    <xf numFmtId="169" fontId="36" fillId="0" borderId="1" xfId="6" applyNumberFormat="1" applyFont="1" applyFill="1" applyBorder="1" applyAlignment="1">
      <alignment horizontal="right" vertical="top"/>
    </xf>
    <xf numFmtId="165" fontId="36" fillId="0" borderId="1" xfId="1" applyNumberFormat="1" applyFont="1" applyBorder="1" applyAlignment="1">
      <alignment horizontal="right"/>
    </xf>
    <xf numFmtId="169" fontId="36" fillId="5" borderId="1" xfId="6" applyNumberFormat="1" applyFont="1" applyFill="1" applyBorder="1" applyAlignment="1">
      <alignment horizontal="right" wrapText="1"/>
    </xf>
    <xf numFmtId="168" fontId="36" fillId="0" borderId="1" xfId="2" applyNumberFormat="1" applyFont="1" applyFill="1" applyBorder="1" applyAlignment="1">
      <alignment horizontal="right" wrapText="1"/>
    </xf>
    <xf numFmtId="168" fontId="36" fillId="0" borderId="1" xfId="2" applyNumberFormat="1" applyFont="1" applyFill="1" applyBorder="1" applyAlignment="1">
      <alignment horizontal="right"/>
    </xf>
    <xf numFmtId="169" fontId="36" fillId="0" borderId="1" xfId="6" applyNumberFormat="1" applyFont="1" applyFill="1" applyBorder="1" applyAlignment="1">
      <alignment horizontal="right"/>
    </xf>
    <xf numFmtId="41" fontId="36" fillId="0" borderId="1" xfId="4" applyFont="1" applyFill="1" applyBorder="1" applyAlignment="1">
      <alignment horizontal="right" vertical="center"/>
    </xf>
    <xf numFmtId="41" fontId="36" fillId="0" borderId="1" xfId="4" applyFont="1" applyBorder="1" applyAlignment="1">
      <alignment horizontal="right" vertical="center"/>
    </xf>
    <xf numFmtId="41" fontId="36" fillId="5" borderId="1" xfId="4" applyFont="1" applyFill="1" applyBorder="1" applyAlignment="1">
      <alignment horizontal="right" vertical="center" wrapText="1"/>
    </xf>
    <xf numFmtId="41" fontId="36" fillId="5" borderId="1" xfId="4" applyFont="1" applyFill="1" applyBorder="1" applyAlignment="1">
      <alignment horizontal="right" vertical="center"/>
    </xf>
    <xf numFmtId="41" fontId="36" fillId="0" borderId="1" xfId="4" applyFont="1" applyFill="1" applyBorder="1" applyAlignment="1">
      <alignment horizontal="right" vertical="center" wrapText="1"/>
    </xf>
    <xf numFmtId="165" fontId="36" fillId="5" borderId="1" xfId="0" applyNumberFormat="1" applyFont="1" applyFill="1" applyBorder="1" applyAlignment="1">
      <alignment horizontal="right" vertical="center"/>
    </xf>
    <xf numFmtId="165" fontId="36" fillId="0" borderId="1" xfId="1" applyNumberFormat="1" applyFont="1" applyBorder="1" applyAlignment="1">
      <alignment horizontal="right" vertical="center"/>
    </xf>
    <xf numFmtId="168" fontId="36" fillId="0" borderId="1" xfId="2" applyNumberFormat="1" applyFont="1" applyFill="1" applyBorder="1" applyAlignment="1">
      <alignment horizontal="right" vertical="center" wrapText="1"/>
    </xf>
    <xf numFmtId="0" fontId="36" fillId="0" borderId="1" xfId="0" applyFont="1" applyFill="1" applyBorder="1" applyAlignment="1">
      <alignment horizontal="center"/>
    </xf>
    <xf numFmtId="41" fontId="36" fillId="0" borderId="1" xfId="4" applyFont="1" applyFill="1" applyBorder="1" applyAlignment="1" applyProtection="1">
      <alignment horizontal="right" vertical="center" wrapText="1"/>
    </xf>
    <xf numFmtId="41" fontId="0" fillId="0" borderId="0" xfId="0" applyNumberFormat="1"/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7" fontId="5" fillId="0" borderId="11" xfId="0" applyNumberFormat="1" applyFont="1" applyFill="1" applyBorder="1" applyAlignment="1">
      <alignment horizontal="center" vertical="center"/>
    </xf>
    <xf numFmtId="167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center" vertical="center"/>
    </xf>
    <xf numFmtId="41" fontId="36" fillId="20" borderId="1" xfId="4" applyFont="1" applyFill="1" applyBorder="1" applyAlignment="1">
      <alignment vertical="center"/>
    </xf>
    <xf numFmtId="0" fontId="36" fillId="20" borderId="1" xfId="0" applyFont="1" applyFill="1" applyBorder="1" applyAlignment="1">
      <alignment horizontal="left" vertical="center"/>
    </xf>
    <xf numFmtId="0" fontId="43" fillId="20" borderId="1" xfId="0" applyFont="1" applyFill="1" applyBorder="1" applyAlignment="1">
      <alignment horizontal="center" vertical="center"/>
    </xf>
  </cellXfs>
  <cellStyles count="7">
    <cellStyle name="Excel Built-in Comma" xfId="6"/>
    <cellStyle name="Excel Built-in Normal" xfId="2"/>
    <cellStyle name="Milliers" xfId="1" builtinId="3"/>
    <cellStyle name="Milliers [0]" xfId="4" builtinId="6"/>
    <cellStyle name="Milliers 3" xfId="5"/>
    <cellStyle name="Normal" xfId="0" builtinId="0"/>
    <cellStyle name="Normal_Total expenses by date" xfId="3"/>
  </cellStyles>
  <dxfs count="1">
    <dxf>
      <numFmt numFmtId="33" formatCode="_-* #,##0\ _F_C_F_A_-;\-* #,##0\ _F_C_F_A_-;_-* &quot;-&quot;\ _F_C_F_A_-;_-@_-"/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_CREPIN%20du%2031-08-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%20comptable-ted%20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alff\AppData\Local\Microsoft\Windows\INetCache\Content.Outlook\BTO9MOI8\RAPPORT%20FINANCIER%20JUILLET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_comptable_Dalia_au_21_Aout_2020%20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bilit&#233;%20Evariste%20du%2021%20ao&#251;t%202020%20vf%20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_21_08_20_%20Herick%20_Harmonis&#233;e(3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bilit&#233;%20i23c%20au%2019%20Ao&#251;t%202020%20corrig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%20PALF%20JB%20actualis&#233;e%20ce%2021.08.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_%20comptable_%20Jospin%20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P29-Comptabilit&#233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%20comptable-Shely%20A%20(1)%20(1)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TA_CREPIN"/>
      <sheetName val="Type de dépenses"/>
      <sheetName val="Liste1"/>
      <sheetName val="COMPTA_CREPIN (2)"/>
      <sheetName val="Feuil2"/>
    </sheetNames>
    <sheetDataSet>
      <sheetData sheetId="0" refreshError="1">
        <row r="3050">
          <cell r="F3050">
            <v>1500</v>
          </cell>
        </row>
        <row r="3051">
          <cell r="F3051">
            <v>1500</v>
          </cell>
        </row>
        <row r="3052">
          <cell r="F3052">
            <v>1000</v>
          </cell>
        </row>
        <row r="3053">
          <cell r="F3053">
            <v>1000</v>
          </cell>
        </row>
        <row r="3054">
          <cell r="F3054">
            <v>1000</v>
          </cell>
        </row>
        <row r="3055">
          <cell r="F3055">
            <v>1500</v>
          </cell>
        </row>
        <row r="3056">
          <cell r="F3056">
            <v>1500</v>
          </cell>
        </row>
        <row r="3057">
          <cell r="F3057">
            <v>1000</v>
          </cell>
        </row>
        <row r="3058">
          <cell r="F3058">
            <v>1000</v>
          </cell>
        </row>
        <row r="3059">
          <cell r="F3059">
            <v>2000</v>
          </cell>
        </row>
        <row r="3060">
          <cell r="F3060">
            <v>1000</v>
          </cell>
        </row>
        <row r="3061">
          <cell r="F3061">
            <v>1000</v>
          </cell>
        </row>
        <row r="3062">
          <cell r="F3062">
            <v>1500</v>
          </cell>
        </row>
        <row r="3063">
          <cell r="F3063">
            <v>1500</v>
          </cell>
        </row>
        <row r="3064">
          <cell r="F3064">
            <v>1000</v>
          </cell>
        </row>
        <row r="3065">
          <cell r="F3065">
            <v>1000</v>
          </cell>
        </row>
        <row r="3066">
          <cell r="F3066">
            <v>1500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ted"/>
    </sheetNames>
    <sheetDataSet>
      <sheetData sheetId="0" refreshError="1"/>
      <sheetData sheetId="1" refreshError="1">
        <row r="11">
          <cell r="E11">
            <v>10000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NOR"/>
      <sheetName val="Feuil31"/>
      <sheetName val="DATAS"/>
      <sheetName val="COMPTE  PRINCIPAL"/>
      <sheetName val="RAPPROCHEMENT CP"/>
      <sheetName val="SOUS -COMPTE"/>
      <sheetName val="RAPPROCHEMENT SC"/>
      <sheetName val="CAISSE"/>
      <sheetName val="POURCENTAGE PROJECT"/>
      <sheetName val="TABLEA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I3">
            <v>705838</v>
          </cell>
        </row>
        <row r="16">
          <cell r="I16">
            <v>17673343.99927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ta Dalia"/>
      <sheetName val="Type de dépenses"/>
      <sheetName val="Feuil3"/>
      <sheetName val="Compta Dali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1905">
          <cell r="F1905">
            <v>15000</v>
          </cell>
        </row>
        <row r="1908">
          <cell r="E1908">
            <v>15000</v>
          </cell>
        </row>
        <row r="1909">
          <cell r="E1909">
            <v>50000</v>
          </cell>
        </row>
        <row r="1911">
          <cell r="E1911">
            <v>44600</v>
          </cell>
        </row>
        <row r="1917">
          <cell r="E1917">
            <v>10000</v>
          </cell>
        </row>
        <row r="1919">
          <cell r="F1919">
            <v>1635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ta"/>
      <sheetName val="Feuil2"/>
      <sheetName val="Type de dépenses"/>
      <sheetName val="compta (2)"/>
      <sheetName val="Feuil1"/>
      <sheetName val="compta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56">
          <cell r="E2556">
            <v>10000</v>
          </cell>
        </row>
        <row r="2557">
          <cell r="E2557">
            <v>10000</v>
          </cell>
        </row>
        <row r="2558">
          <cell r="E2558">
            <v>10000</v>
          </cell>
        </row>
        <row r="2559">
          <cell r="F2559">
            <v>21000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ta"/>
      <sheetName val="Feuil2"/>
      <sheetName val="Feuil3"/>
      <sheetName val="compt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2521">
          <cell r="E2521">
            <v>60000</v>
          </cell>
        </row>
        <row r="2522">
          <cell r="F2522">
            <v>180000</v>
          </cell>
        </row>
        <row r="2523">
          <cell r="F2523">
            <v>120000</v>
          </cell>
        </row>
        <row r="2524">
          <cell r="F2524">
            <v>2700</v>
          </cell>
        </row>
        <row r="2525">
          <cell r="E2525">
            <v>25000</v>
          </cell>
        </row>
        <row r="2526">
          <cell r="F2526">
            <v>15000</v>
          </cell>
        </row>
        <row r="2527">
          <cell r="E2527">
            <v>30000</v>
          </cell>
        </row>
        <row r="2528">
          <cell r="F2528">
            <v>15000</v>
          </cell>
        </row>
        <row r="2529">
          <cell r="E2529">
            <v>210000</v>
          </cell>
        </row>
        <row r="2530">
          <cell r="F2530">
            <v>10000</v>
          </cell>
        </row>
        <row r="2531">
          <cell r="F2531">
            <v>60000</v>
          </cell>
        </row>
        <row r="2532">
          <cell r="F2532">
            <v>4500</v>
          </cell>
        </row>
        <row r="2533">
          <cell r="F2533">
            <v>125000</v>
          </cell>
        </row>
        <row r="2534">
          <cell r="F2534">
            <v>49900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A_I23C"/>
      <sheetName val="Feuil2"/>
      <sheetName val="Feuil1"/>
      <sheetName val="COMPTA_I23C (2)"/>
      <sheetName val="Cumul transport"/>
      <sheetName val="ACHAT BOISSON"/>
      <sheetName val="Cumul transport (2)"/>
      <sheetName val="Cumul transport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171">
          <cell r="E4171">
            <v>90000</v>
          </cell>
        </row>
        <row r="4172">
          <cell r="E4172">
            <v>100000</v>
          </cell>
        </row>
        <row r="4174">
          <cell r="E4174">
            <v>100000</v>
          </cell>
        </row>
        <row r="4178">
          <cell r="E4178">
            <v>20000</v>
          </cell>
        </row>
        <row r="4180">
          <cell r="E4180">
            <v>150000</v>
          </cell>
        </row>
        <row r="4181">
          <cell r="E4181">
            <v>235000</v>
          </cell>
        </row>
      </sheetData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1 (2)"/>
      <sheetName val="cumul transport local"/>
      <sheetName val="Feuil2"/>
      <sheetName val="Feuil3"/>
    </sheetNames>
    <sheetDataSet>
      <sheetData sheetId="0" refreshError="1"/>
      <sheetData sheetId="1" refreshError="1">
        <row r="2684">
          <cell r="E2684">
            <v>110000</v>
          </cell>
        </row>
        <row r="2689">
          <cell r="E2689">
            <v>40000</v>
          </cell>
        </row>
        <row r="2691">
          <cell r="E2691">
            <v>125000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mpta Jospin"/>
      <sheetName val="Feuil1"/>
      <sheetName val="Compta Jospin (2)"/>
      <sheetName val="Feuil4"/>
    </sheetNames>
    <sheetDataSet>
      <sheetData sheetId="0" refreshError="1"/>
      <sheetData sheetId="1" refreshError="1"/>
      <sheetData sheetId="2" refreshError="1">
        <row r="1583">
          <cell r="E1583">
            <v>15000</v>
          </cell>
        </row>
        <row r="1584">
          <cell r="E1584">
            <v>40000</v>
          </cell>
        </row>
        <row r="1587">
          <cell r="E1587">
            <v>41400</v>
          </cell>
        </row>
        <row r="1592">
          <cell r="F1592">
            <v>950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-P29"/>
      <sheetName val="Feuil2"/>
      <sheetName val="Feuil1"/>
      <sheetName val="COMPT-P29 (2)"/>
      <sheetName val="cumul transport local"/>
      <sheetName val="Cumul achat bois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0">
          <cell r="E190">
            <v>40000</v>
          </cell>
        </row>
        <row r="191">
          <cell r="E191">
            <v>110000</v>
          </cell>
        </row>
        <row r="196">
          <cell r="E196">
            <v>116600</v>
          </cell>
        </row>
        <row r="201">
          <cell r="E201">
            <v>25000</v>
          </cell>
        </row>
        <row r="202">
          <cell r="E202">
            <v>150000</v>
          </cell>
        </row>
        <row r="204">
          <cell r="E204">
            <v>214000</v>
          </cell>
        </row>
        <row r="207">
          <cell r="E207">
            <v>100000</v>
          </cell>
        </row>
        <row r="215">
          <cell r="E215">
            <v>100000</v>
          </cell>
        </row>
      </sheetData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shely"/>
      <sheetName val="Feuil3"/>
    </sheetNames>
    <sheetDataSet>
      <sheetData sheetId="0" refreshError="1"/>
      <sheetData sheetId="1" refreshError="1">
        <row r="90">
          <cell r="E90">
            <v>10000</v>
          </cell>
        </row>
        <row r="97">
          <cell r="E97">
            <v>5000</v>
          </cell>
        </row>
        <row r="100">
          <cell r="E100">
            <v>10000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J2018-3" refreshedDate="44630.592186458336" createdVersion="3" refreshedVersion="3" minRefreshableVersion="3" recordCount="368">
  <cacheSource type="worksheet">
    <worksheetSource ref="A11:O379" sheet="DATA  FEVRIER 2022"/>
  </cacheSource>
  <cacheFields count="15">
    <cacheField name="Date" numFmtId="171">
      <sharedItems containsSemiMixedTypes="0" containsNonDate="0" containsDate="1" containsString="0" minDate="2022-02-01T00:00:00" maxDate="2022-03-01T00:00:00"/>
    </cacheField>
    <cacheField name="Details" numFmtId="0">
      <sharedItems/>
    </cacheField>
    <cacheField name="Type de dépenses" numFmtId="0">
      <sharedItems containsBlank="1" count="21">
        <m/>
        <s v="Versement"/>
        <s v="Telephone"/>
        <s v="Office Materials"/>
        <s v="Flight"/>
        <s v="Bank Fees"/>
        <s v="Court Fees"/>
        <s v="Services"/>
        <s v="Transport"/>
        <s v="Lawyer Fees"/>
        <s v="Personnel"/>
        <s v="Travel Subsistence"/>
        <s v="Transfer Fees"/>
        <s v="Trust building"/>
        <s v="Equipement"/>
        <s v="Bonus"/>
        <s v="Versement "/>
        <s v="Rent &amp; Utilities"/>
        <s v="Informer Fees"/>
        <s v="Jail visits"/>
        <s v="Internet"/>
      </sharedItems>
    </cacheField>
    <cacheField name="Departement" numFmtId="0">
      <sharedItems containsBlank="1"/>
    </cacheField>
    <cacheField name="Received" numFmtId="0">
      <sharedItems containsString="0" containsBlank="1" containsNumber="1" containsInteger="1" minValue="10000" maxValue="3000000"/>
    </cacheField>
    <cacheField name="Spent" numFmtId="0">
      <sharedItems containsString="0" containsBlank="1" containsNumber="1" containsInteger="1" minValue="500" maxValue="3000000"/>
    </cacheField>
    <cacheField name="Balance" numFmtId="165">
      <sharedItems containsSemiMixedTypes="0" containsString="0" containsNumber="1" containsInteger="1" minValue="3460917" maxValue="19896427"/>
    </cacheField>
    <cacheField name="Name" numFmtId="0">
      <sharedItems containsBlank="1" count="13">
        <m/>
        <s v="Caisse"/>
        <s v="BCI-Sous Compte"/>
        <s v="Crépin"/>
        <s v="Godfré"/>
        <s v="Grace"/>
        <s v="P29"/>
        <s v="B52"/>
        <s v="BCI"/>
        <s v="i23c"/>
        <s v="Tiffany"/>
        <s v="Evariste"/>
        <s v="Merveille"/>
      </sharedItems>
    </cacheField>
    <cacheField name="Receipt" numFmtId="0">
      <sharedItems containsBlank="1" containsMixedTypes="1" containsNumber="1" containsInteger="1" minValue="3643614" maxValue="3654469"/>
    </cacheField>
    <cacheField name="Donor" numFmtId="0">
      <sharedItems containsBlank="1"/>
    </cacheField>
    <cacheField name="Project" numFmtId="0">
      <sharedItems containsBlank="1"/>
    </cacheField>
    <cacheField name="Country" numFmtId="0">
      <sharedItems/>
    </cacheField>
    <cacheField name="N°Pièce" numFmtId="0">
      <sharedItems containsBlank="1"/>
    </cacheField>
    <cacheField name="Code budgetaire" numFmtId="0">
      <sharedItems containsBlank="1" containsMixedTypes="1" containsNumber="1" containsInteger="1" minValue="7" maxValue="7"/>
    </cacheField>
    <cacheField name="Contrôl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J2018-3" refreshedDate="44630.592187847222" createdVersion="3" refreshedVersion="3" minRefreshableVersion="3" recordCount="429">
  <cacheSource type="worksheet">
    <worksheetSource ref="A11:O440" sheet="DATA  FEVRIER 2022"/>
  </cacheSource>
  <cacheFields count="15">
    <cacheField name="Date" numFmtId="171">
      <sharedItems containsNonDate="0" containsDate="1" containsString="0" containsBlank="1" minDate="2022-02-01T00:00:00" maxDate="2022-03-01T00:00:00"/>
    </cacheField>
    <cacheField name="Details" numFmtId="0">
      <sharedItems containsBlank="1"/>
    </cacheField>
    <cacheField name="Type de dépenses" numFmtId="0">
      <sharedItems containsBlank="1"/>
    </cacheField>
    <cacheField name="Departement" numFmtId="0">
      <sharedItems containsBlank="1"/>
    </cacheField>
    <cacheField name="Received" numFmtId="0">
      <sharedItems containsString="0" containsBlank="1" containsNumber="1" containsInteger="1" minValue="10000" maxValue="3000000"/>
    </cacheField>
    <cacheField name="Spent" numFmtId="0">
      <sharedItems containsString="0" containsBlank="1" containsNumber="1" containsInteger="1" minValue="500" maxValue="3000000"/>
    </cacheField>
    <cacheField name="Balance" numFmtId="165">
      <sharedItems containsString="0" containsBlank="1" containsNumber="1" containsInteger="1" minValue="3460917" maxValue="19896427"/>
    </cacheField>
    <cacheField name="Name" numFmtId="0">
      <sharedItems containsBlank="1"/>
    </cacheField>
    <cacheField name="Receipt" numFmtId="0">
      <sharedItems containsBlank="1" containsMixedTypes="1" containsNumber="1" containsInteger="1" minValue="3643614" maxValue="3654469"/>
    </cacheField>
    <cacheField name="Donor" numFmtId="0">
      <sharedItems containsBlank="1" count="3">
        <m/>
        <s v="UE"/>
        <s v="Wildcat"/>
      </sharedItems>
    </cacheField>
    <cacheField name="Project" numFmtId="0">
      <sharedItems containsBlank="1"/>
    </cacheField>
    <cacheField name="Country" numFmtId="0">
      <sharedItems containsBlank="1"/>
    </cacheField>
    <cacheField name="N°Pièce" numFmtId="0">
      <sharedItems containsBlank="1"/>
    </cacheField>
    <cacheField name="Code budgetaire" numFmtId="0">
      <sharedItems containsBlank="1" containsMixedTypes="1" containsNumber="1" containsInteger="1" minValue="7" maxValue="7"/>
    </cacheField>
    <cacheField name="Contrôl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8">
  <r>
    <d v="2022-02-01T00:00:00"/>
    <s v="Solde au 01/01/2022"/>
    <x v="0"/>
    <m/>
    <m/>
    <m/>
    <n v="17560283"/>
    <x v="0"/>
    <m/>
    <m/>
    <m/>
    <s v="CONGO"/>
    <m/>
    <m/>
    <m/>
  </r>
  <r>
    <d v="2022-02-01T00:00:00"/>
    <s v="Crépin"/>
    <x v="1"/>
    <m/>
    <m/>
    <n v="40000"/>
    <n v="17520283"/>
    <x v="1"/>
    <m/>
    <m/>
    <m/>
    <s v="CONGO"/>
    <m/>
    <m/>
    <m/>
  </r>
  <r>
    <d v="2022-02-01T00:00:00"/>
    <s v="Achat credit  teléphonique MTN/PALF/Prémière partie Février 2022/Management"/>
    <x v="2"/>
    <s v="Management "/>
    <m/>
    <n v="42000"/>
    <n v="17478283"/>
    <x v="1"/>
    <s v="Oui"/>
    <s v="UE"/>
    <s v="RALFF"/>
    <s v="CONGO"/>
    <s v="RALFF-CO2989"/>
    <s v="4.6"/>
    <m/>
  </r>
  <r>
    <d v="2022-02-01T00:00:00"/>
    <s v="Achat credit  teléphonique MTN/PALF/Prémière partie Février 2022/Legal"/>
    <x v="2"/>
    <s v="Legal"/>
    <m/>
    <n v="37000"/>
    <n v="17441283"/>
    <x v="1"/>
    <s v="Oui"/>
    <s v="UE"/>
    <s v="RALFF"/>
    <s v="CONGO"/>
    <s v="RALFF-CO2990"/>
    <s v="4.6"/>
    <m/>
  </r>
  <r>
    <d v="2022-02-01T00:00:00"/>
    <s v="Achat credit  teléphonique MTN/PALF/Prémière partie Février 2022/Investigation"/>
    <x v="2"/>
    <s v="Investigation"/>
    <m/>
    <n v="20000"/>
    <n v="17421283"/>
    <x v="1"/>
    <s v="Oui"/>
    <s v="UE"/>
    <s v="RALFF"/>
    <s v="CONGO"/>
    <s v="RALFF-CO2991"/>
    <s v="4.6"/>
    <m/>
  </r>
  <r>
    <d v="2022-02-01T00:00:00"/>
    <s v="Achat credit  teléphonique MTN/PALF/Prémière partie Février 2022/Invenstigation volontaire"/>
    <x v="2"/>
    <s v="Investigation"/>
    <m/>
    <n v="10000"/>
    <n v="17411283"/>
    <x v="1"/>
    <s v="Oui"/>
    <s v="Wildcat"/>
    <s v="PALF"/>
    <s v="CONGO"/>
    <m/>
    <m/>
    <m/>
  </r>
  <r>
    <d v="2022-02-01T00:00:00"/>
    <s v="Achat credit  teléphonique MTN/PALF/Prémière partie Février 2022/Media"/>
    <x v="2"/>
    <s v="Media"/>
    <m/>
    <n v="5000"/>
    <n v="17406283"/>
    <x v="1"/>
    <s v="Oui"/>
    <s v="UE"/>
    <s v="RALFF"/>
    <s v="CONGO"/>
    <s v="RALFF-CO2992"/>
    <s v="4.6"/>
    <m/>
  </r>
  <r>
    <d v="2022-02-01T00:00:00"/>
    <s v="Achat credit  teléphonique Airtel/PALF/Prémière partie Février 2022/Management"/>
    <x v="2"/>
    <s v="Management "/>
    <m/>
    <n v="11000"/>
    <n v="17395283"/>
    <x v="1"/>
    <s v="Oui"/>
    <s v="UE"/>
    <s v="RALFF"/>
    <s v="CONGO"/>
    <s v="RALFF-CO2993"/>
    <s v="4.6"/>
    <m/>
  </r>
  <r>
    <d v="2022-02-01T00:00:00"/>
    <s v="Achat credit  teléphonique Airtel/PALF/Prémière partie Février 2022/Legal"/>
    <x v="2"/>
    <s v="Legal"/>
    <m/>
    <n v="5000"/>
    <n v="17390283"/>
    <x v="1"/>
    <s v="Oui"/>
    <s v="UE"/>
    <s v="RALFF"/>
    <s v="CONGO"/>
    <s v="RALFF-CO2994"/>
    <s v="4.6"/>
    <m/>
  </r>
  <r>
    <d v="2022-02-01T00:00:00"/>
    <s v="Achat credit  teléphonique Airtel/PALF/Prémière partie Février 2022/Invenstigation"/>
    <x v="2"/>
    <s v="Investigation"/>
    <m/>
    <n v="32000"/>
    <n v="17358283"/>
    <x v="1"/>
    <s v="Oui"/>
    <s v="UE"/>
    <s v="RALFF"/>
    <s v="CONGO"/>
    <s v="RALFF-CO2995"/>
    <s v="4.6"/>
    <m/>
  </r>
  <r>
    <d v="2022-02-01T00:00:00"/>
    <s v="Achat credit  teléphonique Airtel/PALF/Prémière partie Février 2022/Investigation Volontaire"/>
    <x v="2"/>
    <s v="Investigation"/>
    <m/>
    <n v="16000"/>
    <n v="17342283"/>
    <x v="1"/>
    <s v="Oui"/>
    <s v="Wildcat"/>
    <s v="PALF"/>
    <s v="CONGO"/>
    <m/>
    <m/>
    <m/>
  </r>
  <r>
    <d v="2022-02-01T00:00:00"/>
    <s v="Achat credit  teléphonique Airtel/PALF/Prémière partie Février 2022/Média"/>
    <x v="2"/>
    <s v="Media"/>
    <m/>
    <n v="11000"/>
    <n v="17331283"/>
    <x v="1"/>
    <s v="Oui"/>
    <s v="UE"/>
    <s v="RALFF"/>
    <s v="CONGO"/>
    <s v="RALFF-CO2996"/>
    <s v="4.6"/>
    <m/>
  </r>
  <r>
    <d v="2022-02-01T00:00:00"/>
    <s v="Achat baguette et colle en tube"/>
    <x v="3"/>
    <s v="Office"/>
    <m/>
    <n v="1500"/>
    <n v="17329783"/>
    <x v="1"/>
    <s v="Oui"/>
    <s v="UE"/>
    <s v="RALFF"/>
    <s v="CONGO"/>
    <s v="RALFF-CO2997"/>
    <s v="4.3"/>
    <m/>
  </r>
  <r>
    <d v="2022-02-01T00:00:00"/>
    <s v="Expedition Courrier UE vers la Belgique par DHL"/>
    <x v="4"/>
    <s v="Office"/>
    <m/>
    <n v="69155"/>
    <n v="17260628"/>
    <x v="1"/>
    <s v="Oui"/>
    <s v="UE"/>
    <s v="RALFF"/>
    <s v="CONGO"/>
    <s v="RALFF-CO2998"/>
    <n v="7"/>
    <m/>
  </r>
  <r>
    <d v="2022-02-01T00:00:00"/>
    <s v="Godfre /retour caisse pour remboursement prêt"/>
    <x v="1"/>
    <m/>
    <n v="30000"/>
    <m/>
    <n v="17290628"/>
    <x v="1"/>
    <m/>
    <m/>
    <m/>
    <s v="CONGO"/>
    <m/>
    <m/>
    <m/>
  </r>
  <r>
    <d v="2022-02-01T00:00:00"/>
    <s v="Frais bancaire Février 2022/Compte 56"/>
    <x v="5"/>
    <s v="Office"/>
    <m/>
    <n v="14701"/>
    <n v="17275927"/>
    <x v="2"/>
    <s v="Relevé"/>
    <s v="UE"/>
    <s v="RALFF"/>
    <s v="CONGO"/>
    <s v="RALFF-CO2999"/>
    <s v="5.6"/>
    <m/>
  </r>
  <r>
    <d v="2022-02-01T00:00:00"/>
    <s v="Reçu de caisse"/>
    <x v="1"/>
    <m/>
    <n v="40000"/>
    <m/>
    <n v="17315927"/>
    <x v="3"/>
    <m/>
    <m/>
    <m/>
    <s v="CONGO"/>
    <m/>
    <m/>
    <m/>
  </r>
  <r>
    <d v="2022-02-01T00:00:00"/>
    <s v="Retour Caisse "/>
    <x v="1"/>
    <m/>
    <m/>
    <n v="30000"/>
    <n v="17285927"/>
    <x v="4"/>
    <m/>
    <m/>
    <m/>
    <s v="CONGO"/>
    <m/>
    <m/>
    <m/>
  </r>
  <r>
    <d v="2022-02-02T00:00:00"/>
    <s v="B52"/>
    <x v="1"/>
    <m/>
    <m/>
    <n v="15000"/>
    <n v="17270927"/>
    <x v="1"/>
    <m/>
    <m/>
    <m/>
    <s v="CONGO"/>
    <m/>
    <m/>
    <m/>
  </r>
  <r>
    <d v="2022-02-02T00:00:00"/>
    <s v="Grace"/>
    <x v="1"/>
    <m/>
    <m/>
    <n v="15000"/>
    <n v="17255927"/>
    <x v="1"/>
    <m/>
    <m/>
    <m/>
    <s v="CONGO"/>
    <m/>
    <m/>
    <m/>
  </r>
  <r>
    <d v="2022-02-02T00:00:00"/>
    <s v="Achat 04 bonbones d'eau bureau"/>
    <x v="3"/>
    <s v="Office"/>
    <m/>
    <n v="18000"/>
    <n v="17237927"/>
    <x v="1"/>
    <s v="Oui"/>
    <s v="Wildcat"/>
    <s v="PALF"/>
    <s v="CONGO"/>
    <m/>
    <m/>
    <m/>
  </r>
  <r>
    <d v="2022-02-02T00:00:00"/>
    <s v="P29"/>
    <x v="1"/>
    <m/>
    <m/>
    <n v="20000"/>
    <n v="17217927"/>
    <x v="1"/>
    <m/>
    <m/>
    <m/>
    <s v="CONGO"/>
    <m/>
    <m/>
    <m/>
  </r>
  <r>
    <d v="2022-02-02T00:00:00"/>
    <s v="Reçu Caisse"/>
    <x v="1"/>
    <m/>
    <n v="15000"/>
    <m/>
    <n v="17232927"/>
    <x v="5"/>
    <m/>
    <m/>
    <m/>
    <s v="CONGO"/>
    <m/>
    <m/>
    <m/>
  </r>
  <r>
    <d v="2022-02-02T00:00:00"/>
    <s v="Frais d'acte d'appel cas Mampaka"/>
    <x v="6"/>
    <s v="Legal"/>
    <m/>
    <n v="10000"/>
    <n v="17222927"/>
    <x v="3"/>
    <s v="Oui"/>
    <s v="Wildcat"/>
    <s v="PALF"/>
    <s v="CONGO"/>
    <m/>
    <m/>
    <m/>
  </r>
  <r>
    <d v="2022-02-02T00:00:00"/>
    <s v="Frais de l'expédition cas Mampaka"/>
    <x v="6"/>
    <s v="Legal"/>
    <m/>
    <n v="30000"/>
    <n v="17192927"/>
    <x v="3"/>
    <s v="Oui"/>
    <s v="Wildcat"/>
    <s v="PALF"/>
    <s v="CONGO"/>
    <m/>
    <m/>
    <m/>
  </r>
  <r>
    <d v="2022-02-02T00:00:00"/>
    <s v="Recu de caisse"/>
    <x v="1"/>
    <m/>
    <n v="20000"/>
    <m/>
    <n v="17212927"/>
    <x v="6"/>
    <m/>
    <m/>
    <m/>
    <s v="CONGO"/>
    <m/>
    <m/>
    <m/>
  </r>
  <r>
    <d v="2022-02-02T00:00:00"/>
    <s v="Reçu de caisse"/>
    <x v="1"/>
    <m/>
    <n v="15000"/>
    <m/>
    <n v="17227927"/>
    <x v="7"/>
    <m/>
    <m/>
    <m/>
    <s v="CONGO"/>
    <m/>
    <m/>
    <m/>
  </r>
  <r>
    <d v="2022-02-03T00:00:00"/>
    <s v="BCI-3654468/34"/>
    <x v="1"/>
    <m/>
    <n v="1000000"/>
    <m/>
    <n v="18227927"/>
    <x v="1"/>
    <m/>
    <m/>
    <m/>
    <s v="CONGO"/>
    <m/>
    <m/>
    <m/>
  </r>
  <r>
    <d v="2022-02-03T00:00:00"/>
    <s v="P29"/>
    <x v="1"/>
    <m/>
    <m/>
    <n v="171000"/>
    <n v="18056927"/>
    <x v="1"/>
    <m/>
    <m/>
    <m/>
    <s v="CONGO"/>
    <m/>
    <m/>
    <m/>
  </r>
  <r>
    <d v="2022-02-03T00:00:00"/>
    <s v="I23C"/>
    <x v="1"/>
    <m/>
    <m/>
    <n v="181000"/>
    <n v="17875927"/>
    <x v="1"/>
    <m/>
    <m/>
    <m/>
    <s v="CONGO"/>
    <m/>
    <m/>
    <m/>
  </r>
  <r>
    <d v="2022-02-03T00:00:00"/>
    <s v="Retrait especes/appro caisse/bord n°3654468"/>
    <x v="1"/>
    <m/>
    <m/>
    <n v="1000000"/>
    <n v="16875927"/>
    <x v="8"/>
    <m/>
    <m/>
    <m/>
    <s v="CONGO"/>
    <m/>
    <m/>
    <m/>
  </r>
  <r>
    <d v="2022-02-03T00:00:00"/>
    <s v="Reglement Facture Gardiennage Mois de Janvier 2022/3654469"/>
    <x v="7"/>
    <s v="Office"/>
    <m/>
    <n v="260000"/>
    <n v="16615927"/>
    <x v="8"/>
    <n v="3654469"/>
    <s v="Wildcat"/>
    <s v="PALF"/>
    <s v="CONGO"/>
    <m/>
    <m/>
    <m/>
  </r>
  <r>
    <d v="2022-02-03T00:00:00"/>
    <s v="Réçu de caisse"/>
    <x v="1"/>
    <m/>
    <n v="181000"/>
    <m/>
    <n v="16796927"/>
    <x v="9"/>
    <m/>
    <m/>
    <m/>
    <s v="CONGO"/>
    <m/>
    <m/>
    <m/>
  </r>
  <r>
    <d v="2022-02-03T00:00:00"/>
    <s v="Achat billet Brazzaville-Oyo (mission pour Oyo)/I23C"/>
    <x v="8"/>
    <s v="Investigation"/>
    <m/>
    <n v="10000"/>
    <n v="16786927"/>
    <x v="9"/>
    <s v="Oui"/>
    <s v="UE"/>
    <s v="RALFF"/>
    <s v="CONGO"/>
    <s v="RALFF-CO3000"/>
    <s v="2.2"/>
    <m/>
  </r>
  <r>
    <d v="2022-02-03T00:00:00"/>
    <s v="Recu de caisse"/>
    <x v="1"/>
    <m/>
    <n v="171000"/>
    <m/>
    <n v="16957927"/>
    <x v="6"/>
    <m/>
    <m/>
    <m/>
    <s v="CONGO"/>
    <m/>
    <m/>
    <m/>
  </r>
  <r>
    <d v="2022-02-04T00:00:00"/>
    <s v="Godfre /retour caisse "/>
    <x v="1"/>
    <m/>
    <n v="20000"/>
    <m/>
    <n v="16977927"/>
    <x v="1"/>
    <m/>
    <m/>
    <m/>
    <s v="CONGO"/>
    <m/>
    <m/>
    <m/>
  </r>
  <r>
    <d v="2022-02-04T00:00:00"/>
    <s v="Godfre"/>
    <x v="1"/>
    <m/>
    <m/>
    <n v="101000"/>
    <n v="16876927"/>
    <x v="1"/>
    <m/>
    <m/>
    <m/>
    <s v="CONGO"/>
    <m/>
    <m/>
    <m/>
  </r>
  <r>
    <d v="2022-02-04T00:00:00"/>
    <s v="Entretien général du jardin bureau PALF"/>
    <x v="7"/>
    <s v="Office"/>
    <m/>
    <n v="12000"/>
    <n v="16864927"/>
    <x v="1"/>
    <s v="Oui"/>
    <s v="Wildcat"/>
    <s v="PALF"/>
    <s v="CONGO"/>
    <m/>
    <m/>
    <m/>
  </r>
  <r>
    <d v="2022-02-04T00:00:00"/>
    <s v="B52"/>
    <x v="1"/>
    <m/>
    <m/>
    <n v="15000"/>
    <n v="16849927"/>
    <x v="1"/>
    <m/>
    <m/>
    <m/>
    <s v="CONGO"/>
    <m/>
    <m/>
    <m/>
  </r>
  <r>
    <d v="2022-02-04T00:00:00"/>
    <s v="Tiffany"/>
    <x v="1"/>
    <m/>
    <m/>
    <n v="60000"/>
    <n v="16789927"/>
    <x v="1"/>
    <m/>
    <m/>
    <m/>
    <s v="CONGO"/>
    <m/>
    <m/>
    <m/>
  </r>
  <r>
    <d v="2022-02-04T00:00:00"/>
    <s v="Frais de mission maitre Séverin BIYOUDI à Pointe-Noire du 06 au 08/01/2022"/>
    <x v="9"/>
    <s v="Legal"/>
    <m/>
    <n v="86000"/>
    <n v="16703927"/>
    <x v="1"/>
    <s v="Oui"/>
    <s v="UE"/>
    <s v="RALFF"/>
    <s v="CONGO"/>
    <s v="RALFF-CO3001"/>
    <s v="5.2.2"/>
    <m/>
  </r>
  <r>
    <d v="2022-02-04T00:00:00"/>
    <s v="Achat 02 Parapheurs  de 12 et 18 compartiments/Protocole d'accord"/>
    <x v="3"/>
    <s v="Office"/>
    <m/>
    <n v="23000"/>
    <n v="16680927"/>
    <x v="1"/>
    <s v="Oui"/>
    <s v="UE"/>
    <s v="RALFF"/>
    <s v="CONGO"/>
    <s v="RALFF-CO3002"/>
    <s v="4.3"/>
    <m/>
  </r>
  <r>
    <d v="2022-02-04T00:00:00"/>
    <s v="Service traiteur et bonus média pour signature du protocole d'accord/Avance"/>
    <x v="10"/>
    <s v="Team Building"/>
    <m/>
    <n v="450000"/>
    <n v="16230927"/>
    <x v="1"/>
    <s v="Décharge"/>
    <s v="Wildcat"/>
    <s v="PALF"/>
    <s v="CONGO"/>
    <m/>
    <m/>
    <m/>
  </r>
  <r>
    <d v="2022-02-04T00:00:00"/>
    <s v="Versement Caisse/ Tiffany"/>
    <x v="1"/>
    <m/>
    <n v="60000"/>
    <m/>
    <n v="16290927"/>
    <x v="10"/>
    <m/>
    <m/>
    <m/>
    <s v="CONGO"/>
    <m/>
    <m/>
    <m/>
  </r>
  <r>
    <d v="2022-02-04T00:00:00"/>
    <s v="Retour Caisse "/>
    <x v="1"/>
    <m/>
    <m/>
    <n v="20000"/>
    <n v="16270927"/>
    <x v="4"/>
    <m/>
    <m/>
    <m/>
    <s v="CONGO"/>
    <m/>
    <m/>
    <m/>
  </r>
  <r>
    <d v="2022-02-04T00:00:00"/>
    <s v="Reçu Caisse"/>
    <x v="1"/>
    <m/>
    <n v="101000"/>
    <m/>
    <n v="16371927"/>
    <x v="4"/>
    <m/>
    <m/>
    <m/>
    <s v="CONGO"/>
    <m/>
    <m/>
    <m/>
  </r>
  <r>
    <d v="2022-02-04T00:00:00"/>
    <s v="Achat billet aller(Brazzaville-Pointe-Noire)/Godfré"/>
    <x v="8"/>
    <s v="Legal"/>
    <m/>
    <n v="15000"/>
    <n v="16356927"/>
    <x v="4"/>
    <s v="Oui"/>
    <s v="UE"/>
    <s v="RALFF"/>
    <s v="CONGO"/>
    <s v="RALFF-CO3003"/>
    <s v="2.2"/>
    <m/>
  </r>
  <r>
    <d v="2022-02-04T00:00:00"/>
    <s v="Paiement démarcheur pour recherche appartement"/>
    <x v="8"/>
    <s v="Opération"/>
    <m/>
    <n v="10000"/>
    <n v="16346927"/>
    <x v="9"/>
    <s v="Oui"/>
    <s v="Wildcat"/>
    <s v="PALF"/>
    <s v="CONGO"/>
    <m/>
    <m/>
    <m/>
  </r>
  <r>
    <d v="2022-02-04T00:00:00"/>
    <s v="Achat billet brazza-oyo/P29"/>
    <x v="8"/>
    <s v="Opération"/>
    <m/>
    <n v="10000"/>
    <n v="16336927"/>
    <x v="6"/>
    <s v="Oui"/>
    <s v="UE"/>
    <s v="RALFF"/>
    <s v="CONGO"/>
    <s v="RALFF-CO3004"/>
    <s v="2.2"/>
    <m/>
  </r>
  <r>
    <d v="2022-02-04T00:00:00"/>
    <s v="reçu de caisse"/>
    <x v="1"/>
    <m/>
    <n v="15000"/>
    <m/>
    <n v="16351927"/>
    <x v="7"/>
    <m/>
    <m/>
    <m/>
    <s v="CONGO"/>
    <m/>
    <m/>
    <m/>
  </r>
  <r>
    <d v="2022-02-04T00:00:00"/>
    <s v="I23C - CONGO Food allowance mission Oyo du 4 au 10 février 2022"/>
    <x v="11"/>
    <s v="Investigations"/>
    <m/>
    <n v="60000"/>
    <n v="16291927"/>
    <x v="9"/>
    <s v="Décharge"/>
    <s v="UE"/>
    <s v="RALFF"/>
    <s v="CONGO"/>
    <s v="RALFF-CO3005"/>
    <s v="1.3.2"/>
    <m/>
  </r>
  <r>
    <d v="2022-02-04T00:00:00"/>
    <s v="P29 - CONGO Food allowance mission du 04 au 10/02/2022 à Oyo"/>
    <x v="11"/>
    <s v="Opération"/>
    <m/>
    <n v="60000"/>
    <n v="16231927"/>
    <x v="6"/>
    <s v="Decharge"/>
    <s v="UE"/>
    <s v="RALFF"/>
    <s v="CONGO"/>
    <s v="RALFF-CO3006"/>
    <s v="1.3.2"/>
    <m/>
  </r>
  <r>
    <d v="2022-02-05T00:00:00"/>
    <s v="Crépin"/>
    <x v="1"/>
    <m/>
    <m/>
    <n v="40000"/>
    <n v="16191927"/>
    <x v="1"/>
    <m/>
    <m/>
    <m/>
    <s v="CONGO"/>
    <m/>
    <m/>
    <m/>
  </r>
  <r>
    <d v="2022-02-05T00:00:00"/>
    <s v="Crépin/Avance Frais Médicaux"/>
    <x v="1"/>
    <m/>
    <m/>
    <n v="30000"/>
    <n v="16161927"/>
    <x v="1"/>
    <m/>
    <m/>
    <m/>
    <s v="CONGO"/>
    <m/>
    <m/>
    <m/>
  </r>
  <r>
    <d v="2022-02-05T00:00:00"/>
    <s v="Evariste"/>
    <x v="1"/>
    <m/>
    <m/>
    <n v="40000"/>
    <n v="16121927"/>
    <x v="1"/>
    <m/>
    <m/>
    <m/>
    <s v="CONGO"/>
    <m/>
    <m/>
    <m/>
  </r>
  <r>
    <d v="2022-02-05T00:00:00"/>
    <s v="Grace"/>
    <x v="1"/>
    <m/>
    <m/>
    <n v="40000"/>
    <n v="16081927"/>
    <x v="1"/>
    <m/>
    <m/>
    <m/>
    <s v="CONGO"/>
    <m/>
    <m/>
    <m/>
  </r>
  <r>
    <d v="2022-02-05T00:00:00"/>
    <s v="Achat 03 Paires de gants et 15 Scéllés pour cages perroquet"/>
    <x v="3"/>
    <s v="Office"/>
    <m/>
    <n v="12000"/>
    <n v="16069927"/>
    <x v="1"/>
    <s v="Oui"/>
    <s v="Wildcat"/>
    <s v="PALF"/>
    <s v="CONGO"/>
    <m/>
    <m/>
    <m/>
  </r>
  <r>
    <d v="2022-02-05T00:00:00"/>
    <s v="Reçu caisse/Frais de Mission OP OYO"/>
    <x v="1"/>
    <m/>
    <n v="40000"/>
    <m/>
    <n v="16109927"/>
    <x v="5"/>
    <m/>
    <m/>
    <m/>
    <s v="CONGO"/>
    <m/>
    <m/>
    <m/>
  </r>
  <r>
    <d v="2022-02-05T00:00:00"/>
    <s v="Reçu de caisse"/>
    <x v="1"/>
    <m/>
    <n v="40000"/>
    <m/>
    <n v="16149927"/>
    <x v="3"/>
    <m/>
    <m/>
    <m/>
    <s v="CONGO"/>
    <m/>
    <m/>
    <m/>
  </r>
  <r>
    <d v="2022-02-05T00:00:00"/>
    <s v="Reçu de caisse/Frais Médicaux"/>
    <x v="1"/>
    <m/>
    <n v="30000"/>
    <m/>
    <n v="16179927"/>
    <x v="3"/>
    <m/>
    <m/>
    <m/>
    <s v="CONGO"/>
    <m/>
    <m/>
    <m/>
  </r>
  <r>
    <d v="2022-02-05T00:00:00"/>
    <s v="Billet: Brazzaville-Oyo /Crépin"/>
    <x v="8"/>
    <s v="Management"/>
    <m/>
    <n v="10000"/>
    <n v="16169927"/>
    <x v="3"/>
    <s v="Oui"/>
    <s v="UE"/>
    <s v="RALFF"/>
    <s v="CONGO"/>
    <s v="RALFF-CO3007"/>
    <s v="2.2"/>
    <m/>
  </r>
  <r>
    <d v="2022-02-05T00:00:00"/>
    <s v="Reçu de la caisse"/>
    <x v="1"/>
    <m/>
    <n v="40000"/>
    <m/>
    <n v="16209927"/>
    <x v="11"/>
    <m/>
    <m/>
    <m/>
    <s v="CONGO"/>
    <m/>
    <m/>
    <m/>
  </r>
  <r>
    <d v="2022-02-05T00:00:00"/>
    <s v="Achat billet Brazzaville-Oyo /Evariste"/>
    <x v="8"/>
    <s v="Media"/>
    <m/>
    <n v="10000"/>
    <n v="16199927"/>
    <x v="11"/>
    <s v="Oui"/>
    <s v="UE"/>
    <s v="RALFF"/>
    <s v="CONGO"/>
    <s v="RALFF-CO3008"/>
    <s v="2.2"/>
    <m/>
  </r>
  <r>
    <d v="2022-02-05T00:00:00"/>
    <s v="Achat aliment 94 perroquets "/>
    <x v="3"/>
    <s v="Opération"/>
    <m/>
    <n v="8700"/>
    <n v="16191227"/>
    <x v="6"/>
    <s v="Oui"/>
    <s v="Wildcat"/>
    <s v="PALF"/>
    <s v="CONGO"/>
    <m/>
    <m/>
    <m/>
  </r>
  <r>
    <d v="2022-02-06T00:00:00"/>
    <s v="CREPIN IBOUILI - CONGO Food-Allowance du 06 au 16/02/2022 à oyo"/>
    <x v="11"/>
    <s v="Opération"/>
    <m/>
    <n v="100000"/>
    <n v="16091227"/>
    <x v="3"/>
    <s v="Décharge"/>
    <s v="UE"/>
    <s v="RALFF"/>
    <s v="CONGO"/>
    <s v="RALFF-CO3009"/>
    <s v="1.3.2"/>
    <m/>
  </r>
  <r>
    <d v="2022-02-06T00:00:00"/>
    <s v="Achat Billet Brazzaville-Oyo/Grace"/>
    <x v="8"/>
    <s v="Management"/>
    <m/>
    <n v="10000"/>
    <n v="16081227"/>
    <x v="5"/>
    <s v="Oui"/>
    <s v="UE"/>
    <s v="RALFF"/>
    <s v="CONGO"/>
    <s v="RALFF-CO3010"/>
    <s v="2.2"/>
    <m/>
  </r>
  <r>
    <d v="2022-02-06T00:00:00"/>
    <s v="Frais d'expédition des Cages plastique"/>
    <x v="8"/>
    <s v="Opération"/>
    <m/>
    <n v="3500"/>
    <n v="16077727"/>
    <x v="5"/>
    <s v="Oui"/>
    <s v="Wildcat"/>
    <s v="PALF"/>
    <s v="CONGO"/>
    <m/>
    <m/>
    <m/>
  </r>
  <r>
    <d v="2022-02-06T00:00:00"/>
    <s v="EVARISTE LELOUSSI - CONGO Food Allowance du 6 au 13 février 2021 mission Oyo"/>
    <x v="11"/>
    <s v="Media"/>
    <m/>
    <n v="70000"/>
    <n v="16007727"/>
    <x v="11"/>
    <s v="Décharge"/>
    <s v="UE"/>
    <s v="RALFF"/>
    <s v="CONGO"/>
    <s v="RALFF-CO3011"/>
    <s v="1.3.2"/>
    <m/>
  </r>
  <r>
    <d v="2022-02-06T00:00:00"/>
    <s v="Achat aliment 94 perroquets "/>
    <x v="3"/>
    <s v="Opération"/>
    <m/>
    <n v="11300"/>
    <n v="15996427"/>
    <x v="6"/>
    <s v="Oui"/>
    <s v="Wildcat"/>
    <s v="PALF"/>
    <s v="CONGO"/>
    <m/>
    <m/>
    <m/>
  </r>
  <r>
    <d v="2022-02-06T00:00:00"/>
    <s v="GODFRE-CONGO  Food Allowance du 06 au 12/02/2022 à Pointe-Noire et Dolisie"/>
    <x v="11"/>
    <s v="Legal"/>
    <m/>
    <n v="60000"/>
    <n v="15936427"/>
    <x v="4"/>
    <s v="Décharge"/>
    <s v="UE"/>
    <s v="RALFF"/>
    <s v="CONGO"/>
    <s v="RALFF-CO3012"/>
    <s v="1.3.2"/>
    <m/>
  </r>
  <r>
    <d v="2022-02-06T00:00:00"/>
    <s v="GRACE -CONGO Food Allowance du 06 au 10/02/2022 à OYO"/>
    <x v="11"/>
    <s v="Opération"/>
    <m/>
    <n v="40000"/>
    <n v="15896427"/>
    <x v="5"/>
    <s v="Décharge"/>
    <s v="UE"/>
    <s v="RALFF"/>
    <s v="CONGO"/>
    <s v="RALFF-CO3013"/>
    <s v="1.3.2"/>
    <m/>
  </r>
  <r>
    <d v="2022-02-07T00:00:00"/>
    <s v="BCI-3643611/56"/>
    <x v="1"/>
    <m/>
    <n v="2000000"/>
    <m/>
    <n v="17896427"/>
    <x v="1"/>
    <m/>
    <m/>
    <m/>
    <s v="CONGO"/>
    <m/>
    <m/>
    <m/>
  </r>
  <r>
    <d v="2022-02-07T00:00:00"/>
    <s v="BCI-3643612/56"/>
    <x v="1"/>
    <m/>
    <n v="2000000"/>
    <m/>
    <n v="19896427"/>
    <x v="1"/>
    <m/>
    <m/>
    <m/>
    <s v="CONGO"/>
    <m/>
    <m/>
    <m/>
  </r>
  <r>
    <d v="2022-02-07T00:00:00"/>
    <s v="Crépin"/>
    <x v="1"/>
    <m/>
    <m/>
    <n v="154000"/>
    <n v="19742427"/>
    <x v="1"/>
    <m/>
    <m/>
    <m/>
    <s v="CONGO"/>
    <m/>
    <m/>
    <m/>
  </r>
  <r>
    <d v="2022-02-07T00:00:00"/>
    <s v="Evariste"/>
    <x v="1"/>
    <m/>
    <m/>
    <n v="154000"/>
    <n v="19588427"/>
    <x v="1"/>
    <m/>
    <m/>
    <m/>
    <s v="CONGO"/>
    <m/>
    <m/>
    <m/>
  </r>
  <r>
    <d v="2022-02-07T00:00:00"/>
    <s v="Grace"/>
    <x v="1"/>
    <m/>
    <m/>
    <n v="1347000"/>
    <n v="18241427"/>
    <x v="1"/>
    <m/>
    <m/>
    <m/>
    <s v="CONGO"/>
    <m/>
    <m/>
    <m/>
  </r>
  <r>
    <d v="2022-02-07T00:00:00"/>
    <s v="Godfre"/>
    <x v="1"/>
    <m/>
    <m/>
    <n v="20000"/>
    <n v="18221427"/>
    <x v="1"/>
    <m/>
    <m/>
    <m/>
    <s v="CONGO"/>
    <m/>
    <s v="  "/>
    <m/>
  </r>
  <r>
    <d v="2022-02-07T00:00:00"/>
    <s v="Frais de transfert charden farell/Grâce,Crépin,Godfré et Evariste"/>
    <x v="12"/>
    <s v="Office"/>
    <m/>
    <n v="50250"/>
    <n v="18171177"/>
    <x v="1"/>
    <s v="Oui"/>
    <s v="UE"/>
    <s v="RALFF"/>
    <s v="CONGO"/>
    <s v="RALFF-CO3014"/>
    <s v="5.6"/>
    <m/>
  </r>
  <r>
    <d v="2022-02-07T00:00:00"/>
    <s v="Reglement loyer Tiffany mois de Janvier et Février 2021/800USD"/>
    <x v="10"/>
    <s v="Management"/>
    <m/>
    <n v="471149"/>
    <n v="17700028"/>
    <x v="1"/>
    <s v="Oui"/>
    <s v="Wildcat"/>
    <s v="PALF"/>
    <s v="CONGO"/>
    <m/>
    <m/>
    <m/>
  </r>
  <r>
    <d v="2022-02-07T00:00:00"/>
    <s v="Retrait especes/appro caisse/bord n°3643611"/>
    <x v="1"/>
    <m/>
    <m/>
    <n v="2000000"/>
    <n v="15700028"/>
    <x v="2"/>
    <m/>
    <m/>
    <m/>
    <s v="CONGO"/>
    <m/>
    <m/>
    <m/>
  </r>
  <r>
    <d v="2022-02-07T00:00:00"/>
    <s v="Retrait especes/appro caisse/bord n°3643612"/>
    <x v="1"/>
    <m/>
    <m/>
    <n v="2000000"/>
    <n v="13700028"/>
    <x v="2"/>
    <m/>
    <m/>
    <m/>
    <s v="CONGO"/>
    <m/>
    <m/>
    <m/>
  </r>
  <r>
    <d v="2022-02-07T00:00:00"/>
    <s v="Frais bancaire Février 2022/Compte 34"/>
    <x v="5"/>
    <s v="Office"/>
    <m/>
    <n v="23345"/>
    <n v="13676683"/>
    <x v="8"/>
    <s v="Relevé"/>
    <s v="Wildcat"/>
    <s v="PALF"/>
    <s v="CONGO"/>
    <m/>
    <m/>
    <m/>
  </r>
  <r>
    <d v="2022-02-07T00:00:00"/>
    <s v="Reçu caisse/Frais de Mission OP 1 OYO"/>
    <x v="1"/>
    <m/>
    <n v="1347000"/>
    <m/>
    <n v="15023683"/>
    <x v="5"/>
    <m/>
    <m/>
    <m/>
    <s v="CONGO"/>
    <m/>
    <m/>
    <m/>
  </r>
  <r>
    <d v="2022-02-07T00:00:00"/>
    <s v="Transfert à I23C/frais location Apprt+Commission"/>
    <x v="1"/>
    <m/>
    <m/>
    <n v="245000"/>
    <n v="14778683"/>
    <x v="5"/>
    <m/>
    <m/>
    <m/>
    <s v="CONGO"/>
    <m/>
    <m/>
    <m/>
  </r>
  <r>
    <d v="2022-02-07T00:00:00"/>
    <s v="Transfert à P29/flash money+Supplément Trust"/>
    <x v="1"/>
    <m/>
    <m/>
    <n v="400000"/>
    <n v="14378683"/>
    <x v="5"/>
    <m/>
    <m/>
    <m/>
    <s v="CONGO"/>
    <m/>
    <m/>
    <m/>
  </r>
  <r>
    <d v="2022-02-07T00:00:00"/>
    <s v="Reçu de caisse via Grace"/>
    <x v="1"/>
    <m/>
    <n v="154000"/>
    <m/>
    <n v="14532683"/>
    <x v="3"/>
    <m/>
    <m/>
    <m/>
    <s v="CONGO"/>
    <m/>
    <m/>
    <m/>
  </r>
  <r>
    <d v="2022-02-07T00:00:00"/>
    <s v="Reçu de la caisse"/>
    <x v="1"/>
    <m/>
    <n v="154000"/>
    <m/>
    <n v="14686683"/>
    <x v="11"/>
    <m/>
    <m/>
    <m/>
    <s v="CONGO"/>
    <m/>
    <m/>
    <m/>
  </r>
  <r>
    <d v="2022-02-07T00:00:00"/>
    <s v="Reçu caisse"/>
    <x v="1"/>
    <m/>
    <n v="20000"/>
    <m/>
    <n v="14706683"/>
    <x v="4"/>
    <m/>
    <m/>
    <m/>
    <s v="CONGO"/>
    <m/>
    <m/>
    <m/>
  </r>
  <r>
    <d v="2022-02-07T00:00:00"/>
    <s v="Frais de mandat d'arrêt"/>
    <x v="6"/>
    <s v="Legal"/>
    <m/>
    <n v="20000"/>
    <n v="14686683"/>
    <x v="4"/>
    <s v="Oui"/>
    <s v="Wildcat"/>
    <s v="PALF"/>
    <s v="CONGO"/>
    <m/>
    <m/>
    <m/>
  </r>
  <r>
    <d v="2022-02-07T00:00:00"/>
    <s v="Frais d'impression documents"/>
    <x v="3"/>
    <s v="Operation"/>
    <m/>
    <n v="4900"/>
    <n v="14681783"/>
    <x v="4"/>
    <s v="Oui"/>
    <s v="Wildcat"/>
    <s v="PALF"/>
    <s v="CONGO"/>
    <m/>
    <m/>
    <m/>
  </r>
  <r>
    <d v="2022-02-07T00:00:00"/>
    <s v="Réçu de caisse"/>
    <x v="1"/>
    <m/>
    <n v="245000"/>
    <m/>
    <n v="14926783"/>
    <x v="9"/>
    <m/>
    <m/>
    <m/>
    <s v="CONGO"/>
    <m/>
    <m/>
    <m/>
  </r>
  <r>
    <d v="2022-02-07T00:00:00"/>
    <s v="Location Appartement  3 nuitées du 7 au 10 février 2022/OP 1 à Oyo"/>
    <x v="11"/>
    <s v="Opération"/>
    <m/>
    <n v="210000"/>
    <n v="14716783"/>
    <x v="9"/>
    <s v="Oui"/>
    <s v="Wildcat"/>
    <s v="PALF"/>
    <s v="CONGO"/>
    <m/>
    <m/>
    <m/>
  </r>
  <r>
    <d v="2022-02-07T00:00:00"/>
    <s v="Paiement frais de démarcheur"/>
    <x v="8"/>
    <s v="Opération"/>
    <m/>
    <n v="35000"/>
    <n v="14681783"/>
    <x v="9"/>
    <s v="Oui"/>
    <s v="Wildcat"/>
    <s v="PALF"/>
    <s v="CONGO"/>
    <m/>
    <m/>
    <m/>
  </r>
  <r>
    <d v="2022-02-07T00:00:00"/>
    <s v="Achat aliment 94 perroquets "/>
    <x v="3"/>
    <s v="Opération"/>
    <m/>
    <n v="10000"/>
    <n v="14671783"/>
    <x v="6"/>
    <s v="Oui"/>
    <s v="Wildcat"/>
    <s v="PALF"/>
    <s v="CONGO"/>
    <m/>
    <m/>
    <m/>
  </r>
  <r>
    <d v="2022-02-07T00:00:00"/>
    <s v="Recu de Grace"/>
    <x v="1"/>
    <m/>
    <n v="400000"/>
    <m/>
    <n v="15071783"/>
    <x v="6"/>
    <m/>
    <m/>
    <m/>
    <s v="CONGO"/>
    <m/>
    <m/>
    <m/>
  </r>
  <r>
    <d v="2022-02-07T00:00:00"/>
    <s v="Cumul Frais de Trust Building février 2022/B52"/>
    <x v="13"/>
    <s v="Investigation"/>
    <m/>
    <n v="2000"/>
    <n v="15069783"/>
    <x v="7"/>
    <s v="Décharge"/>
    <s v="Wildcat"/>
    <s v="PALF"/>
    <s v="CONGO"/>
    <m/>
    <m/>
    <m/>
  </r>
  <r>
    <d v="2022-02-08T00:00:00"/>
    <s v="Godfre"/>
    <x v="1"/>
    <m/>
    <m/>
    <n v="29000"/>
    <n v="15040783"/>
    <x v="1"/>
    <m/>
    <m/>
    <m/>
    <s v="CONGO"/>
    <m/>
    <m/>
    <m/>
  </r>
  <r>
    <d v="2022-02-08T00:00:00"/>
    <s v="Frais de transfert charden farell/Godfré"/>
    <x v="12"/>
    <s v="Office"/>
    <m/>
    <n v="870"/>
    <n v="15039913"/>
    <x v="1"/>
    <s v="Oui"/>
    <s v="UE"/>
    <s v="RALFF"/>
    <s v="CONGO"/>
    <s v="RALFF-CO3015"/>
    <s v="5.6"/>
    <m/>
  </r>
  <r>
    <d v="2022-02-08T00:00:00"/>
    <s v="B52"/>
    <x v="1"/>
    <m/>
    <m/>
    <n v="10000"/>
    <n v="15029913"/>
    <x v="1"/>
    <m/>
    <m/>
    <m/>
    <s v="CONGO"/>
    <m/>
    <m/>
    <m/>
  </r>
  <r>
    <d v="2022-02-08T00:00:00"/>
    <s v="Transfert à I23C/frais d'Extraction P29"/>
    <x v="1"/>
    <m/>
    <m/>
    <n v="60000"/>
    <n v="14969913"/>
    <x v="5"/>
    <m/>
    <m/>
    <m/>
    <s v="CONGO"/>
    <m/>
    <m/>
    <m/>
  </r>
  <r>
    <d v="2022-02-08T00:00:00"/>
    <s v="Transfert à I23C/Fabrication 07 Cages"/>
    <x v="1"/>
    <m/>
    <m/>
    <n v="105000"/>
    <n v="14864913"/>
    <x v="5"/>
    <m/>
    <m/>
    <m/>
    <s v="CONGO"/>
    <m/>
    <m/>
    <m/>
  </r>
  <r>
    <d v="2022-02-08T00:00:00"/>
    <s v="Reçu caisse"/>
    <x v="1"/>
    <m/>
    <n v="29000"/>
    <m/>
    <n v="14893913"/>
    <x v="4"/>
    <m/>
    <m/>
    <m/>
    <s v="CONGO"/>
    <m/>
    <m/>
    <m/>
  </r>
  <r>
    <d v="2022-02-08T00:00:00"/>
    <s v="Réçu de caisse"/>
    <x v="1"/>
    <m/>
    <n v="105000"/>
    <m/>
    <n v="14998913"/>
    <x v="9"/>
    <m/>
    <m/>
    <m/>
    <s v="CONGO"/>
    <m/>
    <m/>
    <m/>
  </r>
  <r>
    <d v="2022-02-08T00:00:00"/>
    <s v="Achat 07 Cages en bois cages"/>
    <x v="14"/>
    <s v="Opération"/>
    <m/>
    <n v="105000"/>
    <n v="14893913"/>
    <x v="9"/>
    <s v="Oui"/>
    <s v="Wildcat"/>
    <s v="PALF"/>
    <s v="CONGO"/>
    <m/>
    <m/>
    <m/>
  </r>
  <r>
    <d v="2022-02-08T00:00:00"/>
    <s v="Réçu de caisse (fond extraction)"/>
    <x v="1"/>
    <m/>
    <n v="60000"/>
    <m/>
    <n v="14953913"/>
    <x v="9"/>
    <m/>
    <m/>
    <m/>
    <s v="CONGO"/>
    <m/>
    <m/>
    <m/>
  </r>
  <r>
    <d v="2022-02-08T00:00:00"/>
    <s v="Achat aliment 94 perroquets "/>
    <x v="3"/>
    <s v="Opération"/>
    <m/>
    <n v="18000"/>
    <n v="14935913"/>
    <x v="6"/>
    <s v="Oui"/>
    <s v="Wildcat"/>
    <s v="PALF"/>
    <s v="CONGO"/>
    <m/>
    <m/>
    <m/>
  </r>
  <r>
    <d v="2022-02-08T00:00:00"/>
    <s v="reçu de caisse"/>
    <x v="1"/>
    <m/>
    <n v="10000"/>
    <m/>
    <n v="14945913"/>
    <x v="7"/>
    <m/>
    <m/>
    <m/>
    <s v="CONGO"/>
    <m/>
    <m/>
    <m/>
  </r>
  <r>
    <d v="2022-02-08T00:00:00"/>
    <s v="P29 - CONGO Frais Hôtel 4 nuitées du 04 au 08/02/2022 à Oyo"/>
    <x v="11"/>
    <s v="Investigations"/>
    <m/>
    <n v="60000"/>
    <n v="14885913"/>
    <x v="6"/>
    <s v="Oui"/>
    <s v="UE"/>
    <s v="RALFF"/>
    <s v="CONGO"/>
    <s v="RALFF-CO3016"/>
    <s v="1.3.2"/>
    <m/>
  </r>
  <r>
    <d v="2022-02-09T00:00:00"/>
    <s v="Frais de Mission maitre Scrutin MOUYETI à Dolisie du 10 au 12/02/2022"/>
    <x v="9"/>
    <s v="Legal"/>
    <m/>
    <n v="76000"/>
    <n v="14809913"/>
    <x v="1"/>
    <s v="Oui"/>
    <s v="UE"/>
    <s v="RALFF"/>
    <s v="CONGO"/>
    <s v="RALFF-CO3017"/>
    <s v="5.2.2"/>
    <m/>
  </r>
  <r>
    <d v="2022-02-09T00:00:00"/>
    <s v="Godfré"/>
    <x v="1"/>
    <m/>
    <m/>
    <n v="96000"/>
    <n v="14713913"/>
    <x v="1"/>
    <m/>
    <m/>
    <m/>
    <s v="CONGO"/>
    <m/>
    <m/>
    <m/>
  </r>
  <r>
    <d v="2022-02-09T00:00:00"/>
    <s v="Grace"/>
    <x v="1"/>
    <m/>
    <m/>
    <n v="550000"/>
    <n v="14163913"/>
    <x v="1"/>
    <m/>
    <m/>
    <m/>
    <s v="CONGO"/>
    <m/>
    <m/>
    <m/>
  </r>
  <r>
    <d v="2022-02-09T00:00:00"/>
    <s v="Frais de transfert charden Farell/Grace et Godfré"/>
    <x v="12"/>
    <s v="Office"/>
    <m/>
    <n v="20580"/>
    <n v="14143333"/>
    <x v="1"/>
    <s v="Oui"/>
    <s v="UE"/>
    <s v="RALFF"/>
    <s v="CONGO"/>
    <s v="RALFF-CO3018"/>
    <s v="5.6"/>
    <m/>
  </r>
  <r>
    <d v="2022-02-09T00:00:00"/>
    <s v="Achat nourriture pour Perroquets/banane,noix de palme,mais,concombre papaye et Arachide"/>
    <x v="3"/>
    <s v="Operation"/>
    <m/>
    <n v="17000"/>
    <n v="14126333"/>
    <x v="1"/>
    <s v="Oui"/>
    <s v="Wildcat"/>
    <s v="PALF"/>
    <s v="CONGO"/>
    <m/>
    <m/>
    <m/>
  </r>
  <r>
    <d v="2022-02-09T00:00:00"/>
    <s v="B52"/>
    <x v="1"/>
    <m/>
    <m/>
    <n v="10000"/>
    <n v="14116333"/>
    <x v="1"/>
    <m/>
    <m/>
    <m/>
    <s v="CONGO"/>
    <m/>
    <m/>
    <m/>
  </r>
  <r>
    <d v="2022-02-09T00:00:00"/>
    <s v="Carburant aller owando BJ"/>
    <x v="8"/>
    <s v="Opération"/>
    <m/>
    <n v="12000"/>
    <n v="14104333"/>
    <x v="5"/>
    <s v="Oui"/>
    <s v="Wildcat"/>
    <s v="PALF"/>
    <s v="CONGO"/>
    <m/>
    <m/>
    <m/>
  </r>
  <r>
    <d v="2022-02-09T00:00:00"/>
    <s v="Carburant retour owando BJ"/>
    <x v="8"/>
    <s v="Opération"/>
    <m/>
    <n v="12000"/>
    <n v="14092333"/>
    <x v="5"/>
    <s v="Oui"/>
    <s v="Wildcat"/>
    <s v="PALF"/>
    <s v="CONGO"/>
    <m/>
    <m/>
    <m/>
  </r>
  <r>
    <d v="2022-02-09T00:00:00"/>
    <s v="Bonus autorité 14 gendarmes OP à OYO"/>
    <x v="15"/>
    <s v="Opération"/>
    <m/>
    <n v="140000"/>
    <n v="13952333"/>
    <x v="5"/>
    <s v="Décharge"/>
    <s v="Wildcat"/>
    <s v="PALF"/>
    <s v="CONGO"/>
    <m/>
    <m/>
    <m/>
  </r>
  <r>
    <d v="2022-02-09T00:00:00"/>
    <s v="Bonus autorité 01 Eaux et Forêts OP à OYO"/>
    <x v="15"/>
    <s v="Opération"/>
    <m/>
    <n v="10000"/>
    <n v="13942333"/>
    <x v="5"/>
    <s v="Décharge"/>
    <s v="Wildcat"/>
    <s v="PALF"/>
    <s v="CONGO"/>
    <m/>
    <m/>
    <m/>
  </r>
  <r>
    <d v="2022-02-09T00:00:00"/>
    <s v="Achat Boissons avant OP avec les 03 gendarmes/ Grillades+Jus"/>
    <x v="11"/>
    <s v="Opération"/>
    <m/>
    <n v="7000"/>
    <n v="13935333"/>
    <x v="5"/>
    <s v="Décharge"/>
    <s v="Wildcat"/>
    <s v="PALF"/>
    <s v="CONGO"/>
    <m/>
    <m/>
    <m/>
  </r>
  <r>
    <d v="2022-02-09T00:00:00"/>
    <s v="Achat fruits et légumes 94 perroquets"/>
    <x v="3"/>
    <s v="Opération"/>
    <m/>
    <n v="23700"/>
    <n v="13911633"/>
    <x v="5"/>
    <s v="Décharge"/>
    <s v="Wildcat"/>
    <s v="PALF"/>
    <s v="CONGO"/>
    <m/>
    <m/>
    <m/>
  </r>
  <r>
    <d v="2022-02-09T00:00:00"/>
    <s v="Reçu caisse/Complement frais de Mission OP OYO"/>
    <x v="1"/>
    <m/>
    <n v="550000"/>
    <m/>
    <n v="14461633"/>
    <x v="5"/>
    <m/>
    <m/>
    <m/>
    <s v="CONGO"/>
    <m/>
    <m/>
    <m/>
  </r>
  <r>
    <d v="2022-02-09T00:00:00"/>
    <s v="Boissons et nourriture (grillades) pendant l'attente du top pour op de 03 gendarme, 01 agent des eaux et forets et moi"/>
    <x v="11"/>
    <s v="Opération"/>
    <m/>
    <n v="8500"/>
    <n v="14453133"/>
    <x v="3"/>
    <s v="Décharge"/>
    <s v="Wildcat"/>
    <s v="PALF"/>
    <s v="CONGO"/>
    <m/>
    <m/>
    <m/>
  </r>
  <r>
    <d v="2022-02-09T00:00:00"/>
    <s v="Achats des jus, eau mineral et biscuit pour mon équipe lors de l'opération"/>
    <x v="11"/>
    <s v="Opération"/>
    <m/>
    <n v="10000"/>
    <n v="14443133"/>
    <x v="11"/>
    <s v="Oui"/>
    <s v="Wildcat"/>
    <s v="PALF"/>
    <s v="CONGO"/>
    <m/>
    <m/>
    <m/>
  </r>
  <r>
    <d v="2022-02-09T00:00:00"/>
    <s v="Achat pointes de 2, grillage à la quincaillerie "/>
    <x v="3"/>
    <s v="Operation"/>
    <m/>
    <n v="11000"/>
    <n v="14432133"/>
    <x v="11"/>
    <s v="Oui"/>
    <s v="Wildcat"/>
    <s v="PALF"/>
    <s v="CONGO"/>
    <m/>
    <m/>
    <m/>
  </r>
  <r>
    <d v="2022-02-09T00:00:00"/>
    <s v="Mains d'œuvre du menuisier pour mettre les grillages sur 4 cages"/>
    <x v="7"/>
    <s v="Office"/>
    <m/>
    <n v="14000"/>
    <n v="14418133"/>
    <x v="11"/>
    <s v="Oui"/>
    <s v="Wildcat"/>
    <s v="PALF"/>
    <s v="CONGO"/>
    <m/>
    <m/>
    <m/>
  </r>
  <r>
    <d v="2022-02-09T00:00:00"/>
    <s v="Achat billet(Pointe Noire-Dolisie)/Godfré"/>
    <x v="8"/>
    <s v="Legal"/>
    <m/>
    <n v="5000"/>
    <n v="14413133"/>
    <x v="4"/>
    <s v="Oui"/>
    <s v="UE"/>
    <s v="RALFF"/>
    <s v="CONGO"/>
    <s v="RALFF-CO3019"/>
    <s v="2.2"/>
    <m/>
  </r>
  <r>
    <d v="2022-02-09T00:00:00"/>
    <s v="Reçu caisse"/>
    <x v="1"/>
    <m/>
    <n v="96000"/>
    <m/>
    <n v="14509133"/>
    <x v="4"/>
    <m/>
    <m/>
    <m/>
    <s v="CONGO"/>
    <m/>
    <m/>
    <m/>
  </r>
  <r>
    <d v="2022-02-09T00:00:00"/>
    <s v="Récu de caisse de P29"/>
    <x v="1"/>
    <m/>
    <n v="300000"/>
    <m/>
    <n v="14809133"/>
    <x v="9"/>
    <m/>
    <m/>
    <m/>
    <s v="CONGO"/>
    <m/>
    <m/>
    <m/>
  </r>
  <r>
    <d v="2022-02-09T00:00:00"/>
    <s v="Paiement Taxi extraction Oyo-Ngo (Extraction)/I23C"/>
    <x v="8"/>
    <s v="Opération"/>
    <m/>
    <n v="50000"/>
    <n v="14759133"/>
    <x v="9"/>
    <s v="Oui"/>
    <s v="Wildcat"/>
    <s v="PALF"/>
    <s v="CONGO"/>
    <m/>
    <m/>
    <m/>
  </r>
  <r>
    <d v="2022-02-09T00:00:00"/>
    <s v="Transfert à P29 (budget supplémentaire) extrait du flash"/>
    <x v="1"/>
    <m/>
    <m/>
    <n v="30000"/>
    <n v="14729133"/>
    <x v="9"/>
    <m/>
    <m/>
    <m/>
    <s v="CONGO"/>
    <m/>
    <m/>
    <m/>
  </r>
  <r>
    <d v="2022-02-09T00:00:00"/>
    <s v="Transfert à I23C"/>
    <x v="1"/>
    <m/>
    <m/>
    <n v="300000"/>
    <n v="14429133"/>
    <x v="6"/>
    <m/>
    <m/>
    <m/>
    <s v="CONGO"/>
    <m/>
    <m/>
    <m/>
  </r>
  <r>
    <d v="2022-02-09T00:00:00"/>
    <s v="Recu de Francy "/>
    <x v="1"/>
    <m/>
    <n v="30000"/>
    <m/>
    <n v="14459133"/>
    <x v="6"/>
    <m/>
    <m/>
    <m/>
    <s v="CONGO"/>
    <m/>
    <m/>
    <m/>
  </r>
  <r>
    <d v="2022-02-09T00:00:00"/>
    <s v="reçu de caisse"/>
    <x v="1"/>
    <m/>
    <n v="10000"/>
    <m/>
    <n v="14469133"/>
    <x v="7"/>
    <m/>
    <m/>
    <m/>
    <s v="CONGO"/>
    <m/>
    <m/>
    <m/>
  </r>
  <r>
    <d v="2022-02-09T00:00:00"/>
    <s v="GODFRE-CONGO Frais d'hôtel (trois nuitées) du 06 au 09/02/2022 à Pointe-Noire"/>
    <x v="11"/>
    <s v="Legal"/>
    <m/>
    <n v="45000"/>
    <n v="14424133"/>
    <x v="4"/>
    <s v="Oui"/>
    <s v="UE"/>
    <s v="RALFF"/>
    <s v="CONGO"/>
    <s v="RALFF-CO3020"/>
    <s v="1.3.2"/>
    <m/>
  </r>
  <r>
    <d v="2022-02-09T00:00:00"/>
    <s v="I23C - CONGO Frais Hôtel 5 nuitées du 4 au 9/2/2022 à Oyo"/>
    <x v="11"/>
    <s v="Opération"/>
    <m/>
    <n v="75000"/>
    <n v="14349133"/>
    <x v="9"/>
    <s v="Oui"/>
    <s v="UE"/>
    <s v="RALFF"/>
    <s v="CONGO"/>
    <s v="RALFF-CO3021"/>
    <s v="1.3.2"/>
    <m/>
  </r>
  <r>
    <d v="2022-02-10T00:00:00"/>
    <s v="Achat billet Brazzaville - Pointe Noire/Tiffany GOBERT"/>
    <x v="4"/>
    <s v="Management"/>
    <m/>
    <n v="40000"/>
    <n v="14309133"/>
    <x v="1"/>
    <s v="Oui"/>
    <s v="UE"/>
    <s v="RALFF"/>
    <s v="CONGO"/>
    <s v="RALFF-CO3022"/>
    <s v="2.1"/>
    <m/>
  </r>
  <r>
    <d v="2022-02-10T00:00:00"/>
    <s v="Tiffany"/>
    <x v="1"/>
    <m/>
    <m/>
    <n v="150000"/>
    <n v="14159133"/>
    <x v="1"/>
    <m/>
    <m/>
    <m/>
    <s v="CONGO"/>
    <m/>
    <m/>
    <m/>
  </r>
  <r>
    <d v="2022-02-10T00:00:00"/>
    <s v="Frais de Location BJ TOYOTA LAND CRUISER/Transport perroquets"/>
    <x v="8"/>
    <s v="Opération"/>
    <m/>
    <n v="370000"/>
    <n v="13789133"/>
    <x v="5"/>
    <s v="Oui"/>
    <s v="Wildcat"/>
    <s v="PALF"/>
    <s v="CONGO"/>
    <m/>
    <m/>
    <m/>
  </r>
  <r>
    <d v="2022-02-10T00:00:00"/>
    <s v="Transfert à Crépin/Solde frais de mission"/>
    <x v="1"/>
    <m/>
    <m/>
    <n v="300000"/>
    <n v="13489133"/>
    <x v="5"/>
    <m/>
    <m/>
    <m/>
    <s v="CONGO"/>
    <m/>
    <m/>
    <m/>
  </r>
  <r>
    <d v="2022-02-10T00:00:00"/>
    <s v="Versement Caisse/ Tiffany"/>
    <x v="16"/>
    <m/>
    <n v="150000"/>
    <m/>
    <n v="13639133"/>
    <x v="10"/>
    <m/>
    <m/>
    <m/>
    <s v="CONGO"/>
    <m/>
    <m/>
    <m/>
  </r>
  <r>
    <d v="2022-02-10T00:00:00"/>
    <s v="Transport 6 cages par Canadian"/>
    <x v="4"/>
    <s v="Opérations "/>
    <m/>
    <n v="60000"/>
    <n v="13579133"/>
    <x v="10"/>
    <s v="Oui"/>
    <s v="Wildcat"/>
    <s v="PALF"/>
    <s v="CONGO"/>
    <m/>
    <m/>
    <m/>
  </r>
  <r>
    <d v="2022-02-10T00:00:00"/>
    <s v="Transport 4 cages par TAC (hors format) "/>
    <x v="4"/>
    <s v="Opérations "/>
    <m/>
    <n v="76000"/>
    <n v="13503133"/>
    <x v="10"/>
    <s v="Oui"/>
    <s v="Wildcat"/>
    <s v="PALF"/>
    <s v="CONGO"/>
    <m/>
    <m/>
    <m/>
  </r>
  <r>
    <d v="2022-02-10T00:00:00"/>
    <s v="GRACE - CONGO Frais d'Hotel 04 nuitées du 06 au 10/02/2022 à OYO/Grace"/>
    <x v="11"/>
    <s v="Opération"/>
    <m/>
    <n v="60000"/>
    <n v="13443133"/>
    <x v="5"/>
    <s v="Décharge"/>
    <s v="UE"/>
    <s v="RALFF"/>
    <s v="CONGO"/>
    <s v="RALFF-CO3023"/>
    <s v="1.3.2"/>
    <m/>
  </r>
  <r>
    <d v="2022-02-10T00:00:00"/>
    <s v="Reçu de caisse via Grace"/>
    <x v="1"/>
    <m/>
    <n v="300000"/>
    <m/>
    <n v="13743133"/>
    <x v="3"/>
    <m/>
    <m/>
    <m/>
    <s v="CONGO"/>
    <m/>
    <m/>
    <m/>
  </r>
  <r>
    <d v="2022-02-10T00:00:00"/>
    <s v="Cumul Ration  du 10/02/2022 de 04 Gendarmes de recherches Owando à Oyo (DOUNIAMA OBOURA, OBAMI Ger, NYANGA Marie , EWOBOKO Ghislain)"/>
    <x v="11"/>
    <s v="Opération"/>
    <m/>
    <n v="27000"/>
    <n v="13716133"/>
    <x v="3"/>
    <s v="Oui"/>
    <s v="Wildcat"/>
    <s v="PALF"/>
    <s v="CONGO"/>
    <m/>
    <m/>
    <m/>
  </r>
  <r>
    <d v="2022-02-10T00:00:00"/>
    <s v="Taxi Ngo-Brazzaville (départ pour BZ)/I23C"/>
    <x v="8"/>
    <s v="Investigation"/>
    <m/>
    <n v="8000"/>
    <n v="13708133"/>
    <x v="9"/>
    <s v="Oui"/>
    <s v="UE"/>
    <s v="RALFF"/>
    <s v="CONGO"/>
    <s v="RALFF-CO3024"/>
    <s v="2.2"/>
    <m/>
  </r>
  <r>
    <d v="2022-02-10T00:00:00"/>
    <s v="Achat billet ngo-brazzaville/P29"/>
    <x v="8"/>
    <s v="Opération"/>
    <m/>
    <n v="8000"/>
    <n v="13700133"/>
    <x v="6"/>
    <s v="Oui"/>
    <s v="UE"/>
    <s v="RALFF"/>
    <s v="CONGO"/>
    <s v="RALFF-CO3025"/>
    <s v="2.2"/>
    <m/>
  </r>
  <r>
    <d v="2022-02-10T00:00:00"/>
    <s v="Cumul frais de ration février 2022/B52"/>
    <x v="11"/>
    <s v="Investigation"/>
    <m/>
    <n v="8000"/>
    <n v="13692133"/>
    <x v="7"/>
    <s v="Décharge"/>
    <s v="Wildcat"/>
    <s v="PALF"/>
    <s v="CONGO"/>
    <m/>
    <m/>
    <m/>
  </r>
  <r>
    <d v="2022-02-10T00:00:00"/>
    <s v="Cumul frais de transport local mois de Février 2022/B52"/>
    <x v="8"/>
    <s v="Investigation"/>
    <m/>
    <n v="40500"/>
    <n v="13651633"/>
    <x v="7"/>
    <s v="Décharge"/>
    <s v="Wildcat"/>
    <s v="PALF"/>
    <s v="CONGO"/>
    <m/>
    <m/>
    <m/>
  </r>
  <r>
    <d v="2022-02-10T00:00:00"/>
    <s v="I23C - CONGO Frais Hôtel 1 nuitée du 9 au 10 février 2022 à Ngo"/>
    <x v="11"/>
    <s v="Opération"/>
    <m/>
    <n v="15000"/>
    <n v="13636633"/>
    <x v="9"/>
    <s v="Oui"/>
    <s v="UE"/>
    <s v="RALFF"/>
    <s v="CONGO"/>
    <s v="RALFF-CO3026"/>
    <s v="1.3.2"/>
    <m/>
  </r>
  <r>
    <d v="2022-02-10T00:00:00"/>
    <s v="P29 - CONGO Frais Hôtel 1 nuitée du 09 au 10/02/2022 à Ngo"/>
    <x v="11"/>
    <s v="Investigations"/>
    <m/>
    <n v="15000"/>
    <n v="13621633"/>
    <x v="6"/>
    <s v="Oui"/>
    <s v="UE"/>
    <s v="RALFF"/>
    <s v="CONGO"/>
    <s v="RALFF-CO3027"/>
    <s v="1.3.2"/>
    <m/>
  </r>
  <r>
    <d v="2022-02-10T00:00:00"/>
    <s v="TIFFANY - CONGO Food allowance- Mission Pointe Noire du 10 au 14/02/2022"/>
    <x v="11"/>
    <s v="Management"/>
    <m/>
    <n v="40000"/>
    <n v="13581633"/>
    <x v="10"/>
    <s v="Décharge"/>
    <s v="UE"/>
    <s v="RALFF"/>
    <s v="CONGO"/>
    <s v="RALFF-CO3028"/>
    <s v="1.3.2"/>
    <m/>
  </r>
  <r>
    <d v="2022-02-11T00:00:00"/>
    <s v="I23C"/>
    <x v="1"/>
    <m/>
    <n v="240000"/>
    <m/>
    <n v="13821633"/>
    <x v="1"/>
    <m/>
    <m/>
    <m/>
    <s v="CONGO"/>
    <m/>
    <m/>
    <m/>
  </r>
  <r>
    <d v="2022-02-11T00:00:00"/>
    <s v="Achat œufs,eau,et poulet pour Chouette (Hibou)"/>
    <x v="3"/>
    <s v="Operation"/>
    <m/>
    <n v="6050"/>
    <n v="13815583"/>
    <x v="1"/>
    <s v="Oui"/>
    <s v="Wildcat"/>
    <s v="PALF"/>
    <s v="CONGO"/>
    <m/>
    <m/>
    <m/>
  </r>
  <r>
    <d v="2022-02-11T00:00:00"/>
    <s v="Cumul Ration  du 11/02/2022 de 04 Gendarmes de recherches Owando à Oyo (DOUNIAMA OBOURA, OBAMI Ger, NYANGA Marie , EWOBOKO Ghislain)"/>
    <x v="11"/>
    <s v="Opération"/>
    <m/>
    <n v="26000"/>
    <n v="13789583"/>
    <x v="3"/>
    <s v="Oui"/>
    <s v="Wildcat"/>
    <s v="PALF"/>
    <s v="CONGO"/>
    <m/>
    <m/>
    <m/>
  </r>
  <r>
    <d v="2022-02-11T00:00:00"/>
    <s v="Retour Caisse "/>
    <x v="1"/>
    <m/>
    <m/>
    <n v="240000"/>
    <n v="13549583"/>
    <x v="9"/>
    <m/>
    <m/>
    <m/>
    <s v="CONGO"/>
    <m/>
    <m/>
    <m/>
  </r>
  <r>
    <d v="2022-02-12T00:00:00"/>
    <s v="Merveille"/>
    <x v="1"/>
    <m/>
    <m/>
    <n v="15000"/>
    <n v="13534583"/>
    <x v="1"/>
    <m/>
    <m/>
    <m/>
    <s v="CONGO"/>
    <m/>
    <m/>
    <m/>
  </r>
  <r>
    <d v="2022-02-12T00:00:00"/>
    <s v="Frais de mission à OYO du 13 au 15/02/2022 maitre Marie Hélène NANITELAMIO"/>
    <x v="9"/>
    <s v="Legal"/>
    <m/>
    <n v="76000"/>
    <n v="13458583"/>
    <x v="1"/>
    <s v="Oui"/>
    <s v="UE"/>
    <s v="RALFF"/>
    <s v="CONGO"/>
    <s v="RALFF-CO3029"/>
    <s v="5.2.2"/>
    <m/>
  </r>
  <r>
    <d v="2022-02-12T00:00:00"/>
    <s v="Evariste"/>
    <x v="1"/>
    <m/>
    <m/>
    <n v="112000"/>
    <n v="13346583"/>
    <x v="1"/>
    <m/>
    <m/>
    <m/>
    <s v="CONGO"/>
    <m/>
    <m/>
    <m/>
  </r>
  <r>
    <d v="2022-02-12T00:00:00"/>
    <s v="Crepin"/>
    <x v="1"/>
    <m/>
    <m/>
    <n v="412000"/>
    <n v="12934583"/>
    <x v="1"/>
    <m/>
    <m/>
    <m/>
    <s v="CONGO"/>
    <m/>
    <m/>
    <m/>
  </r>
  <r>
    <d v="2022-02-12T00:00:00"/>
    <s v="Frais de transfert charden Farell/Crépin et Evariste"/>
    <x v="12"/>
    <s v="Office"/>
    <m/>
    <n v="16920"/>
    <n v="12917663"/>
    <x v="1"/>
    <s v="Oui"/>
    <s v="UE"/>
    <s v="RALFF"/>
    <s v="CONGO"/>
    <s v="RALFF-CO3030"/>
    <s v="5.6"/>
    <m/>
  </r>
  <r>
    <d v="2022-02-12T00:00:00"/>
    <s v="I23C"/>
    <x v="1"/>
    <m/>
    <m/>
    <n v="101000"/>
    <n v="12816663"/>
    <x v="1"/>
    <m/>
    <m/>
    <m/>
    <s v="CONGO"/>
    <m/>
    <m/>
    <m/>
  </r>
  <r>
    <d v="2022-02-12T00:00:00"/>
    <s v="Frais d'expédition Hibou dans sa cage"/>
    <x v="8"/>
    <s v="Operation"/>
    <m/>
    <n v="10000"/>
    <n v="12806663"/>
    <x v="5"/>
    <s v="Oui"/>
    <s v="Wildcat"/>
    <s v="PALF"/>
    <s v="CONGO"/>
    <m/>
    <m/>
    <m/>
  </r>
  <r>
    <d v="2022-02-12T00:00:00"/>
    <s v="Reçu caisse"/>
    <x v="1"/>
    <m/>
    <n v="15000"/>
    <m/>
    <n v="12821663"/>
    <x v="12"/>
    <m/>
    <m/>
    <m/>
    <s v="CONGO"/>
    <m/>
    <m/>
    <m/>
  </r>
  <r>
    <d v="2022-02-12T00:00:00"/>
    <s v="Reçu de caisse via Evariste"/>
    <x v="1"/>
    <m/>
    <n v="412000"/>
    <m/>
    <n v="13233663"/>
    <x v="3"/>
    <m/>
    <m/>
    <m/>
    <s v="CONGO"/>
    <m/>
    <m/>
    <m/>
  </r>
  <r>
    <d v="2022-02-12T00:00:00"/>
    <s v="Cumul Ration  du 12/02/2022 de 04 Gendarmes de recherches Owando à Oyo (DOUNIAMA OBOURA, OBAMI Ger, NYANGA Marie , EWOBOKO Ghislain)"/>
    <x v="11"/>
    <s v="Opération"/>
    <m/>
    <n v="25500"/>
    <n v="13208163"/>
    <x v="3"/>
    <s v="Oui"/>
    <s v="Wildcat"/>
    <s v="PALF"/>
    <s v="CONGO"/>
    <m/>
    <m/>
    <m/>
  </r>
  <r>
    <d v="2022-02-12T00:00:00"/>
    <s v="Reçu de la caisse "/>
    <x v="1"/>
    <m/>
    <n v="112000"/>
    <m/>
    <n v="13320163"/>
    <x v="11"/>
    <m/>
    <m/>
    <m/>
    <s v="CONGO"/>
    <m/>
    <m/>
    <m/>
  </r>
  <r>
    <d v="2022-02-12T00:00:00"/>
    <s v="Achat billet retour(Dolisie-Brazzaville)/Godfre"/>
    <x v="8"/>
    <s v="Legal"/>
    <m/>
    <n v="10000"/>
    <n v="13310163"/>
    <x v="4"/>
    <s v="Oui"/>
    <s v="UE"/>
    <s v="RALFF"/>
    <s v="CONGO"/>
    <s v="RALFF-CO3031"/>
    <s v="2.2"/>
    <m/>
  </r>
  <r>
    <d v="2022-02-12T00:00:00"/>
    <s v="Réçu caisse"/>
    <x v="1"/>
    <m/>
    <n v="101000"/>
    <m/>
    <n v="13411163"/>
    <x v="9"/>
    <m/>
    <m/>
    <m/>
    <s v="CONGO"/>
    <m/>
    <m/>
    <m/>
  </r>
  <r>
    <d v="2022-02-12T00:00:00"/>
    <s v="GODFRE-CONGO Frais d'hôtel 03 nuitées à Dolisie du 09 au 12/02/2022"/>
    <x v="11"/>
    <s v="Legal"/>
    <m/>
    <n v="45000"/>
    <n v="13366163"/>
    <x v="4"/>
    <s v="Oui"/>
    <s v="UE"/>
    <s v="RALFF"/>
    <s v="CONGO"/>
    <s v="RALFF-CO3032"/>
    <s v="1.3.2"/>
    <m/>
  </r>
  <r>
    <d v="2022-02-13T00:00:00"/>
    <s v="EVARISTE LELOUSSI - CONGO Frais d'hôtel du 06 au 13 février 2022  ( 7 nuitées)"/>
    <x v="11"/>
    <s v="Media"/>
    <m/>
    <n v="105000"/>
    <n v="13261163"/>
    <x v="11"/>
    <s v="Oui"/>
    <s v="UE"/>
    <s v="RALFF"/>
    <s v="CONGO"/>
    <s v="RALFF-CO3033"/>
    <s v="1.3.2"/>
    <m/>
  </r>
  <r>
    <d v="2022-02-13T00:00:00"/>
    <s v="Cumul Ration  du 13/02/2022 de 04 Gendarmes de recherches Owando à Oyo (DOUNIAMA OBOURA, OBAMI Ger, NYANGA Marie , EWOBOKO Ghislain)"/>
    <x v="11"/>
    <s v="Opération"/>
    <m/>
    <n v="26000"/>
    <n v="13235163"/>
    <x v="3"/>
    <s v="Oui"/>
    <s v="Wildcat"/>
    <s v="PALF"/>
    <s v="CONGO"/>
    <m/>
    <m/>
    <m/>
  </r>
  <r>
    <d v="2022-02-13T00:00:00"/>
    <s v="Billet Oyo-Brazzaville/Evariste"/>
    <x v="8"/>
    <s v="Media"/>
    <m/>
    <n v="10000"/>
    <n v="13225163"/>
    <x v="11"/>
    <s v="Oui"/>
    <s v="UE"/>
    <s v="RALFF"/>
    <s v="CONGO"/>
    <s v="RALFF-CO3034"/>
    <s v="2.2"/>
    <m/>
  </r>
  <r>
    <d v="2022-02-13T00:00:00"/>
    <s v="Achat billet BZ-Oyo (mission pour Oyo)/I23C"/>
    <x v="8"/>
    <s v="Investigation"/>
    <m/>
    <n v="10000"/>
    <n v="13215163"/>
    <x v="9"/>
    <s v="Oui"/>
    <s v="UE"/>
    <s v="RALFF"/>
    <s v="CONGO"/>
    <s v="RALFF-CO3035"/>
    <s v="2.2"/>
    <m/>
  </r>
  <r>
    <d v="2022-02-13T00:00:00"/>
    <s v="Achat billet brazza-loudima/P29"/>
    <x v="8"/>
    <s v="Investigations"/>
    <m/>
    <n v="10000"/>
    <n v="13205163"/>
    <x v="6"/>
    <s v="Oui"/>
    <s v="UE"/>
    <s v="RALFF"/>
    <s v="CONGO"/>
    <s v="RALFF-CO3036"/>
    <s v="2.2"/>
    <m/>
  </r>
  <r>
    <d v="2022-02-14T00:00:00"/>
    <s v="Achat billet  Pointe Noire -Brazzaville /Tiffany GOBERT"/>
    <x v="4"/>
    <s v="Management"/>
    <m/>
    <n v="40000"/>
    <n v="13165163"/>
    <x v="1"/>
    <s v="Oui"/>
    <s v="UE"/>
    <s v="RALFF"/>
    <s v="CONGO"/>
    <s v="RALFF-CO3037"/>
    <s v="2.1"/>
    <m/>
  </r>
  <r>
    <d v="2022-02-14T00:00:00"/>
    <s v="Grace"/>
    <x v="1"/>
    <m/>
    <n v="111000"/>
    <m/>
    <n v="13276163"/>
    <x v="1"/>
    <m/>
    <m/>
    <m/>
    <s v="CONGO"/>
    <m/>
    <m/>
    <m/>
  </r>
  <r>
    <d v="2022-02-14T00:00:00"/>
    <s v="P29"/>
    <x v="1"/>
    <m/>
    <m/>
    <n v="195000"/>
    <n v="13081163"/>
    <x v="1"/>
    <m/>
    <m/>
    <m/>
    <s v="CONGO"/>
    <m/>
    <m/>
    <m/>
  </r>
  <r>
    <d v="2022-02-14T00:00:00"/>
    <s v="Frais de transfert charden farell/p29"/>
    <x v="12"/>
    <s v="Office"/>
    <m/>
    <n v="5850"/>
    <n v="13075313"/>
    <x v="1"/>
    <s v="Oui"/>
    <s v="UE"/>
    <s v="RALFF"/>
    <s v="CONGO"/>
    <s v="RALFF-CO3038"/>
    <s v="5.6"/>
    <m/>
  </r>
  <r>
    <d v="2022-02-14T00:00:00"/>
    <s v="BCI-3643613/57"/>
    <x v="1"/>
    <m/>
    <n v="3000000"/>
    <m/>
    <n v="16075313"/>
    <x v="1"/>
    <m/>
    <m/>
    <m/>
    <s v="CONGO"/>
    <m/>
    <m/>
    <m/>
  </r>
  <r>
    <d v="2022-02-14T00:00:00"/>
    <s v="Retrait especes/appro caisse/bord n°3643613"/>
    <x v="1"/>
    <m/>
    <m/>
    <n v="3000000"/>
    <n v="13075313"/>
    <x v="2"/>
    <m/>
    <m/>
    <m/>
    <s v="CONGO"/>
    <m/>
    <m/>
    <m/>
  </r>
  <r>
    <d v="2022-02-14T00:00:00"/>
    <s v="Retour Caisse /Frais de Mission Oyo"/>
    <x v="1"/>
    <m/>
    <m/>
    <n v="111000"/>
    <n v="12964313"/>
    <x v="5"/>
    <m/>
    <m/>
    <m/>
    <s v="CONGO"/>
    <m/>
    <m/>
    <m/>
  </r>
  <r>
    <d v="2022-02-14T00:00:00"/>
    <s v="05 Nuitées du 09 au 14/02/2022 à Oyo pour 04 Gendarmes de recherches (DOUNIAMA OBOURA, OBAMI Ger, NYANGA Marie , EWOBOKO Ghislain)"/>
    <x v="11"/>
    <s v="Opération"/>
    <m/>
    <n v="300000"/>
    <n v="12664313"/>
    <x v="3"/>
    <s v="Oui"/>
    <s v="Wildcat"/>
    <s v="PALF"/>
    <s v="CONGO"/>
    <m/>
    <m/>
    <m/>
  </r>
  <r>
    <d v="2022-02-14T00:00:00"/>
    <s v="Frais d'impression de la procédure de la gendarmerie"/>
    <x v="3"/>
    <s v="Operation"/>
    <m/>
    <n v="19800"/>
    <n v="12644513"/>
    <x v="3"/>
    <s v="Oui"/>
    <s v="Wildcat"/>
    <s v="PALF"/>
    <s v="CONGO"/>
    <m/>
    <m/>
    <m/>
  </r>
  <r>
    <d v="2022-02-14T00:00:00"/>
    <s v="Cumul Ration  du 14/02/2022 de 04 Gendarmes de recherches Owando à Oyo (DOUNIAMA OBOURA, OBAMI Ger, NYANGA Marie , EWOBOKO Ghislain)"/>
    <x v="11"/>
    <s v="Opération"/>
    <m/>
    <n v="20000"/>
    <n v="12624513"/>
    <x v="3"/>
    <s v="Oui"/>
    <s v="Wildcat"/>
    <s v="PALF"/>
    <s v="CONGO"/>
    <m/>
    <m/>
    <m/>
  </r>
  <r>
    <d v="2022-02-14T00:00:00"/>
    <s v="Recu de caisse"/>
    <x v="1"/>
    <m/>
    <n v="195000"/>
    <m/>
    <n v="12819513"/>
    <x v="6"/>
    <m/>
    <m/>
    <m/>
    <s v="CONGO"/>
    <m/>
    <m/>
    <m/>
  </r>
  <r>
    <d v="2022-02-14T00:00:00"/>
    <s v="Achat billet loudima- sibiti/P29"/>
    <x v="8"/>
    <s v="Investigations"/>
    <m/>
    <n v="4000"/>
    <n v="12815513"/>
    <x v="6"/>
    <s v="Oui"/>
    <s v="UE"/>
    <s v="RALFF"/>
    <s v="CONGO"/>
    <s v="RALFF-CO3039"/>
    <s v="2.2"/>
    <m/>
  </r>
  <r>
    <d v="2022-02-14T00:00:00"/>
    <s v="I23C - CONGO Food allowance mission Oyo du 14 au 20 février 2022"/>
    <x v="11"/>
    <s v="Opération"/>
    <m/>
    <n v="60000"/>
    <n v="12755513"/>
    <x v="9"/>
    <s v="Décharge"/>
    <s v="UE"/>
    <s v="RALFF"/>
    <s v="CONGO"/>
    <s v="RALFF-CO3040"/>
    <s v="1.3.2"/>
    <m/>
  </r>
  <r>
    <d v="2022-02-14T00:00:00"/>
    <s v="P29 - CONGO Food allowance mission du 14 au 19/02/2022 à Sibiti"/>
    <x v="11"/>
    <s v="Investigations"/>
    <m/>
    <n v="50000"/>
    <n v="12705513"/>
    <x v="6"/>
    <s v="Decharge"/>
    <s v="UE"/>
    <s v="RALFF"/>
    <s v="CONGO"/>
    <s v="RALFF-CO3041"/>
    <s v="1.3.2"/>
    <m/>
  </r>
  <r>
    <d v="2022-02-15T00:00:00"/>
    <s v="Frais de transport Oyo-Owando pour 04 gendarmes"/>
    <x v="8"/>
    <s v="Operation"/>
    <m/>
    <n v="20000"/>
    <n v="12685513"/>
    <x v="3"/>
    <s v="Oui"/>
    <s v="Wildcat"/>
    <s v="PALF"/>
    <s v="CONGO"/>
    <m/>
    <m/>
    <m/>
  </r>
  <r>
    <d v="2022-02-15T00:00:00"/>
    <s v="Frais d'Hotel 01 Nuitée du 14 au 15/02/2022 à Oyo pour 04 Gendarmes de recherches (DOUNIAMA OBOURA, OBAMI Ger, NYANGA Marie , EWOBOKO Ghislain)"/>
    <x v="11"/>
    <s v="Opération"/>
    <m/>
    <n v="60000"/>
    <n v="12625513"/>
    <x v="3"/>
    <s v="Oui"/>
    <s v="Wildcat"/>
    <s v="PALF"/>
    <s v="CONGO"/>
    <m/>
    <m/>
    <m/>
  </r>
  <r>
    <d v="2022-02-15T00:00:00"/>
    <s v="Billet: Oyo-Brazzaville/Crépin"/>
    <x v="8"/>
    <s v="Management"/>
    <m/>
    <n v="10000"/>
    <n v="12615513"/>
    <x v="3"/>
    <s v="Oui"/>
    <s v="UE"/>
    <s v="RALFF"/>
    <s v="CONGO"/>
    <s v="RALFF-CO3042"/>
    <s v="2.2"/>
    <m/>
  </r>
  <r>
    <d v="2022-02-15T00:00:00"/>
    <s v="Frais Commission,visite appartement/Démarcheur"/>
    <x v="8"/>
    <s v="Investigations"/>
    <m/>
    <n v="7000"/>
    <n v="12608513"/>
    <x v="6"/>
    <s v="Oui"/>
    <s v="Wildcat"/>
    <s v="PALF"/>
    <s v="CONGO"/>
    <m/>
    <m/>
    <m/>
  </r>
  <r>
    <d v="2022-02-16T00:00:00"/>
    <s v="CREPIN IBOUILI - CONGO Frais d'Hotel 10 Nuitées du 06 au 16/02/2022 à Oyo"/>
    <x v="11"/>
    <s v="Opération"/>
    <m/>
    <n v="150000"/>
    <n v="12458513"/>
    <x v="3"/>
    <s v="Oui"/>
    <s v="UE"/>
    <s v="RALFF"/>
    <s v="CONGO"/>
    <s v="RALFF-CO3043"/>
    <s v="1.3.2"/>
    <m/>
  </r>
  <r>
    <d v="2022-02-16T00:00:00"/>
    <s v="I23C"/>
    <x v="1"/>
    <m/>
    <m/>
    <n v="110000"/>
    <n v="12348513"/>
    <x v="1"/>
    <m/>
    <m/>
    <m/>
    <s v="CONGO"/>
    <m/>
    <m/>
    <m/>
  </r>
  <r>
    <d v="2022-02-16T00:00:00"/>
    <s v="Frais de transfert charden farell à I23C"/>
    <x v="12"/>
    <s v="Office"/>
    <m/>
    <n v="3300"/>
    <n v="12345213"/>
    <x v="1"/>
    <s v="Oui"/>
    <s v="UE"/>
    <s v="RALFF"/>
    <s v="CONGO"/>
    <s v="RALFF-CO3044"/>
    <s v="5.6"/>
    <m/>
  </r>
  <r>
    <d v="2022-02-16T00:00:00"/>
    <s v="Reglement Facture d'Eau Janvier-Février 2022/LCDE"/>
    <x v="17"/>
    <s v="Office"/>
    <m/>
    <n v="12750"/>
    <n v="12332463"/>
    <x v="1"/>
    <s v="Oui"/>
    <s v="UE"/>
    <s v="RALFF"/>
    <s v="CONGO"/>
    <s v="RALFF-CO3045"/>
    <s v="4.4"/>
    <m/>
  </r>
  <r>
    <d v="2022-02-16T00:00:00"/>
    <s v="Bonus télécongo OP à oyo"/>
    <x v="15"/>
    <s v="Media"/>
    <m/>
    <n v="150000"/>
    <n v="12182463"/>
    <x v="1"/>
    <s v="Décharge"/>
    <s v="Wildcat"/>
    <s v="PALF"/>
    <s v="CONGO"/>
    <m/>
    <m/>
    <m/>
  </r>
  <r>
    <d v="2022-02-16T00:00:00"/>
    <s v="Achat crédit pour informateur/B52"/>
    <x v="18"/>
    <s v="Investigation"/>
    <m/>
    <n v="10000"/>
    <n v="12172463"/>
    <x v="1"/>
    <s v="Oui"/>
    <s v="Wildcat"/>
    <s v="PALF"/>
    <s v="CONGO"/>
    <m/>
    <m/>
    <m/>
  </r>
  <r>
    <d v="2022-02-16T00:00:00"/>
    <s v="Frais de trust building/B52"/>
    <x v="18"/>
    <s v="Investigation"/>
    <m/>
    <n v="20000"/>
    <n v="12152463"/>
    <x v="1"/>
    <s v="Décharge"/>
    <s v="Wildcat"/>
    <s v="PALF"/>
    <s v="CONGO"/>
    <m/>
    <m/>
    <m/>
  </r>
  <r>
    <d v="2022-02-16T00:00:00"/>
    <s v="Achat credit  teléphonique Airtel/PALF/Deuxième partie Février 2022/Invinstigation"/>
    <x v="2"/>
    <s v="Investigation"/>
    <m/>
    <n v="10000"/>
    <n v="12142463"/>
    <x v="1"/>
    <s v="Oui"/>
    <s v="UE"/>
    <s v="RALFF"/>
    <s v="CONGO"/>
    <s v="RALFF-CO3046"/>
    <s v="4.6"/>
    <m/>
  </r>
  <r>
    <d v="2022-02-16T00:00:00"/>
    <s v="Achat credit  teléphonique Airtel/PALF/Deuxième partie Février 2022/Legal"/>
    <x v="2"/>
    <s v="Legal"/>
    <m/>
    <n v="5000"/>
    <n v="12137463"/>
    <x v="1"/>
    <s v="Oui"/>
    <s v="UE"/>
    <s v="RALFF"/>
    <s v="CONGO"/>
    <s v="RALFF-CO3047"/>
    <s v="4.6"/>
    <m/>
  </r>
  <r>
    <d v="2022-02-16T00:00:00"/>
    <s v="Achat credit  teléphonique MTN/PALF/Deuxième partie Février 2022/Management"/>
    <x v="2"/>
    <s v="Management "/>
    <m/>
    <n v="20000"/>
    <n v="12117463"/>
    <x v="1"/>
    <s v="Oui"/>
    <s v="UE"/>
    <s v="RALFF"/>
    <s v="CONGO"/>
    <s v="RALFF-CO3048"/>
    <s v="4.6"/>
    <m/>
  </r>
  <r>
    <d v="2022-02-16T00:00:00"/>
    <s v="Achat credit  teléphonique MTN/PALF/Deuxième partie Février 2022/Investigation"/>
    <x v="2"/>
    <s v="Investigation"/>
    <m/>
    <n v="20000"/>
    <n v="12097463"/>
    <x v="1"/>
    <s v="Oui"/>
    <s v="UE"/>
    <s v="RALFF"/>
    <s v="CONGO"/>
    <s v="RALFF-CO3049"/>
    <s v="4.6"/>
    <m/>
  </r>
  <r>
    <d v="2022-02-16T00:00:00"/>
    <s v="Achat credit  teléphonique MTN/PALF/Deuxième partie Février 2022/Legal"/>
    <x v="2"/>
    <s v="Legal"/>
    <m/>
    <n v="15000"/>
    <n v="12082463"/>
    <x v="1"/>
    <s v="Oui"/>
    <s v="UE"/>
    <s v="RALFF"/>
    <s v="CONGO"/>
    <s v="RALFF-CO3050"/>
    <s v="4.6"/>
    <m/>
  </r>
  <r>
    <d v="2022-02-16T00:00:00"/>
    <s v="Achat credit  teléphonique MTN/PALF/Deuxième partie Février 2022/Média"/>
    <x v="2"/>
    <s v="Media"/>
    <m/>
    <n v="10000"/>
    <n v="12072463"/>
    <x v="1"/>
    <s v="Oui"/>
    <s v="UE"/>
    <s v="RALFF"/>
    <s v="CONGO"/>
    <s v="RALFF-CO3051"/>
    <s v="4.6"/>
    <m/>
  </r>
  <r>
    <d v="2022-02-16T00:00:00"/>
    <s v="Acompte Honoraire Contrat N°42-OYO / Me Hélène NANITELAMIO /Cas NGATSONGO Fabrice"/>
    <x v="9"/>
    <s v="Legal"/>
    <m/>
    <n v="200000"/>
    <n v="11872463"/>
    <x v="2"/>
    <n v="3643614"/>
    <s v="UE"/>
    <s v="RALFF"/>
    <s v="CONGO"/>
    <s v="RALFF-CO3052"/>
    <s v="5.2.2"/>
    <m/>
  </r>
  <r>
    <d v="2022-02-16T00:00:00"/>
    <s v="Solde honoraires contrat n°37_Pointe Noire/Maitre Séverin BIYOUDI/cas OYAGA"/>
    <x v="9"/>
    <s v="Légal"/>
    <m/>
    <n v="300000"/>
    <n v="11572463"/>
    <x v="2"/>
    <n v="3643615"/>
    <s v="UE"/>
    <s v="RALFF"/>
    <s v="CONGO"/>
    <s v="RALFF-CO3053"/>
    <s v="5.2.2"/>
    <m/>
  </r>
  <r>
    <d v="2022-02-16T00:00:00"/>
    <s v="Solde honoraires contrat n°38_Brazzaville/Maitre Séverin BIYOUDI/cas NGOMBELE"/>
    <x v="9"/>
    <s v="Légal"/>
    <m/>
    <n v="300000"/>
    <n v="11272463"/>
    <x v="2"/>
    <n v="3643616"/>
    <s v="UE"/>
    <s v="RALFF"/>
    <s v="CONGO"/>
    <s v="RALFF-CO3054"/>
    <s v="5.2.2"/>
    <m/>
  </r>
  <r>
    <d v="2022-02-16T00:00:00"/>
    <s v="Réçu caisse"/>
    <x v="1"/>
    <m/>
    <n v="110000"/>
    <m/>
    <n v="11382463"/>
    <x v="9"/>
    <m/>
    <m/>
    <m/>
    <s v="CONGO"/>
    <m/>
    <m/>
    <m/>
  </r>
  <r>
    <d v="2022-02-17T00:00:00"/>
    <s v="Bonus média OP à OYO "/>
    <x v="15"/>
    <s v="Media"/>
    <m/>
    <n v="45000"/>
    <n v="11337463"/>
    <x v="1"/>
    <s v="Décharge"/>
    <s v="Wildcat"/>
    <s v="PALF"/>
    <s v="CONGO"/>
    <m/>
    <m/>
    <m/>
  </r>
  <r>
    <d v="2022-02-17T00:00:00"/>
    <s v="Bonus média /audience du 07/02/2022"/>
    <x v="15"/>
    <s v="Media"/>
    <m/>
    <n v="35000"/>
    <n v="11302463"/>
    <x v="1"/>
    <s v="Décharge"/>
    <s v="Wildcat"/>
    <s v="PALF"/>
    <s v="CONGO"/>
    <m/>
    <m/>
    <m/>
  </r>
  <r>
    <d v="2022-02-17T00:00:00"/>
    <s v="Bonus média/portant sur la journée Mondiale du pangolin"/>
    <x v="15"/>
    <s v="Media"/>
    <m/>
    <n v="35000"/>
    <n v="11267463"/>
    <x v="1"/>
    <s v="Décharge"/>
    <s v="Wildcat"/>
    <s v="PALF"/>
    <s v="CONGO"/>
    <m/>
    <m/>
    <m/>
  </r>
  <r>
    <d v="2022-02-17T00:00:00"/>
    <s v="Frais impression photos trafiquant"/>
    <x v="3"/>
    <s v="Office"/>
    <m/>
    <n v="5750"/>
    <n v="11261713"/>
    <x v="1"/>
    <s v="Oui"/>
    <s v="UE"/>
    <s v="RALFF"/>
    <s v="CONGO"/>
    <s v="RALFF-CO3055"/>
    <s v="4.3"/>
    <m/>
  </r>
  <r>
    <d v="2022-02-17T00:00:00"/>
    <s v="Evariste"/>
    <x v="1"/>
    <m/>
    <m/>
    <n v="191000"/>
    <n v="11070713"/>
    <x v="1"/>
    <m/>
    <m/>
    <m/>
    <s v="CONGO"/>
    <m/>
    <m/>
    <m/>
  </r>
  <r>
    <d v="2022-02-17T00:00:00"/>
    <s v="Crepin"/>
    <x v="1"/>
    <m/>
    <m/>
    <n v="172000"/>
    <n v="10898713"/>
    <x v="1"/>
    <m/>
    <m/>
    <m/>
    <s v="CONGO"/>
    <m/>
    <m/>
    <m/>
  </r>
  <r>
    <d v="2022-02-17T00:00:00"/>
    <s v="Grace"/>
    <x v="1"/>
    <m/>
    <m/>
    <n v="495000"/>
    <n v="10403713"/>
    <x v="1"/>
    <m/>
    <m/>
    <m/>
    <s v="CONGO"/>
    <m/>
    <m/>
    <m/>
  </r>
  <r>
    <d v="2022-02-17T00:00:00"/>
    <s v="Godfre"/>
    <x v="1"/>
    <m/>
    <m/>
    <n v="94000"/>
    <n v="10309713"/>
    <x v="1"/>
    <m/>
    <m/>
    <m/>
    <s v="CONGO"/>
    <m/>
    <m/>
    <m/>
  </r>
  <r>
    <d v="2022-02-17T00:00:00"/>
    <s v="Merveille"/>
    <x v="1"/>
    <m/>
    <m/>
    <n v="15000"/>
    <n v="10294713"/>
    <x v="1"/>
    <m/>
    <m/>
    <m/>
    <s v="CONGO"/>
    <m/>
    <m/>
    <m/>
  </r>
  <r>
    <d v="2022-02-17T00:00:00"/>
    <s v="Reglement loyer mois de Janvier 2022/Bureau PALF"/>
    <x v="17"/>
    <s v="Office"/>
    <m/>
    <n v="500000"/>
    <n v="9794713"/>
    <x v="2"/>
    <n v="3643618"/>
    <s v="UE"/>
    <s v="RALFF"/>
    <s v="CONGO"/>
    <s v="RALFF-CO3056"/>
    <s v="4.2"/>
    <m/>
  </r>
  <r>
    <d v="2022-02-17T00:00:00"/>
    <s v="Reçu caisse/Av Frais de Mission OP 2 OYO"/>
    <x v="1"/>
    <m/>
    <n v="495000"/>
    <m/>
    <n v="10289713"/>
    <x v="5"/>
    <m/>
    <m/>
    <m/>
    <s v="CONGO"/>
    <m/>
    <m/>
    <m/>
  </r>
  <r>
    <d v="2022-02-17T00:00:00"/>
    <s v="Reçu caisse"/>
    <x v="1"/>
    <m/>
    <n v="15000"/>
    <m/>
    <n v="10304713"/>
    <x v="12"/>
    <m/>
    <m/>
    <m/>
    <s v="CONGO"/>
    <m/>
    <m/>
    <m/>
  </r>
  <r>
    <d v="2022-02-17T00:00:00"/>
    <s v="Reçu de caisse"/>
    <x v="1"/>
    <m/>
    <n v="172000"/>
    <m/>
    <n v="10476713"/>
    <x v="3"/>
    <m/>
    <m/>
    <m/>
    <s v="CONGO"/>
    <m/>
    <m/>
    <m/>
  </r>
  <r>
    <d v="2022-02-17T00:00:00"/>
    <s v="Billet: Brazzaville -Oyo/Crépin"/>
    <x v="8"/>
    <s v="Management"/>
    <m/>
    <n v="10000"/>
    <n v="10466713"/>
    <x v="3"/>
    <s v="Oui"/>
    <s v="UE"/>
    <s v="RALFF"/>
    <s v="CONGO"/>
    <s v="RALFF-CO3057"/>
    <s v="2.2"/>
    <m/>
  </r>
  <r>
    <d v="2022-02-17T00:00:00"/>
    <s v="Reçu de la caisse"/>
    <x v="1"/>
    <m/>
    <n v="191000"/>
    <m/>
    <n v="10657713"/>
    <x v="11"/>
    <m/>
    <m/>
    <m/>
    <s v="CONGO"/>
    <m/>
    <m/>
    <m/>
  </r>
  <r>
    <d v="2022-02-17T00:00:00"/>
    <s v="Achat billet Brazzaville-Oyo/Evariste"/>
    <x v="8"/>
    <s v="Media"/>
    <m/>
    <n v="10000"/>
    <n v="10647713"/>
    <x v="11"/>
    <s v="Oui"/>
    <s v="UE"/>
    <s v="RALFF"/>
    <s v="CONGO"/>
    <s v="RALFF-CO3058"/>
    <s v="2.2"/>
    <m/>
  </r>
  <r>
    <d v="2022-02-17T00:00:00"/>
    <s v="Achat billet aller (Brazzaville-Oyo)/Godfré"/>
    <x v="8"/>
    <s v="Legal"/>
    <m/>
    <n v="10000"/>
    <n v="10637713"/>
    <x v="4"/>
    <s v="Oui"/>
    <s v="UE"/>
    <s v="RALFF"/>
    <s v="CONGO"/>
    <s v="RALFF-CO3059"/>
    <s v="2.2"/>
    <m/>
  </r>
  <r>
    <d v="2022-02-17T00:00:00"/>
    <s v="Reçu Caisse"/>
    <x v="1"/>
    <m/>
    <n v="94000"/>
    <m/>
    <n v="10731713"/>
    <x v="4"/>
    <m/>
    <m/>
    <m/>
    <s v="CONGO"/>
    <m/>
    <m/>
    <m/>
  </r>
  <r>
    <d v="2022-02-18T00:00:00"/>
    <s v="CREPIN IBOUILI - CONGO Food Allowance du 18 au 26/02/2021 à Oyo"/>
    <x v="11"/>
    <s v="Opération"/>
    <m/>
    <n v="80000"/>
    <n v="10651713"/>
    <x v="3"/>
    <s v="Décharge"/>
    <s v="UE"/>
    <s v="RALFF"/>
    <s v="CONGO"/>
    <s v="RALFF-CO3060"/>
    <s v="1.3.2"/>
    <m/>
  </r>
  <r>
    <d v="2022-02-18T00:00:00"/>
    <s v="EVARISTE LELOUSSI - CONGO Food Allowance du 18 au 26 février 2022 mission Oyo"/>
    <x v="11"/>
    <s v="Media"/>
    <m/>
    <n v="80000"/>
    <n v="10571713"/>
    <x v="11"/>
    <s v="Décharge"/>
    <s v="UE"/>
    <s v="RALFF"/>
    <s v="CONGO"/>
    <s v="RALFF-CO3061"/>
    <s v="1.3.2"/>
    <m/>
  </r>
  <r>
    <d v="2022-02-18T00:00:00"/>
    <s v="GRACE - CONGO Food Allowance du 18 au 20/02/2022 à OYO"/>
    <x v="11"/>
    <s v="Opération"/>
    <m/>
    <n v="20000"/>
    <n v="10551713"/>
    <x v="5"/>
    <s v="Décharge"/>
    <s v="UE"/>
    <s v="RALFF"/>
    <s v="CONGO"/>
    <s v="RALFF-CO3062"/>
    <s v="1.3.2"/>
    <m/>
  </r>
  <r>
    <d v="2022-02-18T00:00:00"/>
    <s v="GODFRE-CONGO Food Allowance du 18 au 23/02/2022 à Oyo"/>
    <x v="11"/>
    <s v="Legal"/>
    <m/>
    <n v="50000"/>
    <n v="10501713"/>
    <x v="4"/>
    <s v="Décharge"/>
    <s v="UE"/>
    <s v="RALFF"/>
    <s v="CONGO"/>
    <s v="RALFF-CO3063"/>
    <s v="1.3.2"/>
    <m/>
  </r>
  <r>
    <d v="2022-02-18T00:00:00"/>
    <s v="Grace"/>
    <x v="1"/>
    <m/>
    <m/>
    <n v="700000"/>
    <n v="9801713"/>
    <x v="1"/>
    <m/>
    <m/>
    <m/>
    <s v="CONGO"/>
    <m/>
    <m/>
    <m/>
  </r>
  <r>
    <d v="2022-02-18T00:00:00"/>
    <s v="Frais de transfert charden Farell/Grace "/>
    <x v="12"/>
    <s v="Office"/>
    <m/>
    <n v="21000"/>
    <n v="9780713"/>
    <x v="1"/>
    <s v="Oui"/>
    <s v="UE"/>
    <s v="RALFF"/>
    <s v="CONGO"/>
    <s v="RALFF-CO3064"/>
    <s v="5.6"/>
    <m/>
  </r>
  <r>
    <d v="2022-02-18T00:00:00"/>
    <s v="Reglement loyer mois de Février 2022/Bureau PALF"/>
    <x v="17"/>
    <s v="Office"/>
    <m/>
    <n v="500000"/>
    <n v="9280713"/>
    <x v="2"/>
    <n v="3643617"/>
    <s v="UE"/>
    <s v="RALFF"/>
    <s v="CONGO"/>
    <s v="RALFF-CO3065"/>
    <s v="4.2"/>
    <m/>
  </r>
  <r>
    <d v="2022-02-18T00:00:00"/>
    <s v="Achat Billet Brazzaville-Oyo/Grace"/>
    <x v="8"/>
    <s v="Management"/>
    <m/>
    <n v="10000"/>
    <n v="9270713"/>
    <x v="5"/>
    <s v="Oui"/>
    <s v="UE"/>
    <s v="RALFF"/>
    <s v="CONGO"/>
    <s v="RALFF-CO3066"/>
    <s v="2.2"/>
    <m/>
  </r>
  <r>
    <d v="2022-02-18T00:00:00"/>
    <s v="Reçu caisse/solde Frais de Mission OP 2 OYO"/>
    <x v="1"/>
    <m/>
    <n v="700000"/>
    <m/>
    <n v="9970713"/>
    <x v="5"/>
    <m/>
    <m/>
    <m/>
    <s v="CONGO"/>
    <m/>
    <m/>
    <m/>
  </r>
  <r>
    <d v="2022-02-18T00:00:00"/>
    <s v="Reçu de Grace"/>
    <x v="1"/>
    <m/>
    <n v="140000"/>
    <m/>
    <n v="10110713"/>
    <x v="3"/>
    <m/>
    <m/>
    <m/>
    <s v="CONGO"/>
    <m/>
    <m/>
    <m/>
  </r>
  <r>
    <d v="2022-02-18T00:00:00"/>
    <s v="Réçu caisse (de grace pour payement appartement)"/>
    <x v="1"/>
    <m/>
    <n v="140000"/>
    <m/>
    <n v="10250713"/>
    <x v="9"/>
    <m/>
    <m/>
    <m/>
    <s v="CONGO"/>
    <m/>
    <m/>
    <m/>
  </r>
  <r>
    <d v="2022-02-18T00:00:00"/>
    <s v="I23C - CONGO Frais Hôtel 4 nuitées du 14 au 18 Février (cfr mission Oyo)"/>
    <x v="11"/>
    <s v="Opération"/>
    <m/>
    <n v="60000"/>
    <n v="10190713"/>
    <x v="9"/>
    <s v="Oui"/>
    <s v="UE"/>
    <s v="RALFF"/>
    <s v="CONGO"/>
    <s v="RALFF-CO3067"/>
    <s v="1.3.2"/>
    <m/>
  </r>
  <r>
    <d v="2022-02-19T00:00:00"/>
    <s v="Paiement Taxi extraction Oyo-Ngo (Extraction)/I23C"/>
    <x v="8"/>
    <s v="Opération"/>
    <m/>
    <n v="50000"/>
    <n v="10140713"/>
    <x v="9"/>
    <s v="Oui"/>
    <s v="Wildcat"/>
    <s v="PALF"/>
    <s v="CONGO"/>
    <m/>
    <m/>
    <m/>
  </r>
  <r>
    <d v="2022-02-19T00:00:00"/>
    <s v="Impression Coleur/Fiche Interpol"/>
    <x v="3"/>
    <s v="Opération"/>
    <m/>
    <n v="500"/>
    <n v="10140213"/>
    <x v="5"/>
    <s v="Oui"/>
    <s v="Wildcat"/>
    <s v="PALF"/>
    <s v="CONGO"/>
    <m/>
    <m/>
    <m/>
  </r>
  <r>
    <d v="2022-02-19T00:00:00"/>
    <s v="Transfert à I23C/Frais 1er Appartement 02 nuitées"/>
    <x v="1"/>
    <m/>
    <m/>
    <n v="140000"/>
    <n v="10000213"/>
    <x v="5"/>
    <m/>
    <m/>
    <m/>
    <s v="CONGO"/>
    <m/>
    <m/>
    <m/>
  </r>
  <r>
    <d v="2022-02-19T00:00:00"/>
    <s v="Transfert à Crépin/Frais 2em Appartement 02 nuitées"/>
    <x v="1"/>
    <m/>
    <m/>
    <n v="140000"/>
    <n v="9860213"/>
    <x v="5"/>
    <m/>
    <m/>
    <m/>
    <s v="CONGO"/>
    <m/>
    <m/>
    <m/>
  </r>
  <r>
    <d v="2022-02-19T00:00:00"/>
    <s v="Transfert à I23C/Frais d'Extraction pour Ngo + Supplement Budget"/>
    <x v="1"/>
    <m/>
    <m/>
    <n v="100000"/>
    <n v="9760213"/>
    <x v="5"/>
    <m/>
    <m/>
    <m/>
    <s v="CONGO"/>
    <m/>
    <m/>
    <m/>
  </r>
  <r>
    <d v="2022-02-19T00:00:00"/>
    <s v="Bonus Autorités/17 gendarmes OP 2 à OYO"/>
    <x v="15"/>
    <s v="Opération"/>
    <m/>
    <n v="170000"/>
    <n v="9590213"/>
    <x v="5"/>
    <s v="Décharge"/>
    <s v="Wildcat"/>
    <s v="PALF"/>
    <s v="CONGO"/>
    <m/>
    <m/>
    <m/>
  </r>
  <r>
    <d v="2022-02-19T00:00:00"/>
    <s v="Bonus Autorités/02 Agents EF OP 2 à OYO"/>
    <x v="15"/>
    <s v="Opération"/>
    <m/>
    <n v="20000"/>
    <n v="9570213"/>
    <x v="5"/>
    <s v="Décharge"/>
    <s v="Wildcat"/>
    <s v="PALF"/>
    <s v="CONGO"/>
    <m/>
    <m/>
    <m/>
  </r>
  <r>
    <d v="2022-02-19T00:00:00"/>
    <s v="Achat Carburant BJ /OP 2 Oyo"/>
    <x v="8"/>
    <s v="Management"/>
    <m/>
    <n v="50000"/>
    <n v="9520213"/>
    <x v="5"/>
    <s v="Oui"/>
    <s v="Wildcat"/>
    <s v="PALF"/>
    <s v="CONGO"/>
    <m/>
    <m/>
    <m/>
  </r>
  <r>
    <d v="2022-02-19T00:00:00"/>
    <s v="Ration Journalière 04 gendarmes à Oyo/procédures"/>
    <x v="11"/>
    <s v="Opération"/>
    <m/>
    <n v="26000"/>
    <n v="9494213"/>
    <x v="5"/>
    <s v="Oui"/>
    <s v="Wildcat"/>
    <s v="PALF"/>
    <s v="CONGO"/>
    <m/>
    <m/>
    <m/>
  </r>
  <r>
    <d v="2022-02-19T00:00:00"/>
    <s v="Boissons  pendant l'attente du top pour op de 03 gendarme, 02 agent des eaux et forets et moi"/>
    <x v="11"/>
    <s v="Opération"/>
    <m/>
    <n v="9500"/>
    <n v="9484713"/>
    <x v="3"/>
    <s v="Décharge"/>
    <s v="Wildcat"/>
    <s v="PALF"/>
    <s v="CONGO"/>
    <m/>
    <m/>
    <m/>
  </r>
  <r>
    <d v="2022-02-19T00:00:00"/>
    <s v="Frais de location de 03 taxis pendant plus d'une (01) heure pour la suite des interpellations"/>
    <x v="8"/>
    <s v="Operation"/>
    <m/>
    <n v="15000"/>
    <n v="9469713"/>
    <x v="3"/>
    <s v="Oui"/>
    <s v="Wildcat"/>
    <s v="PALF"/>
    <s v="CONGO"/>
    <m/>
    <m/>
    <m/>
  </r>
  <r>
    <d v="2022-02-19T00:00:00"/>
    <s v="Achat Jus, Biscuits et eau minérale pour l'équipe de l'opération d'Oyo"/>
    <x v="11"/>
    <s v="Opération"/>
    <m/>
    <n v="10000"/>
    <n v="9459713"/>
    <x v="11"/>
    <s v="Oui"/>
    <s v="Wildcat"/>
    <s v="PALF"/>
    <s v="CONGO"/>
    <m/>
    <m/>
    <m/>
  </r>
  <r>
    <d v="2022-02-19T00:00:00"/>
    <s v="Achat boissons et sandwich pour 4 gendarmes de mon équipe et moi pendant l'opération"/>
    <x v="11"/>
    <s v="Legal"/>
    <m/>
    <n v="8650"/>
    <n v="9451063"/>
    <x v="4"/>
    <s v="Décharge"/>
    <s v="Wildcat"/>
    <s v="PALF"/>
    <s v="CONGO"/>
    <m/>
    <m/>
    <m/>
  </r>
  <r>
    <d v="2022-02-19T00:00:00"/>
    <s v="Réçu de caisse (budget supplémentaire et extraction)"/>
    <x v="1"/>
    <m/>
    <n v="100000"/>
    <m/>
    <n v="9551063"/>
    <x v="9"/>
    <m/>
    <m/>
    <m/>
    <s v="CONGO"/>
    <m/>
    <m/>
    <m/>
  </r>
  <r>
    <d v="2022-02-19T00:00:00"/>
    <s v="Achat billet sibiti-loudima/P29"/>
    <x v="8"/>
    <s v="Investigations"/>
    <m/>
    <n v="4000"/>
    <n v="9547063"/>
    <x v="6"/>
    <s v="Oui"/>
    <s v="UE"/>
    <s v="RALFF"/>
    <s v="CONGO"/>
    <s v="RALFF-CO3068"/>
    <s v="2.2"/>
    <m/>
  </r>
  <r>
    <d v="2022-02-19T00:00:00"/>
    <s v="Achat billet loudima- brazzaville/P29"/>
    <x v="8"/>
    <s v="Investigations"/>
    <m/>
    <n v="10000"/>
    <n v="9537063"/>
    <x v="6"/>
    <s v="Oui"/>
    <s v="UE"/>
    <s v="RALFF"/>
    <s v="CONGO"/>
    <s v="RALFF-CO3069"/>
    <s v="2.2"/>
    <m/>
  </r>
  <r>
    <d v="2022-02-19T00:00:00"/>
    <s v="P29 - CONGO Frais Hôtel 5 nuitées du 14 au 19/02/2022 à Sibiti"/>
    <x v="11"/>
    <s v="Investigations"/>
    <m/>
    <n v="75000"/>
    <n v="9462063"/>
    <x v="6"/>
    <s v="Oui"/>
    <s v="UE"/>
    <s v="RALFF"/>
    <s v="CONGO"/>
    <s v="RALFF-CO3070"/>
    <s v="1.3.2"/>
    <m/>
  </r>
  <r>
    <d v="2022-02-20T00:00:00"/>
    <s v="GRACE - CONGO Frais d'Hotel 02 nuitées du 18 au 20/02/2022 à OYO/Grace"/>
    <x v="11"/>
    <s v="Opération"/>
    <m/>
    <n v="30000"/>
    <n v="9432063"/>
    <x v="5"/>
    <s v="Oui"/>
    <s v="UE"/>
    <s v="RALFF"/>
    <s v="CONGO"/>
    <s v="RALFF-CO3071"/>
    <s v="1.3.2"/>
    <m/>
  </r>
  <r>
    <d v="2022-02-20T00:00:00"/>
    <s v="GODFRE-CONGO Frais d'hôtel 02 nuitées Du 18 au 20/02/22 à OYO"/>
    <x v="11"/>
    <s v="Legal"/>
    <m/>
    <n v="30000"/>
    <n v="9402063"/>
    <x v="4"/>
    <s v="Oui"/>
    <s v="UE"/>
    <s v="RALFF"/>
    <s v="CONGO"/>
    <s v="RALFF-CO3072"/>
    <s v="1.3.2"/>
    <m/>
  </r>
  <r>
    <d v="2022-02-20T00:00:00"/>
    <s v="Location Appartement OP 2 à Oyo/ 2 nuitées du 18 au 20 février 2022"/>
    <x v="11"/>
    <s v="Opération"/>
    <m/>
    <n v="140000"/>
    <n v="9262063"/>
    <x v="9"/>
    <s v="Oui"/>
    <s v="Wildcat"/>
    <s v="PALF"/>
    <s v="CONGO"/>
    <m/>
    <m/>
    <m/>
  </r>
  <r>
    <d v="2022-02-20T00:00:00"/>
    <s v="I23C - CONGO Frais Hôtel 1 nuit du 19 au 20 février 2022 à Ngo"/>
    <x v="11"/>
    <s v="Opération"/>
    <m/>
    <n v="15000"/>
    <n v="9247063"/>
    <x v="9"/>
    <s v="Oui"/>
    <s v="UE"/>
    <s v="RALFF"/>
    <s v="CONGO"/>
    <s v="RALFF-CO3073"/>
    <s v="1.3.2"/>
    <m/>
  </r>
  <r>
    <d v="2022-02-20T00:00:00"/>
    <s v="Transfert à Crépin/"/>
    <x v="1"/>
    <m/>
    <m/>
    <n v="460000"/>
    <n v="8787063"/>
    <x v="5"/>
    <m/>
    <m/>
    <m/>
    <s v="CONGO"/>
    <m/>
    <m/>
    <m/>
  </r>
  <r>
    <d v="2022-02-20T00:00:00"/>
    <s v="Achat Billet Brazzaville-Oyo/Grace"/>
    <x v="8"/>
    <s v="Management"/>
    <m/>
    <n v="10000"/>
    <n v="8777063"/>
    <x v="5"/>
    <s v="Oui"/>
    <s v="UE"/>
    <s v="RALFF"/>
    <s v="CONGO"/>
    <s v="RALFF-CO3074"/>
    <s v="2.2"/>
    <m/>
  </r>
  <r>
    <d v="2022-02-20T00:00:00"/>
    <s v="Frais d'Hotel du 18 au 20/02/2022 OYO (02 nuitées) pour OP 2/Appartement OP"/>
    <x v="11"/>
    <s v="Opération"/>
    <m/>
    <n v="140000"/>
    <n v="8637063"/>
    <x v="3"/>
    <s v="Oui"/>
    <s v="Wildcat"/>
    <s v="PALF"/>
    <s v="CONGO"/>
    <m/>
    <m/>
    <m/>
  </r>
  <r>
    <d v="2022-02-20T00:00:00"/>
    <s v="Reçu de Grace"/>
    <x v="1"/>
    <m/>
    <n v="460000"/>
    <m/>
    <n v="9097063"/>
    <x v="3"/>
    <m/>
    <m/>
    <m/>
    <s v="CONGO"/>
    <m/>
    <m/>
    <m/>
  </r>
  <r>
    <d v="2022-02-20T00:00:00"/>
    <s v="Cumul ration du 20/02/2022 de 04 gendarmes (DOUNIAMA,MVIRI Farel, OBAMI Ger, NYANGA Marien)"/>
    <x v="11"/>
    <s v="Opération"/>
    <m/>
    <n v="26000"/>
    <n v="9071063"/>
    <x v="3"/>
    <s v="Oui"/>
    <s v="Wildcat"/>
    <s v="PALF"/>
    <s v="CONGO"/>
    <m/>
    <m/>
    <m/>
  </r>
  <r>
    <d v="2022-02-20T00:00:00"/>
    <s v="Achat billet aller Oyo-MAKOUA/Godfré"/>
    <x v="8"/>
    <s v="Legal"/>
    <m/>
    <n v="5000"/>
    <n v="9066063"/>
    <x v="4"/>
    <s v="Oui"/>
    <s v="UE"/>
    <s v="RALFF"/>
    <s v="CONGO"/>
    <s v="RALFF-CO3075"/>
    <s v="2.2"/>
    <m/>
  </r>
  <r>
    <d v="2022-02-20T00:00:00"/>
    <s v="Taxi Ngo-Brazzaville (départ pour BZ)/I23C"/>
    <x v="8"/>
    <s v="Investigation"/>
    <m/>
    <n v="8000"/>
    <n v="9058063"/>
    <x v="9"/>
    <s v="Oui"/>
    <s v="UE"/>
    <s v="RALFF"/>
    <s v="CONGO"/>
    <s v="RALFF-CO3076"/>
    <s v="2.2"/>
    <m/>
  </r>
  <r>
    <d v="2022-02-21T00:00:00"/>
    <s v="Godfré"/>
    <x v="1"/>
    <m/>
    <m/>
    <n v="324000"/>
    <n v="8734063"/>
    <x v="1"/>
    <m/>
    <m/>
    <m/>
    <s v="CONGO"/>
    <m/>
    <m/>
    <m/>
  </r>
  <r>
    <d v="2022-02-21T00:00:00"/>
    <s v="Frais de transfert charden Farell/Godfré"/>
    <x v="12"/>
    <s v="Office"/>
    <m/>
    <n v="9720"/>
    <n v="8724343"/>
    <x v="1"/>
    <s v="Oui"/>
    <s v="UE"/>
    <s v="RALFF"/>
    <s v="CONGO"/>
    <s v="RALFF-CO3077"/>
    <s v="5.6"/>
    <m/>
  </r>
  <r>
    <d v="2022-02-21T00:00:00"/>
    <s v="Cumul ration du 21/02/2022 de 04 gendarmes (DOUNIAMA,MVIRI Farel, OBAMI Ger, NYANGA Marien)"/>
    <x v="11"/>
    <s v="Opération"/>
    <m/>
    <n v="27000"/>
    <n v="8697343"/>
    <x v="3"/>
    <s v="Oui"/>
    <s v="Wildcat"/>
    <s v="PALF"/>
    <s v="CONGO"/>
    <m/>
    <m/>
    <m/>
  </r>
  <r>
    <d v="2022-02-21T00:00:00"/>
    <s v="Reçu caisse"/>
    <x v="1"/>
    <m/>
    <n v="324000"/>
    <m/>
    <n v="9021343"/>
    <x v="4"/>
    <m/>
    <m/>
    <m/>
    <s v="CONGO"/>
    <m/>
    <m/>
    <m/>
  </r>
  <r>
    <d v="2022-02-22T00:00:00"/>
    <s v="Merveille"/>
    <x v="1"/>
    <m/>
    <m/>
    <n v="20000"/>
    <n v="9001343"/>
    <x v="1"/>
    <m/>
    <m/>
    <m/>
    <s v="CONGO"/>
    <m/>
    <m/>
    <m/>
  </r>
  <r>
    <d v="2022-02-22T00:00:00"/>
    <s v="Frais de transfert charden Farell/Crépin"/>
    <x v="12"/>
    <s v="Office"/>
    <m/>
    <n v="1200"/>
    <n v="9000143"/>
    <x v="1"/>
    <s v="Oui"/>
    <s v="UE"/>
    <s v="RALFF"/>
    <s v="CONGO"/>
    <s v="RALFF-CO3078"/>
    <s v="5.6"/>
    <m/>
  </r>
  <r>
    <d v="2022-02-22T00:00:00"/>
    <s v="Frais de mission à OYO du 23 au 25/02/2022 maitre Marie Hélène NANITELAMIO"/>
    <x v="9"/>
    <s v="Legal"/>
    <m/>
    <n v="76000"/>
    <n v="8924143"/>
    <x v="1"/>
    <s v="Oui"/>
    <s v="UE"/>
    <s v="RALFF"/>
    <s v="CONGO"/>
    <s v="RALFF-CO3079"/>
    <s v="5.2.2"/>
    <m/>
  </r>
  <r>
    <d v="2022-02-22T00:00:00"/>
    <s v="Reçu caisse"/>
    <x v="1"/>
    <m/>
    <n v="20000"/>
    <m/>
    <n v="8944143"/>
    <x v="12"/>
    <m/>
    <m/>
    <m/>
    <s v="CONGO"/>
    <m/>
    <m/>
    <m/>
  </r>
  <r>
    <d v="2022-02-22T00:00:00"/>
    <s v="Cumul ration du 22/02/2022 de 04 gendarmes(DOUNIAMA,MVIRI Farel, OBAMI Ger, NYANGA Marien)"/>
    <x v="11"/>
    <s v="Opération"/>
    <m/>
    <n v="26500"/>
    <n v="8917643"/>
    <x v="3"/>
    <s v="Oui"/>
    <s v="Wildcat"/>
    <s v="PALF"/>
    <s v="CONGO"/>
    <m/>
    <m/>
    <m/>
  </r>
  <r>
    <d v="2022-02-22T00:00:00"/>
    <s v="Frais impression des deux PV de Armel "/>
    <x v="3"/>
    <s v="Legal"/>
    <m/>
    <n v="1000"/>
    <n v="8916643"/>
    <x v="4"/>
    <s v="Oui"/>
    <s v="Wildcat"/>
    <s v="PALF"/>
    <s v="CONGO"/>
    <m/>
    <m/>
    <m/>
  </r>
  <r>
    <d v="2022-02-23T00:00:00"/>
    <s v="GODFRE-CONGO Frais d'hôtel 03 nuitées du 20 au 23/02/2022 à MAKOUA"/>
    <x v="11"/>
    <s v="Legal"/>
    <m/>
    <n v="45000"/>
    <n v="8871643"/>
    <x v="4"/>
    <s v="Oui"/>
    <s v="UE"/>
    <s v="RALFF"/>
    <s v="CONGO"/>
    <s v="RALFF-CO3080"/>
    <s v="1.3.2"/>
    <m/>
  </r>
  <r>
    <d v="2022-02-23T00:00:00"/>
    <s v="I23C"/>
    <x v="1"/>
    <m/>
    <m/>
    <n v="151000"/>
    <n v="8720643"/>
    <x v="1"/>
    <m/>
    <m/>
    <m/>
    <s v="CONGO"/>
    <m/>
    <m/>
    <m/>
  </r>
  <r>
    <d v="2022-02-23T00:00:00"/>
    <s v="P29"/>
    <x v="1"/>
    <m/>
    <m/>
    <n v="171000"/>
    <n v="8549643"/>
    <x v="1"/>
    <m/>
    <m/>
    <m/>
    <s v="CONGO"/>
    <m/>
    <m/>
    <m/>
  </r>
  <r>
    <d v="2022-02-23T00:00:00"/>
    <s v="Frais de Mission maitre Scrutin MOUYETI à Dolisie du 24  au 26/02/2022"/>
    <x v="9"/>
    <s v="Legal"/>
    <m/>
    <n v="76000"/>
    <n v="8473643"/>
    <x v="1"/>
    <s v="Oui"/>
    <s v="UE"/>
    <s v="RALFF"/>
    <s v="CONGO"/>
    <s v="RALFF-CO3081"/>
    <s v="5.2.2"/>
    <m/>
  </r>
  <r>
    <d v="2022-02-23T00:00:00"/>
    <s v="BCI-3643619/57"/>
    <x v="1"/>
    <m/>
    <n v="2000000"/>
    <m/>
    <n v="10473643"/>
    <x v="1"/>
    <m/>
    <m/>
    <m/>
    <s v="CONGO"/>
    <m/>
    <m/>
    <m/>
  </r>
  <r>
    <d v="2022-02-23T00:00:00"/>
    <s v="Godfre"/>
    <x v="1"/>
    <m/>
    <m/>
    <n v="91000"/>
    <n v="10382643"/>
    <x v="1"/>
    <m/>
    <m/>
    <m/>
    <s v="CONGO"/>
    <m/>
    <m/>
    <m/>
  </r>
  <r>
    <d v="2022-02-23T00:00:00"/>
    <s v="Grace"/>
    <x v="1"/>
    <m/>
    <m/>
    <n v="100000"/>
    <n v="10282643"/>
    <x v="1"/>
    <m/>
    <m/>
    <m/>
    <s v="CONGO"/>
    <m/>
    <m/>
    <m/>
  </r>
  <r>
    <d v="2022-02-23T00:00:00"/>
    <s v="Retrait especes/appro caisse/bord n°3643619"/>
    <x v="1"/>
    <m/>
    <m/>
    <n v="2000000"/>
    <n v="8282643"/>
    <x v="2"/>
    <m/>
    <m/>
    <m/>
    <s v="CONGO"/>
    <m/>
    <m/>
    <m/>
  </r>
  <r>
    <d v="2022-02-23T00:00:00"/>
    <s v="Reçu Caisse /Budget 02 Policiers"/>
    <x v="1"/>
    <m/>
    <n v="100000"/>
    <m/>
    <n v="8382643"/>
    <x v="5"/>
    <m/>
    <m/>
    <m/>
    <s v="CONGO"/>
    <m/>
    <m/>
    <m/>
  </r>
  <r>
    <d v="2022-02-23T00:00:00"/>
    <s v="Cumul Ration Journalière 02 policiers (après la route fait de Makoua à brazzaville/du soir) "/>
    <x v="11"/>
    <s v="Opération"/>
    <m/>
    <n v="20100"/>
    <n v="8362543"/>
    <x v="5"/>
    <s v="Oui"/>
    <s v="Wildcat"/>
    <s v="PALF"/>
    <s v="CONGO"/>
    <m/>
    <m/>
    <m/>
  </r>
  <r>
    <d v="2022-02-23T00:00:00"/>
    <s v="Cumul ration du 23/02/2022 de 04 gendarmes(DOUNIAMA,MVIRI Farel, OBAMI Ger, NYANGA Marien)"/>
    <x v="11"/>
    <s v="Opération"/>
    <m/>
    <n v="26000"/>
    <n v="8336543"/>
    <x v="3"/>
    <s v="Oui"/>
    <s v="Wildcat"/>
    <s v="PALF"/>
    <s v="CONGO"/>
    <m/>
    <m/>
    <m/>
  </r>
  <r>
    <d v="2022-02-23T00:00:00"/>
    <s v="Transfert à Godfré"/>
    <x v="1"/>
    <m/>
    <m/>
    <n v="350000"/>
    <n v="7986543"/>
    <x v="3"/>
    <m/>
    <m/>
    <m/>
    <s v="CONGO"/>
    <m/>
    <m/>
    <m/>
  </r>
  <r>
    <d v="2022-02-23T00:00:00"/>
    <s v="Reçu caisse de crépin"/>
    <x v="1"/>
    <m/>
    <n v="350000"/>
    <m/>
    <n v="8336543"/>
    <x v="4"/>
    <m/>
    <m/>
    <m/>
    <s v="CONGO"/>
    <m/>
    <m/>
    <m/>
  </r>
  <r>
    <d v="2022-02-23T00:00:00"/>
    <s v="Frais de location de véhicule(acheminer Armel de MAKOUA à Brazzaville)"/>
    <x v="8"/>
    <s v="Opération"/>
    <m/>
    <n v="550000"/>
    <n v="7786543"/>
    <x v="4"/>
    <s v="Oui"/>
    <s v="Wildcat"/>
    <s v="PALF"/>
    <s v="CONGO"/>
    <m/>
    <m/>
    <m/>
  </r>
  <r>
    <d v="2022-02-23T00:00:00"/>
    <s v="Achat boissons et sandwich des policiers pendant le voyage de MAKOUA à BZV"/>
    <x v="11"/>
    <s v="Legal"/>
    <m/>
    <n v="4800"/>
    <n v="7781743"/>
    <x v="4"/>
    <s v="Décharge"/>
    <s v="Wildcat"/>
    <s v="PALF"/>
    <s v="CONGO"/>
    <m/>
    <m/>
    <m/>
  </r>
  <r>
    <d v="2022-02-23T00:00:00"/>
    <s v="Reçu caisse"/>
    <x v="1"/>
    <m/>
    <n v="91000"/>
    <m/>
    <n v="7872743"/>
    <x v="4"/>
    <m/>
    <m/>
    <m/>
    <s v="CONGO"/>
    <m/>
    <m/>
    <m/>
  </r>
  <r>
    <d v="2022-02-23T00:00:00"/>
    <s v="Achat billet BZ-Loudima (cfr mission Sibiti)/I23C"/>
    <x v="8"/>
    <s v="Investigation"/>
    <m/>
    <n v="10000"/>
    <n v="7862743"/>
    <x v="9"/>
    <s v="Oui"/>
    <s v="UE"/>
    <s v="RALFF"/>
    <s v="CONGO"/>
    <s v="RALFF-CO3082"/>
    <s v="2.2"/>
    <m/>
  </r>
  <r>
    <d v="2022-02-23T00:00:00"/>
    <s v="Réçu caisse"/>
    <x v="1"/>
    <m/>
    <n v="151000"/>
    <m/>
    <n v="8013743"/>
    <x v="9"/>
    <m/>
    <m/>
    <m/>
    <s v="CONGO"/>
    <m/>
    <m/>
    <m/>
  </r>
  <r>
    <d v="2022-02-23T00:00:00"/>
    <s v="Recu de caisse"/>
    <x v="1"/>
    <m/>
    <n v="171000"/>
    <m/>
    <n v="8184743"/>
    <x v="6"/>
    <m/>
    <m/>
    <m/>
    <s v="CONGO"/>
    <m/>
    <m/>
    <m/>
  </r>
  <r>
    <d v="2022-02-23T00:00:00"/>
    <s v="Achat billet  bzv-loudima"/>
    <x v="8"/>
    <s v="Investigations"/>
    <m/>
    <n v="10000"/>
    <n v="8174743"/>
    <x v="6"/>
    <s v="Oui"/>
    <s v="UE"/>
    <s v="RALFF"/>
    <s v="CONGO"/>
    <s v="RALFF-CO3083"/>
    <s v="2.2"/>
    <m/>
  </r>
  <r>
    <d v="2022-02-24T00:00:00"/>
    <s v="GODFRE-CONGO Food Allowance du 24/02/2022 au à 2/03/2022à Dolisie et à P/N"/>
    <x v="11"/>
    <s v="Legal"/>
    <m/>
    <n v="60000"/>
    <n v="8114743"/>
    <x v="4"/>
    <s v="Oui"/>
    <s v="UE"/>
    <s v="RALFF"/>
    <s v="CONGO"/>
    <s v="RALFF-CO3084"/>
    <s v="1.3.2"/>
    <m/>
  </r>
  <r>
    <d v="2022-02-24T00:00:00"/>
    <s v="I23C - CONGO Food allowance mission Sibiti du 24 au 28 février 2022"/>
    <x v="11"/>
    <s v="Investigations"/>
    <m/>
    <n v="40000"/>
    <n v="8074743"/>
    <x v="9"/>
    <s v="Oui"/>
    <s v="UE"/>
    <s v="RALFF"/>
    <s v="CONGO"/>
    <s v="RALFF-CO3085"/>
    <s v="1.3.2"/>
    <m/>
  </r>
  <r>
    <d v="2022-02-24T00:00:00"/>
    <s v="Crepin"/>
    <x v="1"/>
    <m/>
    <m/>
    <n v="701000"/>
    <n v="7373743"/>
    <x v="1"/>
    <m/>
    <m/>
    <m/>
    <s v="CONGO"/>
    <m/>
    <m/>
    <m/>
  </r>
  <r>
    <d v="2022-02-24T00:00:00"/>
    <s v="Evariste"/>
    <x v="1"/>
    <m/>
    <m/>
    <n v="117000"/>
    <n v="7256743"/>
    <x v="1"/>
    <m/>
    <m/>
    <m/>
    <s v="CONGO"/>
    <m/>
    <m/>
    <m/>
  </r>
  <r>
    <d v="2022-02-24T00:00:00"/>
    <s v="Frais de transfert Charden farell/Crépin"/>
    <x v="12"/>
    <s v="Office"/>
    <m/>
    <n v="24540"/>
    <n v="7232203"/>
    <x v="1"/>
    <s v="Oui"/>
    <s v="UE"/>
    <s v="RALFF"/>
    <s v="CONGO"/>
    <s v="RALFF-CO3086"/>
    <s v="5.6"/>
    <m/>
  </r>
  <r>
    <d v="2022-02-24T00:00:00"/>
    <s v="Frais d'Hotel granilia 01 nuitées pour 02 policiers du 23 au 24 /02/2022 /Brazzaville (Cas Armel)"/>
    <x v="11"/>
    <s v="Opération"/>
    <m/>
    <n v="30000"/>
    <n v="7202203"/>
    <x v="5"/>
    <s v="Oui"/>
    <s v="Wildcat"/>
    <s v="PALF"/>
    <s v="CONGO"/>
    <m/>
    <m/>
    <m/>
  </r>
  <r>
    <d v="2022-02-24T00:00:00"/>
    <s v="Bonus Autorités / 02 Policiers "/>
    <x v="15"/>
    <s v="Opération"/>
    <m/>
    <n v="20000"/>
    <n v="7182203"/>
    <x v="5"/>
    <s v="Décharge"/>
    <s v="Wildcat"/>
    <s v="PALF"/>
    <s v="CONGO"/>
    <m/>
    <m/>
    <m/>
  </r>
  <r>
    <d v="2022-02-24T00:00:00"/>
    <s v="Cumul frais de Jail visit Mois Février 2022/Crépin"/>
    <x v="19"/>
    <s v="Management"/>
    <m/>
    <n v="9000"/>
    <n v="7173203"/>
    <x v="3"/>
    <s v="Décharge"/>
    <s v="Wildcat"/>
    <s v="PALF"/>
    <s v="CONGO"/>
    <m/>
    <m/>
    <m/>
  </r>
  <r>
    <d v="2022-02-24T00:00:00"/>
    <s v="Cumul ration du 24/02/2022 de 04 gendarmes(DOUNIAMA,MVIRI Farel, OBAMI Ger, NYANGA Marien)"/>
    <x v="11"/>
    <s v="Opération"/>
    <m/>
    <n v="26500"/>
    <n v="7146703"/>
    <x v="3"/>
    <s v="Oui"/>
    <s v="Wildcat"/>
    <s v="PALF"/>
    <s v="CONGO"/>
    <m/>
    <m/>
    <m/>
  </r>
  <r>
    <d v="2022-02-24T00:00:00"/>
    <s v="Reçu de caisse"/>
    <x v="1"/>
    <m/>
    <n v="701000"/>
    <m/>
    <n v="7847703"/>
    <x v="3"/>
    <m/>
    <m/>
    <m/>
    <s v="CONGO"/>
    <m/>
    <m/>
    <m/>
  </r>
  <r>
    <d v="2022-02-24T00:00:00"/>
    <s v="Cumul ration du 24/02/2022 de 02 policiers (NIMI Alphonse et MALONGA Hervé)"/>
    <x v="11"/>
    <s v="Opération"/>
    <m/>
    <n v="14000"/>
    <n v="7833703"/>
    <x v="3"/>
    <s v="Oui"/>
    <s v="Wildcat"/>
    <s v="PALF"/>
    <s v="CONGO"/>
    <m/>
    <m/>
    <m/>
  </r>
  <r>
    <d v="2022-02-24T00:00:00"/>
    <s v="Reçu de la caisse"/>
    <x v="1"/>
    <m/>
    <n v="117000"/>
    <m/>
    <n v="7950703"/>
    <x v="11"/>
    <m/>
    <m/>
    <m/>
    <s v="CONGO"/>
    <m/>
    <m/>
    <m/>
  </r>
  <r>
    <d v="2022-02-24T00:00:00"/>
    <s v="Impression des photos des trafs au Labo photo Khanisoft"/>
    <x v="3"/>
    <s v="Operation"/>
    <m/>
    <n v="8000"/>
    <n v="7942703"/>
    <x v="11"/>
    <s v="Oui"/>
    <s v="Wildcat"/>
    <s v="PALF"/>
    <s v="CONGO"/>
    <m/>
    <m/>
    <m/>
  </r>
  <r>
    <d v="2022-02-24T00:00:00"/>
    <s v="Achat billet départ Brazzaville -Dolisie/Godfré"/>
    <x v="8"/>
    <s v="Legal"/>
    <m/>
    <n v="10000"/>
    <n v="7932703"/>
    <x v="4"/>
    <s v="Oui"/>
    <s v="UE"/>
    <s v="RALFF"/>
    <s v="CONGO"/>
    <s v="RALFF-CO3087"/>
    <s v="2.2"/>
    <m/>
  </r>
  <r>
    <d v="2022-02-24T00:00:00"/>
    <s v="Taxi Loudima - Sibiti (départ pour Sibiti)/I23C"/>
    <x v="8"/>
    <s v="Investigation"/>
    <m/>
    <n v="4000"/>
    <n v="7928703"/>
    <x v="9"/>
    <s v="Oui"/>
    <s v="UE"/>
    <s v="RALFF"/>
    <s v="CONGO"/>
    <s v="RALFF-CO3088"/>
    <s v="2.2"/>
    <m/>
  </r>
  <r>
    <d v="2022-02-24T00:00:00"/>
    <s v="Achat billet loudima-sibiti/P29"/>
    <x v="8"/>
    <s v="Investigations"/>
    <m/>
    <n v="4000"/>
    <n v="7924703"/>
    <x v="6"/>
    <s v="Oui"/>
    <s v="UE"/>
    <s v="RALFF"/>
    <s v="CONGO"/>
    <s v="RALFF-CO3089"/>
    <s v="2.2"/>
    <m/>
  </r>
  <r>
    <d v="2022-02-24T00:00:00"/>
    <s v="P29 - CONGO Food allowance mission du 24 au 01/03/2022 à Sibiti"/>
    <x v="11"/>
    <s v="Investigations"/>
    <m/>
    <n v="50000"/>
    <n v="7874703"/>
    <x v="6"/>
    <s v="Decharge"/>
    <s v="UE"/>
    <s v="RALFF"/>
    <s v="CONGO"/>
    <s v="RALFF-CO3090"/>
    <s v="1.3.2"/>
    <m/>
  </r>
  <r>
    <d v="2022-02-25T00:00:00"/>
    <s v="Reçu caisse"/>
    <x v="1"/>
    <m/>
    <n v="97000"/>
    <m/>
    <n v="7971703"/>
    <x v="4"/>
    <m/>
    <m/>
    <m/>
    <s v="CONGO"/>
    <m/>
    <m/>
    <m/>
  </r>
  <r>
    <d v="2022-02-25T00:00:00"/>
    <s v="Reglément Facture Congo Telecom Redevance Mars 2022"/>
    <x v="20"/>
    <s v="Office"/>
    <m/>
    <n v="89175"/>
    <n v="7882528"/>
    <x v="1"/>
    <s v="Oui"/>
    <s v="UE"/>
    <s v="RALFF"/>
    <s v="CONGO"/>
    <s v="RALFF-CO3091"/>
    <s v="4.5"/>
    <m/>
  </r>
  <r>
    <d v="2022-02-25T00:00:00"/>
    <s v="Frais de mission à pointe-Noire du 27/02 AU 01/03/2022,cas Jimmy/Me Anicet NGOMA-MOUSSAHOU"/>
    <x v="9"/>
    <s v="Legal"/>
    <m/>
    <n v="111000"/>
    <n v="7771528"/>
    <x v="1"/>
    <s v="Oui"/>
    <s v="UE"/>
    <s v="RALFF"/>
    <s v="CONGO"/>
    <s v="RALFF-CO3092"/>
    <s v="5.2.2"/>
    <m/>
  </r>
  <r>
    <d v="2022-02-25T00:00:00"/>
    <s v="Godfre"/>
    <x v="1"/>
    <m/>
    <m/>
    <n v="97000"/>
    <n v="7674528"/>
    <x v="1"/>
    <m/>
    <m/>
    <m/>
    <s v="CONGO"/>
    <m/>
    <m/>
    <m/>
  </r>
  <r>
    <d v="2022-02-25T00:00:00"/>
    <s v="Crepin"/>
    <x v="1"/>
    <m/>
    <m/>
    <n v="60000"/>
    <n v="7614528"/>
    <x v="1"/>
    <m/>
    <m/>
    <m/>
    <s v="CONGO"/>
    <m/>
    <m/>
    <m/>
  </r>
  <r>
    <d v="2022-02-25T00:00:00"/>
    <s v="Complément Frais de mission à OYO du 25 au 26/02/2022 maitre Marie Hélène NANITELAMIO"/>
    <x v="9"/>
    <s v="Legal"/>
    <m/>
    <n v="27000"/>
    <n v="7587528"/>
    <x v="1"/>
    <s v="Oui"/>
    <s v="UE"/>
    <s v="RALFF"/>
    <s v="CONGO"/>
    <s v="RALFF-CO3093"/>
    <s v="5.2.2"/>
    <m/>
  </r>
  <r>
    <d v="2022-02-25T00:00:00"/>
    <s v="Frais de transfert charden farell à Evariste"/>
    <x v="12"/>
    <s v="Office"/>
    <m/>
    <n v="5970"/>
    <n v="7581558"/>
    <x v="1"/>
    <s v="Oui"/>
    <s v="UE"/>
    <s v="RALFF"/>
    <s v="CONGO"/>
    <s v="RALFF-CO3094"/>
    <s v="5.6"/>
    <m/>
  </r>
  <r>
    <d v="2022-02-25T00:00:00"/>
    <s v="Paiment Salaire Mois Février 2022/Grace MOLENDE"/>
    <x v="10"/>
    <s v="Management"/>
    <m/>
    <n v="350000"/>
    <n v="7231558"/>
    <x v="2"/>
    <s v="Virement"/>
    <s v="UE"/>
    <s v="RALFF"/>
    <s v="CONGO"/>
    <s v="RALFF-CO3095"/>
    <s v="1.1.2.1"/>
    <m/>
  </r>
  <r>
    <d v="2022-02-25T00:00:00"/>
    <s v="Paiment Salaire Mois Février 2022/Merveille MAHANGA"/>
    <x v="10"/>
    <s v="Management"/>
    <m/>
    <n v="300000"/>
    <n v="6931558"/>
    <x v="2"/>
    <n v="3643620"/>
    <s v="UE"/>
    <s v="RALFF"/>
    <s v="CONGO"/>
    <s v="RALFF-CO3096"/>
    <s v="1.1.2.1"/>
    <m/>
  </r>
  <r>
    <d v="2022-02-25T00:00:00"/>
    <s v="Paiment Salaire Mois Février 2022/Evariste LELOUSSI"/>
    <x v="10"/>
    <s v="Media"/>
    <m/>
    <n v="234309"/>
    <n v="6697249"/>
    <x v="2"/>
    <n v="3643621"/>
    <s v="UE"/>
    <s v="RALFF"/>
    <s v="CONGO"/>
    <s v="RALFF-CO3097"/>
    <s v="1.1.1.4"/>
    <m/>
  </r>
  <r>
    <d v="2022-02-25T00:00:00"/>
    <s v="Paiment Salaire Mois Février 2022/Godfré MALONGA"/>
    <x v="10"/>
    <s v="Legal"/>
    <m/>
    <n v="193600"/>
    <n v="6503649"/>
    <x v="2"/>
    <n v="3643622"/>
    <s v="UE"/>
    <s v="RALFF"/>
    <s v="CONGO"/>
    <s v="RALFF-CO3098"/>
    <s v="1.1.1.7"/>
    <m/>
  </r>
  <r>
    <d v="2022-02-25T00:00:00"/>
    <s v="Paiment Salaire Mois Février 2022/Crépin Evariste IBOUILI-IBOUILI"/>
    <x v="10"/>
    <s v="Legal"/>
    <m/>
    <n v="357982"/>
    <n v="6145667"/>
    <x v="2"/>
    <n v="3643623"/>
    <s v="UE"/>
    <s v="RALFF"/>
    <s v="CONGO"/>
    <s v="RALFF-CO3099"/>
    <s v="1.1.1.7"/>
    <m/>
  </r>
  <r>
    <d v="2022-02-25T00:00:00"/>
    <s v="Reglement facture honoraire du mois de Février 2022/I23C/chq n°3643624"/>
    <x v="10"/>
    <s v="Investigation"/>
    <m/>
    <n v="615000"/>
    <n v="5530667"/>
    <x v="2"/>
    <n v="3643624"/>
    <s v="UE"/>
    <s v="RALFF"/>
    <s v="CONGO"/>
    <s v="RALFF-CO3100"/>
    <s v="1.1.1.9"/>
    <m/>
  </r>
  <r>
    <d v="2022-02-25T00:00:00"/>
    <s v="Reglement facture honoraire du mois de Février 2022/P29/chq n°3643626"/>
    <x v="10"/>
    <s v="Investigation"/>
    <m/>
    <n v="395000"/>
    <n v="5135667"/>
    <x v="2"/>
    <n v="3643626"/>
    <s v="UE"/>
    <s v="RALFF"/>
    <s v="CONGO"/>
    <s v="RALFF-CO3101"/>
    <s v="1.1.1.9"/>
    <m/>
  </r>
  <r>
    <d v="2022-02-25T00:00:00"/>
    <s v="Cumul frais de transport local mois de Février 2022/Merveille"/>
    <x v="8"/>
    <s v="Management"/>
    <m/>
    <n v="58200"/>
    <n v="5077467"/>
    <x v="12"/>
    <s v="Décharge"/>
    <s v="UE"/>
    <s v="RALFF"/>
    <s v="CONGO"/>
    <s v="RALFF-CO3102"/>
    <s v="2.2"/>
    <m/>
  </r>
  <r>
    <d v="2022-02-25T00:00:00"/>
    <s v="Billets pour 02 policiers: Oyo-Makoua/Crépin"/>
    <x v="8"/>
    <s v="Operation"/>
    <m/>
    <n v="16000"/>
    <n v="5061467"/>
    <x v="3"/>
    <s v="Oui"/>
    <s v="Wildcat"/>
    <s v="PALF"/>
    <s v="CONGO"/>
    <m/>
    <m/>
    <m/>
  </r>
  <r>
    <d v="2022-02-25T00:00:00"/>
    <s v="Frais d'Hotel 01 Nuitée du 24 au 25/02/2022 pour 02 policiers à Oyo (NIMI Alphonse et MALONGA Hervé)"/>
    <x v="11"/>
    <s v="Opération"/>
    <m/>
    <n v="30000"/>
    <n v="5031467"/>
    <x v="3"/>
    <s v="Oui"/>
    <s v="Wildcat"/>
    <s v="PALF"/>
    <s v="CONGO"/>
    <m/>
    <m/>
    <m/>
  </r>
  <r>
    <d v="2022-02-25T00:00:00"/>
    <s v="Reçu de caisse"/>
    <x v="1"/>
    <m/>
    <n v="60000"/>
    <m/>
    <n v="5091467"/>
    <x v="3"/>
    <m/>
    <m/>
    <m/>
    <s v="CONGO"/>
    <m/>
    <m/>
    <m/>
  </r>
  <r>
    <d v="2022-02-25T00:00:00"/>
    <s v="Frais de l'impression de la procédure EF"/>
    <x v="3"/>
    <s v="Operation"/>
    <m/>
    <n v="7950"/>
    <n v="5083517"/>
    <x v="3"/>
    <s v="Oui"/>
    <s v="Wildcat"/>
    <s v="PALF"/>
    <s v="CONGO"/>
    <m/>
    <m/>
    <m/>
  </r>
  <r>
    <d v="2022-02-25T00:00:00"/>
    <s v="Frais de l'impression de la procédure de la gendarmerie"/>
    <x v="3"/>
    <s v="Operation"/>
    <m/>
    <n v="46200"/>
    <n v="5037317"/>
    <x v="3"/>
    <s v="Oui"/>
    <s v="Wildcat"/>
    <s v="PALF"/>
    <s v="CONGO"/>
    <m/>
    <m/>
    <m/>
  </r>
  <r>
    <d v="2022-02-25T00:00:00"/>
    <s v="Frais de transport Oyo-Owando pour les 04 gendarmes (DOUNIAMA,MVIRI Farel, OBAMI Ger, NYANGA Marien)"/>
    <x v="8"/>
    <s v="Operation"/>
    <m/>
    <n v="20000"/>
    <n v="5017317"/>
    <x v="3"/>
    <s v="Oui"/>
    <s v="Wildcat"/>
    <s v="PALF"/>
    <s v="CONGO"/>
    <m/>
    <m/>
    <m/>
  </r>
  <r>
    <d v="2022-02-25T00:00:00"/>
    <s v="Frais d'Hotel 07 Nuitées pour 4 gendarmes du 19 au 26/02/2022 (DOUNIAMA,MVIRI Farel, OBAMI Ger, NYANGA Marien)"/>
    <x v="11"/>
    <s v="Opération"/>
    <m/>
    <n v="420000"/>
    <n v="4597317"/>
    <x v="3"/>
    <s v="Oui"/>
    <s v="Wildcat"/>
    <s v="PALF"/>
    <s v="CONGO"/>
    <m/>
    <m/>
    <m/>
  </r>
  <r>
    <d v="2022-02-25T00:00:00"/>
    <s v="Cumul ration du 25/02/2022 de 04 gendarmes(DOUNIAMA,MVIRI Farel, OBAMI Ger, NYANGA Marien)"/>
    <x v="11"/>
    <s v="Opération"/>
    <m/>
    <n v="26000"/>
    <n v="4571317"/>
    <x v="3"/>
    <s v="Oui"/>
    <s v="Wildcat"/>
    <s v="PALF"/>
    <s v="CONGO"/>
    <m/>
    <m/>
    <m/>
  </r>
  <r>
    <d v="2022-02-25T00:00:00"/>
    <s v="Billet: Oyo-Brazzaville/Crépin"/>
    <x v="8"/>
    <s v="Management"/>
    <m/>
    <n v="10000"/>
    <n v="4561317"/>
    <x v="3"/>
    <s v="Oui"/>
    <s v="UE"/>
    <s v="RALFF"/>
    <s v="CONGO"/>
    <s v="RALFF-CO3103"/>
    <s v="2.2"/>
    <m/>
  </r>
  <r>
    <d v="2022-02-25T00:00:00"/>
    <s v="Cumul frais Jail visits mois de Février 2022/EVARISTE LELOUSSI"/>
    <x v="19"/>
    <s v="Legal"/>
    <m/>
    <n v="63650"/>
    <n v="4497667"/>
    <x v="11"/>
    <s v="Décharge"/>
    <s v="Wildcat"/>
    <s v="PALF"/>
    <s v="CONGO"/>
    <m/>
    <m/>
    <m/>
  </r>
  <r>
    <d v="2022-02-25T00:00:00"/>
    <s v="Achat billet Oyo-Brazzaville/Evariste"/>
    <x v="8"/>
    <s v="Media"/>
    <m/>
    <n v="10000"/>
    <n v="4487667"/>
    <x v="11"/>
    <s v="Oui"/>
    <s v="UE"/>
    <s v="RALFF"/>
    <s v="CONGO"/>
    <s v="RALFF-CO3104"/>
    <s v="2.2"/>
    <m/>
  </r>
  <r>
    <d v="2022-02-26T00:00:00"/>
    <s v="CREPIN IBOUILI - CONGO Frais d'Hotel 07 Nuitées à Oyo du 19 au 26/02/2022"/>
    <x v="11"/>
    <s v="Opération"/>
    <m/>
    <n v="105000"/>
    <n v="4382667"/>
    <x v="3"/>
    <s v="Oui"/>
    <s v="UE"/>
    <s v="RALFF"/>
    <s v="CONGO"/>
    <s v="RALFF-CO3105"/>
    <s v="1.3.2"/>
    <m/>
  </r>
  <r>
    <d v="2022-02-26T00:00:00"/>
    <s v="EVARISTE LELOUSSI - CONGO Frais d'hôtel du 18 au 26 février 2022 (8 nuités)"/>
    <x v="11"/>
    <s v="Media"/>
    <m/>
    <n v="120000"/>
    <n v="4262667"/>
    <x v="11"/>
    <s v="Oui"/>
    <s v="UE"/>
    <s v="RALFF"/>
    <s v="CONGO"/>
    <s v="RALFF-CO3106"/>
    <s v="1.3.2"/>
    <m/>
  </r>
  <r>
    <d v="2022-02-26T00:00:00"/>
    <s v="GODFRE - CONGO Frais d'hôtel 02 nuitées du 24/02 au 26/02/2022 à Dolisie"/>
    <x v="11"/>
    <s v="Legal"/>
    <m/>
    <n v="30000"/>
    <n v="4232667"/>
    <x v="4"/>
    <s v="Oui"/>
    <s v="UE"/>
    <s v="RALFF"/>
    <s v="CONGO"/>
    <s v="RALFF-CO3107"/>
    <s v="1.3.2"/>
    <m/>
  </r>
  <r>
    <d v="2022-02-26T00:00:00"/>
    <s v="Cumul frais de transport local Février 2022/Crépin"/>
    <x v="8"/>
    <s v="Management"/>
    <m/>
    <n v="88500"/>
    <n v="4144167"/>
    <x v="3"/>
    <s v="Décharge"/>
    <s v="UE"/>
    <s v="RALFF"/>
    <s v="CONGO"/>
    <s v="RALFF-CO3108"/>
    <s v="2.2"/>
    <m/>
  </r>
  <r>
    <d v="2022-02-26T00:00:00"/>
    <s v="Cumul Frais de Transport Local du mois  Février 2022/Evariste LELOUSSI"/>
    <x v="8"/>
    <s v="Media"/>
    <m/>
    <n v="69500"/>
    <n v="4074667"/>
    <x v="11"/>
    <s v="Décharge"/>
    <s v="UE"/>
    <s v="RALFF"/>
    <s v="CONGO"/>
    <s v="RALFF-CO3109"/>
    <s v="2.2"/>
    <m/>
  </r>
  <r>
    <d v="2022-02-26T00:00:00"/>
    <s v="Cumul frais de jail visits du mois de Février 2022/Godfré"/>
    <x v="19"/>
    <s v="Legal"/>
    <m/>
    <n v="13000"/>
    <n v="4061667"/>
    <x v="4"/>
    <s v="Décharge"/>
    <s v="Wildcat"/>
    <s v="PALF"/>
    <s v="CONGO"/>
    <m/>
    <m/>
    <m/>
  </r>
  <r>
    <d v="2022-02-26T00:00:00"/>
    <s v="Achat billet départ Dolisie - Pointe-Noire/Godfré"/>
    <x v="8"/>
    <s v="Legal"/>
    <m/>
    <n v="5000"/>
    <n v="4056667"/>
    <x v="4"/>
    <s v="Oui"/>
    <s v="UE"/>
    <s v="RALFF"/>
    <s v="CONGO"/>
    <s v="RALFF-CO3110"/>
    <s v="2.2"/>
    <m/>
  </r>
  <r>
    <d v="2022-02-26T00:00:00"/>
    <s v="P29 - CONGO Frais Hôtel 2 nuitées du 24 au 26/02/2022 à zanaga"/>
    <x v="11"/>
    <s v="Investigations"/>
    <m/>
    <n v="30000"/>
    <n v="4026667"/>
    <x v="6"/>
    <s v="Oui"/>
    <s v="UE"/>
    <s v="RALFF"/>
    <s v="CONGO"/>
    <s v="RALFF-CO3111"/>
    <s v="1.3.2"/>
    <m/>
  </r>
  <r>
    <d v="2022-02-26T00:00:00"/>
    <s v="Achat billet sibiti-zanaga/P29"/>
    <x v="8"/>
    <s v="Investigations"/>
    <m/>
    <n v="10000"/>
    <n v="4046667"/>
    <x v="6"/>
    <s v="Oui"/>
    <s v="UE"/>
    <s v="RALFF"/>
    <s v="CONGO"/>
    <s v="RALFF-CO3112"/>
    <s v="2.2"/>
    <m/>
  </r>
  <r>
    <d v="2022-02-27T00:00:00"/>
    <s v="Cumul frais de trust building du mois Février 2022/I23C"/>
    <x v="13"/>
    <s v="Investigations"/>
    <m/>
    <n v="112500"/>
    <n v="3934167"/>
    <x v="9"/>
    <s v="Décharge"/>
    <s v="Wildcat"/>
    <s v="PALF"/>
    <s v="CONGO"/>
    <m/>
    <m/>
    <m/>
  </r>
  <r>
    <d v="2022-02-27T00:00:00"/>
    <s v="Cumul Frais de Trust Building du Mois Février 2022/P29"/>
    <x v="13"/>
    <s v="Investigations"/>
    <m/>
    <n v="131000"/>
    <n v="3803167"/>
    <x v="6"/>
    <s v="Decharge"/>
    <s v="Wildcat"/>
    <s v="PALF"/>
    <s v="CONGO"/>
    <m/>
    <m/>
    <m/>
  </r>
  <r>
    <d v="2022-02-28T00:00:00"/>
    <s v="GODFRE - CONGO Frais d'hôtel du 26/02 au 28/02/2022 à Pointe Noire"/>
    <x v="11"/>
    <s v="Legal"/>
    <m/>
    <n v="30000"/>
    <n v="3773167"/>
    <x v="4"/>
    <s v="Oui"/>
    <s v="UE"/>
    <s v="RALFF"/>
    <s v="CONGO"/>
    <s v="RALFF-CO3113"/>
    <s v="1.3.2"/>
    <m/>
  </r>
  <r>
    <d v="2022-02-28T00:00:00"/>
    <s v="I23C - CONGO Frais Hôtel 4 nuitées du 24 au 28 févr 2022 Sibiti"/>
    <x v="11"/>
    <s v="Investigations"/>
    <m/>
    <n v="60000"/>
    <n v="3713167"/>
    <x v="9"/>
    <s v="Oui"/>
    <s v="UE"/>
    <s v="RALFF"/>
    <s v="CONGO"/>
    <s v="RALFF-CO3114"/>
    <s v="1.3.2"/>
    <m/>
  </r>
  <r>
    <d v="2022-02-28T00:00:00"/>
    <s v="Grace/Remboursement dernière tranche frais telephone acquis le 04/10/2022"/>
    <x v="1"/>
    <m/>
    <n v="20000"/>
    <m/>
    <n v="3733167"/>
    <x v="1"/>
    <m/>
    <m/>
    <m/>
    <s v="CONGO"/>
    <m/>
    <m/>
    <m/>
  </r>
  <r>
    <d v="2022-02-28T00:00:00"/>
    <s v="Crépin/retour Caisse"/>
    <x v="1"/>
    <m/>
    <n v="90000"/>
    <m/>
    <n v="3823167"/>
    <x v="1"/>
    <m/>
    <m/>
    <m/>
    <s v="CONGO"/>
    <m/>
    <m/>
    <m/>
  </r>
  <r>
    <d v="2022-02-28T00:00:00"/>
    <s v="P29"/>
    <x v="1"/>
    <m/>
    <m/>
    <n v="42000"/>
    <n v="3781167"/>
    <x v="1"/>
    <m/>
    <m/>
    <m/>
    <s v="CONGO"/>
    <m/>
    <m/>
    <m/>
  </r>
  <r>
    <d v="2022-02-28T00:00:00"/>
    <s v="Frais de transfert Maouene Express/P29"/>
    <x v="12"/>
    <s v="Office"/>
    <m/>
    <n v="1050"/>
    <n v="3780117"/>
    <x v="1"/>
    <s v="Oui"/>
    <s v="UE"/>
    <s v="RALFF"/>
    <s v="CONGO"/>
    <s v="RALFF-CO3115"/>
    <s v="5.6"/>
    <m/>
  </r>
  <r>
    <d v="2022-02-28T00:00:00"/>
    <s v="Cumul frais de Transport local mois de Fevrier 2022/Grace MOLENDE"/>
    <x v="8"/>
    <s v="Management"/>
    <m/>
    <n v="60300"/>
    <n v="3719817"/>
    <x v="5"/>
    <s v="Décharge"/>
    <s v="UE"/>
    <s v="RALFF"/>
    <s v="CONGO"/>
    <s v="RALFF-CO3116"/>
    <s v="2.2"/>
    <m/>
  </r>
  <r>
    <d v="2022-02-28T00:00:00"/>
    <s v="Retour Caisse /Derrière tranche rembourssement téléphone acquis le 04/10/21"/>
    <x v="1"/>
    <m/>
    <m/>
    <n v="20000"/>
    <n v="3699817"/>
    <x v="5"/>
    <m/>
    <m/>
    <m/>
    <s v="CONGO"/>
    <m/>
    <m/>
    <m/>
  </r>
  <r>
    <d v="2022-02-28T00:00:00"/>
    <s v="Cumul frais transport local mois de Février 2022/Tiffany"/>
    <x v="8"/>
    <s v="Management"/>
    <m/>
    <n v="34500"/>
    <n v="3665317"/>
    <x v="10"/>
    <s v="Décharge"/>
    <s v="UE"/>
    <s v="RALFF"/>
    <s v="CONGO"/>
    <s v="RALFF-CO3117"/>
    <s v="2.2"/>
    <m/>
  </r>
  <r>
    <d v="2022-02-28T00:00:00"/>
    <s v="Retour à la caisse"/>
    <x v="1"/>
    <m/>
    <m/>
    <n v="90000"/>
    <n v="3575317"/>
    <x v="3"/>
    <m/>
    <m/>
    <m/>
    <s v="CONGO"/>
    <m/>
    <m/>
    <m/>
  </r>
  <r>
    <d v="2022-02-28T00:00:00"/>
    <s v="Cumul frais de transport local février 2022/Godfré"/>
    <x v="8"/>
    <s v="Legal"/>
    <m/>
    <n v="61400"/>
    <n v="3603917"/>
    <x v="4"/>
    <s v="Décharge"/>
    <s v="UE"/>
    <s v="RALFF"/>
    <s v="CONGO"/>
    <s v="RALFF-CO3118"/>
    <s v="2.2"/>
    <m/>
  </r>
  <r>
    <d v="2022-02-28T00:00:00"/>
    <s v="Taxi Sibiti- Loudima (départ pour Loudima)/I23C"/>
    <x v="8"/>
    <s v="Investigation"/>
    <m/>
    <n v="4000"/>
    <n v="3599917"/>
    <x v="9"/>
    <s v="Oui"/>
    <s v="UE"/>
    <s v="RALFF"/>
    <s v="CONGO"/>
    <s v="RALFF-CO3119"/>
    <s v="2.2"/>
    <m/>
  </r>
  <r>
    <d v="2022-02-28T00:00:00"/>
    <s v="Taxi Loudima- Brazzaville (départ pour BZ)/I23C"/>
    <x v="8"/>
    <s v="Investigation"/>
    <m/>
    <n v="10000"/>
    <n v="3589917"/>
    <x v="9"/>
    <s v="Oui"/>
    <s v="UE"/>
    <s v="RALFF"/>
    <s v="CONGO"/>
    <s v="RALFF-CO3120"/>
    <s v="2.2"/>
    <m/>
  </r>
  <r>
    <d v="2022-02-28T00:00:00"/>
    <s v="Cumul frais de transport local mois Février 2022/I23C"/>
    <x v="8"/>
    <s v="Investigation"/>
    <m/>
    <n v="76500"/>
    <n v="3513417"/>
    <x v="9"/>
    <s v="Décharge"/>
    <s v="UE"/>
    <s v="RALFF"/>
    <s v="CONGO"/>
    <s v="RALFF-CO3121"/>
    <s v="2.2"/>
    <m/>
  </r>
  <r>
    <d v="2022-02-28T00:00:00"/>
    <s v="Cumul frais de transport local mois de février 2022/P29"/>
    <x v="8"/>
    <s v="Investigations"/>
    <m/>
    <n v="52500"/>
    <n v="3460917"/>
    <x v="6"/>
    <s v="Decharge"/>
    <s v="UE"/>
    <s v="RALFF"/>
    <s v="CONGO"/>
    <s v="RALFF-CO3122"/>
    <s v="2.2"/>
    <m/>
  </r>
  <r>
    <d v="2022-02-28T00:00:00"/>
    <s v="Recu de caisse"/>
    <x v="1"/>
    <m/>
    <n v="42000"/>
    <m/>
    <n v="3502917"/>
    <x v="6"/>
    <m/>
    <m/>
    <m/>
    <s v="CONGO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29">
  <r>
    <d v="2022-02-01T00:00:00"/>
    <s v="Solde au 01/01/2022"/>
    <m/>
    <m/>
    <m/>
    <m/>
    <n v="17560283"/>
    <m/>
    <m/>
    <x v="0"/>
    <m/>
    <s v="CONGO"/>
    <m/>
    <m/>
    <m/>
  </r>
  <r>
    <d v="2022-02-01T00:00:00"/>
    <s v="Crépin"/>
    <s v="Versement"/>
    <m/>
    <m/>
    <n v="40000"/>
    <n v="17520283"/>
    <s v="Caisse"/>
    <m/>
    <x v="0"/>
    <m/>
    <s v="CONGO"/>
    <m/>
    <m/>
    <m/>
  </r>
  <r>
    <d v="2022-02-01T00:00:00"/>
    <s v="Achat credit  teléphonique MTN/PALF/Prémière partie Février 2022/Management"/>
    <s v="Telephone"/>
    <s v="Management "/>
    <m/>
    <n v="42000"/>
    <n v="17478283"/>
    <s v="Caisse"/>
    <s v="Oui"/>
    <x v="1"/>
    <s v="RALFF"/>
    <s v="CONGO"/>
    <s v="RALFF-CO2989"/>
    <s v="4.6"/>
    <m/>
  </r>
  <r>
    <d v="2022-02-01T00:00:00"/>
    <s v="Achat credit  teléphonique MTN/PALF/Prémière partie Février 2022/Legal"/>
    <s v="Telephone"/>
    <s v="Legal"/>
    <m/>
    <n v="37000"/>
    <n v="17441283"/>
    <s v="Caisse"/>
    <s v="Oui"/>
    <x v="1"/>
    <s v="RALFF"/>
    <s v="CONGO"/>
    <s v="RALFF-CO2990"/>
    <s v="4.6"/>
    <m/>
  </r>
  <r>
    <d v="2022-02-01T00:00:00"/>
    <s v="Achat credit  teléphonique MTN/PALF/Prémière partie Février 2022/Investigation"/>
    <s v="Telephone"/>
    <s v="Investigation"/>
    <m/>
    <n v="20000"/>
    <n v="17421283"/>
    <s v="Caisse"/>
    <s v="Oui"/>
    <x v="1"/>
    <s v="RALFF"/>
    <s v="CONGO"/>
    <s v="RALFF-CO2991"/>
    <s v="4.6"/>
    <m/>
  </r>
  <r>
    <d v="2022-02-01T00:00:00"/>
    <s v="Achat credit  teléphonique MTN/PALF/Prémière partie Février 2022/Invenstigation volontaire"/>
    <s v="Telephone"/>
    <s v="Investigation"/>
    <m/>
    <n v="10000"/>
    <n v="17411283"/>
    <s v="Caisse"/>
    <s v="Oui"/>
    <x v="2"/>
    <s v="PALF"/>
    <s v="CONGO"/>
    <m/>
    <m/>
    <m/>
  </r>
  <r>
    <d v="2022-02-01T00:00:00"/>
    <s v="Achat credit  teléphonique MTN/PALF/Prémière partie Février 2022/Media"/>
    <s v="Telephone"/>
    <s v="Media"/>
    <m/>
    <n v="5000"/>
    <n v="17406283"/>
    <s v="Caisse"/>
    <s v="Oui"/>
    <x v="1"/>
    <s v="RALFF"/>
    <s v="CONGO"/>
    <s v="RALFF-CO2992"/>
    <s v="4.6"/>
    <m/>
  </r>
  <r>
    <d v="2022-02-01T00:00:00"/>
    <s v="Achat credit  teléphonique Airtel/PALF/Prémière partie Février 2022/Management"/>
    <s v="Telephone"/>
    <s v="Management "/>
    <m/>
    <n v="11000"/>
    <n v="17395283"/>
    <s v="Caisse"/>
    <s v="Oui"/>
    <x v="1"/>
    <s v="RALFF"/>
    <s v="CONGO"/>
    <s v="RALFF-CO2993"/>
    <s v="4.6"/>
    <m/>
  </r>
  <r>
    <d v="2022-02-01T00:00:00"/>
    <s v="Achat credit  teléphonique Airtel/PALF/Prémière partie Février 2022/Legal"/>
    <s v="Telephone"/>
    <s v="Legal"/>
    <m/>
    <n v="5000"/>
    <n v="17390283"/>
    <s v="Caisse"/>
    <s v="Oui"/>
    <x v="1"/>
    <s v="RALFF"/>
    <s v="CONGO"/>
    <s v="RALFF-CO2994"/>
    <s v="4.6"/>
    <m/>
  </r>
  <r>
    <d v="2022-02-01T00:00:00"/>
    <s v="Achat credit  teléphonique Airtel/PALF/Prémière partie Février 2022/Invenstigation"/>
    <s v="Telephone"/>
    <s v="Investigation"/>
    <m/>
    <n v="32000"/>
    <n v="17358283"/>
    <s v="Caisse"/>
    <s v="Oui"/>
    <x v="1"/>
    <s v="RALFF"/>
    <s v="CONGO"/>
    <s v="RALFF-CO2995"/>
    <s v="4.6"/>
    <m/>
  </r>
  <r>
    <d v="2022-02-01T00:00:00"/>
    <s v="Achat credit  teléphonique Airtel/PALF/Prémière partie Février 2022/Investigation Volontaire"/>
    <s v="Telephone"/>
    <s v="Investigation"/>
    <m/>
    <n v="16000"/>
    <n v="17342283"/>
    <s v="Caisse"/>
    <s v="Oui"/>
    <x v="2"/>
    <s v="PALF"/>
    <s v="CONGO"/>
    <m/>
    <m/>
    <m/>
  </r>
  <r>
    <d v="2022-02-01T00:00:00"/>
    <s v="Achat credit  teléphonique Airtel/PALF/Prémière partie Février 2022/Média"/>
    <s v="Telephone"/>
    <s v="Media"/>
    <m/>
    <n v="11000"/>
    <n v="17331283"/>
    <s v="Caisse"/>
    <s v="Oui"/>
    <x v="1"/>
    <s v="RALFF"/>
    <s v="CONGO"/>
    <s v="RALFF-CO2996"/>
    <s v="4.6"/>
    <m/>
  </r>
  <r>
    <d v="2022-02-01T00:00:00"/>
    <s v="Achat baguette et colle en tube"/>
    <s v="Office Materials"/>
    <s v="Office"/>
    <m/>
    <n v="1500"/>
    <n v="17329783"/>
    <s v="Caisse"/>
    <s v="Oui"/>
    <x v="1"/>
    <s v="RALFF"/>
    <s v="CONGO"/>
    <s v="RALFF-CO2997"/>
    <s v="4.3"/>
    <m/>
  </r>
  <r>
    <d v="2022-02-01T00:00:00"/>
    <s v="Expedition Courrier UE vers la Belgique par DHL"/>
    <s v="Flight"/>
    <s v="Office"/>
    <m/>
    <n v="69155"/>
    <n v="17260628"/>
    <s v="Caisse"/>
    <s v="Oui"/>
    <x v="1"/>
    <s v="RALFF"/>
    <s v="CONGO"/>
    <s v="RALFF-CO2998"/>
    <n v="7"/>
    <m/>
  </r>
  <r>
    <d v="2022-02-01T00:00:00"/>
    <s v="Godfre /retour caisse pour remboursement prêt"/>
    <s v="Versement"/>
    <m/>
    <n v="30000"/>
    <m/>
    <n v="17290628"/>
    <s v="Caisse"/>
    <m/>
    <x v="0"/>
    <m/>
    <s v="CONGO"/>
    <m/>
    <m/>
    <m/>
  </r>
  <r>
    <d v="2022-02-01T00:00:00"/>
    <s v="Frais bancaire Février 2022/Compte 56"/>
    <s v="Bank Fees"/>
    <s v="Office"/>
    <m/>
    <n v="14701"/>
    <n v="17275927"/>
    <s v="BCI-Sous Compte"/>
    <s v="Relevé"/>
    <x v="1"/>
    <s v="RALFF"/>
    <s v="CONGO"/>
    <s v="RALFF-CO2999"/>
    <s v="5.6"/>
    <m/>
  </r>
  <r>
    <d v="2022-02-01T00:00:00"/>
    <s v="Reçu de caisse"/>
    <s v="Versement"/>
    <m/>
    <n v="40000"/>
    <m/>
    <n v="17315927"/>
    <s v="Crépin"/>
    <m/>
    <x v="0"/>
    <m/>
    <s v="CONGO"/>
    <m/>
    <m/>
    <m/>
  </r>
  <r>
    <d v="2022-02-01T00:00:00"/>
    <s v="Retour Caisse "/>
    <s v="Versement"/>
    <m/>
    <m/>
    <n v="30000"/>
    <n v="17285927"/>
    <s v="Godfré"/>
    <m/>
    <x v="0"/>
    <m/>
    <s v="CONGO"/>
    <m/>
    <m/>
    <m/>
  </r>
  <r>
    <d v="2022-02-02T00:00:00"/>
    <s v="B52"/>
    <s v="Versement"/>
    <m/>
    <m/>
    <n v="15000"/>
    <n v="17270927"/>
    <s v="Caisse"/>
    <m/>
    <x v="0"/>
    <m/>
    <s v="CONGO"/>
    <m/>
    <m/>
    <m/>
  </r>
  <r>
    <d v="2022-02-02T00:00:00"/>
    <s v="Grace"/>
    <s v="Versement"/>
    <m/>
    <m/>
    <n v="15000"/>
    <n v="17255927"/>
    <s v="Caisse"/>
    <m/>
    <x v="0"/>
    <m/>
    <s v="CONGO"/>
    <m/>
    <m/>
    <m/>
  </r>
  <r>
    <d v="2022-02-02T00:00:00"/>
    <s v="Achat 04 bonbones d'eau bureau"/>
    <s v="Office Materials"/>
    <s v="Office"/>
    <m/>
    <n v="18000"/>
    <n v="17237927"/>
    <s v="Caisse"/>
    <s v="Oui"/>
    <x v="2"/>
    <s v="PALF"/>
    <s v="CONGO"/>
    <m/>
    <m/>
    <m/>
  </r>
  <r>
    <d v="2022-02-02T00:00:00"/>
    <s v="P29"/>
    <s v="Versement"/>
    <m/>
    <m/>
    <n v="20000"/>
    <n v="17217927"/>
    <s v="Caisse"/>
    <m/>
    <x v="0"/>
    <m/>
    <s v="CONGO"/>
    <m/>
    <m/>
    <m/>
  </r>
  <r>
    <d v="2022-02-02T00:00:00"/>
    <s v="Reçu Caisse"/>
    <s v="Versement"/>
    <m/>
    <n v="15000"/>
    <m/>
    <n v="17232927"/>
    <s v="Grace"/>
    <m/>
    <x v="0"/>
    <m/>
    <s v="CONGO"/>
    <m/>
    <m/>
    <m/>
  </r>
  <r>
    <d v="2022-02-02T00:00:00"/>
    <s v="Frais d'acte d'appel cas Mampaka"/>
    <s v="Court Fees"/>
    <s v="Legal"/>
    <m/>
    <n v="10000"/>
    <n v="17222927"/>
    <s v="Crépin"/>
    <s v="Oui"/>
    <x v="2"/>
    <s v="PALF"/>
    <s v="CONGO"/>
    <m/>
    <m/>
    <m/>
  </r>
  <r>
    <d v="2022-02-02T00:00:00"/>
    <s v="Frais de l'expédition cas Mampaka"/>
    <s v="Court Fees"/>
    <s v="Legal"/>
    <m/>
    <n v="30000"/>
    <n v="17192927"/>
    <s v="Crépin"/>
    <s v="Oui"/>
    <x v="2"/>
    <s v="PALF"/>
    <s v="CONGO"/>
    <m/>
    <m/>
    <m/>
  </r>
  <r>
    <d v="2022-02-02T00:00:00"/>
    <s v="Recu de caisse"/>
    <s v="Versement"/>
    <m/>
    <n v="20000"/>
    <m/>
    <n v="17212927"/>
    <s v="P29"/>
    <m/>
    <x v="0"/>
    <m/>
    <s v="CONGO"/>
    <m/>
    <m/>
    <m/>
  </r>
  <r>
    <d v="2022-02-02T00:00:00"/>
    <s v="Reçu de caisse"/>
    <s v="Versement"/>
    <m/>
    <n v="15000"/>
    <m/>
    <n v="17227927"/>
    <s v="B52"/>
    <m/>
    <x v="0"/>
    <m/>
    <s v="CONGO"/>
    <m/>
    <m/>
    <m/>
  </r>
  <r>
    <d v="2022-02-03T00:00:00"/>
    <s v="BCI-3654468/34"/>
    <s v="Versement"/>
    <m/>
    <n v="1000000"/>
    <m/>
    <n v="18227927"/>
    <s v="Caisse"/>
    <m/>
    <x v="0"/>
    <m/>
    <s v="CONGO"/>
    <m/>
    <m/>
    <m/>
  </r>
  <r>
    <d v="2022-02-03T00:00:00"/>
    <s v="P29"/>
    <s v="Versement"/>
    <m/>
    <m/>
    <n v="171000"/>
    <n v="18056927"/>
    <s v="Caisse"/>
    <m/>
    <x v="0"/>
    <m/>
    <s v="CONGO"/>
    <m/>
    <m/>
    <m/>
  </r>
  <r>
    <d v="2022-02-03T00:00:00"/>
    <s v="I23C"/>
    <s v="Versement"/>
    <m/>
    <m/>
    <n v="181000"/>
    <n v="17875927"/>
    <s v="Caisse"/>
    <m/>
    <x v="0"/>
    <m/>
    <s v="CONGO"/>
    <m/>
    <m/>
    <m/>
  </r>
  <r>
    <d v="2022-02-03T00:00:00"/>
    <s v="Retrait especes/appro caisse/bord n°3654468"/>
    <s v="Versement"/>
    <m/>
    <m/>
    <n v="1000000"/>
    <n v="16875927"/>
    <s v="BCI"/>
    <m/>
    <x v="0"/>
    <m/>
    <s v="CONGO"/>
    <m/>
    <m/>
    <m/>
  </r>
  <r>
    <d v="2022-02-03T00:00:00"/>
    <s v="Reglement Facture Gardiennage Mois de Janvier 2022/3654469"/>
    <s v="Services"/>
    <s v="Office"/>
    <m/>
    <n v="260000"/>
    <n v="16615927"/>
    <s v="BCI"/>
    <n v="3654469"/>
    <x v="2"/>
    <s v="PALF"/>
    <s v="CONGO"/>
    <m/>
    <m/>
    <m/>
  </r>
  <r>
    <d v="2022-02-03T00:00:00"/>
    <s v="Réçu de caisse"/>
    <s v="Versement"/>
    <m/>
    <n v="181000"/>
    <m/>
    <n v="16796927"/>
    <s v="i23c"/>
    <m/>
    <x v="0"/>
    <m/>
    <s v="CONGO"/>
    <m/>
    <m/>
    <m/>
  </r>
  <r>
    <d v="2022-02-03T00:00:00"/>
    <s v="Achat billet Brazzaville-Oyo (mission pour Oyo)/I23C"/>
    <s v="Transport"/>
    <s v="Investigation"/>
    <m/>
    <n v="10000"/>
    <n v="16786927"/>
    <s v="i23c"/>
    <s v="Oui"/>
    <x v="1"/>
    <s v="RALFF"/>
    <s v="CONGO"/>
    <s v="RALFF-CO3000"/>
    <s v="2.2"/>
    <m/>
  </r>
  <r>
    <d v="2022-02-03T00:00:00"/>
    <s v="Recu de caisse"/>
    <s v="Versement"/>
    <m/>
    <n v="171000"/>
    <m/>
    <n v="16957927"/>
    <s v="P29"/>
    <m/>
    <x v="0"/>
    <m/>
    <s v="CONGO"/>
    <m/>
    <m/>
    <m/>
  </r>
  <r>
    <d v="2022-02-04T00:00:00"/>
    <s v="Godfre /retour caisse "/>
    <s v="Versement"/>
    <m/>
    <n v="20000"/>
    <m/>
    <n v="16977927"/>
    <s v="Caisse"/>
    <m/>
    <x v="0"/>
    <m/>
    <s v="CONGO"/>
    <m/>
    <m/>
    <m/>
  </r>
  <r>
    <d v="2022-02-04T00:00:00"/>
    <s v="Godfre"/>
    <s v="Versement"/>
    <m/>
    <m/>
    <n v="101000"/>
    <n v="16876927"/>
    <s v="Caisse"/>
    <m/>
    <x v="0"/>
    <m/>
    <s v="CONGO"/>
    <m/>
    <m/>
    <m/>
  </r>
  <r>
    <d v="2022-02-04T00:00:00"/>
    <s v="Entretien général du jardin bureau PALF"/>
    <s v="Services"/>
    <s v="Office"/>
    <m/>
    <n v="12000"/>
    <n v="16864927"/>
    <s v="Caisse"/>
    <s v="Oui"/>
    <x v="2"/>
    <s v="PALF"/>
    <s v="CONGO"/>
    <m/>
    <m/>
    <m/>
  </r>
  <r>
    <d v="2022-02-04T00:00:00"/>
    <s v="B52"/>
    <s v="Versement"/>
    <m/>
    <m/>
    <n v="15000"/>
    <n v="16849927"/>
    <s v="Caisse"/>
    <m/>
    <x v="0"/>
    <m/>
    <s v="CONGO"/>
    <m/>
    <m/>
    <m/>
  </r>
  <r>
    <d v="2022-02-04T00:00:00"/>
    <s v="Tiffany"/>
    <s v="Versement"/>
    <m/>
    <m/>
    <n v="60000"/>
    <n v="16789927"/>
    <s v="Caisse"/>
    <m/>
    <x v="0"/>
    <m/>
    <s v="CONGO"/>
    <m/>
    <m/>
    <m/>
  </r>
  <r>
    <d v="2022-02-04T00:00:00"/>
    <s v="Frais de mission maitre Séverin BIYOUDI à Pointe-Noire du 06 au 08/01/2022"/>
    <s v="Lawyer Fees"/>
    <s v="Legal"/>
    <m/>
    <n v="86000"/>
    <n v="16703927"/>
    <s v="Caisse"/>
    <s v="Oui"/>
    <x v="1"/>
    <s v="RALFF"/>
    <s v="CONGO"/>
    <s v="RALFF-CO3001"/>
    <s v="5.2.2"/>
    <m/>
  </r>
  <r>
    <d v="2022-02-04T00:00:00"/>
    <s v="Achat 02 Parapheurs  de 12 et 18 compartiments/Protocole d'accord"/>
    <s v="Office Materials"/>
    <s v="Office"/>
    <m/>
    <n v="23000"/>
    <n v="16680927"/>
    <s v="Caisse"/>
    <s v="Oui"/>
    <x v="1"/>
    <s v="RALFF"/>
    <s v="CONGO"/>
    <s v="RALFF-CO3002"/>
    <s v="4.3"/>
    <m/>
  </r>
  <r>
    <d v="2022-02-04T00:00:00"/>
    <s v="Service traiteur et bonus média pour signature du protocole d'accord/Avance"/>
    <s v="Personnel"/>
    <s v="Team Building"/>
    <m/>
    <n v="450000"/>
    <n v="16230927"/>
    <s v="Caisse"/>
    <s v="Décharge"/>
    <x v="2"/>
    <s v="PALF"/>
    <s v="CONGO"/>
    <m/>
    <m/>
    <m/>
  </r>
  <r>
    <d v="2022-02-04T00:00:00"/>
    <s v="Versement Caisse/ Tiffany"/>
    <s v="Versement"/>
    <m/>
    <n v="60000"/>
    <m/>
    <n v="16290927"/>
    <s v="Tiffany"/>
    <m/>
    <x v="0"/>
    <m/>
    <s v="CONGO"/>
    <m/>
    <m/>
    <m/>
  </r>
  <r>
    <d v="2022-02-04T00:00:00"/>
    <s v="Retour Caisse "/>
    <s v="Versement"/>
    <m/>
    <m/>
    <n v="20000"/>
    <n v="16270927"/>
    <s v="Godfré"/>
    <m/>
    <x v="0"/>
    <m/>
    <s v="CONGO"/>
    <m/>
    <m/>
    <m/>
  </r>
  <r>
    <d v="2022-02-04T00:00:00"/>
    <s v="Reçu Caisse"/>
    <s v="Versement"/>
    <m/>
    <n v="101000"/>
    <m/>
    <n v="16371927"/>
    <s v="Godfré"/>
    <m/>
    <x v="0"/>
    <m/>
    <s v="CONGO"/>
    <m/>
    <m/>
    <m/>
  </r>
  <r>
    <d v="2022-02-04T00:00:00"/>
    <s v="Achat billet aller(Brazzaville-Pointe-Noire)/Godfré"/>
    <s v="Transport"/>
    <s v="Legal"/>
    <m/>
    <n v="15000"/>
    <n v="16356927"/>
    <s v="Godfré"/>
    <s v="Oui"/>
    <x v="1"/>
    <s v="RALFF"/>
    <s v="CONGO"/>
    <s v="RALFF-CO3003"/>
    <s v="2.2"/>
    <m/>
  </r>
  <r>
    <d v="2022-02-04T00:00:00"/>
    <s v="Paiement démarcheur pour recherche appartement"/>
    <s v="Transport"/>
    <s v="Opération"/>
    <m/>
    <n v="10000"/>
    <n v="16346927"/>
    <s v="i23c"/>
    <s v="Oui"/>
    <x v="2"/>
    <s v="PALF"/>
    <s v="CONGO"/>
    <m/>
    <m/>
    <m/>
  </r>
  <r>
    <d v="2022-02-04T00:00:00"/>
    <s v="Achat billet brazza-oyo/P29"/>
    <s v="Transport"/>
    <s v="Opération"/>
    <m/>
    <n v="10000"/>
    <n v="16336927"/>
    <s v="P29"/>
    <s v="Oui"/>
    <x v="1"/>
    <s v="RALFF"/>
    <s v="CONGO"/>
    <s v="RALFF-CO3004"/>
    <s v="2.2"/>
    <m/>
  </r>
  <r>
    <d v="2022-02-04T00:00:00"/>
    <s v="reçu de caisse"/>
    <s v="Versement"/>
    <m/>
    <n v="15000"/>
    <m/>
    <n v="16351927"/>
    <s v="B52"/>
    <m/>
    <x v="0"/>
    <m/>
    <s v="CONGO"/>
    <m/>
    <m/>
    <m/>
  </r>
  <r>
    <d v="2022-02-04T00:00:00"/>
    <s v="I23C - CONGO Food allowance mission Oyo du 4 au 10 février 2022"/>
    <s v="Travel Subsistence"/>
    <s v="Investigations"/>
    <m/>
    <n v="60000"/>
    <n v="16291927"/>
    <s v="i23c"/>
    <s v="Décharge"/>
    <x v="1"/>
    <s v="RALFF"/>
    <s v="CONGO"/>
    <s v="RALFF-CO3005"/>
    <s v="1.3.2"/>
    <m/>
  </r>
  <r>
    <d v="2022-02-04T00:00:00"/>
    <s v="P29 - CONGO Food allowance mission du 04 au 10/02/2022 à Oyo"/>
    <s v="Travel Subsistence"/>
    <s v="Opération"/>
    <m/>
    <n v="60000"/>
    <n v="16231927"/>
    <s v="P29"/>
    <s v="Decharge"/>
    <x v="1"/>
    <s v="RALFF"/>
    <s v="CONGO"/>
    <s v="RALFF-CO3006"/>
    <s v="1.3.2"/>
    <m/>
  </r>
  <r>
    <d v="2022-02-05T00:00:00"/>
    <s v="Crépin"/>
    <s v="Versement"/>
    <m/>
    <m/>
    <n v="40000"/>
    <n v="16191927"/>
    <s v="Caisse"/>
    <m/>
    <x v="0"/>
    <m/>
    <s v="CONGO"/>
    <m/>
    <m/>
    <m/>
  </r>
  <r>
    <d v="2022-02-05T00:00:00"/>
    <s v="Crépin/Avance Frais Médicaux"/>
    <s v="Versement"/>
    <m/>
    <m/>
    <n v="30000"/>
    <n v="16161927"/>
    <s v="Caisse"/>
    <m/>
    <x v="0"/>
    <m/>
    <s v="CONGO"/>
    <m/>
    <m/>
    <m/>
  </r>
  <r>
    <d v="2022-02-05T00:00:00"/>
    <s v="Evariste"/>
    <s v="Versement"/>
    <m/>
    <m/>
    <n v="40000"/>
    <n v="16121927"/>
    <s v="Caisse"/>
    <m/>
    <x v="0"/>
    <m/>
    <s v="CONGO"/>
    <m/>
    <m/>
    <m/>
  </r>
  <r>
    <d v="2022-02-05T00:00:00"/>
    <s v="Grace"/>
    <s v="Versement"/>
    <m/>
    <m/>
    <n v="40000"/>
    <n v="16081927"/>
    <s v="Caisse"/>
    <m/>
    <x v="0"/>
    <m/>
    <s v="CONGO"/>
    <m/>
    <m/>
    <m/>
  </r>
  <r>
    <d v="2022-02-05T00:00:00"/>
    <s v="Achat 03 Paires de gants et 15 Scéllés pour cages perroquet"/>
    <s v="Office Materials"/>
    <s v="Office"/>
    <m/>
    <n v="12000"/>
    <n v="16069927"/>
    <s v="Caisse"/>
    <s v="Oui"/>
    <x v="2"/>
    <s v="PALF"/>
    <s v="CONGO"/>
    <m/>
    <m/>
    <m/>
  </r>
  <r>
    <d v="2022-02-05T00:00:00"/>
    <s v="Reçu caisse/Frais de Mission OP OYO"/>
    <s v="Versement"/>
    <m/>
    <n v="40000"/>
    <m/>
    <n v="16109927"/>
    <s v="Grace"/>
    <m/>
    <x v="0"/>
    <m/>
    <s v="CONGO"/>
    <m/>
    <m/>
    <m/>
  </r>
  <r>
    <d v="2022-02-05T00:00:00"/>
    <s v="Reçu de caisse"/>
    <s v="Versement"/>
    <m/>
    <n v="40000"/>
    <m/>
    <n v="16149927"/>
    <s v="Crépin"/>
    <m/>
    <x v="0"/>
    <m/>
    <s v="CONGO"/>
    <m/>
    <m/>
    <m/>
  </r>
  <r>
    <d v="2022-02-05T00:00:00"/>
    <s v="Reçu de caisse/Frais Médicaux"/>
    <s v="Versement"/>
    <m/>
    <n v="30000"/>
    <m/>
    <n v="16179927"/>
    <s v="Crépin"/>
    <m/>
    <x v="0"/>
    <m/>
    <s v="CONGO"/>
    <m/>
    <m/>
    <m/>
  </r>
  <r>
    <d v="2022-02-05T00:00:00"/>
    <s v="Billet: Brazzaville-Oyo /Crépin"/>
    <s v="Transport"/>
    <s v="Management"/>
    <m/>
    <n v="10000"/>
    <n v="16169927"/>
    <s v="Crépin"/>
    <s v="Oui"/>
    <x v="1"/>
    <s v="RALFF"/>
    <s v="CONGO"/>
    <s v="RALFF-CO3007"/>
    <s v="2.2"/>
    <m/>
  </r>
  <r>
    <d v="2022-02-05T00:00:00"/>
    <s v="Reçu de la caisse"/>
    <s v="Versement"/>
    <m/>
    <n v="40000"/>
    <m/>
    <n v="16209927"/>
    <s v="Evariste"/>
    <m/>
    <x v="0"/>
    <m/>
    <s v="CONGO"/>
    <m/>
    <m/>
    <m/>
  </r>
  <r>
    <d v="2022-02-05T00:00:00"/>
    <s v="Achat billet Brazzaville-Oyo /Evariste"/>
    <s v="Transport"/>
    <s v="Media"/>
    <m/>
    <n v="10000"/>
    <n v="16199927"/>
    <s v="Evariste"/>
    <s v="Oui"/>
    <x v="1"/>
    <s v="RALFF"/>
    <s v="CONGO"/>
    <s v="RALFF-CO3008"/>
    <s v="2.2"/>
    <m/>
  </r>
  <r>
    <d v="2022-02-05T00:00:00"/>
    <s v="Achat aliment 94 perroquets "/>
    <s v="Office Materials"/>
    <s v="Opération"/>
    <m/>
    <n v="8700"/>
    <n v="16191227"/>
    <s v="P29"/>
    <s v="Oui"/>
    <x v="2"/>
    <s v="PALF"/>
    <s v="CONGO"/>
    <m/>
    <m/>
    <m/>
  </r>
  <r>
    <d v="2022-02-06T00:00:00"/>
    <s v="CREPIN IBOUILI - CONGO Food-Allowance du 06 au 16/02/2022 à oyo"/>
    <s v="Travel Subsistence"/>
    <s v="Opération"/>
    <m/>
    <n v="100000"/>
    <n v="16091227"/>
    <s v="Crépin"/>
    <s v="Décharge"/>
    <x v="1"/>
    <s v="RALFF"/>
    <s v="CONGO"/>
    <s v="RALFF-CO3009"/>
    <s v="1.3.2"/>
    <m/>
  </r>
  <r>
    <d v="2022-02-06T00:00:00"/>
    <s v="Achat Billet Brazzaville-Oyo/Grace"/>
    <s v="Transport"/>
    <s v="Management"/>
    <m/>
    <n v="10000"/>
    <n v="16081227"/>
    <s v="Grace"/>
    <s v="Oui"/>
    <x v="1"/>
    <s v="RALFF"/>
    <s v="CONGO"/>
    <s v="RALFF-CO3010"/>
    <s v="2.2"/>
    <m/>
  </r>
  <r>
    <d v="2022-02-06T00:00:00"/>
    <s v="Frais d'expédition des Cages plastique"/>
    <s v="Transport"/>
    <s v="Opération"/>
    <m/>
    <n v="3500"/>
    <n v="16077727"/>
    <s v="Grace"/>
    <s v="Oui"/>
    <x v="2"/>
    <s v="PALF"/>
    <s v="CONGO"/>
    <m/>
    <m/>
    <m/>
  </r>
  <r>
    <d v="2022-02-06T00:00:00"/>
    <s v="EVARISTE LELOUSSI - CONGO Food Allowance du 6 au 13 février 2021 mission Oyo"/>
    <s v="Travel Subsistence"/>
    <s v="Media"/>
    <m/>
    <n v="70000"/>
    <n v="16007727"/>
    <s v="Evariste"/>
    <s v="Décharge"/>
    <x v="1"/>
    <s v="RALFF"/>
    <s v="CONGO"/>
    <s v="RALFF-CO3011"/>
    <s v="1.3.2"/>
    <m/>
  </r>
  <r>
    <d v="2022-02-06T00:00:00"/>
    <s v="Achat aliment 94 perroquets "/>
    <s v="Office Materials"/>
    <s v="Opération"/>
    <m/>
    <n v="11300"/>
    <n v="15996427"/>
    <s v="P29"/>
    <s v="Oui"/>
    <x v="2"/>
    <s v="PALF"/>
    <s v="CONGO"/>
    <m/>
    <m/>
    <m/>
  </r>
  <r>
    <d v="2022-02-06T00:00:00"/>
    <s v="GODFRE-CONGO  Food Allowance du 06 au 12/02/2022 à Pointe-Noire et Dolisie"/>
    <s v="Travel Subsistence"/>
    <s v="Legal"/>
    <m/>
    <n v="60000"/>
    <n v="15936427"/>
    <s v="Godfré"/>
    <s v="Décharge"/>
    <x v="1"/>
    <s v="RALFF"/>
    <s v="CONGO"/>
    <s v="RALFF-CO3012"/>
    <s v="1.3.2"/>
    <m/>
  </r>
  <r>
    <d v="2022-02-06T00:00:00"/>
    <s v="GRACE -CONGO Food Allowance du 06 au 10/02/2022 à OYO"/>
    <s v="Travel Subsistence"/>
    <s v="Opération"/>
    <m/>
    <n v="40000"/>
    <n v="15896427"/>
    <s v="Grace"/>
    <s v="Décharge"/>
    <x v="1"/>
    <s v="RALFF"/>
    <s v="CONGO"/>
    <s v="RALFF-CO3013"/>
    <s v="1.3.2"/>
    <m/>
  </r>
  <r>
    <d v="2022-02-07T00:00:00"/>
    <s v="BCI-3643611/56"/>
    <s v="Versement"/>
    <m/>
    <n v="2000000"/>
    <m/>
    <n v="17896427"/>
    <s v="Caisse"/>
    <m/>
    <x v="0"/>
    <m/>
    <s v="CONGO"/>
    <m/>
    <m/>
    <m/>
  </r>
  <r>
    <d v="2022-02-07T00:00:00"/>
    <s v="BCI-3643612/56"/>
    <s v="Versement"/>
    <m/>
    <n v="2000000"/>
    <m/>
    <n v="19896427"/>
    <s v="Caisse"/>
    <m/>
    <x v="0"/>
    <m/>
    <s v="CONGO"/>
    <m/>
    <m/>
    <m/>
  </r>
  <r>
    <d v="2022-02-07T00:00:00"/>
    <s v="Crépin"/>
    <s v="Versement"/>
    <m/>
    <m/>
    <n v="154000"/>
    <n v="19742427"/>
    <s v="Caisse"/>
    <m/>
    <x v="0"/>
    <m/>
    <s v="CONGO"/>
    <m/>
    <m/>
    <m/>
  </r>
  <r>
    <d v="2022-02-07T00:00:00"/>
    <s v="Evariste"/>
    <s v="Versement"/>
    <m/>
    <m/>
    <n v="154000"/>
    <n v="19588427"/>
    <s v="Caisse"/>
    <m/>
    <x v="0"/>
    <m/>
    <s v="CONGO"/>
    <m/>
    <m/>
    <m/>
  </r>
  <r>
    <d v="2022-02-07T00:00:00"/>
    <s v="Grace"/>
    <s v="Versement"/>
    <m/>
    <m/>
    <n v="1347000"/>
    <n v="18241427"/>
    <s v="Caisse"/>
    <m/>
    <x v="0"/>
    <m/>
    <s v="CONGO"/>
    <m/>
    <m/>
    <m/>
  </r>
  <r>
    <d v="2022-02-07T00:00:00"/>
    <s v="Godfre"/>
    <s v="Versement"/>
    <m/>
    <m/>
    <n v="20000"/>
    <n v="18221427"/>
    <s v="Caisse"/>
    <m/>
    <x v="0"/>
    <m/>
    <s v="CONGO"/>
    <m/>
    <s v="  "/>
    <m/>
  </r>
  <r>
    <d v="2022-02-07T00:00:00"/>
    <s v="Frais de transfert charden farell/Grâce,Crépin,Godfré et Evariste"/>
    <s v="Transfer Fees"/>
    <s v="Office"/>
    <m/>
    <n v="50250"/>
    <n v="18171177"/>
    <s v="Caisse"/>
    <s v="Oui"/>
    <x v="1"/>
    <s v="RALFF"/>
    <s v="CONGO"/>
    <s v="RALFF-CO3014"/>
    <s v="5.6"/>
    <m/>
  </r>
  <r>
    <d v="2022-02-07T00:00:00"/>
    <s v="Reglement loyer Tiffany mois de Janvier et Février 2021/800USD"/>
    <s v="Personnel"/>
    <s v="Management"/>
    <m/>
    <n v="471149"/>
    <n v="17700028"/>
    <s v="Caisse"/>
    <s v="Oui"/>
    <x v="2"/>
    <s v="PALF"/>
    <s v="CONGO"/>
    <m/>
    <m/>
    <m/>
  </r>
  <r>
    <d v="2022-02-07T00:00:00"/>
    <s v="Retrait especes/appro caisse/bord n°3643611"/>
    <s v="Versement"/>
    <m/>
    <m/>
    <n v="2000000"/>
    <n v="15700028"/>
    <s v="BCI-Sous Compte"/>
    <m/>
    <x v="0"/>
    <m/>
    <s v="CONGO"/>
    <m/>
    <m/>
    <m/>
  </r>
  <r>
    <d v="2022-02-07T00:00:00"/>
    <s v="Retrait especes/appro caisse/bord n°3643612"/>
    <s v="Versement"/>
    <m/>
    <m/>
    <n v="2000000"/>
    <n v="13700028"/>
    <s v="BCI-Sous Compte"/>
    <m/>
    <x v="0"/>
    <m/>
    <s v="CONGO"/>
    <m/>
    <m/>
    <m/>
  </r>
  <r>
    <d v="2022-02-07T00:00:00"/>
    <s v="Frais bancaire Février 2022/Compte 34"/>
    <s v="Bank Fees"/>
    <s v="Office"/>
    <m/>
    <n v="23345"/>
    <n v="13676683"/>
    <s v="BCI"/>
    <s v="Relevé"/>
    <x v="2"/>
    <s v="PALF"/>
    <s v="CONGO"/>
    <m/>
    <m/>
    <m/>
  </r>
  <r>
    <d v="2022-02-07T00:00:00"/>
    <s v="Reçu caisse/Frais de Mission OP 1 OYO"/>
    <s v="Versement"/>
    <m/>
    <n v="1347000"/>
    <m/>
    <n v="15023683"/>
    <s v="Grace"/>
    <m/>
    <x v="0"/>
    <m/>
    <s v="CONGO"/>
    <m/>
    <m/>
    <m/>
  </r>
  <r>
    <d v="2022-02-07T00:00:00"/>
    <s v="Transfert à I23C/frais location Apprt+Commission"/>
    <s v="Versement"/>
    <m/>
    <m/>
    <n v="245000"/>
    <n v="14778683"/>
    <s v="Grace"/>
    <m/>
    <x v="0"/>
    <m/>
    <s v="CONGO"/>
    <m/>
    <m/>
    <m/>
  </r>
  <r>
    <d v="2022-02-07T00:00:00"/>
    <s v="Transfert à P29/flash money+Supplément Trust"/>
    <s v="Versement"/>
    <m/>
    <m/>
    <n v="400000"/>
    <n v="14378683"/>
    <s v="Grace"/>
    <m/>
    <x v="0"/>
    <m/>
    <s v="CONGO"/>
    <m/>
    <m/>
    <m/>
  </r>
  <r>
    <d v="2022-02-07T00:00:00"/>
    <s v="Reçu de caisse via Grace"/>
    <s v="Versement"/>
    <m/>
    <n v="154000"/>
    <m/>
    <n v="14532683"/>
    <s v="Crépin"/>
    <m/>
    <x v="0"/>
    <m/>
    <s v="CONGO"/>
    <m/>
    <m/>
    <m/>
  </r>
  <r>
    <d v="2022-02-07T00:00:00"/>
    <s v="Reçu de la caisse"/>
    <s v="Versement"/>
    <m/>
    <n v="154000"/>
    <m/>
    <n v="14686683"/>
    <s v="Evariste"/>
    <m/>
    <x v="0"/>
    <m/>
    <s v="CONGO"/>
    <m/>
    <m/>
    <m/>
  </r>
  <r>
    <d v="2022-02-07T00:00:00"/>
    <s v="Reçu caisse"/>
    <s v="Versement"/>
    <m/>
    <n v="20000"/>
    <m/>
    <n v="14706683"/>
    <s v="Godfré"/>
    <m/>
    <x v="0"/>
    <m/>
    <s v="CONGO"/>
    <m/>
    <m/>
    <m/>
  </r>
  <r>
    <d v="2022-02-07T00:00:00"/>
    <s v="Frais de mandat d'arrêt"/>
    <s v="Court Fees"/>
    <s v="Legal"/>
    <m/>
    <n v="20000"/>
    <n v="14686683"/>
    <s v="Godfré"/>
    <s v="Oui"/>
    <x v="2"/>
    <s v="PALF"/>
    <s v="CONGO"/>
    <m/>
    <m/>
    <m/>
  </r>
  <r>
    <d v="2022-02-07T00:00:00"/>
    <s v="Frais d'impression documents"/>
    <s v="Office Materials"/>
    <s v="Operation"/>
    <m/>
    <n v="4900"/>
    <n v="14681783"/>
    <s v="Godfré"/>
    <s v="Oui"/>
    <x v="2"/>
    <s v="PALF"/>
    <s v="CONGO"/>
    <m/>
    <m/>
    <m/>
  </r>
  <r>
    <d v="2022-02-07T00:00:00"/>
    <s v="Réçu de caisse"/>
    <s v="Versement"/>
    <m/>
    <n v="245000"/>
    <m/>
    <n v="14926783"/>
    <s v="i23c"/>
    <m/>
    <x v="0"/>
    <m/>
    <s v="CONGO"/>
    <m/>
    <m/>
    <m/>
  </r>
  <r>
    <d v="2022-02-07T00:00:00"/>
    <s v="Location Appartement  3 nuitées du 7 au 10 février 2022/OP 1 à Oyo"/>
    <s v="Travel Subsistence"/>
    <s v="Opération"/>
    <m/>
    <n v="210000"/>
    <n v="14716783"/>
    <s v="i23c"/>
    <s v="Oui"/>
    <x v="2"/>
    <s v="PALF"/>
    <s v="CONGO"/>
    <m/>
    <m/>
    <m/>
  </r>
  <r>
    <d v="2022-02-07T00:00:00"/>
    <s v="Paiement frais de démarcheur"/>
    <s v="Transport"/>
    <s v="Opération"/>
    <m/>
    <n v="35000"/>
    <n v="14681783"/>
    <s v="i23c"/>
    <s v="Oui"/>
    <x v="2"/>
    <s v="PALF"/>
    <s v="CONGO"/>
    <m/>
    <m/>
    <m/>
  </r>
  <r>
    <d v="2022-02-07T00:00:00"/>
    <s v="Achat aliment 94 perroquets "/>
    <s v="Office Materials"/>
    <s v="Opération"/>
    <m/>
    <n v="10000"/>
    <n v="14671783"/>
    <s v="P29"/>
    <s v="Oui"/>
    <x v="2"/>
    <s v="PALF"/>
    <s v="CONGO"/>
    <m/>
    <m/>
    <m/>
  </r>
  <r>
    <d v="2022-02-07T00:00:00"/>
    <s v="Recu de Grace"/>
    <s v="Versement"/>
    <m/>
    <n v="400000"/>
    <m/>
    <n v="15071783"/>
    <s v="P29"/>
    <m/>
    <x v="0"/>
    <m/>
    <s v="CONGO"/>
    <m/>
    <m/>
    <m/>
  </r>
  <r>
    <d v="2022-02-07T00:00:00"/>
    <s v="Cumul Frais de Trust Building février 2022/B52"/>
    <s v="Trust building"/>
    <s v="Investigation"/>
    <m/>
    <n v="2000"/>
    <n v="15069783"/>
    <s v="B52"/>
    <s v="Décharge"/>
    <x v="2"/>
    <s v="PALF"/>
    <s v="CONGO"/>
    <m/>
    <m/>
    <m/>
  </r>
  <r>
    <d v="2022-02-08T00:00:00"/>
    <s v="Godfre"/>
    <s v="Versement"/>
    <m/>
    <m/>
    <n v="29000"/>
    <n v="15040783"/>
    <s v="Caisse"/>
    <m/>
    <x v="0"/>
    <m/>
    <s v="CONGO"/>
    <m/>
    <m/>
    <m/>
  </r>
  <r>
    <d v="2022-02-08T00:00:00"/>
    <s v="Frais de transfert charden farell/Godfré"/>
    <s v="Transfer Fees"/>
    <s v="Office"/>
    <m/>
    <n v="870"/>
    <n v="15039913"/>
    <s v="Caisse"/>
    <s v="Oui"/>
    <x v="1"/>
    <s v="RALFF"/>
    <s v="CONGO"/>
    <s v="RALFF-CO3015"/>
    <s v="5.6"/>
    <m/>
  </r>
  <r>
    <d v="2022-02-08T00:00:00"/>
    <s v="B52"/>
    <s v="Versement"/>
    <m/>
    <m/>
    <n v="10000"/>
    <n v="15029913"/>
    <s v="Caisse"/>
    <m/>
    <x v="0"/>
    <m/>
    <s v="CONGO"/>
    <m/>
    <m/>
    <m/>
  </r>
  <r>
    <d v="2022-02-08T00:00:00"/>
    <s v="Transfert à I23C/frais d'Extraction P29"/>
    <s v="Versement"/>
    <m/>
    <m/>
    <n v="60000"/>
    <n v="14969913"/>
    <s v="Grace"/>
    <m/>
    <x v="0"/>
    <m/>
    <s v="CONGO"/>
    <m/>
    <m/>
    <m/>
  </r>
  <r>
    <d v="2022-02-08T00:00:00"/>
    <s v="Transfert à I23C/Fabrication 07 Cages"/>
    <s v="Versement"/>
    <m/>
    <m/>
    <n v="105000"/>
    <n v="14864913"/>
    <s v="Grace"/>
    <m/>
    <x v="0"/>
    <m/>
    <s v="CONGO"/>
    <m/>
    <m/>
    <m/>
  </r>
  <r>
    <d v="2022-02-08T00:00:00"/>
    <s v="Reçu caisse"/>
    <s v="Versement"/>
    <m/>
    <n v="29000"/>
    <m/>
    <n v="14893913"/>
    <s v="Godfré"/>
    <m/>
    <x v="0"/>
    <m/>
    <s v="CONGO"/>
    <m/>
    <m/>
    <m/>
  </r>
  <r>
    <d v="2022-02-08T00:00:00"/>
    <s v="Réçu de caisse"/>
    <s v="Versement"/>
    <m/>
    <n v="105000"/>
    <m/>
    <n v="14998913"/>
    <s v="i23c"/>
    <m/>
    <x v="0"/>
    <m/>
    <s v="CONGO"/>
    <m/>
    <m/>
    <m/>
  </r>
  <r>
    <d v="2022-02-08T00:00:00"/>
    <s v="Achat 07 Cages en bois cages"/>
    <s v="Equipement"/>
    <s v="Opération"/>
    <m/>
    <n v="105000"/>
    <n v="14893913"/>
    <s v="i23c"/>
    <s v="Oui"/>
    <x v="2"/>
    <s v="PALF"/>
    <s v="CONGO"/>
    <m/>
    <m/>
    <m/>
  </r>
  <r>
    <d v="2022-02-08T00:00:00"/>
    <s v="Réçu de caisse (fond extraction)"/>
    <s v="Versement"/>
    <m/>
    <n v="60000"/>
    <m/>
    <n v="14953913"/>
    <s v="i23c"/>
    <m/>
    <x v="0"/>
    <m/>
    <s v="CONGO"/>
    <m/>
    <m/>
    <m/>
  </r>
  <r>
    <d v="2022-02-08T00:00:00"/>
    <s v="Achat aliment 94 perroquets "/>
    <s v="Office Materials"/>
    <s v="Opération"/>
    <m/>
    <n v="18000"/>
    <n v="14935913"/>
    <s v="P29"/>
    <s v="Oui"/>
    <x v="2"/>
    <s v="PALF"/>
    <s v="CONGO"/>
    <m/>
    <m/>
    <m/>
  </r>
  <r>
    <d v="2022-02-08T00:00:00"/>
    <s v="reçu de caisse"/>
    <s v="Versement"/>
    <m/>
    <n v="10000"/>
    <m/>
    <n v="14945913"/>
    <s v="B52"/>
    <m/>
    <x v="0"/>
    <m/>
    <s v="CONGO"/>
    <m/>
    <m/>
    <m/>
  </r>
  <r>
    <d v="2022-02-08T00:00:00"/>
    <s v="P29 - CONGO Frais Hôtel 4 nuitées du 04 au 08/02/2022 à Oyo"/>
    <s v="Travel Subsistence"/>
    <s v="Investigations"/>
    <m/>
    <n v="60000"/>
    <n v="14885913"/>
    <s v="P29"/>
    <s v="Oui"/>
    <x v="1"/>
    <s v="RALFF"/>
    <s v="CONGO"/>
    <s v="RALFF-CO3016"/>
    <s v="1.3.2"/>
    <m/>
  </r>
  <r>
    <d v="2022-02-09T00:00:00"/>
    <s v="Frais de Mission maitre Scrutin MOUYETI à Dolisie du 10 au 12/02/2022"/>
    <s v="Lawyer Fees"/>
    <s v="Legal"/>
    <m/>
    <n v="76000"/>
    <n v="14809913"/>
    <s v="Caisse"/>
    <s v="Oui"/>
    <x v="1"/>
    <s v="RALFF"/>
    <s v="CONGO"/>
    <s v="RALFF-CO3017"/>
    <s v="5.2.2"/>
    <m/>
  </r>
  <r>
    <d v="2022-02-09T00:00:00"/>
    <s v="Godfré"/>
    <s v="Versement"/>
    <m/>
    <m/>
    <n v="96000"/>
    <n v="14713913"/>
    <s v="Caisse"/>
    <m/>
    <x v="0"/>
    <m/>
    <s v="CONGO"/>
    <m/>
    <m/>
    <m/>
  </r>
  <r>
    <d v="2022-02-09T00:00:00"/>
    <s v="Grace"/>
    <s v="Versement"/>
    <m/>
    <m/>
    <n v="550000"/>
    <n v="14163913"/>
    <s v="Caisse"/>
    <m/>
    <x v="0"/>
    <m/>
    <s v="CONGO"/>
    <m/>
    <m/>
    <m/>
  </r>
  <r>
    <d v="2022-02-09T00:00:00"/>
    <s v="Frais de transfert charden Farell/Grace et Godfré"/>
    <s v="Transfer Fees"/>
    <s v="Office"/>
    <m/>
    <n v="20580"/>
    <n v="14143333"/>
    <s v="Caisse"/>
    <s v="Oui"/>
    <x v="1"/>
    <s v="RALFF"/>
    <s v="CONGO"/>
    <s v="RALFF-CO3018"/>
    <s v="5.6"/>
    <m/>
  </r>
  <r>
    <d v="2022-02-09T00:00:00"/>
    <s v="Achat nourriture pour Perroquets/banane,noix de palme,mais,concombre papaye et Arachide"/>
    <s v="Office Materials"/>
    <s v="Operation"/>
    <m/>
    <n v="17000"/>
    <n v="14126333"/>
    <s v="Caisse"/>
    <s v="Oui"/>
    <x v="2"/>
    <s v="PALF"/>
    <s v="CONGO"/>
    <m/>
    <m/>
    <m/>
  </r>
  <r>
    <d v="2022-02-09T00:00:00"/>
    <s v="B52"/>
    <s v="Versement"/>
    <m/>
    <m/>
    <n v="10000"/>
    <n v="14116333"/>
    <s v="Caisse"/>
    <m/>
    <x v="0"/>
    <m/>
    <s v="CONGO"/>
    <m/>
    <m/>
    <m/>
  </r>
  <r>
    <d v="2022-02-09T00:00:00"/>
    <s v="Carburant aller owando BJ"/>
    <s v="Transport"/>
    <s v="Opération"/>
    <m/>
    <n v="12000"/>
    <n v="14104333"/>
    <s v="Grace"/>
    <s v="Oui"/>
    <x v="2"/>
    <s v="PALF"/>
    <s v="CONGO"/>
    <m/>
    <m/>
    <m/>
  </r>
  <r>
    <d v="2022-02-09T00:00:00"/>
    <s v="Carburant retour owando BJ"/>
    <s v="Transport"/>
    <s v="Opération"/>
    <m/>
    <n v="12000"/>
    <n v="14092333"/>
    <s v="Grace"/>
    <s v="Oui"/>
    <x v="2"/>
    <s v="PALF"/>
    <s v="CONGO"/>
    <m/>
    <m/>
    <m/>
  </r>
  <r>
    <d v="2022-02-09T00:00:00"/>
    <s v="Bonus autorité 14 gendarmes OP à OYO"/>
    <s v="Bonus"/>
    <s v="Opération"/>
    <m/>
    <n v="140000"/>
    <n v="13952333"/>
    <s v="Grace"/>
    <s v="Décharge"/>
    <x v="2"/>
    <s v="PALF"/>
    <s v="CONGO"/>
    <m/>
    <m/>
    <m/>
  </r>
  <r>
    <d v="2022-02-09T00:00:00"/>
    <s v="Bonus autorité 01 Eaux et Forêts OP à OYO"/>
    <s v="Bonus"/>
    <s v="Opération"/>
    <m/>
    <n v="10000"/>
    <n v="13942333"/>
    <s v="Grace"/>
    <s v="Décharge"/>
    <x v="2"/>
    <s v="PALF"/>
    <s v="CONGO"/>
    <m/>
    <m/>
    <m/>
  </r>
  <r>
    <d v="2022-02-09T00:00:00"/>
    <s v="Achat Boissons avant OP avec les 03 gendarmes/ Grillades+Jus"/>
    <s v="Travel Subsistence"/>
    <s v="Opération"/>
    <m/>
    <n v="7000"/>
    <n v="13935333"/>
    <s v="Grace"/>
    <s v="Décharge"/>
    <x v="2"/>
    <s v="PALF"/>
    <s v="CONGO"/>
    <m/>
    <m/>
    <m/>
  </r>
  <r>
    <d v="2022-02-09T00:00:00"/>
    <s v="Achat fruits et légumes 94 perroquets"/>
    <s v="Office Materials"/>
    <s v="Opération"/>
    <m/>
    <n v="23700"/>
    <n v="13911633"/>
    <s v="Grace"/>
    <s v="Décharge"/>
    <x v="2"/>
    <s v="PALF"/>
    <s v="CONGO"/>
    <m/>
    <m/>
    <m/>
  </r>
  <r>
    <d v="2022-02-09T00:00:00"/>
    <s v="Reçu caisse/Complement frais de Mission OP OYO"/>
    <s v="Versement"/>
    <m/>
    <n v="550000"/>
    <m/>
    <n v="14461633"/>
    <s v="Grace"/>
    <m/>
    <x v="0"/>
    <m/>
    <s v="CONGO"/>
    <m/>
    <m/>
    <m/>
  </r>
  <r>
    <d v="2022-02-09T00:00:00"/>
    <s v="Boissons et nourriture (grillades) pendant l'attente du top pour op de 03 gendarme, 01 agent des eaux et forets et moi"/>
    <s v="Travel Subsistence"/>
    <s v="Opération"/>
    <m/>
    <n v="8500"/>
    <n v="14453133"/>
    <s v="Crépin"/>
    <s v="Décharge"/>
    <x v="2"/>
    <s v="PALF"/>
    <s v="CONGO"/>
    <m/>
    <m/>
    <m/>
  </r>
  <r>
    <d v="2022-02-09T00:00:00"/>
    <s v="Achats des jus, eau mineral et biscuit pour mon équipe lors de l'opération"/>
    <s v="Travel Subsistence"/>
    <s v="Opération"/>
    <m/>
    <n v="10000"/>
    <n v="14443133"/>
    <s v="Evariste"/>
    <s v="Oui"/>
    <x v="2"/>
    <s v="PALF"/>
    <s v="CONGO"/>
    <m/>
    <m/>
    <m/>
  </r>
  <r>
    <d v="2022-02-09T00:00:00"/>
    <s v="Achat pointes de 2, grillage à la quincaillerie "/>
    <s v="Office Materials"/>
    <s v="Operation"/>
    <m/>
    <n v="11000"/>
    <n v="14432133"/>
    <s v="Evariste"/>
    <s v="Oui"/>
    <x v="2"/>
    <s v="PALF"/>
    <s v="CONGO"/>
    <m/>
    <m/>
    <m/>
  </r>
  <r>
    <d v="2022-02-09T00:00:00"/>
    <s v="Mains d'œuvre du menuisier pour mettre les grillages sur 4 cages"/>
    <s v="Services"/>
    <s v="Office"/>
    <m/>
    <n v="14000"/>
    <n v="14418133"/>
    <s v="Evariste"/>
    <s v="Oui"/>
    <x v="2"/>
    <s v="PALF"/>
    <s v="CONGO"/>
    <m/>
    <m/>
    <m/>
  </r>
  <r>
    <d v="2022-02-09T00:00:00"/>
    <s v="Achat billet(Pointe Noire-Dolisie)/Godfré"/>
    <s v="Transport"/>
    <s v="Legal"/>
    <m/>
    <n v="5000"/>
    <n v="14413133"/>
    <s v="Godfré"/>
    <s v="Oui"/>
    <x v="1"/>
    <s v="RALFF"/>
    <s v="CONGO"/>
    <s v="RALFF-CO3019"/>
    <s v="2.2"/>
    <m/>
  </r>
  <r>
    <d v="2022-02-09T00:00:00"/>
    <s v="Reçu caisse"/>
    <s v="Versement"/>
    <m/>
    <n v="96000"/>
    <m/>
    <n v="14509133"/>
    <s v="Godfré"/>
    <m/>
    <x v="0"/>
    <m/>
    <s v="CONGO"/>
    <m/>
    <m/>
    <m/>
  </r>
  <r>
    <d v="2022-02-09T00:00:00"/>
    <s v="Récu de caisse de P29"/>
    <s v="Versement"/>
    <m/>
    <n v="300000"/>
    <m/>
    <n v="14809133"/>
    <s v="i23c"/>
    <m/>
    <x v="0"/>
    <m/>
    <s v="CONGO"/>
    <m/>
    <m/>
    <m/>
  </r>
  <r>
    <d v="2022-02-09T00:00:00"/>
    <s v="Paiement Taxi extraction Oyo-Ngo (Extraction)/I23C"/>
    <s v="Transport"/>
    <s v="Opération"/>
    <m/>
    <n v="50000"/>
    <n v="14759133"/>
    <s v="i23c"/>
    <s v="Oui"/>
    <x v="2"/>
    <s v="PALF"/>
    <s v="CONGO"/>
    <m/>
    <m/>
    <m/>
  </r>
  <r>
    <d v="2022-02-09T00:00:00"/>
    <s v="Transfert à P29 (budget supplémentaire) extrait du flash"/>
    <s v="Versement"/>
    <m/>
    <m/>
    <n v="30000"/>
    <n v="14729133"/>
    <s v="i23c"/>
    <m/>
    <x v="0"/>
    <m/>
    <s v="CONGO"/>
    <m/>
    <m/>
    <m/>
  </r>
  <r>
    <d v="2022-02-09T00:00:00"/>
    <s v="Transfert à I23C"/>
    <s v="Versement"/>
    <m/>
    <m/>
    <n v="300000"/>
    <n v="14429133"/>
    <s v="P29"/>
    <m/>
    <x v="0"/>
    <m/>
    <s v="CONGO"/>
    <m/>
    <m/>
    <m/>
  </r>
  <r>
    <d v="2022-02-09T00:00:00"/>
    <s v="Recu de Francy "/>
    <s v="Versement"/>
    <m/>
    <n v="30000"/>
    <m/>
    <n v="14459133"/>
    <s v="P29"/>
    <m/>
    <x v="0"/>
    <m/>
    <s v="CONGO"/>
    <m/>
    <m/>
    <m/>
  </r>
  <r>
    <d v="2022-02-09T00:00:00"/>
    <s v="reçu de caisse"/>
    <s v="Versement"/>
    <m/>
    <n v="10000"/>
    <m/>
    <n v="14469133"/>
    <s v="B52"/>
    <m/>
    <x v="0"/>
    <m/>
    <s v="CONGO"/>
    <m/>
    <m/>
    <m/>
  </r>
  <r>
    <d v="2022-02-09T00:00:00"/>
    <s v="GODFRE-CONGO Frais d'hôtel (trois nuitées) du 06 au 09/02/2022 à Pointe-Noire"/>
    <s v="Travel Subsistence"/>
    <s v="Legal"/>
    <m/>
    <n v="45000"/>
    <n v="14424133"/>
    <s v="Godfré"/>
    <s v="Oui"/>
    <x v="1"/>
    <s v="RALFF"/>
    <s v="CONGO"/>
    <s v="RALFF-CO3020"/>
    <s v="1.3.2"/>
    <m/>
  </r>
  <r>
    <d v="2022-02-09T00:00:00"/>
    <s v="I23C - CONGO Frais Hôtel 5 nuitées du 4 au 9/2/2022 à Oyo"/>
    <s v="Travel Subsistence"/>
    <s v="Opération"/>
    <m/>
    <n v="75000"/>
    <n v="14349133"/>
    <s v="i23c"/>
    <s v="Oui"/>
    <x v="1"/>
    <s v="RALFF"/>
    <s v="CONGO"/>
    <s v="RALFF-CO3021"/>
    <s v="1.3.2"/>
    <m/>
  </r>
  <r>
    <d v="2022-02-10T00:00:00"/>
    <s v="Achat billet Brazzaville - Pointe Noire/Tiffany GOBERT"/>
    <s v="Flight"/>
    <s v="Management"/>
    <m/>
    <n v="40000"/>
    <n v="14309133"/>
    <s v="Caisse"/>
    <s v="Oui"/>
    <x v="1"/>
    <s v="RALFF"/>
    <s v="CONGO"/>
    <s v="RALFF-CO3022"/>
    <s v="2.1"/>
    <m/>
  </r>
  <r>
    <d v="2022-02-10T00:00:00"/>
    <s v="Tiffany"/>
    <s v="Versement"/>
    <m/>
    <m/>
    <n v="150000"/>
    <n v="14159133"/>
    <s v="Caisse"/>
    <m/>
    <x v="0"/>
    <m/>
    <s v="CONGO"/>
    <m/>
    <m/>
    <m/>
  </r>
  <r>
    <d v="2022-02-10T00:00:00"/>
    <s v="Frais de Location BJ TOYOTA LAND CRUISER/Transport perroquets"/>
    <s v="Transport"/>
    <s v="Opération"/>
    <m/>
    <n v="370000"/>
    <n v="13789133"/>
    <s v="Grace"/>
    <s v="Oui"/>
    <x v="2"/>
    <s v="PALF"/>
    <s v="CONGO"/>
    <m/>
    <m/>
    <m/>
  </r>
  <r>
    <d v="2022-02-10T00:00:00"/>
    <s v="Transfert à Crépin/Solde frais de mission"/>
    <s v="Versement"/>
    <m/>
    <m/>
    <n v="300000"/>
    <n v="13489133"/>
    <s v="Grace"/>
    <m/>
    <x v="0"/>
    <m/>
    <s v="CONGO"/>
    <m/>
    <m/>
    <m/>
  </r>
  <r>
    <d v="2022-02-10T00:00:00"/>
    <s v="Versement Caisse/ Tiffany"/>
    <s v="Versement "/>
    <m/>
    <n v="150000"/>
    <m/>
    <n v="13639133"/>
    <s v="Tiffany"/>
    <m/>
    <x v="0"/>
    <m/>
    <s v="CONGO"/>
    <m/>
    <m/>
    <m/>
  </r>
  <r>
    <d v="2022-02-10T00:00:00"/>
    <s v="Transport 6 cages par Canadian"/>
    <s v="Flight"/>
    <s v="Opérations "/>
    <m/>
    <n v="60000"/>
    <n v="13579133"/>
    <s v="Tiffany"/>
    <s v="Oui"/>
    <x v="2"/>
    <s v="PALF"/>
    <s v="CONGO"/>
    <m/>
    <m/>
    <m/>
  </r>
  <r>
    <d v="2022-02-10T00:00:00"/>
    <s v="Transport 4 cages par TAC (hors format) "/>
    <s v="Flight"/>
    <s v="Opérations "/>
    <m/>
    <n v="76000"/>
    <n v="13503133"/>
    <s v="Tiffany"/>
    <s v="Oui"/>
    <x v="2"/>
    <s v="PALF"/>
    <s v="CONGO"/>
    <m/>
    <m/>
    <m/>
  </r>
  <r>
    <d v="2022-02-10T00:00:00"/>
    <s v="GRACE - CONGO Frais d'Hotel 04 nuitées du 06 au 10/02/2022 à OYO/Grace"/>
    <s v="Travel Subsistence"/>
    <s v="Opération"/>
    <m/>
    <n v="60000"/>
    <n v="13443133"/>
    <s v="Grace"/>
    <s v="Décharge"/>
    <x v="1"/>
    <s v="RALFF"/>
    <s v="CONGO"/>
    <s v="RALFF-CO3023"/>
    <s v="1.3.2"/>
    <m/>
  </r>
  <r>
    <d v="2022-02-10T00:00:00"/>
    <s v="Reçu de caisse via Grace"/>
    <s v="Versement"/>
    <m/>
    <n v="300000"/>
    <m/>
    <n v="13743133"/>
    <s v="Crépin"/>
    <m/>
    <x v="0"/>
    <m/>
    <s v="CONGO"/>
    <m/>
    <m/>
    <m/>
  </r>
  <r>
    <d v="2022-02-10T00:00:00"/>
    <s v="Cumul Ration  du 10/02/2022 de 04 Gendarmes de recherches Owando à Oyo (DOUNIAMA OBOURA, OBAMI Ger, NYANGA Marie , EWOBOKO Ghislain)"/>
    <s v="Travel Subsistence"/>
    <s v="Opération"/>
    <m/>
    <n v="27000"/>
    <n v="13716133"/>
    <s v="Crépin"/>
    <s v="Oui"/>
    <x v="2"/>
    <s v="PALF"/>
    <s v="CONGO"/>
    <m/>
    <m/>
    <m/>
  </r>
  <r>
    <d v="2022-02-10T00:00:00"/>
    <s v="Taxi Ngo-Brazzaville (départ pour BZ)/I23C"/>
    <s v="Transport"/>
    <s v="Investigation"/>
    <m/>
    <n v="8000"/>
    <n v="13708133"/>
    <s v="i23c"/>
    <s v="Oui"/>
    <x v="1"/>
    <s v="RALFF"/>
    <s v="CONGO"/>
    <s v="RALFF-CO3024"/>
    <s v="2.2"/>
    <m/>
  </r>
  <r>
    <d v="2022-02-10T00:00:00"/>
    <s v="Achat billet ngo-brazzaville/P29"/>
    <s v="Transport"/>
    <s v="Opération"/>
    <m/>
    <n v="8000"/>
    <n v="13700133"/>
    <s v="P29"/>
    <s v="Oui"/>
    <x v="1"/>
    <s v="RALFF"/>
    <s v="CONGO"/>
    <s v="RALFF-CO3025"/>
    <s v="2.2"/>
    <m/>
  </r>
  <r>
    <d v="2022-02-10T00:00:00"/>
    <s v="Cumul frais de ration février 2022/B52"/>
    <s v="Travel Subsistence"/>
    <s v="Investigation"/>
    <m/>
    <n v="8000"/>
    <n v="13692133"/>
    <s v="B52"/>
    <s v="Décharge"/>
    <x v="2"/>
    <s v="PALF"/>
    <s v="CONGO"/>
    <m/>
    <m/>
    <m/>
  </r>
  <r>
    <d v="2022-02-10T00:00:00"/>
    <s v="Cumul frais de transport local mois de Février 2022/B52"/>
    <s v="Transport"/>
    <s v="Investigation"/>
    <m/>
    <n v="40500"/>
    <n v="13651633"/>
    <s v="B52"/>
    <s v="Décharge"/>
    <x v="2"/>
    <s v="PALF"/>
    <s v="CONGO"/>
    <m/>
    <m/>
    <m/>
  </r>
  <r>
    <d v="2022-02-10T00:00:00"/>
    <s v="I23C - CONGO Frais Hôtel 1 nuitée du 9 au 10 février 2022 à Ngo"/>
    <s v="Travel Subsistence"/>
    <s v="Opération"/>
    <m/>
    <n v="15000"/>
    <n v="13636633"/>
    <s v="i23c"/>
    <s v="Oui"/>
    <x v="1"/>
    <s v="RALFF"/>
    <s v="CONGO"/>
    <s v="RALFF-CO3026"/>
    <s v="1.3.2"/>
    <m/>
  </r>
  <r>
    <d v="2022-02-10T00:00:00"/>
    <s v="P29 - CONGO Frais Hôtel 1 nuitée du 09 au 10/02/2022 à Ngo"/>
    <s v="Travel Subsistence"/>
    <s v="Investigations"/>
    <m/>
    <n v="15000"/>
    <n v="13621633"/>
    <s v="P29"/>
    <s v="Oui"/>
    <x v="1"/>
    <s v="RALFF"/>
    <s v="CONGO"/>
    <s v="RALFF-CO3027"/>
    <s v="1.3.2"/>
    <m/>
  </r>
  <r>
    <d v="2022-02-10T00:00:00"/>
    <s v="TIFFANY - CONGO Food allowance- Mission Pointe Noire du 10 au 14/02/2022"/>
    <s v="Travel Subsistence"/>
    <s v="Management"/>
    <m/>
    <n v="40000"/>
    <n v="13581633"/>
    <s v="Tiffany"/>
    <s v="Décharge"/>
    <x v="1"/>
    <s v="RALFF"/>
    <s v="CONGO"/>
    <s v="RALFF-CO3028"/>
    <s v="1.3.2"/>
    <m/>
  </r>
  <r>
    <d v="2022-02-11T00:00:00"/>
    <s v="I23C"/>
    <s v="Versement"/>
    <m/>
    <n v="240000"/>
    <m/>
    <n v="13821633"/>
    <s v="Caisse"/>
    <m/>
    <x v="0"/>
    <m/>
    <s v="CONGO"/>
    <m/>
    <m/>
    <m/>
  </r>
  <r>
    <d v="2022-02-11T00:00:00"/>
    <s v="Achat œufs,eau,et poulet pour Chouette (Hibou)"/>
    <s v="Office Materials"/>
    <s v="Operation"/>
    <m/>
    <n v="6050"/>
    <n v="13815583"/>
    <s v="Caisse"/>
    <s v="Oui"/>
    <x v="2"/>
    <s v="PALF"/>
    <s v="CONGO"/>
    <m/>
    <m/>
    <m/>
  </r>
  <r>
    <d v="2022-02-11T00:00:00"/>
    <s v="Cumul Ration  du 11/02/2022 de 04 Gendarmes de recherches Owando à Oyo (DOUNIAMA OBOURA, OBAMI Ger, NYANGA Marie , EWOBOKO Ghislain)"/>
    <s v="Travel Subsistence"/>
    <s v="Opération"/>
    <m/>
    <n v="26000"/>
    <n v="13789583"/>
    <s v="Crépin"/>
    <s v="Oui"/>
    <x v="2"/>
    <s v="PALF"/>
    <s v="CONGO"/>
    <m/>
    <m/>
    <m/>
  </r>
  <r>
    <d v="2022-02-11T00:00:00"/>
    <s v="Retour Caisse "/>
    <s v="Versement"/>
    <m/>
    <m/>
    <n v="240000"/>
    <n v="13549583"/>
    <s v="i23c"/>
    <m/>
    <x v="0"/>
    <m/>
    <s v="CONGO"/>
    <m/>
    <m/>
    <m/>
  </r>
  <r>
    <d v="2022-02-12T00:00:00"/>
    <s v="Merveille"/>
    <s v="Versement"/>
    <m/>
    <m/>
    <n v="15000"/>
    <n v="13534583"/>
    <s v="Caisse"/>
    <m/>
    <x v="0"/>
    <m/>
    <s v="CONGO"/>
    <m/>
    <m/>
    <m/>
  </r>
  <r>
    <d v="2022-02-12T00:00:00"/>
    <s v="Frais de mission à OYO du 13 au 15/02/2022 maitre Marie Hélène NANITELAMIO"/>
    <s v="Lawyer Fees"/>
    <s v="Legal"/>
    <m/>
    <n v="76000"/>
    <n v="13458583"/>
    <s v="Caisse"/>
    <s v="Oui"/>
    <x v="1"/>
    <s v="RALFF"/>
    <s v="CONGO"/>
    <s v="RALFF-CO3029"/>
    <s v="5.2.2"/>
    <m/>
  </r>
  <r>
    <d v="2022-02-12T00:00:00"/>
    <s v="Evariste"/>
    <s v="Versement"/>
    <m/>
    <m/>
    <n v="112000"/>
    <n v="13346583"/>
    <s v="Caisse"/>
    <m/>
    <x v="0"/>
    <m/>
    <s v="CONGO"/>
    <m/>
    <m/>
    <m/>
  </r>
  <r>
    <d v="2022-02-12T00:00:00"/>
    <s v="Crepin"/>
    <s v="Versement"/>
    <m/>
    <m/>
    <n v="412000"/>
    <n v="12934583"/>
    <s v="Caisse"/>
    <m/>
    <x v="0"/>
    <m/>
    <s v="CONGO"/>
    <m/>
    <m/>
    <m/>
  </r>
  <r>
    <d v="2022-02-12T00:00:00"/>
    <s v="Frais de transfert charden Farell/Crépin et Evariste"/>
    <s v="Transfer Fees"/>
    <s v="Office"/>
    <m/>
    <n v="16920"/>
    <n v="12917663"/>
    <s v="Caisse"/>
    <s v="Oui"/>
    <x v="1"/>
    <s v="RALFF"/>
    <s v="CONGO"/>
    <s v="RALFF-CO3030"/>
    <s v="5.6"/>
    <m/>
  </r>
  <r>
    <d v="2022-02-12T00:00:00"/>
    <s v="I23C"/>
    <s v="Versement"/>
    <m/>
    <m/>
    <n v="101000"/>
    <n v="12816663"/>
    <s v="Caisse"/>
    <m/>
    <x v="0"/>
    <m/>
    <s v="CONGO"/>
    <m/>
    <m/>
    <m/>
  </r>
  <r>
    <d v="2022-02-12T00:00:00"/>
    <s v="Frais d'expédition Hibou dans sa cage"/>
    <s v="Transport"/>
    <s v="Operation"/>
    <m/>
    <n v="10000"/>
    <n v="12806663"/>
    <s v="Grace"/>
    <s v="Oui"/>
    <x v="2"/>
    <s v="PALF"/>
    <s v="CONGO"/>
    <m/>
    <m/>
    <m/>
  </r>
  <r>
    <d v="2022-02-12T00:00:00"/>
    <s v="Reçu caisse"/>
    <s v="Versement"/>
    <m/>
    <n v="15000"/>
    <m/>
    <n v="12821663"/>
    <s v="Merveille"/>
    <m/>
    <x v="0"/>
    <m/>
    <s v="CONGO"/>
    <m/>
    <m/>
    <m/>
  </r>
  <r>
    <d v="2022-02-12T00:00:00"/>
    <s v="Reçu de caisse via Evariste"/>
    <s v="Versement"/>
    <m/>
    <n v="412000"/>
    <m/>
    <n v="13233663"/>
    <s v="Crépin"/>
    <m/>
    <x v="0"/>
    <m/>
    <s v="CONGO"/>
    <m/>
    <m/>
    <m/>
  </r>
  <r>
    <d v="2022-02-12T00:00:00"/>
    <s v="Cumul Ration  du 12/02/2022 de 04 Gendarmes de recherches Owando à Oyo (DOUNIAMA OBOURA, OBAMI Ger, NYANGA Marie , EWOBOKO Ghislain)"/>
    <s v="Travel Subsistence"/>
    <s v="Opération"/>
    <m/>
    <n v="25500"/>
    <n v="13208163"/>
    <s v="Crépin"/>
    <s v="Oui"/>
    <x v="2"/>
    <s v="PALF"/>
    <s v="CONGO"/>
    <m/>
    <m/>
    <m/>
  </r>
  <r>
    <d v="2022-02-12T00:00:00"/>
    <s v="Reçu de la caisse "/>
    <s v="Versement"/>
    <m/>
    <n v="112000"/>
    <m/>
    <n v="13320163"/>
    <s v="Evariste"/>
    <m/>
    <x v="0"/>
    <m/>
    <s v="CONGO"/>
    <m/>
    <m/>
    <m/>
  </r>
  <r>
    <d v="2022-02-12T00:00:00"/>
    <s v="Achat billet retour(Dolisie-Brazzaville)/Godfre"/>
    <s v="Transport"/>
    <s v="Legal"/>
    <m/>
    <n v="10000"/>
    <n v="13310163"/>
    <s v="Godfré"/>
    <s v="Oui"/>
    <x v="1"/>
    <s v="RALFF"/>
    <s v="CONGO"/>
    <s v="RALFF-CO3031"/>
    <s v="2.2"/>
    <m/>
  </r>
  <r>
    <d v="2022-02-12T00:00:00"/>
    <s v="Réçu caisse"/>
    <s v="Versement"/>
    <m/>
    <n v="101000"/>
    <m/>
    <n v="13411163"/>
    <s v="i23c"/>
    <m/>
    <x v="0"/>
    <m/>
    <s v="CONGO"/>
    <m/>
    <m/>
    <m/>
  </r>
  <r>
    <d v="2022-02-12T00:00:00"/>
    <s v="GODFRE-CONGO Frais d'hôtel 03 nuitées à Dolisie du 09 au 12/02/2022"/>
    <s v="Travel Subsistence"/>
    <s v="Legal"/>
    <m/>
    <n v="45000"/>
    <n v="13366163"/>
    <s v="Godfré"/>
    <s v="Oui"/>
    <x v="1"/>
    <s v="RALFF"/>
    <s v="CONGO"/>
    <s v="RALFF-CO3032"/>
    <s v="1.3.2"/>
    <m/>
  </r>
  <r>
    <d v="2022-02-13T00:00:00"/>
    <s v="EVARISTE LELOUSSI - CONGO Frais d'hôtel du 06 au 13 février 2022  ( 7 nuitées)"/>
    <s v="Travel Subsistence"/>
    <s v="Media"/>
    <m/>
    <n v="105000"/>
    <n v="13261163"/>
    <s v="Evariste"/>
    <s v="Oui"/>
    <x v="1"/>
    <s v="RALFF"/>
    <s v="CONGO"/>
    <s v="RALFF-CO3033"/>
    <s v="1.3.2"/>
    <m/>
  </r>
  <r>
    <d v="2022-02-13T00:00:00"/>
    <s v="Cumul Ration  du 13/02/2022 de 04 Gendarmes de recherches Owando à Oyo (DOUNIAMA OBOURA, OBAMI Ger, NYANGA Marie , EWOBOKO Ghislain)"/>
    <s v="Travel Subsistence"/>
    <s v="Opération"/>
    <m/>
    <n v="26000"/>
    <n v="13235163"/>
    <s v="Crépin"/>
    <s v="Oui"/>
    <x v="2"/>
    <s v="PALF"/>
    <s v="CONGO"/>
    <m/>
    <m/>
    <m/>
  </r>
  <r>
    <d v="2022-02-13T00:00:00"/>
    <s v="Billet Oyo-Brazzaville/Evariste"/>
    <s v="Transport"/>
    <s v="Media"/>
    <m/>
    <n v="10000"/>
    <n v="13225163"/>
    <s v="Evariste"/>
    <s v="Oui"/>
    <x v="1"/>
    <s v="RALFF"/>
    <s v="CONGO"/>
    <s v="RALFF-CO3034"/>
    <s v="2.2"/>
    <m/>
  </r>
  <r>
    <d v="2022-02-13T00:00:00"/>
    <s v="Achat billet BZ-Oyo (mission pour Oyo)/I23C"/>
    <s v="Transport"/>
    <s v="Investigation"/>
    <m/>
    <n v="10000"/>
    <n v="13215163"/>
    <s v="i23c"/>
    <s v="Oui"/>
    <x v="1"/>
    <s v="RALFF"/>
    <s v="CONGO"/>
    <s v="RALFF-CO3035"/>
    <s v="2.2"/>
    <m/>
  </r>
  <r>
    <d v="2022-02-13T00:00:00"/>
    <s v="Achat billet brazza-loudima/P29"/>
    <s v="Transport"/>
    <s v="Investigations"/>
    <m/>
    <n v="10000"/>
    <n v="13205163"/>
    <s v="P29"/>
    <s v="Oui"/>
    <x v="1"/>
    <s v="RALFF"/>
    <s v="CONGO"/>
    <s v="RALFF-CO3036"/>
    <s v="2.2"/>
    <m/>
  </r>
  <r>
    <d v="2022-02-14T00:00:00"/>
    <s v="Achat billet  Pointe Noire -Brazzaville /Tiffany GOBERT"/>
    <s v="Flight"/>
    <s v="Management"/>
    <m/>
    <n v="40000"/>
    <n v="13165163"/>
    <s v="Caisse"/>
    <s v="Oui"/>
    <x v="1"/>
    <s v="RALFF"/>
    <s v="CONGO"/>
    <s v="RALFF-CO3037"/>
    <s v="2.1"/>
    <m/>
  </r>
  <r>
    <d v="2022-02-14T00:00:00"/>
    <s v="Grace"/>
    <s v="Versement"/>
    <m/>
    <n v="111000"/>
    <m/>
    <n v="13276163"/>
    <s v="Caisse"/>
    <m/>
    <x v="0"/>
    <m/>
    <s v="CONGO"/>
    <m/>
    <m/>
    <m/>
  </r>
  <r>
    <d v="2022-02-14T00:00:00"/>
    <s v="P29"/>
    <s v="Versement"/>
    <m/>
    <m/>
    <n v="195000"/>
    <n v="13081163"/>
    <s v="Caisse"/>
    <m/>
    <x v="0"/>
    <m/>
    <s v="CONGO"/>
    <m/>
    <m/>
    <m/>
  </r>
  <r>
    <d v="2022-02-14T00:00:00"/>
    <s v="Frais de transfert charden farell/p29"/>
    <s v="Transfer Fees"/>
    <s v="Office"/>
    <m/>
    <n v="5850"/>
    <n v="13075313"/>
    <s v="Caisse"/>
    <s v="Oui"/>
    <x v="1"/>
    <s v="RALFF"/>
    <s v="CONGO"/>
    <s v="RALFF-CO3038"/>
    <s v="5.6"/>
    <m/>
  </r>
  <r>
    <d v="2022-02-14T00:00:00"/>
    <s v="BCI-3643613/57"/>
    <s v="Versement"/>
    <m/>
    <n v="3000000"/>
    <m/>
    <n v="16075313"/>
    <s v="Caisse"/>
    <m/>
    <x v="0"/>
    <m/>
    <s v="CONGO"/>
    <m/>
    <m/>
    <m/>
  </r>
  <r>
    <d v="2022-02-14T00:00:00"/>
    <s v="Retrait especes/appro caisse/bord n°3643613"/>
    <s v="Versement"/>
    <m/>
    <m/>
    <n v="3000000"/>
    <n v="13075313"/>
    <s v="BCI-Sous Compte"/>
    <m/>
    <x v="0"/>
    <m/>
    <s v="CONGO"/>
    <m/>
    <m/>
    <m/>
  </r>
  <r>
    <d v="2022-02-14T00:00:00"/>
    <s v="Retour Caisse /Frais de Mission Oyo"/>
    <s v="Versement"/>
    <m/>
    <m/>
    <n v="111000"/>
    <n v="12964313"/>
    <s v="Grace"/>
    <m/>
    <x v="0"/>
    <m/>
    <s v="CONGO"/>
    <m/>
    <m/>
    <m/>
  </r>
  <r>
    <d v="2022-02-14T00:00:00"/>
    <s v="05 Nuitées du 09 au 14/02/2022 à Oyo pour 04 Gendarmes de recherches (DOUNIAMA OBOURA, OBAMI Ger, NYANGA Marie , EWOBOKO Ghislain)"/>
    <s v="Travel Subsistence"/>
    <s v="Opération"/>
    <m/>
    <n v="300000"/>
    <n v="12664313"/>
    <s v="Crépin"/>
    <s v="Oui"/>
    <x v="2"/>
    <s v="PALF"/>
    <s v="CONGO"/>
    <m/>
    <m/>
    <m/>
  </r>
  <r>
    <d v="2022-02-14T00:00:00"/>
    <s v="Frais d'impression de la procédure de la gendarmerie"/>
    <s v="Office Materials"/>
    <s v="Operation"/>
    <m/>
    <n v="19800"/>
    <n v="12644513"/>
    <s v="Crépin"/>
    <s v="Oui"/>
    <x v="2"/>
    <s v="PALF"/>
    <s v="CONGO"/>
    <m/>
    <m/>
    <m/>
  </r>
  <r>
    <d v="2022-02-14T00:00:00"/>
    <s v="Cumul Ration  du 14/02/2022 de 04 Gendarmes de recherches Owando à Oyo (DOUNIAMA OBOURA, OBAMI Ger, NYANGA Marie , EWOBOKO Ghislain)"/>
    <s v="Travel Subsistence"/>
    <s v="Opération"/>
    <m/>
    <n v="20000"/>
    <n v="12624513"/>
    <s v="Crépin"/>
    <s v="Oui"/>
    <x v="2"/>
    <s v="PALF"/>
    <s v="CONGO"/>
    <m/>
    <m/>
    <m/>
  </r>
  <r>
    <d v="2022-02-14T00:00:00"/>
    <s v="Recu de caisse"/>
    <s v="Versement"/>
    <m/>
    <n v="195000"/>
    <m/>
    <n v="12819513"/>
    <s v="P29"/>
    <m/>
    <x v="0"/>
    <m/>
    <s v="CONGO"/>
    <m/>
    <m/>
    <m/>
  </r>
  <r>
    <d v="2022-02-14T00:00:00"/>
    <s v="Achat billet loudima- sibiti/P29"/>
    <s v="Transport"/>
    <s v="Investigations"/>
    <m/>
    <n v="4000"/>
    <n v="12815513"/>
    <s v="P29"/>
    <s v="Oui"/>
    <x v="1"/>
    <s v="RALFF"/>
    <s v="CONGO"/>
    <s v="RALFF-CO3039"/>
    <s v="2.2"/>
    <m/>
  </r>
  <r>
    <d v="2022-02-14T00:00:00"/>
    <s v="I23C - CONGO Food allowance mission Oyo du 14 au 20 février 2022"/>
    <s v="Travel Subsistence"/>
    <s v="Opération"/>
    <m/>
    <n v="60000"/>
    <n v="12755513"/>
    <s v="i23c"/>
    <s v="Décharge"/>
    <x v="1"/>
    <s v="RALFF"/>
    <s v="CONGO"/>
    <s v="RALFF-CO3040"/>
    <s v="1.3.2"/>
    <m/>
  </r>
  <r>
    <d v="2022-02-14T00:00:00"/>
    <s v="P29 - CONGO Food allowance mission du 14 au 19/02/2022 à Sibiti"/>
    <s v="Travel Subsistence"/>
    <s v="Investigations"/>
    <m/>
    <n v="50000"/>
    <n v="12705513"/>
    <s v="P29"/>
    <s v="Decharge"/>
    <x v="1"/>
    <s v="RALFF"/>
    <s v="CONGO"/>
    <s v="RALFF-CO3041"/>
    <s v="1.3.2"/>
    <m/>
  </r>
  <r>
    <d v="2022-02-15T00:00:00"/>
    <s v="Frais de transport Oyo-Owando pour 04 gendarmes"/>
    <s v="Transport"/>
    <s v="Operation"/>
    <m/>
    <n v="20000"/>
    <n v="12685513"/>
    <s v="Crépin"/>
    <s v="Oui"/>
    <x v="2"/>
    <s v="PALF"/>
    <s v="CONGO"/>
    <m/>
    <m/>
    <m/>
  </r>
  <r>
    <d v="2022-02-15T00:00:00"/>
    <s v="Frais d'Hotel 01 Nuitée du 14 au 15/02/2022 à Oyo pour 04 Gendarmes de recherches (DOUNIAMA OBOURA, OBAMI Ger, NYANGA Marie , EWOBOKO Ghislain)"/>
    <s v="Travel Subsistence"/>
    <s v="Opération"/>
    <m/>
    <n v="60000"/>
    <n v="12625513"/>
    <s v="Crépin"/>
    <s v="Oui"/>
    <x v="2"/>
    <s v="PALF"/>
    <s v="CONGO"/>
    <m/>
    <m/>
    <m/>
  </r>
  <r>
    <d v="2022-02-15T00:00:00"/>
    <s v="Billet: Oyo-Brazzaville/Crépin"/>
    <s v="Transport"/>
    <s v="Management"/>
    <m/>
    <n v="10000"/>
    <n v="12615513"/>
    <s v="Crépin"/>
    <s v="Oui"/>
    <x v="1"/>
    <s v="RALFF"/>
    <s v="CONGO"/>
    <s v="RALFF-CO3042"/>
    <s v="2.2"/>
    <m/>
  </r>
  <r>
    <d v="2022-02-15T00:00:00"/>
    <s v="Frais Commission,visite appartement/Démarcheur"/>
    <s v="Transport"/>
    <s v="Investigations"/>
    <m/>
    <n v="7000"/>
    <n v="12608513"/>
    <s v="P29"/>
    <s v="Oui"/>
    <x v="2"/>
    <s v="PALF"/>
    <s v="CONGO"/>
    <m/>
    <m/>
    <m/>
  </r>
  <r>
    <d v="2022-02-16T00:00:00"/>
    <s v="CREPIN IBOUILI - CONGO Frais d'Hotel 10 Nuitées du 06 au 16/02/2022 à Oyo"/>
    <s v="Travel Subsistence"/>
    <s v="Opération"/>
    <m/>
    <n v="150000"/>
    <n v="12458513"/>
    <s v="Crépin"/>
    <s v="Oui"/>
    <x v="1"/>
    <s v="RALFF"/>
    <s v="CONGO"/>
    <s v="RALFF-CO3043"/>
    <s v="1.3.2"/>
    <m/>
  </r>
  <r>
    <d v="2022-02-16T00:00:00"/>
    <s v="I23C"/>
    <s v="Versement"/>
    <m/>
    <m/>
    <n v="110000"/>
    <n v="12348513"/>
    <s v="Caisse"/>
    <m/>
    <x v="0"/>
    <m/>
    <s v="CONGO"/>
    <m/>
    <m/>
    <m/>
  </r>
  <r>
    <d v="2022-02-16T00:00:00"/>
    <s v="Frais de transfert charden farell à I23C"/>
    <s v="Transfer Fees"/>
    <s v="Office"/>
    <m/>
    <n v="3300"/>
    <n v="12345213"/>
    <s v="Caisse"/>
    <s v="Oui"/>
    <x v="1"/>
    <s v="RALFF"/>
    <s v="CONGO"/>
    <s v="RALFF-CO3044"/>
    <s v="5.6"/>
    <m/>
  </r>
  <r>
    <d v="2022-02-16T00:00:00"/>
    <s v="Reglement Facture d'Eau Janvier-Février 2022/LCDE"/>
    <s v="Rent &amp; Utilities"/>
    <s v="Office"/>
    <m/>
    <n v="12750"/>
    <n v="12332463"/>
    <s v="Caisse"/>
    <s v="Oui"/>
    <x v="1"/>
    <s v="RALFF"/>
    <s v="CONGO"/>
    <s v="RALFF-CO3045"/>
    <s v="4.4"/>
    <m/>
  </r>
  <r>
    <d v="2022-02-16T00:00:00"/>
    <s v="Bonus télécongo OP à oyo"/>
    <s v="Bonus"/>
    <s v="Media"/>
    <m/>
    <n v="150000"/>
    <n v="12182463"/>
    <s v="Caisse"/>
    <s v="Décharge"/>
    <x v="2"/>
    <s v="PALF"/>
    <s v="CONGO"/>
    <m/>
    <m/>
    <m/>
  </r>
  <r>
    <d v="2022-02-16T00:00:00"/>
    <s v="Achat crédit pour informateur/B52"/>
    <s v="Informer Fees"/>
    <s v="Investigation"/>
    <m/>
    <n v="10000"/>
    <n v="12172463"/>
    <s v="Caisse"/>
    <s v="Oui"/>
    <x v="2"/>
    <s v="PALF"/>
    <s v="CONGO"/>
    <m/>
    <m/>
    <m/>
  </r>
  <r>
    <d v="2022-02-16T00:00:00"/>
    <s v="Frais de trust building/B52"/>
    <s v="Informer Fees"/>
    <s v="Investigation"/>
    <m/>
    <n v="20000"/>
    <n v="12152463"/>
    <s v="Caisse"/>
    <s v="Décharge"/>
    <x v="2"/>
    <s v="PALF"/>
    <s v="CONGO"/>
    <m/>
    <m/>
    <m/>
  </r>
  <r>
    <d v="2022-02-16T00:00:00"/>
    <s v="Achat credit  teléphonique Airtel/PALF/Deuxième partie Février 2022/Invinstigation"/>
    <s v="Telephone"/>
    <s v="Investigation"/>
    <m/>
    <n v="10000"/>
    <n v="12142463"/>
    <s v="Caisse"/>
    <s v="Oui"/>
    <x v="1"/>
    <s v="RALFF"/>
    <s v="CONGO"/>
    <s v="RALFF-CO3046"/>
    <s v="4.6"/>
    <m/>
  </r>
  <r>
    <d v="2022-02-16T00:00:00"/>
    <s v="Achat credit  teléphonique Airtel/PALF/Deuxième partie Février 2022/Legal"/>
    <s v="Telephone"/>
    <s v="Legal"/>
    <m/>
    <n v="5000"/>
    <n v="12137463"/>
    <s v="Caisse"/>
    <s v="Oui"/>
    <x v="1"/>
    <s v="RALFF"/>
    <s v="CONGO"/>
    <s v="RALFF-CO3047"/>
    <s v="4.6"/>
    <m/>
  </r>
  <r>
    <d v="2022-02-16T00:00:00"/>
    <s v="Achat credit  teléphonique MTN/PALF/Deuxième partie Février 2022/Management"/>
    <s v="Telephone"/>
    <s v="Management "/>
    <m/>
    <n v="20000"/>
    <n v="12117463"/>
    <s v="Caisse"/>
    <s v="Oui"/>
    <x v="1"/>
    <s v="RALFF"/>
    <s v="CONGO"/>
    <s v="RALFF-CO3048"/>
    <s v="4.6"/>
    <m/>
  </r>
  <r>
    <d v="2022-02-16T00:00:00"/>
    <s v="Achat credit  teléphonique MTN/PALF/Deuxième partie Février 2022/Investigation"/>
    <s v="Telephone"/>
    <s v="Investigation"/>
    <m/>
    <n v="20000"/>
    <n v="12097463"/>
    <s v="Caisse"/>
    <s v="Oui"/>
    <x v="1"/>
    <s v="RALFF"/>
    <s v="CONGO"/>
    <s v="RALFF-CO3049"/>
    <s v="4.6"/>
    <m/>
  </r>
  <r>
    <d v="2022-02-16T00:00:00"/>
    <s v="Achat credit  teléphonique MTN/PALF/Deuxième partie Février 2022/Legal"/>
    <s v="Telephone"/>
    <s v="Legal"/>
    <m/>
    <n v="15000"/>
    <n v="12082463"/>
    <s v="Caisse"/>
    <s v="Oui"/>
    <x v="1"/>
    <s v="RALFF"/>
    <s v="CONGO"/>
    <s v="RALFF-CO3050"/>
    <s v="4.6"/>
    <m/>
  </r>
  <r>
    <d v="2022-02-16T00:00:00"/>
    <s v="Achat credit  teléphonique MTN/PALF/Deuxième partie Février 2022/Média"/>
    <s v="Telephone"/>
    <s v="Media"/>
    <m/>
    <n v="10000"/>
    <n v="12072463"/>
    <s v="Caisse"/>
    <s v="Oui"/>
    <x v="1"/>
    <s v="RALFF"/>
    <s v="CONGO"/>
    <s v="RALFF-CO3051"/>
    <s v="4.6"/>
    <m/>
  </r>
  <r>
    <d v="2022-02-16T00:00:00"/>
    <s v="Acompte Honoraire Contrat N°42-OYO / Me Hélène NANITELAMIO /Cas NGATSONGO Fabrice"/>
    <s v="Lawyer Fees"/>
    <s v="Legal"/>
    <m/>
    <n v="200000"/>
    <n v="11872463"/>
    <s v="BCI-Sous Compte"/>
    <n v="3643614"/>
    <x v="1"/>
    <s v="RALFF"/>
    <s v="CONGO"/>
    <s v="RALFF-CO3052"/>
    <s v="5.2.2"/>
    <m/>
  </r>
  <r>
    <d v="2022-02-16T00:00:00"/>
    <s v="Solde honoraires contrat n°37_Pointe Noire/Maitre Séverin BIYOUDI/cas OYAGA"/>
    <s v="Lawyer Fees"/>
    <s v="Légal"/>
    <m/>
    <n v="300000"/>
    <n v="11572463"/>
    <s v="BCI-Sous Compte"/>
    <n v="3643615"/>
    <x v="1"/>
    <s v="RALFF"/>
    <s v="CONGO"/>
    <s v="RALFF-CO3053"/>
    <s v="5.2.2"/>
    <m/>
  </r>
  <r>
    <d v="2022-02-16T00:00:00"/>
    <s v="Solde honoraires contrat n°38_Brazzaville/Maitre Séverin BIYOUDI/cas NGOMBELE"/>
    <s v="Lawyer Fees"/>
    <s v="Légal"/>
    <m/>
    <n v="300000"/>
    <n v="11272463"/>
    <s v="BCI-Sous Compte"/>
    <n v="3643616"/>
    <x v="1"/>
    <s v="RALFF"/>
    <s v="CONGO"/>
    <s v="RALFF-CO3054"/>
    <s v="5.2.2"/>
    <m/>
  </r>
  <r>
    <d v="2022-02-16T00:00:00"/>
    <s v="Réçu caisse"/>
    <s v="Versement"/>
    <m/>
    <n v="110000"/>
    <m/>
    <n v="11382463"/>
    <s v="i23c"/>
    <m/>
    <x v="0"/>
    <m/>
    <s v="CONGO"/>
    <m/>
    <m/>
    <m/>
  </r>
  <r>
    <d v="2022-02-17T00:00:00"/>
    <s v="Bonus média OP à OYO "/>
    <s v="Bonus"/>
    <s v="Media"/>
    <m/>
    <n v="45000"/>
    <n v="11337463"/>
    <s v="Caisse"/>
    <s v="Décharge"/>
    <x v="2"/>
    <s v="PALF"/>
    <s v="CONGO"/>
    <m/>
    <m/>
    <m/>
  </r>
  <r>
    <d v="2022-02-17T00:00:00"/>
    <s v="Bonus média /audience du 07/02/2022"/>
    <s v="Bonus"/>
    <s v="Media"/>
    <m/>
    <n v="35000"/>
    <n v="11302463"/>
    <s v="Caisse"/>
    <s v="Décharge"/>
    <x v="2"/>
    <s v="PALF"/>
    <s v="CONGO"/>
    <m/>
    <m/>
    <m/>
  </r>
  <r>
    <d v="2022-02-17T00:00:00"/>
    <s v="Bonus média/portant sur la journée Mondiale du pangolin"/>
    <s v="Bonus"/>
    <s v="Media"/>
    <m/>
    <n v="35000"/>
    <n v="11267463"/>
    <s v="Caisse"/>
    <s v="Décharge"/>
    <x v="2"/>
    <s v="PALF"/>
    <s v="CONGO"/>
    <m/>
    <m/>
    <m/>
  </r>
  <r>
    <d v="2022-02-17T00:00:00"/>
    <s v="Frais impression photos trafiquant"/>
    <s v="Office Materials"/>
    <s v="Office"/>
    <m/>
    <n v="5750"/>
    <n v="11261713"/>
    <s v="Caisse"/>
    <s v="Oui"/>
    <x v="1"/>
    <s v="RALFF"/>
    <s v="CONGO"/>
    <s v="RALFF-CO3055"/>
    <s v="4.3"/>
    <m/>
  </r>
  <r>
    <d v="2022-02-17T00:00:00"/>
    <s v="Evariste"/>
    <s v="Versement"/>
    <m/>
    <m/>
    <n v="191000"/>
    <n v="11070713"/>
    <s v="Caisse"/>
    <m/>
    <x v="0"/>
    <m/>
    <s v="CONGO"/>
    <m/>
    <m/>
    <m/>
  </r>
  <r>
    <d v="2022-02-17T00:00:00"/>
    <s v="Crepin"/>
    <s v="Versement"/>
    <m/>
    <m/>
    <n v="172000"/>
    <n v="10898713"/>
    <s v="Caisse"/>
    <m/>
    <x v="0"/>
    <m/>
    <s v="CONGO"/>
    <m/>
    <m/>
    <m/>
  </r>
  <r>
    <d v="2022-02-17T00:00:00"/>
    <s v="Grace"/>
    <s v="Versement"/>
    <m/>
    <m/>
    <n v="495000"/>
    <n v="10403713"/>
    <s v="Caisse"/>
    <m/>
    <x v="0"/>
    <m/>
    <s v="CONGO"/>
    <m/>
    <m/>
    <m/>
  </r>
  <r>
    <d v="2022-02-17T00:00:00"/>
    <s v="Godfre"/>
    <s v="Versement"/>
    <m/>
    <m/>
    <n v="94000"/>
    <n v="10309713"/>
    <s v="Caisse"/>
    <m/>
    <x v="0"/>
    <m/>
    <s v="CONGO"/>
    <m/>
    <m/>
    <m/>
  </r>
  <r>
    <d v="2022-02-17T00:00:00"/>
    <s v="Merveille"/>
    <s v="Versement"/>
    <m/>
    <m/>
    <n v="15000"/>
    <n v="10294713"/>
    <s v="Caisse"/>
    <m/>
    <x v="0"/>
    <m/>
    <s v="CONGO"/>
    <m/>
    <m/>
    <m/>
  </r>
  <r>
    <d v="2022-02-17T00:00:00"/>
    <s v="Reglement loyer mois de Janvier 2022/Bureau PALF"/>
    <s v="Rent &amp; Utilities"/>
    <s v="Office"/>
    <m/>
    <n v="500000"/>
    <n v="9794713"/>
    <s v="BCI-Sous Compte"/>
    <n v="3643618"/>
    <x v="1"/>
    <s v="RALFF"/>
    <s v="CONGO"/>
    <s v="RALFF-CO3056"/>
    <s v="4.2"/>
    <m/>
  </r>
  <r>
    <d v="2022-02-17T00:00:00"/>
    <s v="Reçu caisse/Av Frais de Mission OP 2 OYO"/>
    <s v="Versement"/>
    <m/>
    <n v="495000"/>
    <m/>
    <n v="10289713"/>
    <s v="Grace"/>
    <m/>
    <x v="0"/>
    <m/>
    <s v="CONGO"/>
    <m/>
    <m/>
    <m/>
  </r>
  <r>
    <d v="2022-02-17T00:00:00"/>
    <s v="Reçu caisse"/>
    <s v="Versement"/>
    <m/>
    <n v="15000"/>
    <m/>
    <n v="10304713"/>
    <s v="Merveille"/>
    <m/>
    <x v="0"/>
    <m/>
    <s v="CONGO"/>
    <m/>
    <m/>
    <m/>
  </r>
  <r>
    <d v="2022-02-17T00:00:00"/>
    <s v="Reçu de caisse"/>
    <s v="Versement"/>
    <m/>
    <n v="172000"/>
    <m/>
    <n v="10476713"/>
    <s v="Crépin"/>
    <m/>
    <x v="0"/>
    <m/>
    <s v="CONGO"/>
    <m/>
    <m/>
    <m/>
  </r>
  <r>
    <d v="2022-02-17T00:00:00"/>
    <s v="Billet: Brazzaville -Oyo/Crépin"/>
    <s v="Transport"/>
    <s v="Management"/>
    <m/>
    <n v="10000"/>
    <n v="10466713"/>
    <s v="Crépin"/>
    <s v="Oui"/>
    <x v="1"/>
    <s v="RALFF"/>
    <s v="CONGO"/>
    <s v="RALFF-CO3057"/>
    <s v="2.2"/>
    <m/>
  </r>
  <r>
    <d v="2022-02-17T00:00:00"/>
    <s v="Reçu de la caisse"/>
    <s v="Versement"/>
    <m/>
    <n v="191000"/>
    <m/>
    <n v="10657713"/>
    <s v="Evariste"/>
    <m/>
    <x v="0"/>
    <m/>
    <s v="CONGO"/>
    <m/>
    <m/>
    <m/>
  </r>
  <r>
    <d v="2022-02-17T00:00:00"/>
    <s v="Achat billet Brazzaville-Oyo/Evariste"/>
    <s v="Transport"/>
    <s v="Media"/>
    <m/>
    <n v="10000"/>
    <n v="10647713"/>
    <s v="Evariste"/>
    <s v="Oui"/>
    <x v="1"/>
    <s v="RALFF"/>
    <s v="CONGO"/>
    <s v="RALFF-CO3058"/>
    <s v="2.2"/>
    <m/>
  </r>
  <r>
    <d v="2022-02-17T00:00:00"/>
    <s v="Achat billet aller (Brazzaville-Oyo)/Godfré"/>
    <s v="Transport"/>
    <s v="Legal"/>
    <m/>
    <n v="10000"/>
    <n v="10637713"/>
    <s v="Godfré"/>
    <s v="Oui"/>
    <x v="1"/>
    <s v="RALFF"/>
    <s v="CONGO"/>
    <s v="RALFF-CO3059"/>
    <s v="2.2"/>
    <m/>
  </r>
  <r>
    <d v="2022-02-17T00:00:00"/>
    <s v="Reçu Caisse"/>
    <s v="Versement"/>
    <m/>
    <n v="94000"/>
    <m/>
    <n v="10731713"/>
    <s v="Godfré"/>
    <m/>
    <x v="0"/>
    <m/>
    <s v="CONGO"/>
    <m/>
    <m/>
    <m/>
  </r>
  <r>
    <d v="2022-02-18T00:00:00"/>
    <s v="CREPIN IBOUILI - CONGO Food Allowance du 18 au 26/02/2021 à Oyo"/>
    <s v="Travel Subsistence"/>
    <s v="Opération"/>
    <m/>
    <n v="80000"/>
    <n v="10651713"/>
    <s v="Crépin"/>
    <s v="Décharge"/>
    <x v="1"/>
    <s v="RALFF"/>
    <s v="CONGO"/>
    <s v="RALFF-CO3060"/>
    <s v="1.3.2"/>
    <m/>
  </r>
  <r>
    <d v="2022-02-18T00:00:00"/>
    <s v="EVARISTE LELOUSSI - CONGO Food Allowance du 18 au 26 février 2022 mission Oyo"/>
    <s v="Travel Subsistence"/>
    <s v="Media"/>
    <m/>
    <n v="80000"/>
    <n v="10571713"/>
    <s v="Evariste"/>
    <s v="Décharge"/>
    <x v="1"/>
    <s v="RALFF"/>
    <s v="CONGO"/>
    <s v="RALFF-CO3061"/>
    <s v="1.3.2"/>
    <m/>
  </r>
  <r>
    <d v="2022-02-18T00:00:00"/>
    <s v="GRACE - CONGO Food Allowance du 18 au 20/02/2022 à OYO"/>
    <s v="Travel Subsistence"/>
    <s v="Opération"/>
    <m/>
    <n v="20000"/>
    <n v="10551713"/>
    <s v="Grace"/>
    <s v="Décharge"/>
    <x v="1"/>
    <s v="RALFF"/>
    <s v="CONGO"/>
    <s v="RALFF-CO3062"/>
    <s v="1.3.2"/>
    <m/>
  </r>
  <r>
    <d v="2022-02-18T00:00:00"/>
    <s v="GODFRE-CONGO Food Allowance du 18 au 23/02/2022 à Oyo"/>
    <s v="Travel Subsistence"/>
    <s v="Legal"/>
    <m/>
    <n v="50000"/>
    <n v="10501713"/>
    <s v="Godfré"/>
    <s v="Décharge"/>
    <x v="1"/>
    <s v="RALFF"/>
    <s v="CONGO"/>
    <s v="RALFF-CO3063"/>
    <s v="1.3.2"/>
    <m/>
  </r>
  <r>
    <d v="2022-02-18T00:00:00"/>
    <s v="Grace"/>
    <s v="Versement"/>
    <m/>
    <m/>
    <n v="700000"/>
    <n v="9801713"/>
    <s v="Caisse"/>
    <m/>
    <x v="0"/>
    <m/>
    <s v="CONGO"/>
    <m/>
    <m/>
    <m/>
  </r>
  <r>
    <d v="2022-02-18T00:00:00"/>
    <s v="Frais de transfert charden Farell/Grace "/>
    <s v="Transfer Fees"/>
    <s v="Office"/>
    <m/>
    <n v="21000"/>
    <n v="9780713"/>
    <s v="Caisse"/>
    <s v="Oui"/>
    <x v="1"/>
    <s v="RALFF"/>
    <s v="CONGO"/>
    <s v="RALFF-CO3064"/>
    <s v="5.6"/>
    <m/>
  </r>
  <r>
    <d v="2022-02-18T00:00:00"/>
    <s v="Reglement loyer mois de Février 2022/Bureau PALF"/>
    <s v="Rent &amp; Utilities"/>
    <s v="Office"/>
    <m/>
    <n v="500000"/>
    <n v="9280713"/>
    <s v="BCI-Sous Compte"/>
    <n v="3643617"/>
    <x v="1"/>
    <s v="RALFF"/>
    <s v="CONGO"/>
    <s v="RALFF-CO3065"/>
    <s v="4.2"/>
    <m/>
  </r>
  <r>
    <d v="2022-02-18T00:00:00"/>
    <s v="Achat Billet Brazzaville-Oyo/Grace"/>
    <s v="Transport"/>
    <s v="Management"/>
    <m/>
    <n v="10000"/>
    <n v="9270713"/>
    <s v="Grace"/>
    <s v="Oui"/>
    <x v="1"/>
    <s v="RALFF"/>
    <s v="CONGO"/>
    <s v="RALFF-CO3066"/>
    <s v="2.2"/>
    <m/>
  </r>
  <r>
    <d v="2022-02-18T00:00:00"/>
    <s v="Reçu caisse/solde Frais de Mission OP 2 OYO"/>
    <s v="Versement"/>
    <m/>
    <n v="700000"/>
    <m/>
    <n v="9970713"/>
    <s v="Grace"/>
    <m/>
    <x v="0"/>
    <m/>
    <s v="CONGO"/>
    <m/>
    <m/>
    <m/>
  </r>
  <r>
    <d v="2022-02-18T00:00:00"/>
    <s v="Reçu de Grace"/>
    <s v="Versement"/>
    <m/>
    <n v="140000"/>
    <m/>
    <n v="10110713"/>
    <s v="Crépin"/>
    <m/>
    <x v="0"/>
    <m/>
    <s v="CONGO"/>
    <m/>
    <m/>
    <m/>
  </r>
  <r>
    <d v="2022-02-18T00:00:00"/>
    <s v="Réçu caisse (de grace pour payement appartement)"/>
    <s v="Versement"/>
    <m/>
    <n v="140000"/>
    <m/>
    <n v="10250713"/>
    <s v="i23c"/>
    <m/>
    <x v="0"/>
    <m/>
    <s v="CONGO"/>
    <m/>
    <m/>
    <m/>
  </r>
  <r>
    <d v="2022-02-18T00:00:00"/>
    <s v="I23C - CONGO Frais Hôtel 4 nuitées du 14 au 18 Février (cfr mission Oyo)"/>
    <s v="Travel Subsistence"/>
    <s v="Opération"/>
    <m/>
    <n v="60000"/>
    <n v="10190713"/>
    <s v="i23c"/>
    <s v="Oui"/>
    <x v="1"/>
    <s v="RALFF"/>
    <s v="CONGO"/>
    <s v="RALFF-CO3067"/>
    <s v="1.3.2"/>
    <m/>
  </r>
  <r>
    <d v="2022-02-19T00:00:00"/>
    <s v="Paiement Taxi extraction Oyo-Ngo (Extraction)/I23C"/>
    <s v="Transport"/>
    <s v="Opération"/>
    <m/>
    <n v="50000"/>
    <n v="10140713"/>
    <s v="i23c"/>
    <s v="Oui"/>
    <x v="2"/>
    <s v="PALF"/>
    <s v="CONGO"/>
    <m/>
    <m/>
    <m/>
  </r>
  <r>
    <d v="2022-02-19T00:00:00"/>
    <s v="Impression Coleur/Fiche Interpol"/>
    <s v="Office Materials"/>
    <s v="Opération"/>
    <m/>
    <n v="500"/>
    <n v="10140213"/>
    <s v="Grace"/>
    <s v="Oui"/>
    <x v="2"/>
    <s v="PALF"/>
    <s v="CONGO"/>
    <m/>
    <m/>
    <m/>
  </r>
  <r>
    <d v="2022-02-19T00:00:00"/>
    <s v="Transfert à I23C/Frais 1er Appartement 02 nuitées"/>
    <s v="Versement"/>
    <m/>
    <m/>
    <n v="140000"/>
    <n v="10000213"/>
    <s v="Grace"/>
    <m/>
    <x v="0"/>
    <m/>
    <s v="CONGO"/>
    <m/>
    <m/>
    <m/>
  </r>
  <r>
    <d v="2022-02-19T00:00:00"/>
    <s v="Transfert à Crépin/Frais 2em Appartement 02 nuitées"/>
    <s v="Versement"/>
    <m/>
    <m/>
    <n v="140000"/>
    <n v="9860213"/>
    <s v="Grace"/>
    <m/>
    <x v="0"/>
    <m/>
    <s v="CONGO"/>
    <m/>
    <m/>
    <m/>
  </r>
  <r>
    <d v="2022-02-19T00:00:00"/>
    <s v="Transfert à I23C/Frais d'Extraction pour Ngo + Supplement Budget"/>
    <s v="Versement"/>
    <m/>
    <m/>
    <n v="100000"/>
    <n v="9760213"/>
    <s v="Grace"/>
    <m/>
    <x v="0"/>
    <m/>
    <s v="CONGO"/>
    <m/>
    <m/>
    <m/>
  </r>
  <r>
    <d v="2022-02-19T00:00:00"/>
    <s v="Bonus Autorités/17 gendarmes OP 2 à OYO"/>
    <s v="Bonus"/>
    <s v="Opération"/>
    <m/>
    <n v="170000"/>
    <n v="9590213"/>
    <s v="Grace"/>
    <s v="Décharge"/>
    <x v="2"/>
    <s v="PALF"/>
    <s v="CONGO"/>
    <m/>
    <m/>
    <m/>
  </r>
  <r>
    <d v="2022-02-19T00:00:00"/>
    <s v="Bonus Autorités/02 Agents EF OP 2 à OYO"/>
    <s v="Bonus"/>
    <s v="Opération"/>
    <m/>
    <n v="20000"/>
    <n v="9570213"/>
    <s v="Grace"/>
    <s v="Décharge"/>
    <x v="2"/>
    <s v="PALF"/>
    <s v="CONGO"/>
    <m/>
    <m/>
    <m/>
  </r>
  <r>
    <d v="2022-02-19T00:00:00"/>
    <s v="Achat Carburant BJ /OP 2 Oyo"/>
    <s v="Transport"/>
    <s v="Management"/>
    <m/>
    <n v="50000"/>
    <n v="9520213"/>
    <s v="Grace"/>
    <s v="Oui"/>
    <x v="2"/>
    <s v="PALF"/>
    <s v="CONGO"/>
    <m/>
    <m/>
    <m/>
  </r>
  <r>
    <d v="2022-02-19T00:00:00"/>
    <s v="Ration Journalière 04 gendarmes à Oyo/procédures"/>
    <s v="Travel Subsistence"/>
    <s v="Opération"/>
    <m/>
    <n v="26000"/>
    <n v="9494213"/>
    <s v="Grace"/>
    <s v="Oui"/>
    <x v="2"/>
    <s v="PALF"/>
    <s v="CONGO"/>
    <m/>
    <m/>
    <m/>
  </r>
  <r>
    <d v="2022-02-19T00:00:00"/>
    <s v="Boissons  pendant l'attente du top pour op de 03 gendarme, 02 agent des eaux et forets et moi"/>
    <s v="Travel Subsistence"/>
    <s v="Opération"/>
    <m/>
    <n v="9500"/>
    <n v="9484713"/>
    <s v="Crépin"/>
    <s v="Décharge"/>
    <x v="2"/>
    <s v="PALF"/>
    <s v="CONGO"/>
    <m/>
    <m/>
    <m/>
  </r>
  <r>
    <d v="2022-02-19T00:00:00"/>
    <s v="Frais de location de 03 taxis pendant plus d'une (01) heure pour la suite des interpellations"/>
    <s v="Transport"/>
    <s v="Operation"/>
    <m/>
    <n v="15000"/>
    <n v="9469713"/>
    <s v="Crépin"/>
    <s v="Oui"/>
    <x v="2"/>
    <s v="PALF"/>
    <s v="CONGO"/>
    <m/>
    <m/>
    <m/>
  </r>
  <r>
    <d v="2022-02-19T00:00:00"/>
    <s v="Achat Jus, Biscuits et eau minérale pour l'équipe de l'opération d'Oyo"/>
    <s v="Travel Subsistence"/>
    <s v="Opération"/>
    <m/>
    <n v="10000"/>
    <n v="9459713"/>
    <s v="Evariste"/>
    <s v="Oui"/>
    <x v="2"/>
    <s v="PALF"/>
    <s v="CONGO"/>
    <m/>
    <m/>
    <m/>
  </r>
  <r>
    <d v="2022-02-19T00:00:00"/>
    <s v="Achat boissons et sandwich pour 4 gendarmes de mon équipe et moi pendant l'opération"/>
    <s v="Travel Subsistence"/>
    <s v="Legal"/>
    <m/>
    <n v="8650"/>
    <n v="9451063"/>
    <s v="Godfré"/>
    <s v="Décharge"/>
    <x v="2"/>
    <s v="PALF"/>
    <s v="CONGO"/>
    <m/>
    <m/>
    <m/>
  </r>
  <r>
    <d v="2022-02-19T00:00:00"/>
    <s v="Réçu de caisse (budget supplémentaire et extraction)"/>
    <s v="Versement"/>
    <m/>
    <n v="100000"/>
    <m/>
    <n v="9551063"/>
    <s v="i23c"/>
    <m/>
    <x v="0"/>
    <m/>
    <s v="CONGO"/>
    <m/>
    <m/>
    <m/>
  </r>
  <r>
    <d v="2022-02-19T00:00:00"/>
    <s v="Achat billet sibiti-loudima/P29"/>
    <s v="Transport"/>
    <s v="Investigations"/>
    <m/>
    <n v="4000"/>
    <n v="9547063"/>
    <s v="P29"/>
    <s v="Oui"/>
    <x v="1"/>
    <s v="RALFF"/>
    <s v="CONGO"/>
    <s v="RALFF-CO3068"/>
    <s v="2.2"/>
    <m/>
  </r>
  <r>
    <d v="2022-02-19T00:00:00"/>
    <s v="Achat billet loudima- brazzaville/P29"/>
    <s v="Transport"/>
    <s v="Investigations"/>
    <m/>
    <n v="10000"/>
    <n v="9537063"/>
    <s v="P29"/>
    <s v="Oui"/>
    <x v="1"/>
    <s v="RALFF"/>
    <s v="CONGO"/>
    <s v="RALFF-CO3069"/>
    <s v="2.2"/>
    <m/>
  </r>
  <r>
    <d v="2022-02-19T00:00:00"/>
    <s v="P29 - CONGO Frais Hôtel 5 nuitées du 14 au 19/02/2022 à Sibiti"/>
    <s v="Travel Subsistence"/>
    <s v="Investigations"/>
    <m/>
    <n v="75000"/>
    <n v="9462063"/>
    <s v="P29"/>
    <s v="Oui"/>
    <x v="1"/>
    <s v="RALFF"/>
    <s v="CONGO"/>
    <s v="RALFF-CO3070"/>
    <s v="1.3.2"/>
    <m/>
  </r>
  <r>
    <d v="2022-02-20T00:00:00"/>
    <s v="GRACE - CONGO Frais d'Hotel 02 nuitées du 18 au 20/02/2022 à OYO/Grace"/>
    <s v="Travel Subsistence"/>
    <s v="Opération"/>
    <m/>
    <n v="30000"/>
    <n v="9432063"/>
    <s v="Grace"/>
    <s v="Oui"/>
    <x v="1"/>
    <s v="RALFF"/>
    <s v="CONGO"/>
    <s v="RALFF-CO3071"/>
    <s v="1.3.2"/>
    <m/>
  </r>
  <r>
    <d v="2022-02-20T00:00:00"/>
    <s v="GODFRE-CONGO Frais d'hôtel 02 nuitées Du 18 au 20/02/22 à OYO"/>
    <s v="Travel Subsistence"/>
    <s v="Legal"/>
    <m/>
    <n v="30000"/>
    <n v="9402063"/>
    <s v="Godfré"/>
    <s v="Oui"/>
    <x v="1"/>
    <s v="RALFF"/>
    <s v="CONGO"/>
    <s v="RALFF-CO3072"/>
    <s v="1.3.2"/>
    <m/>
  </r>
  <r>
    <d v="2022-02-20T00:00:00"/>
    <s v="Location Appartement OP 2 à Oyo/ 2 nuitées du 18 au 20 février 2022"/>
    <s v="Travel Subsistence"/>
    <s v="Opération"/>
    <m/>
    <n v="140000"/>
    <n v="9262063"/>
    <s v="i23c"/>
    <s v="Oui"/>
    <x v="2"/>
    <s v="PALF"/>
    <s v="CONGO"/>
    <m/>
    <m/>
    <m/>
  </r>
  <r>
    <d v="2022-02-20T00:00:00"/>
    <s v="I23C - CONGO Frais Hôtel 1 nuit du 19 au 20 février 2022 à Ngo"/>
    <s v="Travel Subsistence"/>
    <s v="Opération"/>
    <m/>
    <n v="15000"/>
    <n v="9247063"/>
    <s v="i23c"/>
    <s v="Oui"/>
    <x v="1"/>
    <s v="RALFF"/>
    <s v="CONGO"/>
    <s v="RALFF-CO3073"/>
    <s v="1.3.2"/>
    <m/>
  </r>
  <r>
    <d v="2022-02-20T00:00:00"/>
    <s v="Transfert à Crépin/"/>
    <s v="Versement"/>
    <m/>
    <m/>
    <n v="460000"/>
    <n v="8787063"/>
    <s v="Grace"/>
    <m/>
    <x v="0"/>
    <m/>
    <s v="CONGO"/>
    <m/>
    <m/>
    <m/>
  </r>
  <r>
    <d v="2022-02-20T00:00:00"/>
    <s v="Achat Billet Brazzaville-Oyo/Grace"/>
    <s v="Transport"/>
    <s v="Management"/>
    <m/>
    <n v="10000"/>
    <n v="8777063"/>
    <s v="Grace"/>
    <s v="Oui"/>
    <x v="1"/>
    <s v="RALFF"/>
    <s v="CONGO"/>
    <s v="RALFF-CO3074"/>
    <s v="2.2"/>
    <m/>
  </r>
  <r>
    <d v="2022-02-20T00:00:00"/>
    <s v="Frais d'Hotel du 18 au 20/02/2022 OYO (02 nuitées) pour OP 2/Appartement OP"/>
    <s v="Travel Subsistence"/>
    <s v="Opération"/>
    <m/>
    <n v="140000"/>
    <n v="8637063"/>
    <s v="Crépin"/>
    <s v="Oui"/>
    <x v="2"/>
    <s v="PALF"/>
    <s v="CONGO"/>
    <m/>
    <m/>
    <m/>
  </r>
  <r>
    <d v="2022-02-20T00:00:00"/>
    <s v="Reçu de Grace"/>
    <s v="Versement"/>
    <m/>
    <n v="460000"/>
    <m/>
    <n v="9097063"/>
    <s v="Crépin"/>
    <m/>
    <x v="0"/>
    <m/>
    <s v="CONGO"/>
    <m/>
    <m/>
    <m/>
  </r>
  <r>
    <d v="2022-02-20T00:00:00"/>
    <s v="Cumul ration du 20/02/2022 de 04 gendarmes (DOUNIAMA,MVIRI Farel, OBAMI Ger, NYANGA Marien)"/>
    <s v="Travel Subsistence"/>
    <s v="Opération"/>
    <m/>
    <n v="26000"/>
    <n v="9071063"/>
    <s v="Crépin"/>
    <s v="Oui"/>
    <x v="2"/>
    <s v="PALF"/>
    <s v="CONGO"/>
    <m/>
    <m/>
    <m/>
  </r>
  <r>
    <d v="2022-02-20T00:00:00"/>
    <s v="Achat billet aller Oyo-MAKOUA/Godfré"/>
    <s v="Transport"/>
    <s v="Legal"/>
    <m/>
    <n v="5000"/>
    <n v="9066063"/>
    <s v="Godfré"/>
    <s v="Oui"/>
    <x v="1"/>
    <s v="RALFF"/>
    <s v="CONGO"/>
    <s v="RALFF-CO3075"/>
    <s v="2.2"/>
    <m/>
  </r>
  <r>
    <d v="2022-02-20T00:00:00"/>
    <s v="Taxi Ngo-Brazzaville (départ pour BZ)/I23C"/>
    <s v="Transport"/>
    <s v="Investigation"/>
    <m/>
    <n v="8000"/>
    <n v="9058063"/>
    <s v="i23c"/>
    <s v="Oui"/>
    <x v="1"/>
    <s v="RALFF"/>
    <s v="CONGO"/>
    <s v="RALFF-CO3076"/>
    <s v="2.2"/>
    <m/>
  </r>
  <r>
    <d v="2022-02-21T00:00:00"/>
    <s v="Godfré"/>
    <s v="Versement"/>
    <m/>
    <m/>
    <n v="324000"/>
    <n v="8734063"/>
    <s v="Caisse"/>
    <m/>
    <x v="0"/>
    <m/>
    <s v="CONGO"/>
    <m/>
    <m/>
    <m/>
  </r>
  <r>
    <d v="2022-02-21T00:00:00"/>
    <s v="Frais de transfert charden Farell/Godfré"/>
    <s v="Transfer Fees"/>
    <s v="Office"/>
    <m/>
    <n v="9720"/>
    <n v="8724343"/>
    <s v="Caisse"/>
    <s v="Oui"/>
    <x v="1"/>
    <s v="RALFF"/>
    <s v="CONGO"/>
    <s v="RALFF-CO3077"/>
    <s v="5.6"/>
    <m/>
  </r>
  <r>
    <d v="2022-02-21T00:00:00"/>
    <s v="Cumul ration du 21/02/2022 de 04 gendarmes (DOUNIAMA,MVIRI Farel, OBAMI Ger, NYANGA Marien)"/>
    <s v="Travel Subsistence"/>
    <s v="Opération"/>
    <m/>
    <n v="27000"/>
    <n v="8697343"/>
    <s v="Crépin"/>
    <s v="Oui"/>
    <x v="2"/>
    <s v="PALF"/>
    <s v="CONGO"/>
    <m/>
    <m/>
    <m/>
  </r>
  <r>
    <d v="2022-02-21T00:00:00"/>
    <s v="Reçu caisse"/>
    <s v="Versement"/>
    <m/>
    <n v="324000"/>
    <m/>
    <n v="9021343"/>
    <s v="Godfré"/>
    <m/>
    <x v="0"/>
    <m/>
    <s v="CONGO"/>
    <m/>
    <m/>
    <m/>
  </r>
  <r>
    <d v="2022-02-22T00:00:00"/>
    <s v="Merveille"/>
    <s v="Versement"/>
    <m/>
    <m/>
    <n v="20000"/>
    <n v="9001343"/>
    <s v="Caisse"/>
    <m/>
    <x v="0"/>
    <m/>
    <s v="CONGO"/>
    <m/>
    <m/>
    <m/>
  </r>
  <r>
    <d v="2022-02-22T00:00:00"/>
    <s v="Frais de transfert charden Farell/Crépin"/>
    <s v="Transfer Fees"/>
    <s v="Office"/>
    <m/>
    <n v="1200"/>
    <n v="9000143"/>
    <s v="Caisse"/>
    <s v="Oui"/>
    <x v="1"/>
    <s v="RALFF"/>
    <s v="CONGO"/>
    <s v="RALFF-CO3078"/>
    <s v="5.6"/>
    <m/>
  </r>
  <r>
    <d v="2022-02-22T00:00:00"/>
    <s v="Frais de mission à OYO du 23 au 25/02/2022 maitre Marie Hélène NANITELAMIO"/>
    <s v="Lawyer Fees"/>
    <s v="Legal"/>
    <m/>
    <n v="76000"/>
    <n v="8924143"/>
    <s v="Caisse"/>
    <s v="Oui"/>
    <x v="1"/>
    <s v="RALFF"/>
    <s v="CONGO"/>
    <s v="RALFF-CO3079"/>
    <s v="5.2.2"/>
    <m/>
  </r>
  <r>
    <d v="2022-02-22T00:00:00"/>
    <s v="Reçu caisse"/>
    <s v="Versement"/>
    <m/>
    <n v="20000"/>
    <m/>
    <n v="8944143"/>
    <s v="Merveille"/>
    <m/>
    <x v="0"/>
    <m/>
    <s v="CONGO"/>
    <m/>
    <m/>
    <m/>
  </r>
  <r>
    <d v="2022-02-22T00:00:00"/>
    <s v="Cumul ration du 22/02/2022 de 04 gendarmes(DOUNIAMA,MVIRI Farel, OBAMI Ger, NYANGA Marien)"/>
    <s v="Travel Subsistence"/>
    <s v="Opération"/>
    <m/>
    <n v="26500"/>
    <n v="8917643"/>
    <s v="Crépin"/>
    <s v="Oui"/>
    <x v="2"/>
    <s v="PALF"/>
    <s v="CONGO"/>
    <m/>
    <m/>
    <m/>
  </r>
  <r>
    <d v="2022-02-22T00:00:00"/>
    <s v="Frais impression des deux PV de Armel "/>
    <s v="Office Materials"/>
    <s v="Legal"/>
    <m/>
    <n v="1000"/>
    <n v="8916643"/>
    <s v="Godfré"/>
    <s v="Oui"/>
    <x v="2"/>
    <s v="PALF"/>
    <s v="CONGO"/>
    <m/>
    <m/>
    <m/>
  </r>
  <r>
    <d v="2022-02-23T00:00:00"/>
    <s v="GODFRE-CONGO Frais d'hôtel 03 nuitées du 20 au 23/02/2022 à MAKOUA"/>
    <s v="Travel Subsistence"/>
    <s v="Legal"/>
    <m/>
    <n v="45000"/>
    <n v="8871643"/>
    <s v="Godfré"/>
    <s v="Oui"/>
    <x v="1"/>
    <s v="RALFF"/>
    <s v="CONGO"/>
    <s v="RALFF-CO3080"/>
    <s v="1.3.2"/>
    <m/>
  </r>
  <r>
    <d v="2022-02-23T00:00:00"/>
    <s v="I23C"/>
    <s v="Versement"/>
    <m/>
    <m/>
    <n v="151000"/>
    <n v="8720643"/>
    <s v="Caisse"/>
    <m/>
    <x v="0"/>
    <m/>
    <s v="CONGO"/>
    <m/>
    <m/>
    <m/>
  </r>
  <r>
    <d v="2022-02-23T00:00:00"/>
    <s v="P29"/>
    <s v="Versement"/>
    <m/>
    <m/>
    <n v="171000"/>
    <n v="8549643"/>
    <s v="Caisse"/>
    <m/>
    <x v="0"/>
    <m/>
    <s v="CONGO"/>
    <m/>
    <m/>
    <m/>
  </r>
  <r>
    <d v="2022-02-23T00:00:00"/>
    <s v="Frais de Mission maitre Scrutin MOUYETI à Dolisie du 24  au 26/02/2022"/>
    <s v="Lawyer Fees"/>
    <s v="Legal"/>
    <m/>
    <n v="76000"/>
    <n v="8473643"/>
    <s v="Caisse"/>
    <s v="Oui"/>
    <x v="1"/>
    <s v="RALFF"/>
    <s v="CONGO"/>
    <s v="RALFF-CO3081"/>
    <s v="5.2.2"/>
    <m/>
  </r>
  <r>
    <d v="2022-02-23T00:00:00"/>
    <s v="BCI-3643619/57"/>
    <s v="Versement"/>
    <m/>
    <n v="2000000"/>
    <m/>
    <n v="10473643"/>
    <s v="Caisse"/>
    <m/>
    <x v="0"/>
    <m/>
    <s v="CONGO"/>
    <m/>
    <m/>
    <m/>
  </r>
  <r>
    <d v="2022-02-23T00:00:00"/>
    <s v="Godfre"/>
    <s v="Versement"/>
    <m/>
    <m/>
    <n v="91000"/>
    <n v="10382643"/>
    <s v="Caisse"/>
    <m/>
    <x v="0"/>
    <m/>
    <s v="CONGO"/>
    <m/>
    <m/>
    <m/>
  </r>
  <r>
    <d v="2022-02-23T00:00:00"/>
    <s v="Grace"/>
    <s v="Versement"/>
    <m/>
    <m/>
    <n v="100000"/>
    <n v="10282643"/>
    <s v="Caisse"/>
    <m/>
    <x v="0"/>
    <m/>
    <s v="CONGO"/>
    <m/>
    <m/>
    <m/>
  </r>
  <r>
    <d v="2022-02-23T00:00:00"/>
    <s v="Retrait especes/appro caisse/bord n°3643619"/>
    <s v="Versement"/>
    <m/>
    <m/>
    <n v="2000000"/>
    <n v="8282643"/>
    <s v="BCI-Sous Compte"/>
    <m/>
    <x v="0"/>
    <m/>
    <s v="CONGO"/>
    <m/>
    <m/>
    <m/>
  </r>
  <r>
    <d v="2022-02-23T00:00:00"/>
    <s v="Reçu Caisse /Budget 02 Policiers"/>
    <s v="Versement"/>
    <m/>
    <n v="100000"/>
    <m/>
    <n v="8382643"/>
    <s v="Grace"/>
    <m/>
    <x v="0"/>
    <m/>
    <s v="CONGO"/>
    <m/>
    <m/>
    <m/>
  </r>
  <r>
    <d v="2022-02-23T00:00:00"/>
    <s v="Cumul Ration Journalière 02 policiers (après la route fait de Makoua à brazzaville/du soir) "/>
    <s v="Travel Subsistence"/>
    <s v="Opération"/>
    <m/>
    <n v="20100"/>
    <n v="8362543"/>
    <s v="Grace"/>
    <s v="Oui"/>
    <x v="2"/>
    <s v="PALF"/>
    <s v="CONGO"/>
    <m/>
    <m/>
    <m/>
  </r>
  <r>
    <d v="2022-02-23T00:00:00"/>
    <s v="Cumul ration du 23/02/2022 de 04 gendarmes(DOUNIAMA,MVIRI Farel, OBAMI Ger, NYANGA Marien)"/>
    <s v="Travel Subsistence"/>
    <s v="Opération"/>
    <m/>
    <n v="26000"/>
    <n v="8336543"/>
    <s v="Crépin"/>
    <s v="Oui"/>
    <x v="2"/>
    <s v="PALF"/>
    <s v="CONGO"/>
    <m/>
    <m/>
    <m/>
  </r>
  <r>
    <d v="2022-02-23T00:00:00"/>
    <s v="Transfert à Godfré"/>
    <s v="Versement"/>
    <m/>
    <m/>
    <n v="350000"/>
    <n v="7986543"/>
    <s v="Crépin"/>
    <m/>
    <x v="0"/>
    <m/>
    <s v="CONGO"/>
    <m/>
    <m/>
    <m/>
  </r>
  <r>
    <d v="2022-02-23T00:00:00"/>
    <s v="Reçu caisse de crépin"/>
    <s v="Versement"/>
    <m/>
    <n v="350000"/>
    <m/>
    <n v="8336543"/>
    <s v="Godfré"/>
    <m/>
    <x v="0"/>
    <m/>
    <s v="CONGO"/>
    <m/>
    <m/>
    <m/>
  </r>
  <r>
    <d v="2022-02-23T00:00:00"/>
    <s v="Frais de location de véhicule(acheminer Armel de MAKOUA à Brazzaville)"/>
    <s v="Transport"/>
    <s v="Opération"/>
    <m/>
    <n v="550000"/>
    <n v="7786543"/>
    <s v="Godfré"/>
    <s v="Oui"/>
    <x v="2"/>
    <s v="PALF"/>
    <s v="CONGO"/>
    <m/>
    <m/>
    <m/>
  </r>
  <r>
    <d v="2022-02-23T00:00:00"/>
    <s v="Achat boissons et sandwich des policiers pendant le voyage de MAKOUA à BZV"/>
    <s v="Travel Subsistence"/>
    <s v="Legal"/>
    <m/>
    <n v="4800"/>
    <n v="7781743"/>
    <s v="Godfré"/>
    <s v="Décharge"/>
    <x v="2"/>
    <s v="PALF"/>
    <s v="CONGO"/>
    <m/>
    <m/>
    <m/>
  </r>
  <r>
    <d v="2022-02-23T00:00:00"/>
    <s v="Reçu caisse"/>
    <s v="Versement"/>
    <m/>
    <n v="91000"/>
    <m/>
    <n v="7872743"/>
    <s v="Godfré"/>
    <m/>
    <x v="0"/>
    <m/>
    <s v="CONGO"/>
    <m/>
    <m/>
    <m/>
  </r>
  <r>
    <d v="2022-02-23T00:00:00"/>
    <s v="Achat billet BZ-Loudima (cfr mission Sibiti)/I23C"/>
    <s v="Transport"/>
    <s v="Investigation"/>
    <m/>
    <n v="10000"/>
    <n v="7862743"/>
    <s v="i23c"/>
    <s v="Oui"/>
    <x v="1"/>
    <s v="RALFF"/>
    <s v="CONGO"/>
    <s v="RALFF-CO3082"/>
    <s v="2.2"/>
    <m/>
  </r>
  <r>
    <d v="2022-02-23T00:00:00"/>
    <s v="Réçu caisse"/>
    <s v="Versement"/>
    <m/>
    <n v="151000"/>
    <m/>
    <n v="8013743"/>
    <s v="i23c"/>
    <m/>
    <x v="0"/>
    <m/>
    <s v="CONGO"/>
    <m/>
    <m/>
    <m/>
  </r>
  <r>
    <d v="2022-02-23T00:00:00"/>
    <s v="Recu de caisse"/>
    <s v="Versement"/>
    <m/>
    <n v="171000"/>
    <m/>
    <n v="8184743"/>
    <s v="P29"/>
    <m/>
    <x v="0"/>
    <m/>
    <s v="CONGO"/>
    <m/>
    <m/>
    <m/>
  </r>
  <r>
    <d v="2022-02-23T00:00:00"/>
    <s v="Achat billet  bzv-loudima"/>
    <s v="Transport"/>
    <s v="Investigations"/>
    <m/>
    <n v="10000"/>
    <n v="8174743"/>
    <s v="P29"/>
    <s v="Oui"/>
    <x v="1"/>
    <s v="RALFF"/>
    <s v="CONGO"/>
    <s v="RALFF-CO3083"/>
    <s v="2.2"/>
    <m/>
  </r>
  <r>
    <d v="2022-02-24T00:00:00"/>
    <s v="GODFRE-CONGO Food Allowance du 24/02/2022 au à 2/03/2022à Dolisie et à P/N"/>
    <s v="Travel Subsistence"/>
    <s v="Legal"/>
    <m/>
    <n v="60000"/>
    <n v="8114743"/>
    <s v="Godfré"/>
    <s v="Oui"/>
    <x v="1"/>
    <s v="RALFF"/>
    <s v="CONGO"/>
    <s v="RALFF-CO3084"/>
    <s v="1.3.2"/>
    <m/>
  </r>
  <r>
    <d v="2022-02-24T00:00:00"/>
    <s v="I23C - CONGO Food allowance mission Sibiti du 24 au 28 février 2022"/>
    <s v="Travel Subsistence"/>
    <s v="Investigations"/>
    <m/>
    <n v="40000"/>
    <n v="8074743"/>
    <s v="i23c"/>
    <s v="Oui"/>
    <x v="1"/>
    <s v="RALFF"/>
    <s v="CONGO"/>
    <s v="RALFF-CO3085"/>
    <s v="1.3.2"/>
    <m/>
  </r>
  <r>
    <d v="2022-02-24T00:00:00"/>
    <s v="Crepin"/>
    <s v="Versement"/>
    <m/>
    <m/>
    <n v="701000"/>
    <n v="7373743"/>
    <s v="Caisse"/>
    <m/>
    <x v="0"/>
    <m/>
    <s v="CONGO"/>
    <m/>
    <m/>
    <m/>
  </r>
  <r>
    <d v="2022-02-24T00:00:00"/>
    <s v="Evariste"/>
    <s v="Versement"/>
    <m/>
    <m/>
    <n v="117000"/>
    <n v="7256743"/>
    <s v="Caisse"/>
    <m/>
    <x v="0"/>
    <m/>
    <s v="CONGO"/>
    <m/>
    <m/>
    <m/>
  </r>
  <r>
    <d v="2022-02-24T00:00:00"/>
    <s v="Frais de transfert Charden farell/Crépin"/>
    <s v="Transfer Fees"/>
    <s v="Office"/>
    <m/>
    <n v="24540"/>
    <n v="7232203"/>
    <s v="Caisse"/>
    <s v="Oui"/>
    <x v="1"/>
    <s v="RALFF"/>
    <s v="CONGO"/>
    <s v="RALFF-CO3086"/>
    <s v="5.6"/>
    <m/>
  </r>
  <r>
    <d v="2022-02-24T00:00:00"/>
    <s v="Frais d'Hotel granilia 01 nuitées pour 02 policiers du 23 au 24 /02/2022 /Brazzaville (Cas Armel)"/>
    <s v="Travel Subsistence"/>
    <s v="Opération"/>
    <m/>
    <n v="30000"/>
    <n v="7202203"/>
    <s v="Grace"/>
    <s v="Oui"/>
    <x v="2"/>
    <s v="PALF"/>
    <s v="CONGO"/>
    <m/>
    <m/>
    <m/>
  </r>
  <r>
    <d v="2022-02-24T00:00:00"/>
    <s v="Bonus Autorités / 02 Policiers "/>
    <s v="Bonus"/>
    <s v="Opération"/>
    <m/>
    <n v="20000"/>
    <n v="7182203"/>
    <s v="Grace"/>
    <s v="Décharge"/>
    <x v="2"/>
    <s v="PALF"/>
    <s v="CONGO"/>
    <m/>
    <m/>
    <m/>
  </r>
  <r>
    <d v="2022-02-24T00:00:00"/>
    <s v="Cumul frais de Jail visit Mois Février 2022/Crépin"/>
    <s v="Jail visits"/>
    <s v="Management"/>
    <m/>
    <n v="9000"/>
    <n v="7173203"/>
    <s v="Crépin"/>
    <s v="Décharge"/>
    <x v="2"/>
    <s v="PALF"/>
    <s v="CONGO"/>
    <m/>
    <m/>
    <m/>
  </r>
  <r>
    <d v="2022-02-24T00:00:00"/>
    <s v="Cumul ration du 24/02/2022 de 04 gendarmes(DOUNIAMA,MVIRI Farel, OBAMI Ger, NYANGA Marien)"/>
    <s v="Travel Subsistence"/>
    <s v="Opération"/>
    <m/>
    <n v="26500"/>
    <n v="7146703"/>
    <s v="Crépin"/>
    <s v="Oui"/>
    <x v="2"/>
    <s v="PALF"/>
    <s v="CONGO"/>
    <m/>
    <m/>
    <m/>
  </r>
  <r>
    <d v="2022-02-24T00:00:00"/>
    <s v="Reçu de caisse"/>
    <s v="Versement"/>
    <m/>
    <n v="701000"/>
    <m/>
    <n v="7847703"/>
    <s v="Crépin"/>
    <m/>
    <x v="0"/>
    <m/>
    <s v="CONGO"/>
    <m/>
    <m/>
    <m/>
  </r>
  <r>
    <d v="2022-02-24T00:00:00"/>
    <s v="Cumul ration du 24/02/2022 de 02 policiers (NIMI Alphonse et MALONGA Hervé)"/>
    <s v="Travel Subsistence"/>
    <s v="Opération"/>
    <m/>
    <n v="14000"/>
    <n v="7833703"/>
    <s v="Crépin"/>
    <s v="Oui"/>
    <x v="2"/>
    <s v="PALF"/>
    <s v="CONGO"/>
    <m/>
    <m/>
    <m/>
  </r>
  <r>
    <d v="2022-02-24T00:00:00"/>
    <s v="Reçu de la caisse"/>
    <s v="Versement"/>
    <m/>
    <n v="117000"/>
    <m/>
    <n v="7950703"/>
    <s v="Evariste"/>
    <m/>
    <x v="0"/>
    <m/>
    <s v="CONGO"/>
    <m/>
    <m/>
    <m/>
  </r>
  <r>
    <d v="2022-02-24T00:00:00"/>
    <s v="Impression des photos des trafs au Labo photo Khanisoft"/>
    <s v="Office Materials"/>
    <s v="Operation"/>
    <m/>
    <n v="8000"/>
    <n v="7942703"/>
    <s v="Evariste"/>
    <s v="Oui"/>
    <x v="2"/>
    <s v="PALF"/>
    <s v="CONGO"/>
    <m/>
    <m/>
    <m/>
  </r>
  <r>
    <d v="2022-02-24T00:00:00"/>
    <s v="Achat billet départ Brazzaville -Dolisie/Godfré"/>
    <s v="Transport"/>
    <s v="Legal"/>
    <m/>
    <n v="10000"/>
    <n v="7932703"/>
    <s v="Godfré"/>
    <s v="Oui"/>
    <x v="1"/>
    <s v="RALFF"/>
    <s v="CONGO"/>
    <s v="RALFF-CO3087"/>
    <s v="2.2"/>
    <m/>
  </r>
  <r>
    <d v="2022-02-24T00:00:00"/>
    <s v="Taxi Loudima - Sibiti (départ pour Sibiti)/I23C"/>
    <s v="Transport"/>
    <s v="Investigation"/>
    <m/>
    <n v="4000"/>
    <n v="7928703"/>
    <s v="i23c"/>
    <s v="Oui"/>
    <x v="1"/>
    <s v="RALFF"/>
    <s v="CONGO"/>
    <s v="RALFF-CO3088"/>
    <s v="2.2"/>
    <m/>
  </r>
  <r>
    <d v="2022-02-24T00:00:00"/>
    <s v="Achat billet loudima-sibiti/P29"/>
    <s v="Transport"/>
    <s v="Investigations"/>
    <m/>
    <n v="4000"/>
    <n v="7924703"/>
    <s v="P29"/>
    <s v="Oui"/>
    <x v="1"/>
    <s v="RALFF"/>
    <s v="CONGO"/>
    <s v="RALFF-CO3089"/>
    <s v="2.2"/>
    <m/>
  </r>
  <r>
    <d v="2022-02-24T00:00:00"/>
    <s v="P29 - CONGO Food allowance mission du 24 au 01/03/2022 à Sibiti"/>
    <s v="Travel Subsistence"/>
    <s v="Investigations"/>
    <m/>
    <n v="50000"/>
    <n v="7874703"/>
    <s v="P29"/>
    <s v="Decharge"/>
    <x v="1"/>
    <s v="RALFF"/>
    <s v="CONGO"/>
    <s v="RALFF-CO3090"/>
    <s v="1.3.2"/>
    <m/>
  </r>
  <r>
    <d v="2022-02-25T00:00:00"/>
    <s v="Reçu caisse"/>
    <s v="Versement"/>
    <m/>
    <n v="97000"/>
    <m/>
    <n v="7971703"/>
    <s v="Godfré"/>
    <m/>
    <x v="0"/>
    <m/>
    <s v="CONGO"/>
    <m/>
    <m/>
    <m/>
  </r>
  <r>
    <d v="2022-02-25T00:00:00"/>
    <s v="Reglément Facture Congo Telecom Redevance Mars 2022"/>
    <s v="Internet"/>
    <s v="Office"/>
    <m/>
    <n v="89175"/>
    <n v="7882528"/>
    <s v="Caisse"/>
    <s v="Oui"/>
    <x v="1"/>
    <s v="RALFF"/>
    <s v="CONGO"/>
    <s v="RALFF-CO3091"/>
    <s v="4.5"/>
    <m/>
  </r>
  <r>
    <d v="2022-02-25T00:00:00"/>
    <s v="Frais de mission à pointe-Noire du 27/02 AU 01/03/2022,cas Jimmy/Me Anicet NGOMA-MOUSSAHOU"/>
    <s v="Lawyer Fees"/>
    <s v="Legal"/>
    <m/>
    <n v="111000"/>
    <n v="7771528"/>
    <s v="Caisse"/>
    <s v="Oui"/>
    <x v="1"/>
    <s v="RALFF"/>
    <s v="CONGO"/>
    <s v="RALFF-CO3092"/>
    <s v="5.2.2"/>
    <m/>
  </r>
  <r>
    <d v="2022-02-25T00:00:00"/>
    <s v="Godfre"/>
    <s v="Versement"/>
    <m/>
    <m/>
    <n v="97000"/>
    <n v="7674528"/>
    <s v="Caisse"/>
    <m/>
    <x v="0"/>
    <m/>
    <s v="CONGO"/>
    <m/>
    <m/>
    <m/>
  </r>
  <r>
    <d v="2022-02-25T00:00:00"/>
    <s v="Crepin"/>
    <s v="Versement"/>
    <m/>
    <m/>
    <n v="60000"/>
    <n v="7614528"/>
    <s v="Caisse"/>
    <m/>
    <x v="0"/>
    <m/>
    <s v="CONGO"/>
    <m/>
    <m/>
    <m/>
  </r>
  <r>
    <d v="2022-02-25T00:00:00"/>
    <s v="Complément Frais de mission à OYO du 25 au 26/02/2022 maitre Marie Hélène NANITELAMIO"/>
    <s v="Lawyer Fees"/>
    <s v="Legal"/>
    <m/>
    <n v="27000"/>
    <n v="7587528"/>
    <s v="Caisse"/>
    <s v="Oui"/>
    <x v="1"/>
    <s v="RALFF"/>
    <s v="CONGO"/>
    <s v="RALFF-CO3093"/>
    <s v="5.2.2"/>
    <m/>
  </r>
  <r>
    <d v="2022-02-25T00:00:00"/>
    <s v="Frais de transfert charden farell à Evariste"/>
    <s v="Transfer Fees"/>
    <s v="Office"/>
    <m/>
    <n v="5970"/>
    <n v="7581558"/>
    <s v="Caisse"/>
    <s v="Oui"/>
    <x v="1"/>
    <s v="RALFF"/>
    <s v="CONGO"/>
    <s v="RALFF-CO3094"/>
    <s v="5.6"/>
    <m/>
  </r>
  <r>
    <d v="2022-02-25T00:00:00"/>
    <s v="Paiment Salaire Mois Février 2022/Grace MOLENDE"/>
    <s v="Personnel"/>
    <s v="Management"/>
    <m/>
    <n v="350000"/>
    <n v="7231558"/>
    <s v="BCI-Sous Compte"/>
    <s v="Virement"/>
    <x v="1"/>
    <s v="RALFF"/>
    <s v="CONGO"/>
    <s v="RALFF-CO3095"/>
    <s v="1.1.2.1"/>
    <m/>
  </r>
  <r>
    <d v="2022-02-25T00:00:00"/>
    <s v="Paiment Salaire Mois Février 2022/Merveille MAHANGA"/>
    <s v="Personnel"/>
    <s v="Management"/>
    <m/>
    <n v="300000"/>
    <n v="6931558"/>
    <s v="BCI-Sous Compte"/>
    <n v="3643620"/>
    <x v="1"/>
    <s v="RALFF"/>
    <s v="CONGO"/>
    <s v="RALFF-CO3096"/>
    <s v="1.1.2.1"/>
    <m/>
  </r>
  <r>
    <d v="2022-02-25T00:00:00"/>
    <s v="Paiment Salaire Mois Février 2022/Evariste LELOUSSI"/>
    <s v="Personnel"/>
    <s v="Media"/>
    <m/>
    <n v="234309"/>
    <n v="6697249"/>
    <s v="BCI-Sous Compte"/>
    <n v="3643621"/>
    <x v="1"/>
    <s v="RALFF"/>
    <s v="CONGO"/>
    <s v="RALFF-CO3097"/>
    <s v="1.1.1.4"/>
    <m/>
  </r>
  <r>
    <d v="2022-02-25T00:00:00"/>
    <s v="Paiment Salaire Mois Février 2022/Godfré MALONGA"/>
    <s v="Personnel"/>
    <s v="Legal"/>
    <m/>
    <n v="193600"/>
    <n v="6503649"/>
    <s v="BCI-Sous Compte"/>
    <n v="3643622"/>
    <x v="1"/>
    <s v="RALFF"/>
    <s v="CONGO"/>
    <s v="RALFF-CO3098"/>
    <s v="1.1.1.7"/>
    <m/>
  </r>
  <r>
    <d v="2022-02-25T00:00:00"/>
    <s v="Paiment Salaire Mois Février 2022/Crépin Evariste IBOUILI-IBOUILI"/>
    <s v="Personnel"/>
    <s v="Legal"/>
    <m/>
    <n v="357982"/>
    <n v="6145667"/>
    <s v="BCI-Sous Compte"/>
    <n v="3643623"/>
    <x v="1"/>
    <s v="RALFF"/>
    <s v="CONGO"/>
    <s v="RALFF-CO3099"/>
    <s v="1.1.1.7"/>
    <m/>
  </r>
  <r>
    <d v="2022-02-25T00:00:00"/>
    <s v="Reglement facture honoraire du mois de Février 2022/I23C/chq n°3643624"/>
    <s v="Personnel"/>
    <s v="Investigation"/>
    <m/>
    <n v="615000"/>
    <n v="5530667"/>
    <s v="BCI-Sous Compte"/>
    <n v="3643624"/>
    <x v="1"/>
    <s v="RALFF"/>
    <s v="CONGO"/>
    <s v="RALFF-CO3100"/>
    <s v="1.1.1.9"/>
    <m/>
  </r>
  <r>
    <d v="2022-02-25T00:00:00"/>
    <s v="Reglement facture honoraire du mois de Février 2022/P29/chq n°3643626"/>
    <s v="Personnel"/>
    <s v="Investigation"/>
    <m/>
    <n v="395000"/>
    <n v="5135667"/>
    <s v="BCI-Sous Compte"/>
    <n v="3643626"/>
    <x v="1"/>
    <s v="RALFF"/>
    <s v="CONGO"/>
    <s v="RALFF-CO3101"/>
    <s v="1.1.1.9"/>
    <m/>
  </r>
  <r>
    <d v="2022-02-25T00:00:00"/>
    <s v="Cumul frais de transport local mois de Février 2022/Merveille"/>
    <s v="Transport"/>
    <s v="Management"/>
    <m/>
    <n v="58200"/>
    <n v="5077467"/>
    <s v="Merveille"/>
    <s v="Décharge"/>
    <x v="1"/>
    <s v="RALFF"/>
    <s v="CONGO"/>
    <s v="RALFF-CO3102"/>
    <s v="2.2"/>
    <m/>
  </r>
  <r>
    <d v="2022-02-25T00:00:00"/>
    <s v="Billets pour 02 policiers: Oyo-Makoua/Crépin"/>
    <s v="Transport"/>
    <s v="Operation"/>
    <m/>
    <n v="16000"/>
    <n v="5061467"/>
    <s v="Crépin"/>
    <s v="Oui"/>
    <x v="2"/>
    <s v="PALF"/>
    <s v="CONGO"/>
    <m/>
    <m/>
    <m/>
  </r>
  <r>
    <d v="2022-02-25T00:00:00"/>
    <s v="Frais d'Hotel 01 Nuitée du 24 au 25/02/2022 pour 02 policiers à Oyo (NIMI Alphonse et MALONGA Hervé)"/>
    <s v="Travel Subsistence"/>
    <s v="Opération"/>
    <m/>
    <n v="30000"/>
    <n v="5031467"/>
    <s v="Crépin"/>
    <s v="Oui"/>
    <x v="2"/>
    <s v="PALF"/>
    <s v="CONGO"/>
    <m/>
    <m/>
    <m/>
  </r>
  <r>
    <d v="2022-02-25T00:00:00"/>
    <s v="Reçu de caisse"/>
    <s v="Versement"/>
    <m/>
    <n v="60000"/>
    <m/>
    <n v="5091467"/>
    <s v="Crépin"/>
    <m/>
    <x v="0"/>
    <m/>
    <s v="CONGO"/>
    <m/>
    <m/>
    <m/>
  </r>
  <r>
    <d v="2022-02-25T00:00:00"/>
    <s v="Frais de l'impression de la procédure EF"/>
    <s v="Office Materials"/>
    <s v="Operation"/>
    <m/>
    <n v="7950"/>
    <n v="5083517"/>
    <s v="Crépin"/>
    <s v="Oui"/>
    <x v="2"/>
    <s v="PALF"/>
    <s v="CONGO"/>
    <m/>
    <m/>
    <m/>
  </r>
  <r>
    <d v="2022-02-25T00:00:00"/>
    <s v="Frais de l'impression de la procédure de la gendarmerie"/>
    <s v="Office Materials"/>
    <s v="Operation"/>
    <m/>
    <n v="46200"/>
    <n v="5037317"/>
    <s v="Crépin"/>
    <s v="Oui"/>
    <x v="2"/>
    <s v="PALF"/>
    <s v="CONGO"/>
    <m/>
    <m/>
    <m/>
  </r>
  <r>
    <d v="2022-02-25T00:00:00"/>
    <s v="Frais de transport Oyo-Owando pour les 04 gendarmes (DOUNIAMA,MVIRI Farel, OBAMI Ger, NYANGA Marien)"/>
    <s v="Transport"/>
    <s v="Operation"/>
    <m/>
    <n v="20000"/>
    <n v="5017317"/>
    <s v="Crépin"/>
    <s v="Oui"/>
    <x v="2"/>
    <s v="PALF"/>
    <s v="CONGO"/>
    <m/>
    <m/>
    <m/>
  </r>
  <r>
    <d v="2022-02-25T00:00:00"/>
    <s v="Frais d'Hotel 07 Nuitées pour 4 gendarmes du 19 au 26/02/2022 (DOUNIAMA,MVIRI Farel, OBAMI Ger, NYANGA Marien)"/>
    <s v="Travel Subsistence"/>
    <s v="Opération"/>
    <m/>
    <n v="420000"/>
    <n v="4597317"/>
    <s v="Crépin"/>
    <s v="Oui"/>
    <x v="2"/>
    <s v="PALF"/>
    <s v="CONGO"/>
    <m/>
    <m/>
    <m/>
  </r>
  <r>
    <d v="2022-02-25T00:00:00"/>
    <s v="Cumul ration du 25/02/2022 de 04 gendarmes(DOUNIAMA,MVIRI Farel, OBAMI Ger, NYANGA Marien)"/>
    <s v="Travel Subsistence"/>
    <s v="Opération"/>
    <m/>
    <n v="26000"/>
    <n v="4571317"/>
    <s v="Crépin"/>
    <s v="Oui"/>
    <x v="2"/>
    <s v="PALF"/>
    <s v="CONGO"/>
    <m/>
    <m/>
    <m/>
  </r>
  <r>
    <d v="2022-02-25T00:00:00"/>
    <s v="Billet: Oyo-Brazzaville/Crépin"/>
    <s v="Transport"/>
    <s v="Management"/>
    <m/>
    <n v="10000"/>
    <n v="4561317"/>
    <s v="Crépin"/>
    <s v="Oui"/>
    <x v="1"/>
    <s v="RALFF"/>
    <s v="CONGO"/>
    <s v="RALFF-CO3103"/>
    <s v="2.2"/>
    <m/>
  </r>
  <r>
    <d v="2022-02-25T00:00:00"/>
    <s v="Cumul frais Jail visits mois de Février 2022/EVARISTE LELOUSSI"/>
    <s v="Jail visits"/>
    <s v="Legal"/>
    <m/>
    <n v="63650"/>
    <n v="4497667"/>
    <s v="Evariste"/>
    <s v="Décharge"/>
    <x v="2"/>
    <s v="PALF"/>
    <s v="CONGO"/>
    <m/>
    <m/>
    <m/>
  </r>
  <r>
    <d v="2022-02-25T00:00:00"/>
    <s v="Achat billet Oyo-Brazzaville/Evariste"/>
    <s v="Transport"/>
    <s v="Media"/>
    <m/>
    <n v="10000"/>
    <n v="4487667"/>
    <s v="Evariste"/>
    <s v="Oui"/>
    <x v="1"/>
    <s v="RALFF"/>
    <s v="CONGO"/>
    <s v="RALFF-CO3104"/>
    <s v="2.2"/>
    <m/>
  </r>
  <r>
    <d v="2022-02-26T00:00:00"/>
    <s v="CREPIN IBOUILI - CONGO Frais d'Hotel 07 Nuitées à Oyo du 19 au 26/02/2022"/>
    <s v="Travel Subsistence"/>
    <s v="Opération"/>
    <m/>
    <n v="105000"/>
    <n v="4382667"/>
    <s v="Crépin"/>
    <s v="Oui"/>
    <x v="1"/>
    <s v="RALFF"/>
    <s v="CONGO"/>
    <s v="RALFF-CO3105"/>
    <s v="1.3.2"/>
    <m/>
  </r>
  <r>
    <d v="2022-02-26T00:00:00"/>
    <s v="EVARISTE LELOUSSI - CONGO Frais d'hôtel du 18 au 26 février 2022 (8 nuités)"/>
    <s v="Travel Subsistence"/>
    <s v="Media"/>
    <m/>
    <n v="120000"/>
    <n v="4262667"/>
    <s v="Evariste"/>
    <s v="Oui"/>
    <x v="1"/>
    <s v="RALFF"/>
    <s v="CONGO"/>
    <s v="RALFF-CO3106"/>
    <s v="1.3.2"/>
    <m/>
  </r>
  <r>
    <d v="2022-02-26T00:00:00"/>
    <s v="GODFRE - CONGO Frais d'hôtel 02 nuitées du 24/02 au 26/02/2022 à Dolisie"/>
    <s v="Travel Subsistence"/>
    <s v="Legal"/>
    <m/>
    <n v="30000"/>
    <n v="4232667"/>
    <s v="Godfré"/>
    <s v="Oui"/>
    <x v="1"/>
    <s v="RALFF"/>
    <s v="CONGO"/>
    <s v="RALFF-CO3107"/>
    <s v="1.3.2"/>
    <m/>
  </r>
  <r>
    <d v="2022-02-26T00:00:00"/>
    <s v="Cumul frais de transport local Février 2022/Crépin"/>
    <s v="Transport"/>
    <s v="Management"/>
    <m/>
    <n v="88500"/>
    <n v="4144167"/>
    <s v="Crépin"/>
    <s v="Décharge"/>
    <x v="1"/>
    <s v="RALFF"/>
    <s v="CONGO"/>
    <s v="RALFF-CO3108"/>
    <s v="2.2"/>
    <m/>
  </r>
  <r>
    <d v="2022-02-26T00:00:00"/>
    <s v="Cumul Frais de Transport Local du mois  Février 2022/Evariste LELOUSSI"/>
    <s v="Transport"/>
    <s v="Media"/>
    <m/>
    <n v="69500"/>
    <n v="4074667"/>
    <s v="Evariste"/>
    <s v="Décharge"/>
    <x v="1"/>
    <s v="RALFF"/>
    <s v="CONGO"/>
    <s v="RALFF-CO3109"/>
    <s v="2.2"/>
    <m/>
  </r>
  <r>
    <d v="2022-02-26T00:00:00"/>
    <s v="Cumul frais de jail visits du mois de Février 2022/Godfré"/>
    <s v="Jail visits"/>
    <s v="Legal"/>
    <m/>
    <n v="13000"/>
    <n v="4061667"/>
    <s v="Godfré"/>
    <s v="Décharge"/>
    <x v="2"/>
    <s v="PALF"/>
    <s v="CONGO"/>
    <m/>
    <m/>
    <m/>
  </r>
  <r>
    <d v="2022-02-26T00:00:00"/>
    <s v="Achat billet départ Dolisie - Pointe-Noire/Godfré"/>
    <s v="Transport"/>
    <s v="Legal"/>
    <m/>
    <n v="5000"/>
    <n v="4056667"/>
    <s v="Godfré"/>
    <s v="Oui"/>
    <x v="1"/>
    <s v="RALFF"/>
    <s v="CONGO"/>
    <s v="RALFF-CO3110"/>
    <s v="2.2"/>
    <m/>
  </r>
  <r>
    <d v="2022-02-26T00:00:00"/>
    <s v="P29 - CONGO Frais Hôtel 2 nuitées du 24 au 26/02/2022 à zanaga"/>
    <s v="Travel Subsistence"/>
    <s v="Investigations"/>
    <m/>
    <n v="30000"/>
    <n v="4026667"/>
    <s v="P29"/>
    <s v="Oui"/>
    <x v="1"/>
    <s v="RALFF"/>
    <s v="CONGO"/>
    <s v="RALFF-CO3111"/>
    <s v="1.3.2"/>
    <m/>
  </r>
  <r>
    <d v="2022-02-26T00:00:00"/>
    <s v="Achat billet sibiti-zanaga/P29"/>
    <s v="Transport"/>
    <s v="Investigations"/>
    <m/>
    <n v="10000"/>
    <n v="4046667"/>
    <s v="P29"/>
    <s v="Oui"/>
    <x v="1"/>
    <s v="RALFF"/>
    <s v="CONGO"/>
    <s v="RALFF-CO3112"/>
    <s v="2.2"/>
    <m/>
  </r>
  <r>
    <d v="2022-02-27T00:00:00"/>
    <s v="Cumul frais de trust building du mois Février 2022/I23C"/>
    <s v="Trust building"/>
    <s v="Investigations"/>
    <m/>
    <n v="112500"/>
    <n v="3934167"/>
    <s v="i23c"/>
    <s v="Décharge"/>
    <x v="2"/>
    <s v="PALF"/>
    <s v="CONGO"/>
    <m/>
    <m/>
    <m/>
  </r>
  <r>
    <d v="2022-02-27T00:00:00"/>
    <s v="Cumul Frais de Trust Building du Mois Février 2022/P29"/>
    <s v="Trust building"/>
    <s v="Investigations"/>
    <m/>
    <n v="131000"/>
    <n v="3803167"/>
    <s v="P29"/>
    <s v="Decharge"/>
    <x v="2"/>
    <s v="PALF"/>
    <s v="CONGO"/>
    <m/>
    <m/>
    <m/>
  </r>
  <r>
    <d v="2022-02-28T00:00:00"/>
    <s v="GODFRE - CONGO Frais d'hôtel du 26/02 au 28/02/2022 à Pointe Noire"/>
    <s v="Travel Subsistence"/>
    <s v="Legal"/>
    <m/>
    <n v="30000"/>
    <n v="3773167"/>
    <s v="Godfré"/>
    <s v="Oui"/>
    <x v="1"/>
    <s v="RALFF"/>
    <s v="CONGO"/>
    <s v="RALFF-CO3113"/>
    <s v="1.3.2"/>
    <m/>
  </r>
  <r>
    <d v="2022-02-28T00:00:00"/>
    <s v="I23C - CONGO Frais Hôtel 4 nuitées du 24 au 28 févr 2022 Sibiti"/>
    <s v="Travel Subsistence"/>
    <s v="Investigations"/>
    <m/>
    <n v="60000"/>
    <n v="3713167"/>
    <s v="i23c"/>
    <s v="Oui"/>
    <x v="1"/>
    <s v="RALFF"/>
    <s v="CONGO"/>
    <s v="RALFF-CO3114"/>
    <s v="1.3.2"/>
    <m/>
  </r>
  <r>
    <d v="2022-02-28T00:00:00"/>
    <s v="Grace/Remboursement dernière tranche frais telephone acquis le 04/10/2022"/>
    <s v="Versement"/>
    <m/>
    <n v="20000"/>
    <m/>
    <n v="3733167"/>
    <s v="Caisse"/>
    <m/>
    <x v="0"/>
    <m/>
    <s v="CONGO"/>
    <m/>
    <m/>
    <m/>
  </r>
  <r>
    <d v="2022-02-28T00:00:00"/>
    <s v="Crépin/retour Caisse"/>
    <s v="Versement"/>
    <m/>
    <n v="90000"/>
    <m/>
    <n v="3823167"/>
    <s v="Caisse"/>
    <m/>
    <x v="0"/>
    <m/>
    <s v="CONGO"/>
    <m/>
    <m/>
    <m/>
  </r>
  <r>
    <d v="2022-02-28T00:00:00"/>
    <s v="P29"/>
    <s v="Versement"/>
    <m/>
    <m/>
    <n v="42000"/>
    <n v="3781167"/>
    <s v="Caisse"/>
    <m/>
    <x v="0"/>
    <m/>
    <s v="CONGO"/>
    <m/>
    <m/>
    <m/>
  </r>
  <r>
    <d v="2022-02-28T00:00:00"/>
    <s v="Frais de transfert Maouene Express/P29"/>
    <s v="Transfer Fees"/>
    <s v="Office"/>
    <m/>
    <n v="1050"/>
    <n v="3780117"/>
    <s v="Caisse"/>
    <s v="Oui"/>
    <x v="1"/>
    <s v="RALFF"/>
    <s v="CONGO"/>
    <s v="RALFF-CO3115"/>
    <s v="5.6"/>
    <m/>
  </r>
  <r>
    <d v="2022-02-28T00:00:00"/>
    <s v="Cumul frais de Transport local mois de Fevrier 2022/Grace MOLENDE"/>
    <s v="Transport"/>
    <s v="Management"/>
    <m/>
    <n v="60300"/>
    <n v="3719817"/>
    <s v="Grace"/>
    <s v="Décharge"/>
    <x v="1"/>
    <s v="RALFF"/>
    <s v="CONGO"/>
    <s v="RALFF-CO3116"/>
    <s v="2.2"/>
    <m/>
  </r>
  <r>
    <d v="2022-02-28T00:00:00"/>
    <s v="Retour Caisse /Derrière tranche rembourssement téléphone acquis le 04/10/21"/>
    <s v="Versement"/>
    <m/>
    <m/>
    <n v="20000"/>
    <n v="3699817"/>
    <s v="Grace"/>
    <m/>
    <x v="0"/>
    <m/>
    <s v="CONGO"/>
    <m/>
    <m/>
    <m/>
  </r>
  <r>
    <d v="2022-02-28T00:00:00"/>
    <s v="Cumul frais transport local mois de Février 2022/Tiffany"/>
    <s v="Transport"/>
    <s v="Management"/>
    <m/>
    <n v="34500"/>
    <n v="3665317"/>
    <s v="Tiffany"/>
    <s v="Décharge"/>
    <x v="1"/>
    <s v="RALFF"/>
    <s v="CONGO"/>
    <s v="RALFF-CO3117"/>
    <s v="2.2"/>
    <m/>
  </r>
  <r>
    <d v="2022-02-28T00:00:00"/>
    <s v="Retour à la caisse"/>
    <s v="Versement"/>
    <m/>
    <m/>
    <n v="90000"/>
    <n v="3575317"/>
    <s v="Crépin"/>
    <m/>
    <x v="0"/>
    <m/>
    <s v="CONGO"/>
    <m/>
    <m/>
    <m/>
  </r>
  <r>
    <d v="2022-02-28T00:00:00"/>
    <s v="Cumul frais de transport local février 2022/Godfré"/>
    <s v="Transport"/>
    <s v="Legal"/>
    <m/>
    <n v="61400"/>
    <n v="3603917"/>
    <s v="Godfré"/>
    <s v="Décharge"/>
    <x v="1"/>
    <s v="RALFF"/>
    <s v="CONGO"/>
    <s v="RALFF-CO3118"/>
    <s v="2.2"/>
    <m/>
  </r>
  <r>
    <d v="2022-02-28T00:00:00"/>
    <s v="Taxi Sibiti- Loudima (départ pour Loudima)/I23C"/>
    <s v="Transport"/>
    <s v="Investigation"/>
    <m/>
    <n v="4000"/>
    <n v="3599917"/>
    <s v="i23c"/>
    <s v="Oui"/>
    <x v="1"/>
    <s v="RALFF"/>
    <s v="CONGO"/>
    <s v="RALFF-CO3119"/>
    <s v="2.2"/>
    <m/>
  </r>
  <r>
    <d v="2022-02-28T00:00:00"/>
    <s v="Taxi Loudima- Brazzaville (départ pour BZ)/I23C"/>
    <s v="Transport"/>
    <s v="Investigation"/>
    <m/>
    <n v="10000"/>
    <n v="3589917"/>
    <s v="i23c"/>
    <s v="Oui"/>
    <x v="1"/>
    <s v="RALFF"/>
    <s v="CONGO"/>
    <s v="RALFF-CO3120"/>
    <s v="2.2"/>
    <m/>
  </r>
  <r>
    <d v="2022-02-28T00:00:00"/>
    <s v="Cumul frais de transport local mois Février 2022/I23C"/>
    <s v="Transport"/>
    <s v="Investigation"/>
    <m/>
    <n v="76500"/>
    <n v="3513417"/>
    <s v="i23c"/>
    <s v="Décharge"/>
    <x v="1"/>
    <s v="RALFF"/>
    <s v="CONGO"/>
    <s v="RALFF-CO3121"/>
    <s v="2.2"/>
    <m/>
  </r>
  <r>
    <d v="2022-02-28T00:00:00"/>
    <s v="Cumul frais de transport local mois de février 2022/P29"/>
    <s v="Transport"/>
    <s v="Investigations"/>
    <m/>
    <n v="52500"/>
    <n v="3460917"/>
    <s v="P29"/>
    <s v="Decharge"/>
    <x v="1"/>
    <s v="RALFF"/>
    <s v="CONGO"/>
    <s v="RALFF-CO3122"/>
    <s v="2.2"/>
    <m/>
  </r>
  <r>
    <d v="2022-02-28T00:00:00"/>
    <s v="Recu de caisse"/>
    <s v="Versement"/>
    <m/>
    <n v="42000"/>
    <m/>
    <n v="3502917"/>
    <s v="P29"/>
    <m/>
    <x v="0"/>
    <m/>
    <s v="CONGO"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6" cacheId="49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6" firstHeaderRow="1" firstDataRow="1" firstDataCol="1"/>
  <pivotFields count="15">
    <pivotField numFmtId="171" showAll="0"/>
    <pivotField showAll="0"/>
    <pivotField showAll="0"/>
    <pivotField showAll="0"/>
    <pivotField showAll="0"/>
    <pivotField dataField="1" showAll="0"/>
    <pivotField numFmtId="165" showAll="0"/>
    <pivotField showAll="0"/>
    <pivotField showAll="0"/>
    <pivotField axis="axisRow" showAll="0">
      <items count="4">
        <item x="1"/>
        <item x="2"/>
        <item h="1" x="0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3">
    <i>
      <x/>
    </i>
    <i>
      <x v="1"/>
    </i>
    <i t="grand">
      <x/>
    </i>
  </rowItems>
  <colItems count="1">
    <i/>
  </colItems>
  <dataFields count="1">
    <dataField name="Somme de Spent" fld="5" baseField="0" baseItem="0" numFmtId="41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1" cacheId="48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AQ18" firstHeaderRow="1" firstDataRow="3" firstDataCol="1"/>
  <pivotFields count="15">
    <pivotField numFmtId="171" showAll="0"/>
    <pivotField showAll="0"/>
    <pivotField axis="axisCol" showAll="0">
      <items count="22">
        <item x="5"/>
        <item x="15"/>
        <item x="6"/>
        <item x="14"/>
        <item x="4"/>
        <item x="18"/>
        <item x="20"/>
        <item x="19"/>
        <item x="9"/>
        <item x="3"/>
        <item x="10"/>
        <item x="17"/>
        <item x="7"/>
        <item x="2"/>
        <item x="12"/>
        <item x="8"/>
        <item x="11"/>
        <item x="13"/>
        <item x="1"/>
        <item x="16"/>
        <item x="0"/>
        <item t="default"/>
      </items>
    </pivotField>
    <pivotField showAll="0"/>
    <pivotField dataField="1" showAll="0"/>
    <pivotField dataField="1" showAll="0"/>
    <pivotField numFmtId="165" showAll="0"/>
    <pivotField axis="axisRow" showAll="0">
      <items count="14">
        <item x="7"/>
        <item x="8"/>
        <item x="2"/>
        <item x="1"/>
        <item x="3"/>
        <item x="11"/>
        <item x="4"/>
        <item x="5"/>
        <item x="9"/>
        <item x="12"/>
        <item x="6"/>
        <item x="10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2">
    <field x="2"/>
    <field x="-2"/>
  </colFields>
  <colItems count="42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>
      <x v="18"/>
      <x/>
    </i>
    <i r="1" i="1">
      <x v="1"/>
    </i>
    <i>
      <x v="19"/>
      <x/>
    </i>
    <i r="1" i="1">
      <x v="1"/>
    </i>
    <i t="grand">
      <x/>
    </i>
    <i t="grand" i="1">
      <x/>
    </i>
  </colItems>
  <dataFields count="2">
    <dataField name="Somme de Spent" fld="5" baseField="0" baseItem="0"/>
    <dataField name="Somme de Received" fld="4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Q598"/>
  <sheetViews>
    <sheetView zoomScale="73" zoomScaleNormal="73" workbookViewId="0">
      <pane xSplit="1" topLeftCell="B1" activePane="topRight" state="frozen"/>
      <selection pane="topRight" activeCell="B142" sqref="B142"/>
    </sheetView>
  </sheetViews>
  <sheetFormatPr baseColWidth="10" defaultColWidth="11.42578125" defaultRowHeight="15"/>
  <cols>
    <col min="1" max="1" width="43.140625" style="5" customWidth="1"/>
    <col min="2" max="2" width="25.7109375" style="5" customWidth="1"/>
    <col min="3" max="3" width="28.28515625" style="5" customWidth="1"/>
    <col min="4" max="4" width="29.42578125" style="5" customWidth="1"/>
    <col min="5" max="5" width="19.5703125" style="5" customWidth="1"/>
    <col min="6" max="6" width="21" style="5" customWidth="1"/>
    <col min="7" max="7" width="21.85546875" style="5" customWidth="1"/>
    <col min="8" max="8" width="20.5703125" style="5" customWidth="1"/>
    <col min="9" max="9" width="19.7109375" style="5" customWidth="1"/>
    <col min="10" max="10" width="16.7109375" style="5" customWidth="1"/>
    <col min="11" max="11" width="18.7109375" style="5" customWidth="1"/>
    <col min="12" max="12" width="16" style="48" customWidth="1"/>
    <col min="13" max="13" width="18.7109375" style="48" customWidth="1"/>
    <col min="14" max="14" width="14.140625" style="48" customWidth="1"/>
    <col min="15" max="15" width="14.85546875" style="48" customWidth="1"/>
    <col min="16" max="16" width="11.42578125" style="5"/>
    <col min="17" max="17" width="2.85546875" style="278" customWidth="1"/>
    <col min="18" max="16384" width="11.42578125" style="5"/>
  </cols>
  <sheetData>
    <row r="2" spans="1:15" ht="15.75">
      <c r="A2" s="6" t="s">
        <v>37</v>
      </c>
      <c r="B2" s="6" t="s">
        <v>1</v>
      </c>
      <c r="C2" s="6">
        <v>44593</v>
      </c>
      <c r="D2" s="7" t="s">
        <v>38</v>
      </c>
      <c r="E2" s="7" t="s">
        <v>39</v>
      </c>
      <c r="F2" s="7" t="s">
        <v>40</v>
      </c>
      <c r="G2" s="7" t="s">
        <v>41</v>
      </c>
      <c r="H2" s="6">
        <v>44620</v>
      </c>
      <c r="I2" s="7" t="s">
        <v>42</v>
      </c>
      <c r="K2" s="47"/>
      <c r="L2" s="47" t="s">
        <v>43</v>
      </c>
      <c r="M2" s="47" t="s">
        <v>44</v>
      </c>
      <c r="N2" s="47" t="s">
        <v>45</v>
      </c>
      <c r="O2" s="47" t="s">
        <v>46</v>
      </c>
    </row>
    <row r="3" spans="1:15" ht="16.5">
      <c r="A3" s="60" t="str">
        <f>+K3</f>
        <v>B52</v>
      </c>
      <c r="B3" s="61" t="s">
        <v>4</v>
      </c>
      <c r="C3" s="63">
        <v>500</v>
      </c>
      <c r="D3" s="63">
        <f t="shared" ref="D3:D16" si="0">+L3</f>
        <v>50000</v>
      </c>
      <c r="E3" s="63">
        <f>+N3</f>
        <v>50500</v>
      </c>
      <c r="F3" s="63">
        <f>+M3</f>
        <v>0</v>
      </c>
      <c r="G3" s="63">
        <f t="shared" ref="G3:G14" si="1">+O3</f>
        <v>0</v>
      </c>
      <c r="H3" s="63">
        <v>0</v>
      </c>
      <c r="I3" s="63">
        <f>+C3+D3-E3-F3+G3</f>
        <v>0</v>
      </c>
      <c r="J3" s="9">
        <f>I3-H3</f>
        <v>0</v>
      </c>
      <c r="K3" s="47" t="s">
        <v>175</v>
      </c>
      <c r="L3" s="49">
        <v>50000</v>
      </c>
      <c r="M3" s="49">
        <v>0</v>
      </c>
      <c r="N3" s="49">
        <v>50500</v>
      </c>
      <c r="O3" s="49">
        <v>0</v>
      </c>
    </row>
    <row r="4" spans="1:15" ht="16.5">
      <c r="A4" s="60" t="str">
        <f>+K4</f>
        <v>BCI</v>
      </c>
      <c r="B4" s="61" t="s">
        <v>47</v>
      </c>
      <c r="C4" s="63">
        <v>2172028</v>
      </c>
      <c r="D4" s="63">
        <f t="shared" si="0"/>
        <v>0</v>
      </c>
      <c r="E4" s="63">
        <f>+N4</f>
        <v>283345</v>
      </c>
      <c r="F4" s="63">
        <f>+M4</f>
        <v>1000000</v>
      </c>
      <c r="G4" s="63">
        <f t="shared" si="1"/>
        <v>0</v>
      </c>
      <c r="H4" s="63">
        <v>888683</v>
      </c>
      <c r="I4" s="63">
        <f>+C4+D4-E4-F4+G4</f>
        <v>888683</v>
      </c>
      <c r="J4" s="9">
        <f t="shared" ref="J4:J11" si="2">I4-H4</f>
        <v>0</v>
      </c>
      <c r="K4" s="47" t="s">
        <v>24</v>
      </c>
      <c r="L4" s="49">
        <v>0</v>
      </c>
      <c r="M4" s="49">
        <v>1000000</v>
      </c>
      <c r="N4" s="49">
        <v>283345</v>
      </c>
      <c r="O4" s="49">
        <v>0</v>
      </c>
    </row>
    <row r="5" spans="1:15" ht="16.5">
      <c r="A5" s="60" t="str">
        <f t="shared" ref="A5:A7" si="3">+K5</f>
        <v>BCI-Sous Compte</v>
      </c>
      <c r="B5" s="61" t="s">
        <v>47</v>
      </c>
      <c r="C5" s="63">
        <v>14143094</v>
      </c>
      <c r="D5" s="63">
        <f t="shared" si="0"/>
        <v>0</v>
      </c>
      <c r="E5" s="63">
        <f>+N5</f>
        <v>4260592</v>
      </c>
      <c r="F5" s="63">
        <f>+M5</f>
        <v>9000000</v>
      </c>
      <c r="G5" s="63">
        <f t="shared" si="1"/>
        <v>0</v>
      </c>
      <c r="H5" s="63">
        <v>882502</v>
      </c>
      <c r="I5" s="63">
        <f>+C5+D5-E5-F5+G5</f>
        <v>882502</v>
      </c>
      <c r="J5" s="108">
        <f t="shared" si="2"/>
        <v>0</v>
      </c>
      <c r="K5" s="47" t="s">
        <v>160</v>
      </c>
      <c r="L5" s="49">
        <v>0</v>
      </c>
      <c r="M5" s="49">
        <v>9000000</v>
      </c>
      <c r="N5" s="49">
        <v>4260592</v>
      </c>
      <c r="O5" s="49">
        <v>0</v>
      </c>
    </row>
    <row r="6" spans="1:15" ht="16.5">
      <c r="A6" s="60" t="str">
        <f t="shared" si="3"/>
        <v>Caisse</v>
      </c>
      <c r="B6" s="61" t="s">
        <v>25</v>
      </c>
      <c r="C6" s="63">
        <v>580885</v>
      </c>
      <c r="D6" s="63">
        <f t="shared" si="0"/>
        <v>10511000</v>
      </c>
      <c r="E6" s="63">
        <f t="shared" ref="E6" si="4">+N6</f>
        <v>2520779</v>
      </c>
      <c r="F6" s="63">
        <f t="shared" ref="F6:F14" si="5">+M6</f>
        <v>7774000</v>
      </c>
      <c r="G6" s="63">
        <f t="shared" si="1"/>
        <v>0</v>
      </c>
      <c r="H6" s="63">
        <v>797106</v>
      </c>
      <c r="I6" s="63">
        <f>+C6+D6-E6-F6+G6</f>
        <v>797106</v>
      </c>
      <c r="J6" s="9">
        <f t="shared" si="2"/>
        <v>0</v>
      </c>
      <c r="K6" s="47" t="s">
        <v>25</v>
      </c>
      <c r="L6" s="49">
        <v>10511000</v>
      </c>
      <c r="M6" s="49">
        <v>7774000</v>
      </c>
      <c r="N6" s="49">
        <v>2520779</v>
      </c>
      <c r="O6" s="49">
        <v>0</v>
      </c>
    </row>
    <row r="7" spans="1:15" ht="16.5">
      <c r="A7" s="60" t="str">
        <f t="shared" si="3"/>
        <v>Crépin</v>
      </c>
      <c r="B7" s="61" t="s">
        <v>166</v>
      </c>
      <c r="C7" s="63">
        <v>9000</v>
      </c>
      <c r="D7" s="63">
        <f t="shared" si="0"/>
        <v>2509000</v>
      </c>
      <c r="E7" s="63">
        <f>+N7</f>
        <v>2021950</v>
      </c>
      <c r="F7" s="63">
        <f t="shared" si="5"/>
        <v>440000</v>
      </c>
      <c r="G7" s="63">
        <f t="shared" si="1"/>
        <v>0</v>
      </c>
      <c r="H7" s="63">
        <v>56050</v>
      </c>
      <c r="I7" s="63">
        <f t="shared" ref="I7" si="6">+C7+D7-E7-F7+G7</f>
        <v>56050</v>
      </c>
      <c r="J7" s="9">
        <f t="shared" si="2"/>
        <v>0</v>
      </c>
      <c r="K7" s="47" t="s">
        <v>48</v>
      </c>
      <c r="L7" s="49">
        <v>2509000</v>
      </c>
      <c r="M7" s="49">
        <v>440000</v>
      </c>
      <c r="N7" s="49">
        <v>2021950</v>
      </c>
      <c r="O7" s="49">
        <v>0</v>
      </c>
    </row>
    <row r="8" spans="1:15" ht="16.5">
      <c r="A8" s="60" t="str">
        <f>K8</f>
        <v>Evariste</v>
      </c>
      <c r="B8" s="61" t="s">
        <v>167</v>
      </c>
      <c r="C8" s="63">
        <v>8645</v>
      </c>
      <c r="D8" s="63">
        <f t="shared" si="0"/>
        <v>614000</v>
      </c>
      <c r="E8" s="63">
        <f t="shared" ref="E8" si="7">+N8</f>
        <v>601150</v>
      </c>
      <c r="F8" s="63">
        <f t="shared" si="5"/>
        <v>0</v>
      </c>
      <c r="G8" s="63">
        <f t="shared" si="1"/>
        <v>0</v>
      </c>
      <c r="H8" s="63">
        <v>21495</v>
      </c>
      <c r="I8" s="63">
        <f>+C8+D8-E8-F8+G8</f>
        <v>21495</v>
      </c>
      <c r="J8" s="9">
        <f t="shared" si="2"/>
        <v>0</v>
      </c>
      <c r="K8" s="47" t="s">
        <v>31</v>
      </c>
      <c r="L8" s="49">
        <v>614000</v>
      </c>
      <c r="M8" s="49">
        <v>0</v>
      </c>
      <c r="N8" s="49">
        <v>601150</v>
      </c>
      <c r="O8" s="49">
        <v>0</v>
      </c>
    </row>
    <row r="9" spans="1:15" ht="16.5">
      <c r="A9" s="123" t="str">
        <f t="shared" ref="A9:A16" si="8">+K9</f>
        <v>I55S</v>
      </c>
      <c r="B9" s="124" t="s">
        <v>4</v>
      </c>
      <c r="C9" s="126">
        <v>233614</v>
      </c>
      <c r="D9" s="126">
        <f t="shared" si="0"/>
        <v>0</v>
      </c>
      <c r="E9" s="126">
        <f>+N9</f>
        <v>0</v>
      </c>
      <c r="F9" s="126">
        <f t="shared" si="5"/>
        <v>0</v>
      </c>
      <c r="G9" s="126">
        <f t="shared" si="1"/>
        <v>0</v>
      </c>
      <c r="H9" s="126">
        <v>233614</v>
      </c>
      <c r="I9" s="126">
        <f>+C9+D9-E9-F9+G9</f>
        <v>233614</v>
      </c>
      <c r="J9" s="9">
        <f t="shared" si="2"/>
        <v>0</v>
      </c>
      <c r="K9" s="47" t="s">
        <v>85</v>
      </c>
      <c r="L9" s="49">
        <v>0</v>
      </c>
      <c r="M9" s="49">
        <v>0</v>
      </c>
      <c r="N9" s="49">
        <v>0</v>
      </c>
      <c r="O9" s="49">
        <v>0</v>
      </c>
    </row>
    <row r="10" spans="1:15" ht="16.5">
      <c r="A10" s="123" t="str">
        <f t="shared" si="8"/>
        <v>I73X</v>
      </c>
      <c r="B10" s="124" t="s">
        <v>4</v>
      </c>
      <c r="C10" s="126">
        <v>249769</v>
      </c>
      <c r="D10" s="126">
        <f t="shared" si="0"/>
        <v>0</v>
      </c>
      <c r="E10" s="126">
        <f>+N10</f>
        <v>0</v>
      </c>
      <c r="F10" s="126">
        <f t="shared" si="5"/>
        <v>0</v>
      </c>
      <c r="G10" s="126">
        <f t="shared" si="1"/>
        <v>0</v>
      </c>
      <c r="H10" s="126">
        <v>249769</v>
      </c>
      <c r="I10" s="126">
        <f t="shared" ref="I10:I13" si="9">+C10+D10-E10-F10+G10</f>
        <v>249769</v>
      </c>
      <c r="J10" s="9">
        <f t="shared" si="2"/>
        <v>0</v>
      </c>
      <c r="K10" s="47" t="s">
        <v>84</v>
      </c>
      <c r="L10" s="49">
        <v>0</v>
      </c>
      <c r="M10" s="49">
        <v>0</v>
      </c>
      <c r="N10" s="49">
        <v>0</v>
      </c>
      <c r="O10" s="49">
        <v>0</v>
      </c>
    </row>
    <row r="11" spans="1:15" ht="16.5">
      <c r="A11" s="60" t="str">
        <f t="shared" si="8"/>
        <v>Godfré</v>
      </c>
      <c r="B11" s="104" t="s">
        <v>166</v>
      </c>
      <c r="C11" s="63">
        <v>79935</v>
      </c>
      <c r="D11" s="63">
        <f t="shared" si="0"/>
        <v>1202000</v>
      </c>
      <c r="E11" s="179">
        <f t="shared" ref="E11" si="10">+N11</f>
        <v>1118750</v>
      </c>
      <c r="F11" s="63">
        <f t="shared" si="5"/>
        <v>50000</v>
      </c>
      <c r="G11" s="63">
        <f t="shared" si="1"/>
        <v>0</v>
      </c>
      <c r="H11" s="63">
        <v>113185</v>
      </c>
      <c r="I11" s="63">
        <f t="shared" si="9"/>
        <v>113185</v>
      </c>
      <c r="J11" s="9">
        <f t="shared" si="2"/>
        <v>0</v>
      </c>
      <c r="K11" s="47" t="s">
        <v>155</v>
      </c>
      <c r="L11" s="49">
        <v>1202000</v>
      </c>
      <c r="M11" s="49">
        <v>50000</v>
      </c>
      <c r="N11" s="49">
        <v>1118750</v>
      </c>
      <c r="O11" s="49">
        <v>0</v>
      </c>
    </row>
    <row r="12" spans="1:15" ht="16.5">
      <c r="A12" s="60" t="str">
        <f t="shared" si="8"/>
        <v>Grace</v>
      </c>
      <c r="B12" s="61" t="s">
        <v>2</v>
      </c>
      <c r="C12" s="63">
        <v>19800</v>
      </c>
      <c r="D12" s="63">
        <f t="shared" si="0"/>
        <v>3247000</v>
      </c>
      <c r="E12" s="179">
        <f>+N12</f>
        <v>1165100</v>
      </c>
      <c r="F12" s="63">
        <f t="shared" si="5"/>
        <v>2081000</v>
      </c>
      <c r="G12" s="63">
        <f t="shared" si="1"/>
        <v>0</v>
      </c>
      <c r="H12" s="63">
        <v>20700</v>
      </c>
      <c r="I12" s="63">
        <f t="shared" si="9"/>
        <v>20700</v>
      </c>
      <c r="J12" s="9">
        <f>I12-H12</f>
        <v>0</v>
      </c>
      <c r="K12" s="47" t="s">
        <v>154</v>
      </c>
      <c r="L12" s="49">
        <v>3247000</v>
      </c>
      <c r="M12" s="49">
        <v>2081000</v>
      </c>
      <c r="N12" s="49">
        <v>1165100</v>
      </c>
      <c r="O12" s="49">
        <v>0</v>
      </c>
    </row>
    <row r="13" spans="1:15" ht="16.5">
      <c r="A13" s="60" t="str">
        <f t="shared" si="8"/>
        <v>I23C</v>
      </c>
      <c r="B13" s="104" t="s">
        <v>4</v>
      </c>
      <c r="C13" s="63">
        <v>30550</v>
      </c>
      <c r="D13" s="63">
        <f t="shared" si="0"/>
        <v>1493000</v>
      </c>
      <c r="E13" s="179">
        <f t="shared" ref="E13:E16" si="11">+N13</f>
        <v>1238000</v>
      </c>
      <c r="F13" s="63">
        <f t="shared" si="5"/>
        <v>270000</v>
      </c>
      <c r="G13" s="63">
        <f t="shared" si="1"/>
        <v>0</v>
      </c>
      <c r="H13" s="63">
        <v>15550</v>
      </c>
      <c r="I13" s="63">
        <f t="shared" si="9"/>
        <v>15550</v>
      </c>
      <c r="J13" s="9">
        <f t="shared" ref="J13:J14" si="12">I13-H13</f>
        <v>0</v>
      </c>
      <c r="K13" s="47" t="s">
        <v>30</v>
      </c>
      <c r="L13" s="49">
        <v>1493000</v>
      </c>
      <c r="M13" s="49">
        <v>270000</v>
      </c>
      <c r="N13" s="49">
        <v>1238000</v>
      </c>
      <c r="O13" s="49">
        <v>0</v>
      </c>
    </row>
    <row r="14" spans="1:15" ht="16.5">
      <c r="A14" s="60" t="str">
        <f t="shared" si="8"/>
        <v>Merveille</v>
      </c>
      <c r="B14" s="61" t="s">
        <v>2</v>
      </c>
      <c r="C14" s="63">
        <v>13000</v>
      </c>
      <c r="D14" s="63">
        <f t="shared" si="0"/>
        <v>50000</v>
      </c>
      <c r="E14" s="179">
        <f t="shared" si="11"/>
        <v>58200</v>
      </c>
      <c r="F14" s="63">
        <f t="shared" si="5"/>
        <v>0</v>
      </c>
      <c r="G14" s="63">
        <f t="shared" si="1"/>
        <v>0</v>
      </c>
      <c r="H14" s="63">
        <v>4800</v>
      </c>
      <c r="I14" s="63">
        <f>+C14+D14-E14-F14+G14</f>
        <v>4800</v>
      </c>
      <c r="J14" s="9">
        <f t="shared" si="12"/>
        <v>0</v>
      </c>
      <c r="K14" s="47" t="s">
        <v>94</v>
      </c>
      <c r="L14" s="49">
        <v>50000</v>
      </c>
      <c r="M14" s="49">
        <v>0</v>
      </c>
      <c r="N14" s="49">
        <v>58200</v>
      </c>
      <c r="O14" s="49"/>
    </row>
    <row r="15" spans="1:15" ht="16.5">
      <c r="A15" s="60" t="str">
        <f t="shared" si="8"/>
        <v>P29</v>
      </c>
      <c r="B15" s="61" t="s">
        <v>4</v>
      </c>
      <c r="C15" s="63">
        <v>55700</v>
      </c>
      <c r="D15" s="63">
        <f t="shared" si="0"/>
        <v>1029000</v>
      </c>
      <c r="E15" s="179">
        <f t="shared" si="11"/>
        <v>648500</v>
      </c>
      <c r="F15" s="63">
        <f>+M15</f>
        <v>300000</v>
      </c>
      <c r="G15" s="63">
        <f>+O15</f>
        <v>0</v>
      </c>
      <c r="H15" s="63">
        <v>136200</v>
      </c>
      <c r="I15" s="63">
        <f>+C15+D15-E15-F15+G15</f>
        <v>136200</v>
      </c>
      <c r="J15" s="9">
        <f>I15-H15</f>
        <v>0</v>
      </c>
      <c r="K15" s="47" t="s">
        <v>29</v>
      </c>
      <c r="L15" s="49">
        <v>1029000</v>
      </c>
      <c r="M15" s="49">
        <v>300000</v>
      </c>
      <c r="N15" s="49">
        <v>648500</v>
      </c>
      <c r="O15" s="49">
        <v>0</v>
      </c>
    </row>
    <row r="16" spans="1:15" ht="16.5">
      <c r="A16" s="60" t="str">
        <f t="shared" si="8"/>
        <v>Tiffany</v>
      </c>
      <c r="B16" s="61" t="s">
        <v>2</v>
      </c>
      <c r="C16" s="63">
        <v>-36237</v>
      </c>
      <c r="D16" s="63">
        <f t="shared" si="0"/>
        <v>210000</v>
      </c>
      <c r="E16" s="179">
        <f t="shared" si="11"/>
        <v>210500</v>
      </c>
      <c r="F16" s="63">
        <f t="shared" ref="F16" si="13">+M16</f>
        <v>0</v>
      </c>
      <c r="G16" s="63">
        <f t="shared" ref="G16" si="14">+O16</f>
        <v>0</v>
      </c>
      <c r="H16" s="63">
        <v>-36737</v>
      </c>
      <c r="I16" s="63">
        <f t="shared" ref="I16" si="15">+C16+D16-E16-F16+G16</f>
        <v>-36737</v>
      </c>
      <c r="J16" s="9">
        <f t="shared" ref="J16" si="16">I16-H16</f>
        <v>0</v>
      </c>
      <c r="K16" s="47" t="s">
        <v>114</v>
      </c>
      <c r="L16" s="49">
        <v>210000</v>
      </c>
      <c r="M16" s="49">
        <v>0</v>
      </c>
      <c r="N16" s="49">
        <v>210500</v>
      </c>
      <c r="O16" s="49">
        <v>0</v>
      </c>
    </row>
    <row r="17" spans="1:15" ht="16.5">
      <c r="A17" s="10" t="s">
        <v>51</v>
      </c>
      <c r="B17" s="11"/>
      <c r="C17" s="12">
        <f t="shared" ref="C17:I17" si="17">SUM(C3:C16)</f>
        <v>17560283</v>
      </c>
      <c r="D17" s="59">
        <f t="shared" si="17"/>
        <v>20915000</v>
      </c>
      <c r="E17" s="59">
        <f t="shared" si="17"/>
        <v>14177366</v>
      </c>
      <c r="F17" s="59">
        <f t="shared" si="17"/>
        <v>20915000</v>
      </c>
      <c r="G17" s="59">
        <f t="shared" si="17"/>
        <v>0</v>
      </c>
      <c r="H17" s="59">
        <f t="shared" si="17"/>
        <v>3382917</v>
      </c>
      <c r="I17" s="59">
        <f t="shared" si="17"/>
        <v>3382917</v>
      </c>
      <c r="J17" s="9">
        <f>I17-H17</f>
        <v>0</v>
      </c>
      <c r="K17" s="3"/>
      <c r="L17" s="49">
        <f>+SUM(L3:L16)</f>
        <v>20915000</v>
      </c>
      <c r="M17" s="49">
        <f>+SUM(M3:M16)</f>
        <v>20915000</v>
      </c>
      <c r="N17" s="49">
        <f>+SUM(N3:N16)</f>
        <v>14177366</v>
      </c>
      <c r="O17" s="49">
        <f>+SUM(O3:O16)</f>
        <v>0</v>
      </c>
    </row>
    <row r="18" spans="1:15" ht="16.5">
      <c r="A18" s="10"/>
      <c r="B18" s="11"/>
      <c r="C18" s="12"/>
      <c r="D18" s="13"/>
      <c r="E18" s="12"/>
      <c r="F18" s="13"/>
      <c r="G18" s="12"/>
      <c r="H18" s="12"/>
      <c r="I18" s="143" t="b">
        <f>I17=D20</f>
        <v>1</v>
      </c>
      <c r="L18" s="5"/>
      <c r="M18" s="5"/>
      <c r="N18" s="5"/>
      <c r="O18" s="5"/>
    </row>
    <row r="19" spans="1:15" ht="16.5">
      <c r="A19" s="10" t="s">
        <v>219</v>
      </c>
      <c r="B19" s="11" t="s">
        <v>220</v>
      </c>
      <c r="C19" s="12" t="s">
        <v>221</v>
      </c>
      <c r="D19" s="12" t="s">
        <v>222</v>
      </c>
      <c r="E19" s="12" t="s">
        <v>52</v>
      </c>
      <c r="F19" s="12"/>
      <c r="G19" s="12">
        <f>+D17-F17</f>
        <v>0</v>
      </c>
      <c r="H19" s="12"/>
      <c r="I19" s="12"/>
    </row>
    <row r="20" spans="1:15" ht="16.5">
      <c r="A20" s="14">
        <f>C17</f>
        <v>17560283</v>
      </c>
      <c r="B20" s="15">
        <f>G17</f>
        <v>0</v>
      </c>
      <c r="C20" s="12">
        <f>E17</f>
        <v>14177366</v>
      </c>
      <c r="D20" s="12">
        <f>A20+B20-C20</f>
        <v>3382917</v>
      </c>
      <c r="E20" s="13">
        <f>I17-D20</f>
        <v>0</v>
      </c>
      <c r="F20" s="12"/>
      <c r="G20" s="12"/>
      <c r="H20" s="12"/>
      <c r="I20" s="12"/>
    </row>
    <row r="21" spans="1:15" ht="16.5">
      <c r="A21" s="14"/>
      <c r="B21" s="15"/>
      <c r="C21" s="12"/>
      <c r="D21" s="12"/>
      <c r="E21" s="13"/>
      <c r="F21" s="12"/>
      <c r="G21" s="12"/>
      <c r="H21" s="12"/>
      <c r="I21" s="12"/>
    </row>
    <row r="22" spans="1:15">
      <c r="A22" s="16" t="s">
        <v>53</v>
      </c>
      <c r="B22" s="16"/>
      <c r="C22" s="16"/>
      <c r="D22" s="17"/>
      <c r="E22" s="17"/>
      <c r="F22" s="17"/>
      <c r="G22" s="17"/>
      <c r="H22" s="17"/>
      <c r="I22" s="17"/>
    </row>
    <row r="23" spans="1:15">
      <c r="A23" s="18" t="s">
        <v>226</v>
      </c>
      <c r="B23" s="18"/>
      <c r="C23" s="18"/>
      <c r="D23" s="18"/>
      <c r="E23" s="18"/>
      <c r="F23" s="18"/>
      <c r="G23" s="18"/>
      <c r="H23" s="18"/>
      <c r="I23" s="18"/>
      <c r="J23" s="18"/>
    </row>
    <row r="24" spans="1:15">
      <c r="A24" s="19"/>
      <c r="B24" s="20"/>
      <c r="C24" s="21"/>
      <c r="D24" s="21"/>
      <c r="E24" s="21"/>
      <c r="F24" s="21"/>
      <c r="G24" s="21"/>
      <c r="H24" s="20"/>
      <c r="I24" s="20"/>
    </row>
    <row r="25" spans="1:15">
      <c r="A25" s="335" t="s">
        <v>54</v>
      </c>
      <c r="B25" s="337" t="s">
        <v>55</v>
      </c>
      <c r="C25" s="339" t="s">
        <v>223</v>
      </c>
      <c r="D25" s="341" t="s">
        <v>56</v>
      </c>
      <c r="E25" s="342"/>
      <c r="F25" s="342"/>
      <c r="G25" s="343"/>
      <c r="H25" s="344" t="s">
        <v>57</v>
      </c>
      <c r="I25" s="331" t="s">
        <v>58</v>
      </c>
      <c r="J25" s="20"/>
    </row>
    <row r="26" spans="1:15" ht="28.5" customHeight="1">
      <c r="A26" s="336"/>
      <c r="B26" s="338"/>
      <c r="C26" s="340"/>
      <c r="D26" s="22" t="s">
        <v>24</v>
      </c>
      <c r="E26" s="22" t="s">
        <v>25</v>
      </c>
      <c r="F26" s="304" t="s">
        <v>124</v>
      </c>
      <c r="G26" s="22" t="s">
        <v>59</v>
      </c>
      <c r="H26" s="345"/>
      <c r="I26" s="332"/>
      <c r="J26" s="333" t="s">
        <v>227</v>
      </c>
      <c r="K26" s="155"/>
    </row>
    <row r="27" spans="1:15">
      <c r="A27" s="24"/>
      <c r="B27" s="25" t="s">
        <v>60</v>
      </c>
      <c r="C27" s="26"/>
      <c r="D27" s="26"/>
      <c r="E27" s="26"/>
      <c r="F27" s="26"/>
      <c r="G27" s="26"/>
      <c r="H27" s="26"/>
      <c r="I27" s="27"/>
      <c r="J27" s="334"/>
      <c r="K27" s="155"/>
    </row>
    <row r="28" spans="1:15">
      <c r="A28" s="130" t="s">
        <v>116</v>
      </c>
      <c r="B28" s="135" t="s">
        <v>175</v>
      </c>
      <c r="C28" s="33">
        <f>+C3</f>
        <v>500</v>
      </c>
      <c r="D28" s="32"/>
      <c r="E28" s="33">
        <f>+D3</f>
        <v>50000</v>
      </c>
      <c r="F28" s="33"/>
      <c r="G28" s="33"/>
      <c r="H28" s="57">
        <f>+F3</f>
        <v>0</v>
      </c>
      <c r="I28" s="33">
        <f>+E3</f>
        <v>50500</v>
      </c>
      <c r="J28" s="31">
        <f t="shared" ref="J28:J29" si="18">+SUM(C28:G28)-(H28+I28)</f>
        <v>0</v>
      </c>
      <c r="K28" s="156" t="b">
        <f>J28=I3</f>
        <v>1</v>
      </c>
    </row>
    <row r="29" spans="1:15">
      <c r="A29" s="130" t="str">
        <f>+A28</f>
        <v>FEVRIER</v>
      </c>
      <c r="B29" s="135" t="s">
        <v>48</v>
      </c>
      <c r="C29" s="33">
        <f>+C7</f>
        <v>9000</v>
      </c>
      <c r="D29" s="32"/>
      <c r="E29" s="33">
        <f>+D7</f>
        <v>2509000</v>
      </c>
      <c r="F29" s="33"/>
      <c r="G29" s="33"/>
      <c r="H29" s="57">
        <f>+F7</f>
        <v>440000</v>
      </c>
      <c r="I29" s="33">
        <f>+E7</f>
        <v>2021950</v>
      </c>
      <c r="J29" s="107">
        <f t="shared" si="18"/>
        <v>56050</v>
      </c>
      <c r="K29" s="156" t="b">
        <f t="shared" ref="K29:K38" si="19">J29=I7</f>
        <v>1</v>
      </c>
    </row>
    <row r="30" spans="1:15">
      <c r="A30" s="130" t="str">
        <f t="shared" ref="A30:A38" si="20">+A29</f>
        <v>FEVRIER</v>
      </c>
      <c r="B30" s="136" t="s">
        <v>31</v>
      </c>
      <c r="C30" s="33">
        <f>+C8</f>
        <v>8645</v>
      </c>
      <c r="D30" s="127"/>
      <c r="E30" s="33">
        <f>+D8</f>
        <v>614000</v>
      </c>
      <c r="F30" s="53"/>
      <c r="G30" s="53"/>
      <c r="H30" s="57">
        <f>+F8</f>
        <v>0</v>
      </c>
      <c r="I30" s="33">
        <f>+E8</f>
        <v>601150</v>
      </c>
      <c r="J30" s="132">
        <f>+SUM(C30:G30)-(H30+I30)</f>
        <v>21495</v>
      </c>
      <c r="K30" s="156" t="b">
        <f t="shared" si="19"/>
        <v>1</v>
      </c>
    </row>
    <row r="31" spans="1:15">
      <c r="A31" s="130" t="str">
        <f t="shared" si="20"/>
        <v>FEVRIER</v>
      </c>
      <c r="B31" s="137" t="s">
        <v>85</v>
      </c>
      <c r="C31" s="128">
        <f>+C9</f>
        <v>233614</v>
      </c>
      <c r="D31" s="131"/>
      <c r="E31" s="128">
        <f>+D9</f>
        <v>0</v>
      </c>
      <c r="F31" s="146"/>
      <c r="G31" s="146"/>
      <c r="H31" s="180">
        <f>+F9</f>
        <v>0</v>
      </c>
      <c r="I31" s="128">
        <f>+E9</f>
        <v>0</v>
      </c>
      <c r="J31" s="129">
        <f>+SUM(C31:G31)-(H31+I31)</f>
        <v>233614</v>
      </c>
      <c r="K31" s="156" t="b">
        <f t="shared" si="19"/>
        <v>1</v>
      </c>
    </row>
    <row r="32" spans="1:15">
      <c r="A32" s="130" t="str">
        <f t="shared" si="20"/>
        <v>FEVRIER</v>
      </c>
      <c r="B32" s="137" t="s">
        <v>84</v>
      </c>
      <c r="C32" s="128">
        <f>+C10</f>
        <v>249769</v>
      </c>
      <c r="D32" s="131"/>
      <c r="E32" s="128">
        <f>+D10</f>
        <v>0</v>
      </c>
      <c r="F32" s="146"/>
      <c r="G32" s="146"/>
      <c r="H32" s="180">
        <f>+F10</f>
        <v>0</v>
      </c>
      <c r="I32" s="128">
        <f>+E10</f>
        <v>0</v>
      </c>
      <c r="J32" s="129">
        <f t="shared" ref="J32:J38" si="21">+SUM(C32:G32)-(H32+I32)</f>
        <v>249769</v>
      </c>
      <c r="K32" s="156" t="b">
        <f t="shared" si="19"/>
        <v>1</v>
      </c>
    </row>
    <row r="33" spans="1:16">
      <c r="A33" s="130" t="str">
        <f t="shared" si="20"/>
        <v>FEVRIER</v>
      </c>
      <c r="B33" s="135" t="s">
        <v>155</v>
      </c>
      <c r="C33" s="33">
        <f>+C11</f>
        <v>79935</v>
      </c>
      <c r="D33" s="32"/>
      <c r="E33" s="33">
        <f>+D11</f>
        <v>1202000</v>
      </c>
      <c r="F33" s="33"/>
      <c r="G33" s="110"/>
      <c r="H33" s="57">
        <f>+F11</f>
        <v>50000</v>
      </c>
      <c r="I33" s="33">
        <f>+E11</f>
        <v>1118750</v>
      </c>
      <c r="J33" s="31">
        <f t="shared" si="21"/>
        <v>113185</v>
      </c>
      <c r="K33" s="156" t="b">
        <f t="shared" si="19"/>
        <v>1</v>
      </c>
    </row>
    <row r="34" spans="1:16">
      <c r="A34" s="130" t="str">
        <f t="shared" si="20"/>
        <v>FEVRIER</v>
      </c>
      <c r="B34" s="135" t="s">
        <v>154</v>
      </c>
      <c r="C34" s="33">
        <f t="shared" ref="C34:C38" si="22">+C12</f>
        <v>19800</v>
      </c>
      <c r="D34" s="32"/>
      <c r="E34" s="33">
        <f t="shared" ref="E34:E38" si="23">+D12</f>
        <v>3247000</v>
      </c>
      <c r="F34" s="33"/>
      <c r="G34" s="110"/>
      <c r="H34" s="57">
        <f t="shared" ref="H34:H38" si="24">+F12</f>
        <v>2081000</v>
      </c>
      <c r="I34" s="33">
        <f t="shared" ref="I34:I38" si="25">+E12</f>
        <v>1165100</v>
      </c>
      <c r="J34" s="31">
        <f t="shared" si="21"/>
        <v>20700</v>
      </c>
      <c r="K34" s="156" t="b">
        <f t="shared" si="19"/>
        <v>1</v>
      </c>
    </row>
    <row r="35" spans="1:16">
      <c r="A35" s="130" t="str">
        <f t="shared" si="20"/>
        <v>FEVRIER</v>
      </c>
      <c r="B35" s="135" t="s">
        <v>30</v>
      </c>
      <c r="C35" s="33">
        <f t="shared" si="22"/>
        <v>30550</v>
      </c>
      <c r="D35" s="32"/>
      <c r="E35" s="33">
        <f t="shared" si="23"/>
        <v>1493000</v>
      </c>
      <c r="F35" s="33"/>
      <c r="G35" s="110"/>
      <c r="H35" s="57">
        <f t="shared" si="24"/>
        <v>270000</v>
      </c>
      <c r="I35" s="33">
        <f t="shared" si="25"/>
        <v>1238000</v>
      </c>
      <c r="J35" s="31">
        <f t="shared" si="21"/>
        <v>15550</v>
      </c>
      <c r="K35" s="156" t="b">
        <f t="shared" si="19"/>
        <v>1</v>
      </c>
    </row>
    <row r="36" spans="1:16">
      <c r="A36" s="130" t="str">
        <f>+A34</f>
        <v>FEVRIER</v>
      </c>
      <c r="B36" s="135" t="s">
        <v>94</v>
      </c>
      <c r="C36" s="33">
        <f t="shared" si="22"/>
        <v>13000</v>
      </c>
      <c r="D36" s="32"/>
      <c r="E36" s="33">
        <f t="shared" si="23"/>
        <v>50000</v>
      </c>
      <c r="F36" s="33"/>
      <c r="G36" s="110"/>
      <c r="H36" s="57">
        <f t="shared" si="24"/>
        <v>0</v>
      </c>
      <c r="I36" s="33">
        <f t="shared" si="25"/>
        <v>58200</v>
      </c>
      <c r="J36" s="31">
        <f t="shared" si="21"/>
        <v>4800</v>
      </c>
      <c r="K36" s="156" t="b">
        <f t="shared" si="19"/>
        <v>1</v>
      </c>
    </row>
    <row r="37" spans="1:16">
      <c r="A37" s="130" t="str">
        <f>+A35</f>
        <v>FEVRIER</v>
      </c>
      <c r="B37" s="135" t="s">
        <v>29</v>
      </c>
      <c r="C37" s="33">
        <f t="shared" si="22"/>
        <v>55700</v>
      </c>
      <c r="D37" s="32"/>
      <c r="E37" s="33">
        <f t="shared" si="23"/>
        <v>1029000</v>
      </c>
      <c r="F37" s="33"/>
      <c r="G37" s="110"/>
      <c r="H37" s="57">
        <f t="shared" si="24"/>
        <v>300000</v>
      </c>
      <c r="I37" s="33">
        <f t="shared" si="25"/>
        <v>648500</v>
      </c>
      <c r="J37" s="31">
        <f t="shared" si="21"/>
        <v>136200</v>
      </c>
      <c r="K37" s="156" t="b">
        <f t="shared" si="19"/>
        <v>1</v>
      </c>
    </row>
    <row r="38" spans="1:16">
      <c r="A38" s="130" t="str">
        <f t="shared" si="20"/>
        <v>FEVRIER</v>
      </c>
      <c r="B38" s="136" t="s">
        <v>114</v>
      </c>
      <c r="C38" s="33">
        <f t="shared" si="22"/>
        <v>-36237</v>
      </c>
      <c r="D38" s="127"/>
      <c r="E38" s="33">
        <f t="shared" si="23"/>
        <v>210000</v>
      </c>
      <c r="F38" s="53"/>
      <c r="G38" s="147"/>
      <c r="H38" s="57">
        <f t="shared" si="24"/>
        <v>0</v>
      </c>
      <c r="I38" s="33">
        <f t="shared" si="25"/>
        <v>210500</v>
      </c>
      <c r="J38" s="31">
        <f t="shared" si="21"/>
        <v>-36737</v>
      </c>
      <c r="K38" s="156" t="b">
        <f t="shared" si="19"/>
        <v>1</v>
      </c>
    </row>
    <row r="39" spans="1:16">
      <c r="A39" s="35" t="s">
        <v>61</v>
      </c>
      <c r="B39" s="36"/>
      <c r="C39" s="36"/>
      <c r="D39" s="36"/>
      <c r="E39" s="36"/>
      <c r="F39" s="36"/>
      <c r="G39" s="36"/>
      <c r="H39" s="36"/>
      <c r="I39" s="36"/>
      <c r="J39" s="37"/>
      <c r="K39" s="155"/>
    </row>
    <row r="40" spans="1:16">
      <c r="A40" s="130" t="str">
        <f>+A38</f>
        <v>FEVRIER</v>
      </c>
      <c r="B40" s="38" t="s">
        <v>62</v>
      </c>
      <c r="C40" s="39">
        <f>+C6</f>
        <v>580885</v>
      </c>
      <c r="D40" s="51"/>
      <c r="E40" s="51">
        <f>D6</f>
        <v>10511000</v>
      </c>
      <c r="F40" s="51"/>
      <c r="G40" s="133"/>
      <c r="H40" s="53">
        <f>+F6</f>
        <v>7774000</v>
      </c>
      <c r="I40" s="134">
        <f>+E6</f>
        <v>2520779</v>
      </c>
      <c r="J40" s="46">
        <f>+SUM(C40:G40)-(H40+I40)</f>
        <v>797106</v>
      </c>
      <c r="K40" s="156" t="b">
        <f>J40=I6</f>
        <v>1</v>
      </c>
    </row>
    <row r="41" spans="1:16">
      <c r="A41" s="44" t="s">
        <v>63</v>
      </c>
      <c r="B41" s="25"/>
      <c r="C41" s="36"/>
      <c r="D41" s="25"/>
      <c r="E41" s="25"/>
      <c r="F41" s="25"/>
      <c r="G41" s="25"/>
      <c r="H41" s="25"/>
      <c r="I41" s="25"/>
      <c r="J41" s="37"/>
      <c r="K41" s="155"/>
    </row>
    <row r="42" spans="1:16">
      <c r="A42" s="130" t="str">
        <f>+A40</f>
        <v>FEVRIER</v>
      </c>
      <c r="B42" s="38" t="s">
        <v>169</v>
      </c>
      <c r="C42" s="133">
        <f>+C4</f>
        <v>2172028</v>
      </c>
      <c r="D42" s="140">
        <f>+G4</f>
        <v>0</v>
      </c>
      <c r="E42" s="51"/>
      <c r="F42" s="51"/>
      <c r="G42" s="51"/>
      <c r="H42" s="53">
        <f>+F4</f>
        <v>1000000</v>
      </c>
      <c r="I42" s="55">
        <f>+E4</f>
        <v>283345</v>
      </c>
      <c r="J42" s="46">
        <f>+SUM(C42:G42)-(H42+I42)</f>
        <v>888683</v>
      </c>
      <c r="K42" s="156" t="b">
        <f>+J42=I4</f>
        <v>1</v>
      </c>
    </row>
    <row r="43" spans="1:16">
      <c r="A43" s="130" t="str">
        <f t="shared" ref="A43" si="26">+A42</f>
        <v>FEVRIER</v>
      </c>
      <c r="B43" s="38" t="s">
        <v>65</v>
      </c>
      <c r="C43" s="133">
        <f>+C5</f>
        <v>14143094</v>
      </c>
      <c r="D43" s="51">
        <f>+G5</f>
        <v>0</v>
      </c>
      <c r="E43" s="50"/>
      <c r="F43" s="50"/>
      <c r="G43" s="50"/>
      <c r="H43" s="33">
        <f>+F5</f>
        <v>9000000</v>
      </c>
      <c r="I43" s="52">
        <f>+E5</f>
        <v>4260592</v>
      </c>
      <c r="J43" s="46">
        <f>SUM(C43:G43)-(H43+I43)</f>
        <v>882502</v>
      </c>
      <c r="K43" s="156" t="b">
        <f>+J43=I5</f>
        <v>1</v>
      </c>
    </row>
    <row r="44" spans="1:16" ht="15.75">
      <c r="C44" s="151">
        <f>SUM(C28:C43)</f>
        <v>17560283</v>
      </c>
      <c r="I44" s="149">
        <f>SUM(I28:I43)</f>
        <v>14177366</v>
      </c>
      <c r="J44" s="111">
        <f>+SUM(J28:J43)</f>
        <v>3382917</v>
      </c>
      <c r="K44" s="5" t="b">
        <f>J44=I17</f>
        <v>1</v>
      </c>
    </row>
    <row r="45" spans="1:16" ht="15.75">
      <c r="A45" s="273"/>
      <c r="B45" s="273"/>
      <c r="C45" s="274"/>
      <c r="D45" s="273"/>
      <c r="E45" s="273"/>
      <c r="F45" s="273"/>
      <c r="G45" s="273"/>
      <c r="H45" s="273"/>
      <c r="I45" s="275"/>
      <c r="J45" s="276"/>
      <c r="K45" s="273"/>
      <c r="L45" s="277"/>
      <c r="M45" s="277"/>
      <c r="N45" s="277"/>
      <c r="O45" s="277"/>
      <c r="P45" s="273"/>
    </row>
    <row r="47" spans="1:16" ht="15.75">
      <c r="A47" s="6" t="s">
        <v>37</v>
      </c>
      <c r="B47" s="6" t="s">
        <v>1</v>
      </c>
      <c r="C47" s="6">
        <v>44562</v>
      </c>
      <c r="D47" s="7" t="s">
        <v>38</v>
      </c>
      <c r="E47" s="7" t="s">
        <v>39</v>
      </c>
      <c r="F47" s="7" t="s">
        <v>40</v>
      </c>
      <c r="G47" s="7" t="s">
        <v>41</v>
      </c>
      <c r="H47" s="6">
        <v>44592</v>
      </c>
      <c r="I47" s="7" t="s">
        <v>42</v>
      </c>
      <c r="K47" s="47"/>
      <c r="L47" s="47" t="s">
        <v>43</v>
      </c>
      <c r="M47" s="47" t="s">
        <v>44</v>
      </c>
      <c r="N47" s="47" t="s">
        <v>45</v>
      </c>
      <c r="O47" s="47" t="s">
        <v>46</v>
      </c>
    </row>
    <row r="48" spans="1:16" ht="16.5">
      <c r="A48" s="60" t="str">
        <f>+K48</f>
        <v>B52</v>
      </c>
      <c r="B48" s="61" t="s">
        <v>4</v>
      </c>
      <c r="C48" s="62">
        <v>9500</v>
      </c>
      <c r="D48" s="63">
        <f t="shared" ref="D48:D61" si="27">+L48</f>
        <v>567000</v>
      </c>
      <c r="E48" s="63">
        <f>+N48</f>
        <v>576000</v>
      </c>
      <c r="F48" s="63">
        <f>+M48</f>
        <v>0</v>
      </c>
      <c r="G48" s="63">
        <f t="shared" ref="G48:G59" si="28">+O48</f>
        <v>0</v>
      </c>
      <c r="H48" s="63">
        <v>500</v>
      </c>
      <c r="I48" s="63">
        <f>+C48+D48-E48-F48+G48</f>
        <v>500</v>
      </c>
      <c r="J48" s="9">
        <f>I48-H48</f>
        <v>0</v>
      </c>
      <c r="K48" s="47" t="s">
        <v>175</v>
      </c>
      <c r="L48" s="49">
        <v>567000</v>
      </c>
      <c r="M48" s="49">
        <v>0</v>
      </c>
      <c r="N48" s="49">
        <v>576000</v>
      </c>
      <c r="O48" s="49">
        <v>0</v>
      </c>
    </row>
    <row r="49" spans="1:15" ht="16.5">
      <c r="A49" s="60" t="str">
        <f>+K49</f>
        <v>BCI</v>
      </c>
      <c r="B49" s="61" t="s">
        <v>47</v>
      </c>
      <c r="C49" s="62">
        <v>3455373</v>
      </c>
      <c r="D49" s="63">
        <f t="shared" si="27"/>
        <v>0</v>
      </c>
      <c r="E49" s="63">
        <f>+N49</f>
        <v>283345</v>
      </c>
      <c r="F49" s="63">
        <f>+M49</f>
        <v>1000000</v>
      </c>
      <c r="G49" s="63">
        <f t="shared" si="28"/>
        <v>0</v>
      </c>
      <c r="H49" s="63">
        <v>2172028</v>
      </c>
      <c r="I49" s="63">
        <f>+C49+D49-E49-F49+G49</f>
        <v>2172028</v>
      </c>
      <c r="J49" s="9">
        <f t="shared" ref="J49:J56" si="29">I49-H49</f>
        <v>0</v>
      </c>
      <c r="K49" s="47" t="s">
        <v>24</v>
      </c>
      <c r="L49" s="49">
        <v>0</v>
      </c>
      <c r="M49" s="49">
        <v>1000000</v>
      </c>
      <c r="N49" s="49">
        <v>283345</v>
      </c>
      <c r="O49" s="49">
        <v>0</v>
      </c>
    </row>
    <row r="50" spans="1:15" ht="16.5">
      <c r="A50" s="60" t="str">
        <f t="shared" ref="A50:A52" si="30">+K50</f>
        <v>BCI-Sous Compte</v>
      </c>
      <c r="B50" s="61" t="s">
        <v>47</v>
      </c>
      <c r="C50" s="62">
        <v>4841615</v>
      </c>
      <c r="D50" s="63">
        <f t="shared" si="27"/>
        <v>0</v>
      </c>
      <c r="E50" s="63">
        <f>+N50</f>
        <v>6223724</v>
      </c>
      <c r="F50" s="63">
        <f>+M50</f>
        <v>2000000</v>
      </c>
      <c r="G50" s="63">
        <f t="shared" si="28"/>
        <v>17525203</v>
      </c>
      <c r="H50" s="63">
        <v>14143094</v>
      </c>
      <c r="I50" s="63">
        <f>+C50+D50-E50-F50+G50</f>
        <v>14143094</v>
      </c>
      <c r="J50" s="108">
        <f t="shared" si="29"/>
        <v>0</v>
      </c>
      <c r="K50" s="47" t="s">
        <v>160</v>
      </c>
      <c r="L50" s="49">
        <v>0</v>
      </c>
      <c r="M50" s="49">
        <v>2000000</v>
      </c>
      <c r="N50" s="49">
        <v>6223724</v>
      </c>
      <c r="O50" s="49">
        <v>17525203</v>
      </c>
    </row>
    <row r="51" spans="1:15" ht="16.5">
      <c r="A51" s="60" t="str">
        <f t="shared" si="30"/>
        <v>Caisse</v>
      </c>
      <c r="B51" s="61" t="s">
        <v>25</v>
      </c>
      <c r="C51" s="62">
        <v>1042520</v>
      </c>
      <c r="D51" s="63">
        <f t="shared" si="27"/>
        <v>3035000</v>
      </c>
      <c r="E51" s="63">
        <f t="shared" ref="E51" si="31">+N51</f>
        <v>966635</v>
      </c>
      <c r="F51" s="63">
        <f t="shared" ref="F51:F59" si="32">+M51</f>
        <v>2530000</v>
      </c>
      <c r="G51" s="63">
        <f t="shared" si="28"/>
        <v>0</v>
      </c>
      <c r="H51" s="63">
        <v>580885</v>
      </c>
      <c r="I51" s="63">
        <f>+C51+D51-E51-F51+G51</f>
        <v>580885</v>
      </c>
      <c r="J51" s="9">
        <f t="shared" si="29"/>
        <v>0</v>
      </c>
      <c r="K51" s="47" t="s">
        <v>25</v>
      </c>
      <c r="L51" s="49">
        <v>3035000</v>
      </c>
      <c r="M51" s="49">
        <v>2530000</v>
      </c>
      <c r="N51" s="49">
        <v>966635</v>
      </c>
      <c r="O51" s="49">
        <v>0</v>
      </c>
    </row>
    <row r="52" spans="1:15" ht="16.5">
      <c r="A52" s="60" t="str">
        <f t="shared" si="30"/>
        <v>Crépin</v>
      </c>
      <c r="B52" s="61" t="s">
        <v>166</v>
      </c>
      <c r="C52" s="62">
        <v>-37100</v>
      </c>
      <c r="D52" s="63">
        <f t="shared" si="27"/>
        <v>256000</v>
      </c>
      <c r="E52" s="63">
        <f>+N52</f>
        <v>189900</v>
      </c>
      <c r="F52" s="63">
        <f t="shared" si="32"/>
        <v>20000</v>
      </c>
      <c r="G52" s="63">
        <f t="shared" si="28"/>
        <v>0</v>
      </c>
      <c r="H52" s="63">
        <v>9000</v>
      </c>
      <c r="I52" s="63">
        <f t="shared" ref="I52" si="33">+C52+D52-E52-F52+G52</f>
        <v>9000</v>
      </c>
      <c r="J52" s="9">
        <f t="shared" si="29"/>
        <v>0</v>
      </c>
      <c r="K52" s="47" t="s">
        <v>48</v>
      </c>
      <c r="L52" s="49">
        <v>256000</v>
      </c>
      <c r="M52" s="49">
        <v>20000</v>
      </c>
      <c r="N52" s="49">
        <v>189900</v>
      </c>
      <c r="O52" s="49">
        <v>0</v>
      </c>
    </row>
    <row r="53" spans="1:15" ht="16.5">
      <c r="A53" s="60" t="str">
        <f>K53</f>
        <v>Evariste</v>
      </c>
      <c r="B53" s="61" t="s">
        <v>167</v>
      </c>
      <c r="C53" s="62">
        <v>8645</v>
      </c>
      <c r="D53" s="63">
        <f t="shared" si="27"/>
        <v>0</v>
      </c>
      <c r="E53" s="63">
        <f t="shared" ref="E53" si="34">+N53</f>
        <v>0</v>
      </c>
      <c r="F53" s="63">
        <f t="shared" si="32"/>
        <v>0</v>
      </c>
      <c r="G53" s="63">
        <f t="shared" si="28"/>
        <v>0</v>
      </c>
      <c r="H53" s="63">
        <v>8645</v>
      </c>
      <c r="I53" s="63">
        <f>+C53+D53-E53-F53+G53</f>
        <v>8645</v>
      </c>
      <c r="J53" s="9">
        <f t="shared" si="29"/>
        <v>0</v>
      </c>
      <c r="K53" s="47" t="s">
        <v>31</v>
      </c>
      <c r="L53" s="49">
        <v>0</v>
      </c>
      <c r="M53" s="49">
        <v>0</v>
      </c>
      <c r="N53" s="49">
        <v>0</v>
      </c>
      <c r="O53" s="49">
        <v>0</v>
      </c>
    </row>
    <row r="54" spans="1:15" ht="16.5">
      <c r="A54" s="123" t="str">
        <f t="shared" ref="A54:A61" si="35">+K54</f>
        <v>I55S</v>
      </c>
      <c r="B54" s="124" t="s">
        <v>4</v>
      </c>
      <c r="C54" s="125">
        <v>233614</v>
      </c>
      <c r="D54" s="126">
        <f t="shared" si="27"/>
        <v>0</v>
      </c>
      <c r="E54" s="126">
        <f>+N54</f>
        <v>0</v>
      </c>
      <c r="F54" s="126">
        <f t="shared" si="32"/>
        <v>0</v>
      </c>
      <c r="G54" s="126">
        <f t="shared" si="28"/>
        <v>0</v>
      </c>
      <c r="H54" s="126">
        <v>233614</v>
      </c>
      <c r="I54" s="126">
        <f>+C54+D54-E54-F54+G54</f>
        <v>233614</v>
      </c>
      <c r="J54" s="9">
        <f t="shared" si="29"/>
        <v>0</v>
      </c>
      <c r="K54" s="47" t="s">
        <v>85</v>
      </c>
      <c r="L54" s="49">
        <v>0</v>
      </c>
      <c r="M54" s="49">
        <v>0</v>
      </c>
      <c r="N54" s="49">
        <v>0</v>
      </c>
      <c r="O54" s="49">
        <v>0</v>
      </c>
    </row>
    <row r="55" spans="1:15" ht="16.5">
      <c r="A55" s="123" t="str">
        <f t="shared" si="35"/>
        <v>I73X</v>
      </c>
      <c r="B55" s="124" t="s">
        <v>4</v>
      </c>
      <c r="C55" s="125">
        <v>249769</v>
      </c>
      <c r="D55" s="126">
        <f t="shared" si="27"/>
        <v>0</v>
      </c>
      <c r="E55" s="126">
        <f>+N55</f>
        <v>0</v>
      </c>
      <c r="F55" s="126">
        <f t="shared" si="32"/>
        <v>0</v>
      </c>
      <c r="G55" s="126">
        <f t="shared" si="28"/>
        <v>0</v>
      </c>
      <c r="H55" s="126">
        <v>249769</v>
      </c>
      <c r="I55" s="126">
        <f t="shared" ref="I55:I58" si="36">+C55+D55-E55-F55+G55</f>
        <v>249769</v>
      </c>
      <c r="J55" s="9">
        <f t="shared" si="29"/>
        <v>0</v>
      </c>
      <c r="K55" s="47" t="s">
        <v>84</v>
      </c>
      <c r="L55" s="49">
        <v>0</v>
      </c>
      <c r="M55" s="49">
        <v>0</v>
      </c>
      <c r="N55" s="49">
        <v>0</v>
      </c>
      <c r="O55" s="49">
        <v>0</v>
      </c>
    </row>
    <row r="56" spans="1:15" ht="16.5">
      <c r="A56" s="60" t="str">
        <f t="shared" si="35"/>
        <v>Godfré</v>
      </c>
      <c r="B56" s="104" t="s">
        <v>166</v>
      </c>
      <c r="C56" s="62">
        <v>34935</v>
      </c>
      <c r="D56" s="63">
        <f t="shared" si="27"/>
        <v>365000</v>
      </c>
      <c r="E56" s="179">
        <f t="shared" ref="E56" si="37">+N56</f>
        <v>320000</v>
      </c>
      <c r="F56" s="63">
        <f t="shared" si="32"/>
        <v>0</v>
      </c>
      <c r="G56" s="63">
        <f t="shared" si="28"/>
        <v>0</v>
      </c>
      <c r="H56" s="63">
        <v>79935</v>
      </c>
      <c r="I56" s="63">
        <f t="shared" si="36"/>
        <v>79935</v>
      </c>
      <c r="J56" s="9">
        <f t="shared" si="29"/>
        <v>0</v>
      </c>
      <c r="K56" s="47" t="s">
        <v>155</v>
      </c>
      <c r="L56" s="49">
        <v>365000</v>
      </c>
      <c r="M56" s="49"/>
      <c r="N56" s="49">
        <v>320000</v>
      </c>
      <c r="O56" s="49">
        <v>0</v>
      </c>
    </row>
    <row r="57" spans="1:15" ht="16.5">
      <c r="A57" s="60" t="str">
        <f t="shared" si="35"/>
        <v>Grace</v>
      </c>
      <c r="B57" s="61" t="s">
        <v>2</v>
      </c>
      <c r="C57" s="62">
        <v>44200</v>
      </c>
      <c r="D57" s="63">
        <f t="shared" si="27"/>
        <v>0</v>
      </c>
      <c r="E57" s="179">
        <f>+N57</f>
        <v>9400</v>
      </c>
      <c r="F57" s="63">
        <f t="shared" si="32"/>
        <v>15000</v>
      </c>
      <c r="G57" s="63">
        <f t="shared" si="28"/>
        <v>0</v>
      </c>
      <c r="H57" s="63">
        <v>19800</v>
      </c>
      <c r="I57" s="63">
        <f t="shared" si="36"/>
        <v>19800</v>
      </c>
      <c r="J57" s="9">
        <f>I57-H57</f>
        <v>0</v>
      </c>
      <c r="K57" s="47" t="s">
        <v>154</v>
      </c>
      <c r="L57" s="49">
        <v>0</v>
      </c>
      <c r="M57" s="49">
        <v>15000</v>
      </c>
      <c r="N57" s="49">
        <v>9400</v>
      </c>
      <c r="O57" s="49">
        <v>0</v>
      </c>
    </row>
    <row r="58" spans="1:15" ht="16.5">
      <c r="A58" s="60" t="str">
        <f t="shared" si="35"/>
        <v>I23C</v>
      </c>
      <c r="B58" s="104" t="s">
        <v>4</v>
      </c>
      <c r="C58" s="62">
        <v>12050</v>
      </c>
      <c r="D58" s="63">
        <f t="shared" si="27"/>
        <v>492000</v>
      </c>
      <c r="E58" s="179">
        <f t="shared" ref="E58:E61" si="38">+N58</f>
        <v>473500</v>
      </c>
      <c r="F58" s="63">
        <f t="shared" si="32"/>
        <v>0</v>
      </c>
      <c r="G58" s="63">
        <f t="shared" si="28"/>
        <v>0</v>
      </c>
      <c r="H58" s="63">
        <v>30550</v>
      </c>
      <c r="I58" s="63">
        <f t="shared" si="36"/>
        <v>30550</v>
      </c>
      <c r="J58" s="9">
        <f t="shared" ref="J58:J59" si="39">I58-H58</f>
        <v>0</v>
      </c>
      <c r="K58" s="47" t="s">
        <v>30</v>
      </c>
      <c r="L58" s="49">
        <v>492000</v>
      </c>
      <c r="M58" s="49">
        <v>0</v>
      </c>
      <c r="N58" s="49">
        <v>473500</v>
      </c>
      <c r="O58" s="49">
        <v>0</v>
      </c>
    </row>
    <row r="59" spans="1:15" ht="16.5">
      <c r="A59" s="60" t="str">
        <f t="shared" si="35"/>
        <v>Merveille</v>
      </c>
      <c r="B59" s="61" t="s">
        <v>2</v>
      </c>
      <c r="C59" s="62">
        <v>5500</v>
      </c>
      <c r="D59" s="63">
        <f t="shared" si="27"/>
        <v>20000</v>
      </c>
      <c r="E59" s="179">
        <f t="shared" si="38"/>
        <v>12500</v>
      </c>
      <c r="F59" s="63">
        <f t="shared" si="32"/>
        <v>0</v>
      </c>
      <c r="G59" s="63">
        <f t="shared" si="28"/>
        <v>0</v>
      </c>
      <c r="H59" s="63">
        <v>13000</v>
      </c>
      <c r="I59" s="63">
        <f>+C59+D59-E59-F59+G59</f>
        <v>13000</v>
      </c>
      <c r="J59" s="9">
        <f t="shared" si="39"/>
        <v>0</v>
      </c>
      <c r="K59" s="47" t="s">
        <v>94</v>
      </c>
      <c r="L59" s="49">
        <v>20000</v>
      </c>
      <c r="M59" s="49">
        <v>0</v>
      </c>
      <c r="N59" s="49">
        <v>12500</v>
      </c>
      <c r="O59" s="49"/>
    </row>
    <row r="60" spans="1:15" ht="16.5">
      <c r="A60" s="60" t="str">
        <f t="shared" si="35"/>
        <v>P29</v>
      </c>
      <c r="B60" s="61" t="s">
        <v>4</v>
      </c>
      <c r="C60" s="62">
        <v>58200</v>
      </c>
      <c r="D60" s="63">
        <f t="shared" si="27"/>
        <v>530000</v>
      </c>
      <c r="E60" s="179">
        <f t="shared" si="38"/>
        <v>532500</v>
      </c>
      <c r="F60" s="63">
        <f>+M60</f>
        <v>0</v>
      </c>
      <c r="G60" s="63">
        <f>+O60</f>
        <v>0</v>
      </c>
      <c r="H60" s="63">
        <v>55700</v>
      </c>
      <c r="I60" s="63">
        <f>+C60+D60-E60-F60+G60</f>
        <v>55700</v>
      </c>
      <c r="J60" s="9">
        <f>I60-H60</f>
        <v>0</v>
      </c>
      <c r="K60" s="47" t="s">
        <v>29</v>
      </c>
      <c r="L60" s="49">
        <v>530000</v>
      </c>
      <c r="M60" s="49">
        <v>0</v>
      </c>
      <c r="N60" s="49">
        <v>532500</v>
      </c>
      <c r="O60" s="49">
        <v>0</v>
      </c>
    </row>
    <row r="61" spans="1:15" ht="16.5">
      <c r="A61" s="60" t="str">
        <f t="shared" si="35"/>
        <v>Tiffany</v>
      </c>
      <c r="B61" s="61" t="s">
        <v>2</v>
      </c>
      <c r="C61" s="62">
        <v>263673</v>
      </c>
      <c r="D61" s="63">
        <f t="shared" si="27"/>
        <v>300000</v>
      </c>
      <c r="E61" s="179">
        <f t="shared" si="38"/>
        <v>599910</v>
      </c>
      <c r="F61" s="63">
        <f t="shared" ref="F61" si="40">+M61</f>
        <v>0</v>
      </c>
      <c r="G61" s="63">
        <f t="shared" ref="G61" si="41">+O61</f>
        <v>0</v>
      </c>
      <c r="H61" s="63">
        <v>-36237</v>
      </c>
      <c r="I61" s="63">
        <f t="shared" ref="I61" si="42">+C61+D61-E61-F61+G61</f>
        <v>-36237</v>
      </c>
      <c r="J61" s="9">
        <f t="shared" ref="J61" si="43">I61-H61</f>
        <v>0</v>
      </c>
      <c r="K61" s="47" t="s">
        <v>114</v>
      </c>
      <c r="L61" s="49">
        <v>300000</v>
      </c>
      <c r="M61" s="49">
        <v>0</v>
      </c>
      <c r="N61" s="49">
        <v>599910</v>
      </c>
      <c r="O61" s="49">
        <v>0</v>
      </c>
    </row>
    <row r="62" spans="1:15" ht="16.5">
      <c r="A62" s="10" t="s">
        <v>51</v>
      </c>
      <c r="B62" s="11"/>
      <c r="C62" s="12">
        <f t="shared" ref="C62:I62" si="44">SUM(C48:C61)</f>
        <v>10222494</v>
      </c>
      <c r="D62" s="59">
        <f t="shared" si="44"/>
        <v>5565000</v>
      </c>
      <c r="E62" s="59">
        <f t="shared" si="44"/>
        <v>10187414</v>
      </c>
      <c r="F62" s="59">
        <f t="shared" si="44"/>
        <v>5565000</v>
      </c>
      <c r="G62" s="59">
        <f t="shared" si="44"/>
        <v>17525203</v>
      </c>
      <c r="H62" s="59">
        <f t="shared" si="44"/>
        <v>17560283</v>
      </c>
      <c r="I62" s="59">
        <f t="shared" si="44"/>
        <v>17560283</v>
      </c>
      <c r="J62" s="9">
        <f>I62-H62</f>
        <v>0</v>
      </c>
      <c r="K62" s="3"/>
      <c r="L62" s="49">
        <f>+SUM(L48:L61)</f>
        <v>5565000</v>
      </c>
      <c r="M62" s="49">
        <f>+SUM(M48:M61)</f>
        <v>5565000</v>
      </c>
      <c r="N62" s="49">
        <f>+SUM(N48:N61)</f>
        <v>10187414</v>
      </c>
      <c r="O62" s="49">
        <f>+SUM(O48:O61)</f>
        <v>17525203</v>
      </c>
    </row>
    <row r="63" spans="1:15" ht="16.5">
      <c r="A63" s="10"/>
      <c r="B63" s="11"/>
      <c r="C63" s="12"/>
      <c r="D63" s="13"/>
      <c r="E63" s="12"/>
      <c r="F63" s="13"/>
      <c r="G63" s="12"/>
      <c r="H63" s="12"/>
      <c r="I63" s="143" t="b">
        <f>I62=D65</f>
        <v>1</v>
      </c>
      <c r="L63" s="5"/>
      <c r="M63" s="5"/>
      <c r="N63" s="5"/>
      <c r="O63" s="5"/>
    </row>
    <row r="64" spans="1:15" ht="16.5">
      <c r="A64" s="10" t="s">
        <v>194</v>
      </c>
      <c r="B64" s="11" t="s">
        <v>196</v>
      </c>
      <c r="C64" s="12" t="s">
        <v>195</v>
      </c>
      <c r="D64" s="12" t="s">
        <v>197</v>
      </c>
      <c r="E64" s="12" t="s">
        <v>52</v>
      </c>
      <c r="F64" s="12"/>
      <c r="G64" s="12">
        <f>+D62-F62</f>
        <v>0</v>
      </c>
      <c r="H64" s="12"/>
      <c r="I64" s="12"/>
    </row>
    <row r="65" spans="1:11" ht="16.5">
      <c r="A65" s="14">
        <f>C62</f>
        <v>10222494</v>
      </c>
      <c r="B65" s="15">
        <f>G62</f>
        <v>17525203</v>
      </c>
      <c r="C65" s="12">
        <f>E62</f>
        <v>10187414</v>
      </c>
      <c r="D65" s="12">
        <f>A65+B65-C65</f>
        <v>17560283</v>
      </c>
      <c r="E65" s="13">
        <f>I62-D65</f>
        <v>0</v>
      </c>
      <c r="F65" s="12"/>
      <c r="G65" s="12"/>
      <c r="H65" s="12"/>
      <c r="I65" s="12"/>
    </row>
    <row r="66" spans="1:11" ht="16.5">
      <c r="A66" s="14"/>
      <c r="B66" s="15"/>
      <c r="C66" s="12"/>
      <c r="D66" s="12"/>
      <c r="E66" s="13"/>
      <c r="F66" s="12"/>
      <c r="G66" s="12"/>
      <c r="H66" s="12"/>
      <c r="I66" s="12"/>
    </row>
    <row r="67" spans="1:11">
      <c r="A67" s="16" t="s">
        <v>53</v>
      </c>
      <c r="B67" s="16"/>
      <c r="C67" s="16"/>
      <c r="D67" s="17"/>
      <c r="E67" s="17"/>
      <c r="F67" s="17"/>
      <c r="G67" s="17"/>
      <c r="H67" s="17"/>
      <c r="I67" s="17"/>
    </row>
    <row r="68" spans="1:11">
      <c r="A68" s="18" t="s">
        <v>198</v>
      </c>
      <c r="B68" s="18"/>
      <c r="C68" s="18"/>
      <c r="D68" s="18"/>
      <c r="E68" s="18"/>
      <c r="F68" s="18"/>
      <c r="G68" s="18"/>
      <c r="H68" s="18"/>
      <c r="I68" s="18"/>
      <c r="J68" s="18"/>
    </row>
    <row r="69" spans="1:11">
      <c r="A69" s="19"/>
      <c r="B69" s="20"/>
      <c r="C69" s="21"/>
      <c r="D69" s="21"/>
      <c r="E69" s="21"/>
      <c r="F69" s="21"/>
      <c r="G69" s="21"/>
      <c r="H69" s="20"/>
      <c r="I69" s="20"/>
    </row>
    <row r="70" spans="1:11">
      <c r="A70" s="335" t="s">
        <v>54</v>
      </c>
      <c r="B70" s="337" t="s">
        <v>55</v>
      </c>
      <c r="C70" s="339" t="s">
        <v>200</v>
      </c>
      <c r="D70" s="341" t="s">
        <v>56</v>
      </c>
      <c r="E70" s="342"/>
      <c r="F70" s="342"/>
      <c r="G70" s="343"/>
      <c r="H70" s="344" t="s">
        <v>57</v>
      </c>
      <c r="I70" s="331" t="s">
        <v>58</v>
      </c>
      <c r="J70" s="20"/>
    </row>
    <row r="71" spans="1:11" ht="28.5" customHeight="1">
      <c r="A71" s="336"/>
      <c r="B71" s="338"/>
      <c r="C71" s="340"/>
      <c r="D71" s="22" t="s">
        <v>24</v>
      </c>
      <c r="E71" s="22" t="s">
        <v>25</v>
      </c>
      <c r="F71" s="250" t="s">
        <v>124</v>
      </c>
      <c r="G71" s="22" t="s">
        <v>59</v>
      </c>
      <c r="H71" s="345"/>
      <c r="I71" s="332"/>
      <c r="J71" s="333" t="s">
        <v>199</v>
      </c>
      <c r="K71" s="155"/>
    </row>
    <row r="72" spans="1:11">
      <c r="A72" s="24"/>
      <c r="B72" s="25" t="s">
        <v>60</v>
      </c>
      <c r="C72" s="26"/>
      <c r="D72" s="26"/>
      <c r="E72" s="26"/>
      <c r="F72" s="26"/>
      <c r="G72" s="26"/>
      <c r="H72" s="26"/>
      <c r="I72" s="27"/>
      <c r="J72" s="334"/>
      <c r="K72" s="155"/>
    </row>
    <row r="73" spans="1:11">
      <c r="A73" s="130" t="s">
        <v>109</v>
      </c>
      <c r="B73" s="135" t="s">
        <v>175</v>
      </c>
      <c r="C73" s="33">
        <f>+C48</f>
        <v>9500</v>
      </c>
      <c r="D73" s="32"/>
      <c r="E73" s="33">
        <f>+D48</f>
        <v>567000</v>
      </c>
      <c r="F73" s="33"/>
      <c r="G73" s="33"/>
      <c r="H73" s="57">
        <f>+F48</f>
        <v>0</v>
      </c>
      <c r="I73" s="33">
        <f>+E48</f>
        <v>576000</v>
      </c>
      <c r="J73" s="31">
        <f t="shared" ref="J73:J74" si="45">+SUM(C73:G73)-(H73+I73)</f>
        <v>500</v>
      </c>
      <c r="K73" s="156" t="b">
        <f>J73=I48</f>
        <v>1</v>
      </c>
    </row>
    <row r="74" spans="1:11">
      <c r="A74" s="130" t="str">
        <f>+A73</f>
        <v>JANVIER</v>
      </c>
      <c r="B74" s="135" t="s">
        <v>48</v>
      </c>
      <c r="C74" s="33">
        <f>+C52</f>
        <v>-37100</v>
      </c>
      <c r="D74" s="32"/>
      <c r="E74" s="33">
        <f>+D52</f>
        <v>256000</v>
      </c>
      <c r="F74" s="33"/>
      <c r="G74" s="33"/>
      <c r="H74" s="57">
        <f>+F52</f>
        <v>20000</v>
      </c>
      <c r="I74" s="33">
        <f>+E52</f>
        <v>189900</v>
      </c>
      <c r="J74" s="107">
        <f t="shared" si="45"/>
        <v>9000</v>
      </c>
      <c r="K74" s="156" t="b">
        <f t="shared" ref="K74:K83" si="46">J74=I52</f>
        <v>1</v>
      </c>
    </row>
    <row r="75" spans="1:11">
      <c r="A75" s="130" t="str">
        <f t="shared" ref="A75:A83" si="47">+A74</f>
        <v>JANVIER</v>
      </c>
      <c r="B75" s="136" t="s">
        <v>31</v>
      </c>
      <c r="C75" s="33">
        <f>+C53</f>
        <v>8645</v>
      </c>
      <c r="D75" s="127"/>
      <c r="E75" s="33">
        <f>+D53</f>
        <v>0</v>
      </c>
      <c r="F75" s="53"/>
      <c r="G75" s="53"/>
      <c r="H75" s="57">
        <f>+F53</f>
        <v>0</v>
      </c>
      <c r="I75" s="33">
        <f>+E53</f>
        <v>0</v>
      </c>
      <c r="J75" s="132">
        <f>+SUM(C75:G75)-(H75+I75)</f>
        <v>8645</v>
      </c>
      <c r="K75" s="156" t="b">
        <f t="shared" si="46"/>
        <v>1</v>
      </c>
    </row>
    <row r="76" spans="1:11">
      <c r="A76" s="130" t="str">
        <f t="shared" si="47"/>
        <v>JANVIER</v>
      </c>
      <c r="B76" s="137" t="s">
        <v>85</v>
      </c>
      <c r="C76" s="128">
        <f>+C54</f>
        <v>233614</v>
      </c>
      <c r="D76" s="131"/>
      <c r="E76" s="128">
        <f>+D54</f>
        <v>0</v>
      </c>
      <c r="F76" s="146"/>
      <c r="G76" s="146"/>
      <c r="H76" s="180">
        <f>+F54</f>
        <v>0</v>
      </c>
      <c r="I76" s="128">
        <f>+E54</f>
        <v>0</v>
      </c>
      <c r="J76" s="129">
        <f>+SUM(C76:G76)-(H76+I76)</f>
        <v>233614</v>
      </c>
      <c r="K76" s="156" t="b">
        <f t="shared" si="46"/>
        <v>1</v>
      </c>
    </row>
    <row r="77" spans="1:11">
      <c r="A77" s="130" t="str">
        <f t="shared" si="47"/>
        <v>JANVIER</v>
      </c>
      <c r="B77" s="137" t="s">
        <v>84</v>
      </c>
      <c r="C77" s="128">
        <f>+C55</f>
        <v>249769</v>
      </c>
      <c r="D77" s="131"/>
      <c r="E77" s="128">
        <f>+D55</f>
        <v>0</v>
      </c>
      <c r="F77" s="146"/>
      <c r="G77" s="146"/>
      <c r="H77" s="180">
        <f>+F55</f>
        <v>0</v>
      </c>
      <c r="I77" s="128">
        <f>+E55</f>
        <v>0</v>
      </c>
      <c r="J77" s="129">
        <f t="shared" ref="J77:J83" si="48">+SUM(C77:G77)-(H77+I77)</f>
        <v>249769</v>
      </c>
      <c r="K77" s="156" t="b">
        <f t="shared" si="46"/>
        <v>1</v>
      </c>
    </row>
    <row r="78" spans="1:11">
      <c r="A78" s="130" t="str">
        <f t="shared" si="47"/>
        <v>JANVIER</v>
      </c>
      <c r="B78" s="135" t="s">
        <v>155</v>
      </c>
      <c r="C78" s="33">
        <f>+C56</f>
        <v>34935</v>
      </c>
      <c r="D78" s="32"/>
      <c r="E78" s="33">
        <f>+D56</f>
        <v>365000</v>
      </c>
      <c r="F78" s="33"/>
      <c r="G78" s="110"/>
      <c r="H78" s="57">
        <f>+F56</f>
        <v>0</v>
      </c>
      <c r="I78" s="33">
        <f>+E56</f>
        <v>320000</v>
      </c>
      <c r="J78" s="31">
        <f t="shared" si="48"/>
        <v>79935</v>
      </c>
      <c r="K78" s="156" t="b">
        <f t="shared" si="46"/>
        <v>1</v>
      </c>
    </row>
    <row r="79" spans="1:11">
      <c r="A79" s="130" t="str">
        <f t="shared" si="47"/>
        <v>JANVIER</v>
      </c>
      <c r="B79" s="135" t="s">
        <v>154</v>
      </c>
      <c r="C79" s="33">
        <f t="shared" ref="C79:C83" si="49">+C57</f>
        <v>44200</v>
      </c>
      <c r="D79" s="32"/>
      <c r="E79" s="33">
        <f t="shared" ref="E79:E83" si="50">+D57</f>
        <v>0</v>
      </c>
      <c r="F79" s="33"/>
      <c r="G79" s="110"/>
      <c r="H79" s="57">
        <f t="shared" ref="H79:H83" si="51">+F57</f>
        <v>15000</v>
      </c>
      <c r="I79" s="33">
        <f t="shared" ref="I79:I83" si="52">+E57</f>
        <v>9400</v>
      </c>
      <c r="J79" s="31">
        <f t="shared" si="48"/>
        <v>19800</v>
      </c>
      <c r="K79" s="156" t="b">
        <f t="shared" si="46"/>
        <v>1</v>
      </c>
    </row>
    <row r="80" spans="1:11">
      <c r="A80" s="130" t="str">
        <f t="shared" si="47"/>
        <v>JANVIER</v>
      </c>
      <c r="B80" s="135" t="s">
        <v>30</v>
      </c>
      <c r="C80" s="33">
        <f t="shared" si="49"/>
        <v>12050</v>
      </c>
      <c r="D80" s="32"/>
      <c r="E80" s="33">
        <f t="shared" si="50"/>
        <v>492000</v>
      </c>
      <c r="F80" s="33"/>
      <c r="G80" s="110"/>
      <c r="H80" s="57">
        <f t="shared" si="51"/>
        <v>0</v>
      </c>
      <c r="I80" s="33">
        <f t="shared" si="52"/>
        <v>473500</v>
      </c>
      <c r="J80" s="31">
        <f t="shared" si="48"/>
        <v>30550</v>
      </c>
      <c r="K80" s="156" t="b">
        <f t="shared" si="46"/>
        <v>1</v>
      </c>
    </row>
    <row r="81" spans="1:16">
      <c r="A81" s="130" t="str">
        <f>+A79</f>
        <v>JANVIER</v>
      </c>
      <c r="B81" s="135" t="s">
        <v>94</v>
      </c>
      <c r="C81" s="33">
        <f t="shared" si="49"/>
        <v>5500</v>
      </c>
      <c r="D81" s="32"/>
      <c r="E81" s="33">
        <f t="shared" si="50"/>
        <v>20000</v>
      </c>
      <c r="F81" s="33"/>
      <c r="G81" s="110"/>
      <c r="H81" s="57">
        <f t="shared" si="51"/>
        <v>0</v>
      </c>
      <c r="I81" s="33">
        <f t="shared" si="52"/>
        <v>12500</v>
      </c>
      <c r="J81" s="31">
        <f t="shared" si="48"/>
        <v>13000</v>
      </c>
      <c r="K81" s="156" t="b">
        <f t="shared" si="46"/>
        <v>1</v>
      </c>
    </row>
    <row r="82" spans="1:16">
      <c r="A82" s="130" t="str">
        <f>+A80</f>
        <v>JANVIER</v>
      </c>
      <c r="B82" s="135" t="s">
        <v>29</v>
      </c>
      <c r="C82" s="33">
        <f t="shared" si="49"/>
        <v>58200</v>
      </c>
      <c r="D82" s="32"/>
      <c r="E82" s="33">
        <f t="shared" si="50"/>
        <v>530000</v>
      </c>
      <c r="F82" s="33"/>
      <c r="G82" s="110"/>
      <c r="H82" s="57">
        <f t="shared" si="51"/>
        <v>0</v>
      </c>
      <c r="I82" s="33">
        <f t="shared" si="52"/>
        <v>532500</v>
      </c>
      <c r="J82" s="31">
        <f t="shared" si="48"/>
        <v>55700</v>
      </c>
      <c r="K82" s="156" t="b">
        <f t="shared" si="46"/>
        <v>1</v>
      </c>
    </row>
    <row r="83" spans="1:16">
      <c r="A83" s="130" t="str">
        <f t="shared" si="47"/>
        <v>JANVIER</v>
      </c>
      <c r="B83" s="136" t="s">
        <v>114</v>
      </c>
      <c r="C83" s="33">
        <f t="shared" si="49"/>
        <v>263673</v>
      </c>
      <c r="D83" s="127"/>
      <c r="E83" s="33">
        <f t="shared" si="50"/>
        <v>300000</v>
      </c>
      <c r="F83" s="53"/>
      <c r="G83" s="147"/>
      <c r="H83" s="57">
        <f t="shared" si="51"/>
        <v>0</v>
      </c>
      <c r="I83" s="33">
        <f t="shared" si="52"/>
        <v>599910</v>
      </c>
      <c r="J83" s="31">
        <f t="shared" si="48"/>
        <v>-36237</v>
      </c>
      <c r="K83" s="156" t="b">
        <f t="shared" si="46"/>
        <v>1</v>
      </c>
    </row>
    <row r="84" spans="1:16">
      <c r="A84" s="35" t="s">
        <v>61</v>
      </c>
      <c r="B84" s="36"/>
      <c r="C84" s="36"/>
      <c r="D84" s="36"/>
      <c r="E84" s="36"/>
      <c r="F84" s="36"/>
      <c r="G84" s="36"/>
      <c r="H84" s="36"/>
      <c r="I84" s="36"/>
      <c r="J84" s="37"/>
      <c r="K84" s="155"/>
    </row>
    <row r="85" spans="1:16">
      <c r="A85" s="130" t="str">
        <f>+A83</f>
        <v>JANVIER</v>
      </c>
      <c r="B85" s="38" t="s">
        <v>62</v>
      </c>
      <c r="C85" s="39">
        <f>+C51</f>
        <v>1042520</v>
      </c>
      <c r="D85" s="51"/>
      <c r="E85" s="51">
        <f>D51</f>
        <v>3035000</v>
      </c>
      <c r="F85" s="51"/>
      <c r="G85" s="133"/>
      <c r="H85" s="53">
        <f>+F51</f>
        <v>2530000</v>
      </c>
      <c r="I85" s="134">
        <f>+E51</f>
        <v>966635</v>
      </c>
      <c r="J85" s="46">
        <f>+SUM(C85:G85)-(H85+I85)</f>
        <v>580885</v>
      </c>
      <c r="K85" s="156" t="b">
        <f>J85=I51</f>
        <v>1</v>
      </c>
    </row>
    <row r="86" spans="1:16">
      <c r="A86" s="44" t="s">
        <v>63</v>
      </c>
      <c r="B86" s="25"/>
      <c r="C86" s="36"/>
      <c r="D86" s="25"/>
      <c r="E86" s="25"/>
      <c r="F86" s="25"/>
      <c r="G86" s="25"/>
      <c r="H86" s="25"/>
      <c r="I86" s="25"/>
      <c r="J86" s="37"/>
      <c r="K86" s="155"/>
    </row>
    <row r="87" spans="1:16">
      <c r="A87" s="130" t="str">
        <f>+A85</f>
        <v>JANVIER</v>
      </c>
      <c r="B87" s="38" t="s">
        <v>169</v>
      </c>
      <c r="C87" s="133">
        <f>+C49</f>
        <v>3455373</v>
      </c>
      <c r="D87" s="140">
        <f>+G49</f>
        <v>0</v>
      </c>
      <c r="E87" s="51"/>
      <c r="F87" s="51"/>
      <c r="G87" s="51"/>
      <c r="H87" s="53">
        <f>+F49</f>
        <v>1000000</v>
      </c>
      <c r="I87" s="55">
        <f>+E49</f>
        <v>283345</v>
      </c>
      <c r="J87" s="46">
        <f>+SUM(C87:G87)-(H87+I87)</f>
        <v>2172028</v>
      </c>
      <c r="K87" s="156" t="b">
        <f>+J87=I49</f>
        <v>1</v>
      </c>
    </row>
    <row r="88" spans="1:16">
      <c r="A88" s="130" t="str">
        <f t="shared" ref="A88" si="53">+A87</f>
        <v>JANVIER</v>
      </c>
      <c r="B88" s="38" t="s">
        <v>65</v>
      </c>
      <c r="C88" s="133">
        <f>+C50</f>
        <v>4841615</v>
      </c>
      <c r="D88" s="51">
        <f>+G50</f>
        <v>17525203</v>
      </c>
      <c r="E88" s="50"/>
      <c r="F88" s="50"/>
      <c r="G88" s="50"/>
      <c r="H88" s="33">
        <f>+F50</f>
        <v>2000000</v>
      </c>
      <c r="I88" s="52">
        <f>+E50</f>
        <v>6223724</v>
      </c>
      <c r="J88" s="46">
        <f>SUM(C88:G88)-(H88+I88)</f>
        <v>14143094</v>
      </c>
      <c r="K88" s="156" t="b">
        <f>+J88=I50</f>
        <v>1</v>
      </c>
    </row>
    <row r="89" spans="1:16" ht="15.75">
      <c r="C89" s="151">
        <f>SUM(C73:C88)</f>
        <v>10222494</v>
      </c>
      <c r="I89" s="149">
        <f>SUM(I73:I88)</f>
        <v>10187414</v>
      </c>
      <c r="J89" s="111">
        <f>+SUM(J73:J88)</f>
        <v>17560283</v>
      </c>
      <c r="K89" s="5" t="b">
        <f>J89=I62</f>
        <v>1</v>
      </c>
    </row>
    <row r="90" spans="1:16" ht="15.75">
      <c r="C90" s="151"/>
      <c r="I90" s="149"/>
      <c r="J90" s="111"/>
    </row>
    <row r="91" spans="1:16" ht="15.75">
      <c r="A91" s="273"/>
      <c r="B91" s="273"/>
      <c r="C91" s="274"/>
      <c r="D91" s="273"/>
      <c r="E91" s="273"/>
      <c r="F91" s="273"/>
      <c r="G91" s="273"/>
      <c r="H91" s="273"/>
      <c r="I91" s="275"/>
      <c r="J91" s="276"/>
      <c r="K91" s="273"/>
      <c r="L91" s="277"/>
      <c r="M91" s="277"/>
      <c r="N91" s="277"/>
      <c r="O91" s="277"/>
      <c r="P91" s="273"/>
    </row>
    <row r="93" spans="1:16" ht="15.75">
      <c r="A93" s="6" t="s">
        <v>37</v>
      </c>
      <c r="B93" s="6" t="s">
        <v>1</v>
      </c>
      <c r="C93" s="6">
        <v>44531</v>
      </c>
      <c r="D93" s="7" t="s">
        <v>38</v>
      </c>
      <c r="E93" s="7" t="s">
        <v>39</v>
      </c>
      <c r="F93" s="7" t="s">
        <v>40</v>
      </c>
      <c r="G93" s="7" t="s">
        <v>41</v>
      </c>
      <c r="H93" s="6">
        <v>44561</v>
      </c>
      <c r="I93" s="7" t="s">
        <v>42</v>
      </c>
      <c r="K93" s="47"/>
      <c r="L93" s="47" t="s">
        <v>43</v>
      </c>
      <c r="M93" s="47" t="s">
        <v>44</v>
      </c>
      <c r="N93" s="47" t="s">
        <v>45</v>
      </c>
      <c r="O93" s="47" t="s">
        <v>46</v>
      </c>
    </row>
    <row r="94" spans="1:16" s="185" customFormat="1" ht="16.5">
      <c r="A94" s="60" t="str">
        <f>+K94</f>
        <v>Axel</v>
      </c>
      <c r="B94" s="187" t="s">
        <v>166</v>
      </c>
      <c r="C94" s="62">
        <v>29107</v>
      </c>
      <c r="D94" s="63">
        <f t="shared" ref="D94:D108" si="54">+L94</f>
        <v>1125000</v>
      </c>
      <c r="E94" s="63">
        <f>+N94</f>
        <v>1008750</v>
      </c>
      <c r="F94" s="63">
        <f>+M94</f>
        <v>145357</v>
      </c>
      <c r="G94" s="63">
        <f t="shared" ref="G94:G106" si="55">+O94</f>
        <v>0</v>
      </c>
      <c r="H94" s="63">
        <v>0</v>
      </c>
      <c r="I94" s="63">
        <f>+C94+D94-E94-F94+G94</f>
        <v>0</v>
      </c>
      <c r="J94" s="9">
        <f>I94-H94</f>
        <v>0</v>
      </c>
      <c r="K94" s="186" t="s">
        <v>165</v>
      </c>
      <c r="L94" s="186">
        <v>1125000</v>
      </c>
      <c r="M94" s="186">
        <v>145357</v>
      </c>
      <c r="N94" s="186">
        <v>1008750</v>
      </c>
      <c r="O94" s="186">
        <v>0</v>
      </c>
    </row>
    <row r="95" spans="1:16" ht="16.5">
      <c r="A95" s="60" t="str">
        <f>+K95</f>
        <v>B52</v>
      </c>
      <c r="B95" s="61" t="s">
        <v>4</v>
      </c>
      <c r="C95" s="62">
        <v>4000</v>
      </c>
      <c r="D95" s="63">
        <f t="shared" si="54"/>
        <v>426000</v>
      </c>
      <c r="E95" s="63">
        <f>+N95</f>
        <v>420500</v>
      </c>
      <c r="F95" s="63">
        <f>+M95</f>
        <v>0</v>
      </c>
      <c r="G95" s="63">
        <f t="shared" si="55"/>
        <v>0</v>
      </c>
      <c r="H95" s="63">
        <v>9500</v>
      </c>
      <c r="I95" s="63">
        <f>+C95+D95-E95-F95+G95</f>
        <v>9500</v>
      </c>
      <c r="J95" s="9">
        <f>I95-H95</f>
        <v>0</v>
      </c>
      <c r="K95" s="47" t="s">
        <v>175</v>
      </c>
      <c r="L95" s="49">
        <v>426000</v>
      </c>
      <c r="M95" s="49">
        <v>0</v>
      </c>
      <c r="N95" s="49">
        <v>420500</v>
      </c>
      <c r="O95" s="49">
        <v>0</v>
      </c>
    </row>
    <row r="96" spans="1:16" ht="16.5">
      <c r="A96" s="60" t="str">
        <f>+K96</f>
        <v>BCI</v>
      </c>
      <c r="B96" s="61" t="s">
        <v>47</v>
      </c>
      <c r="C96" s="62">
        <v>5738718</v>
      </c>
      <c r="D96" s="63">
        <f t="shared" si="54"/>
        <v>0</v>
      </c>
      <c r="E96" s="63">
        <f>+N96</f>
        <v>283345</v>
      </c>
      <c r="F96" s="63">
        <f>+M96</f>
        <v>2000000</v>
      </c>
      <c r="G96" s="63">
        <f t="shared" si="55"/>
        <v>0</v>
      </c>
      <c r="H96" s="63">
        <v>3455373</v>
      </c>
      <c r="I96" s="63">
        <f>+C96+D96-E96-F96+G96</f>
        <v>3455373</v>
      </c>
      <c r="J96" s="9">
        <f t="shared" ref="J96:J103" si="56">I96-H96</f>
        <v>0</v>
      </c>
      <c r="K96" s="47" t="s">
        <v>24</v>
      </c>
      <c r="L96" s="49">
        <v>0</v>
      </c>
      <c r="M96" s="49">
        <v>2000000</v>
      </c>
      <c r="N96" s="49">
        <v>283345</v>
      </c>
      <c r="O96" s="49">
        <v>0</v>
      </c>
    </row>
    <row r="97" spans="1:15" ht="16.5">
      <c r="A97" s="60" t="str">
        <f t="shared" ref="A97:A99" si="57">+K97</f>
        <v>BCI-Sous Compte</v>
      </c>
      <c r="B97" s="61" t="s">
        <v>47</v>
      </c>
      <c r="C97" s="62">
        <v>16087207</v>
      </c>
      <c r="D97" s="63">
        <f t="shared" si="54"/>
        <v>0</v>
      </c>
      <c r="E97" s="63">
        <f>+N97</f>
        <v>3245592</v>
      </c>
      <c r="F97" s="63">
        <f>+M97</f>
        <v>8000000</v>
      </c>
      <c r="G97" s="63">
        <f t="shared" si="55"/>
        <v>0</v>
      </c>
      <c r="H97" s="63">
        <v>4841615</v>
      </c>
      <c r="I97" s="63">
        <f>+C97+D97-E97-F97+G97</f>
        <v>4841615</v>
      </c>
      <c r="J97" s="108">
        <f t="shared" si="56"/>
        <v>0</v>
      </c>
      <c r="K97" s="47" t="s">
        <v>160</v>
      </c>
      <c r="L97" s="49">
        <v>0</v>
      </c>
      <c r="M97" s="49">
        <v>8000000</v>
      </c>
      <c r="N97" s="49">
        <v>3245592</v>
      </c>
      <c r="O97" s="49">
        <v>0</v>
      </c>
    </row>
    <row r="98" spans="1:15" ht="16.5">
      <c r="A98" s="60" t="str">
        <f t="shared" si="57"/>
        <v>Caisse</v>
      </c>
      <c r="B98" s="61" t="s">
        <v>25</v>
      </c>
      <c r="C98" s="62">
        <v>926369</v>
      </c>
      <c r="D98" s="63">
        <f t="shared" si="54"/>
        <v>10580357</v>
      </c>
      <c r="E98" s="63">
        <f t="shared" ref="E98" si="58">+N98</f>
        <v>3713706</v>
      </c>
      <c r="F98" s="63">
        <f t="shared" ref="F98:F106" si="59">+M98</f>
        <v>6750500</v>
      </c>
      <c r="G98" s="63">
        <f t="shared" si="55"/>
        <v>0</v>
      </c>
      <c r="H98" s="63">
        <v>1042520</v>
      </c>
      <c r="I98" s="63">
        <f>+C98+D98-E98-F98+G98</f>
        <v>1042520</v>
      </c>
      <c r="J98" s="9">
        <f t="shared" si="56"/>
        <v>0</v>
      </c>
      <c r="K98" s="47" t="s">
        <v>25</v>
      </c>
      <c r="L98" s="49">
        <v>10580357</v>
      </c>
      <c r="M98" s="49">
        <v>6750500</v>
      </c>
      <c r="N98" s="49">
        <v>3713706</v>
      </c>
      <c r="O98" s="49">
        <v>0</v>
      </c>
    </row>
    <row r="99" spans="1:15" ht="16.5">
      <c r="A99" s="60" t="str">
        <f t="shared" si="57"/>
        <v>Crépin</v>
      </c>
      <c r="B99" s="61" t="s">
        <v>166</v>
      </c>
      <c r="C99" s="62">
        <v>-3675</v>
      </c>
      <c r="D99" s="63">
        <f t="shared" si="54"/>
        <v>1778500</v>
      </c>
      <c r="E99" s="63">
        <f>+N99</f>
        <v>1666925</v>
      </c>
      <c r="F99" s="63">
        <f t="shared" si="59"/>
        <v>145000</v>
      </c>
      <c r="G99" s="63">
        <f t="shared" si="55"/>
        <v>0</v>
      </c>
      <c r="H99" s="63">
        <v>-37100</v>
      </c>
      <c r="I99" s="63">
        <f t="shared" ref="I99" si="60">+C99+D99-E99-F99+G99</f>
        <v>-37100</v>
      </c>
      <c r="J99" s="9">
        <f t="shared" si="56"/>
        <v>0</v>
      </c>
      <c r="K99" s="47" t="s">
        <v>48</v>
      </c>
      <c r="L99" s="49">
        <v>1778500</v>
      </c>
      <c r="M99" s="49">
        <v>145000</v>
      </c>
      <c r="N99" s="49">
        <v>1666925</v>
      </c>
      <c r="O99" s="49">
        <v>0</v>
      </c>
    </row>
    <row r="100" spans="1:15" ht="16.5">
      <c r="A100" s="60" t="str">
        <f>K100</f>
        <v>Evariste</v>
      </c>
      <c r="B100" s="61" t="s">
        <v>167</v>
      </c>
      <c r="C100" s="62">
        <v>7595</v>
      </c>
      <c r="D100" s="63">
        <f t="shared" si="54"/>
        <v>286000</v>
      </c>
      <c r="E100" s="63">
        <f t="shared" ref="E100" si="61">+N100</f>
        <v>284950</v>
      </c>
      <c r="F100" s="63">
        <f t="shared" si="59"/>
        <v>0</v>
      </c>
      <c r="G100" s="63">
        <f t="shared" si="55"/>
        <v>0</v>
      </c>
      <c r="H100" s="63">
        <v>8645</v>
      </c>
      <c r="I100" s="63">
        <f>+C100+D100-E100-F100+G100</f>
        <v>8645</v>
      </c>
      <c r="J100" s="9">
        <f t="shared" si="56"/>
        <v>0</v>
      </c>
      <c r="K100" s="47" t="s">
        <v>31</v>
      </c>
      <c r="L100" s="49">
        <v>286000</v>
      </c>
      <c r="M100" s="49">
        <v>0</v>
      </c>
      <c r="N100" s="49">
        <v>284950</v>
      </c>
      <c r="O100" s="49">
        <v>0</v>
      </c>
    </row>
    <row r="101" spans="1:15" ht="16.5">
      <c r="A101" s="123" t="str">
        <f t="shared" ref="A101:A108" si="62">+K101</f>
        <v>I55S</v>
      </c>
      <c r="B101" s="124" t="s">
        <v>4</v>
      </c>
      <c r="C101" s="125">
        <v>233614</v>
      </c>
      <c r="D101" s="126">
        <f t="shared" si="54"/>
        <v>0</v>
      </c>
      <c r="E101" s="126">
        <f>+N101</f>
        <v>0</v>
      </c>
      <c r="F101" s="126">
        <f t="shared" si="59"/>
        <v>0</v>
      </c>
      <c r="G101" s="126">
        <f t="shared" si="55"/>
        <v>0</v>
      </c>
      <c r="H101" s="126">
        <v>233614</v>
      </c>
      <c r="I101" s="126">
        <f>+C101+D101-E101-F101+G101</f>
        <v>233614</v>
      </c>
      <c r="J101" s="9">
        <f t="shared" si="56"/>
        <v>0</v>
      </c>
      <c r="K101" s="47" t="s">
        <v>85</v>
      </c>
      <c r="L101" s="49">
        <v>0</v>
      </c>
      <c r="M101" s="49">
        <v>0</v>
      </c>
      <c r="N101" s="49">
        <v>0</v>
      </c>
      <c r="O101" s="49">
        <v>0</v>
      </c>
    </row>
    <row r="102" spans="1:15" ht="16.5">
      <c r="A102" s="123" t="str">
        <f t="shared" si="62"/>
        <v>I73X</v>
      </c>
      <c r="B102" s="124" t="s">
        <v>4</v>
      </c>
      <c r="C102" s="125">
        <v>249769</v>
      </c>
      <c r="D102" s="126">
        <f t="shared" si="54"/>
        <v>0</v>
      </c>
      <c r="E102" s="126">
        <f>+N102</f>
        <v>0</v>
      </c>
      <c r="F102" s="126">
        <f t="shared" si="59"/>
        <v>0</v>
      </c>
      <c r="G102" s="126">
        <f t="shared" si="55"/>
        <v>0</v>
      </c>
      <c r="H102" s="126">
        <v>249769</v>
      </c>
      <c r="I102" s="126">
        <f t="shared" ref="I102:I105" si="63">+C102+D102-E102-F102+G102</f>
        <v>249769</v>
      </c>
      <c r="J102" s="9">
        <f t="shared" si="56"/>
        <v>0</v>
      </c>
      <c r="K102" s="47" t="s">
        <v>84</v>
      </c>
      <c r="L102" s="49">
        <v>0</v>
      </c>
      <c r="M102" s="49">
        <v>0</v>
      </c>
      <c r="N102" s="49">
        <v>0</v>
      </c>
      <c r="O102" s="49">
        <v>0</v>
      </c>
    </row>
    <row r="103" spans="1:15" ht="16.5">
      <c r="A103" s="60" t="str">
        <f t="shared" si="62"/>
        <v>Godfré</v>
      </c>
      <c r="B103" s="104" t="s">
        <v>166</v>
      </c>
      <c r="C103" s="62">
        <v>-6000</v>
      </c>
      <c r="D103" s="63">
        <f t="shared" si="54"/>
        <v>797000</v>
      </c>
      <c r="E103" s="179">
        <f t="shared" ref="E103:E108" si="64">+N103</f>
        <v>578885</v>
      </c>
      <c r="F103" s="63">
        <f t="shared" si="59"/>
        <v>177180</v>
      </c>
      <c r="G103" s="63">
        <f t="shared" si="55"/>
        <v>0</v>
      </c>
      <c r="H103" s="63">
        <v>34935</v>
      </c>
      <c r="I103" s="63">
        <f t="shared" si="63"/>
        <v>34935</v>
      </c>
      <c r="J103" s="9">
        <f t="shared" si="56"/>
        <v>0</v>
      </c>
      <c r="K103" s="47" t="s">
        <v>155</v>
      </c>
      <c r="L103" s="49">
        <v>797000</v>
      </c>
      <c r="M103" s="49">
        <v>177180</v>
      </c>
      <c r="N103" s="49">
        <v>578885</v>
      </c>
      <c r="O103" s="49">
        <v>0</v>
      </c>
    </row>
    <row r="104" spans="1:15" ht="16.5">
      <c r="A104" s="60" t="str">
        <f t="shared" si="62"/>
        <v>Grace</v>
      </c>
      <c r="B104" s="61" t="s">
        <v>2</v>
      </c>
      <c r="C104" s="62">
        <v>48400</v>
      </c>
      <c r="D104" s="63">
        <f t="shared" si="54"/>
        <v>847000</v>
      </c>
      <c r="E104" s="179">
        <f>+N104</f>
        <v>193200</v>
      </c>
      <c r="F104" s="63">
        <f t="shared" si="59"/>
        <v>658000</v>
      </c>
      <c r="G104" s="63">
        <f t="shared" si="55"/>
        <v>0</v>
      </c>
      <c r="H104" s="63">
        <v>44200</v>
      </c>
      <c r="I104" s="63">
        <f t="shared" si="63"/>
        <v>44200</v>
      </c>
      <c r="J104" s="9">
        <f>I104-H104</f>
        <v>0</v>
      </c>
      <c r="K104" s="47" t="s">
        <v>154</v>
      </c>
      <c r="L104" s="49">
        <v>847000</v>
      </c>
      <c r="M104" s="49">
        <v>658000</v>
      </c>
      <c r="N104" s="49">
        <v>193200</v>
      </c>
      <c r="O104" s="49">
        <v>0</v>
      </c>
    </row>
    <row r="105" spans="1:15" ht="16.5">
      <c r="A105" s="60" t="str">
        <f t="shared" si="62"/>
        <v>I23C</v>
      </c>
      <c r="B105" s="104" t="s">
        <v>4</v>
      </c>
      <c r="C105" s="62">
        <v>6800</v>
      </c>
      <c r="D105" s="63">
        <f t="shared" si="54"/>
        <v>861000</v>
      </c>
      <c r="E105" s="179">
        <f t="shared" si="64"/>
        <v>855750</v>
      </c>
      <c r="F105" s="63">
        <f t="shared" si="59"/>
        <v>0</v>
      </c>
      <c r="G105" s="63">
        <f t="shared" si="55"/>
        <v>0</v>
      </c>
      <c r="H105" s="63">
        <v>12050</v>
      </c>
      <c r="I105" s="63">
        <f t="shared" si="63"/>
        <v>12050</v>
      </c>
      <c r="J105" s="9">
        <f t="shared" ref="J105:J106" si="65">I105-H105</f>
        <v>0</v>
      </c>
      <c r="K105" s="47" t="s">
        <v>30</v>
      </c>
      <c r="L105" s="49">
        <v>861000</v>
      </c>
      <c r="M105" s="49">
        <v>0</v>
      </c>
      <c r="N105" s="49">
        <v>855750</v>
      </c>
      <c r="O105" s="49">
        <v>0</v>
      </c>
    </row>
    <row r="106" spans="1:15" ht="16.5">
      <c r="A106" s="60" t="str">
        <f t="shared" si="62"/>
        <v>Merveille</v>
      </c>
      <c r="B106" s="61" t="s">
        <v>2</v>
      </c>
      <c r="C106" s="62">
        <v>5500</v>
      </c>
      <c r="D106" s="63">
        <f t="shared" si="54"/>
        <v>0</v>
      </c>
      <c r="E106" s="179">
        <f t="shared" si="64"/>
        <v>0</v>
      </c>
      <c r="F106" s="63">
        <f t="shared" si="59"/>
        <v>0</v>
      </c>
      <c r="G106" s="63">
        <f t="shared" si="55"/>
        <v>0</v>
      </c>
      <c r="H106" s="63">
        <v>5500</v>
      </c>
      <c r="I106" s="63">
        <f>+C106+D106-E106-F106+G106</f>
        <v>5500</v>
      </c>
      <c r="J106" s="9">
        <f t="shared" si="65"/>
        <v>0</v>
      </c>
      <c r="K106" s="47" t="s">
        <v>94</v>
      </c>
      <c r="L106" s="49">
        <v>0</v>
      </c>
      <c r="M106" s="49">
        <v>0</v>
      </c>
      <c r="N106" s="49">
        <v>0</v>
      </c>
      <c r="O106" s="49"/>
    </row>
    <row r="107" spans="1:15" ht="16.5">
      <c r="A107" s="60" t="str">
        <f t="shared" si="62"/>
        <v>P29</v>
      </c>
      <c r="B107" s="61" t="s">
        <v>4</v>
      </c>
      <c r="C107" s="62">
        <v>30700</v>
      </c>
      <c r="D107" s="63">
        <f t="shared" si="54"/>
        <v>1215000</v>
      </c>
      <c r="E107" s="179">
        <f t="shared" si="64"/>
        <v>697500</v>
      </c>
      <c r="F107" s="63">
        <f>+M107</f>
        <v>490000</v>
      </c>
      <c r="G107" s="63">
        <f>+O107</f>
        <v>0</v>
      </c>
      <c r="H107" s="63">
        <v>58200</v>
      </c>
      <c r="I107" s="63">
        <f>+C107+D107-E107-F107+G107</f>
        <v>58200</v>
      </c>
      <c r="J107" s="9">
        <f>I107-H107</f>
        <v>0</v>
      </c>
      <c r="K107" s="47" t="s">
        <v>29</v>
      </c>
      <c r="L107" s="49">
        <v>1215000</v>
      </c>
      <c r="M107" s="49">
        <v>490000</v>
      </c>
      <c r="N107" s="49">
        <v>697500</v>
      </c>
      <c r="O107" s="49">
        <v>0</v>
      </c>
    </row>
    <row r="108" spans="1:15" ht="16.5">
      <c r="A108" s="60" t="str">
        <f t="shared" si="62"/>
        <v>Tiffany</v>
      </c>
      <c r="B108" s="61" t="s">
        <v>2</v>
      </c>
      <c r="C108" s="62">
        <v>9193</v>
      </c>
      <c r="D108" s="63">
        <f t="shared" si="54"/>
        <v>1100180</v>
      </c>
      <c r="E108" s="179">
        <f t="shared" si="64"/>
        <v>195700</v>
      </c>
      <c r="F108" s="63">
        <f t="shared" ref="F108" si="66">+M108</f>
        <v>650000</v>
      </c>
      <c r="G108" s="63">
        <f t="shared" ref="G108" si="67">+O108</f>
        <v>0</v>
      </c>
      <c r="H108" s="63">
        <v>263673</v>
      </c>
      <c r="I108" s="63">
        <f t="shared" ref="I108" si="68">+C108+D108-E108-F108+G108</f>
        <v>263673</v>
      </c>
      <c r="J108" s="9">
        <f t="shared" ref="J108" si="69">I108-H108</f>
        <v>0</v>
      </c>
      <c r="K108" s="47" t="s">
        <v>114</v>
      </c>
      <c r="L108" s="49">
        <v>1100180</v>
      </c>
      <c r="M108" s="49">
        <v>650000</v>
      </c>
      <c r="N108" s="49">
        <v>195700</v>
      </c>
      <c r="O108" s="49">
        <v>0</v>
      </c>
    </row>
    <row r="109" spans="1:15" ht="16.5">
      <c r="A109" s="10" t="s">
        <v>51</v>
      </c>
      <c r="B109" s="11"/>
      <c r="C109" s="12">
        <f>SUM(C94:C108)</f>
        <v>23367297</v>
      </c>
      <c r="D109" s="59">
        <f t="shared" ref="D109:G109" si="70">SUM(D94:D108)</f>
        <v>19016037</v>
      </c>
      <c r="E109" s="59">
        <f t="shared" si="70"/>
        <v>13144803</v>
      </c>
      <c r="F109" s="59">
        <f t="shared" si="70"/>
        <v>19016037</v>
      </c>
      <c r="G109" s="59">
        <f t="shared" si="70"/>
        <v>0</v>
      </c>
      <c r="H109" s="59">
        <f>SUM(H94:H108)</f>
        <v>10222494</v>
      </c>
      <c r="I109" s="59">
        <f>SUM(I94:I108)</f>
        <v>10222494</v>
      </c>
      <c r="J109" s="9">
        <f>I109-H109</f>
        <v>0</v>
      </c>
      <c r="K109" s="3"/>
      <c r="L109" s="49">
        <f>+SUM(L94:L108)</f>
        <v>19016037</v>
      </c>
      <c r="M109" s="49">
        <f t="shared" ref="M109:O109" si="71">+SUM(M94:M108)</f>
        <v>19016037</v>
      </c>
      <c r="N109" s="49">
        <f>+SUM(N94:N108)</f>
        <v>13144803</v>
      </c>
      <c r="O109" s="49">
        <f t="shared" si="71"/>
        <v>0</v>
      </c>
    </row>
    <row r="110" spans="1:15" ht="16.5">
      <c r="A110" s="10"/>
      <c r="B110" s="11"/>
      <c r="C110" s="12"/>
      <c r="D110" s="13"/>
      <c r="E110" s="12"/>
      <c r="F110" s="13"/>
      <c r="G110" s="12"/>
      <c r="H110" s="12"/>
      <c r="I110" s="143" t="b">
        <f>I109=D112</f>
        <v>1</v>
      </c>
      <c r="L110" s="5"/>
      <c r="M110" s="5"/>
      <c r="N110" s="5"/>
      <c r="O110" s="5"/>
    </row>
    <row r="111" spans="1:15" ht="16.5">
      <c r="A111" s="10" t="s">
        <v>179</v>
      </c>
      <c r="B111" s="11" t="s">
        <v>180</v>
      </c>
      <c r="C111" s="12" t="s">
        <v>181</v>
      </c>
      <c r="D111" s="12" t="s">
        <v>192</v>
      </c>
      <c r="E111" s="12" t="s">
        <v>52</v>
      </c>
      <c r="F111" s="12"/>
      <c r="G111" s="12">
        <f>+D109-F109</f>
        <v>0</v>
      </c>
      <c r="H111" s="12"/>
      <c r="I111" s="12"/>
    </row>
    <row r="112" spans="1:15" ht="16.5">
      <c r="A112" s="14">
        <f>C109</f>
        <v>23367297</v>
      </c>
      <c r="B112" s="15">
        <f>G109</f>
        <v>0</v>
      </c>
      <c r="C112" s="12">
        <f>E109</f>
        <v>13144803</v>
      </c>
      <c r="D112" s="12">
        <f>A112+B112-C112</f>
        <v>10222494</v>
      </c>
      <c r="E112" s="13">
        <f>I109-D112</f>
        <v>0</v>
      </c>
      <c r="F112" s="12"/>
      <c r="G112" s="12"/>
      <c r="H112" s="12"/>
      <c r="I112" s="12"/>
    </row>
    <row r="113" spans="1:11" ht="16.5">
      <c r="A113" s="14"/>
      <c r="B113" s="15"/>
      <c r="C113" s="12"/>
      <c r="D113" s="12"/>
      <c r="E113" s="13"/>
      <c r="F113" s="12"/>
      <c r="G113" s="12"/>
      <c r="H113" s="12"/>
      <c r="I113" s="12"/>
    </row>
    <row r="114" spans="1:11">
      <c r="A114" s="16" t="s">
        <v>53</v>
      </c>
      <c r="B114" s="16"/>
      <c r="C114" s="16"/>
      <c r="D114" s="17"/>
      <c r="E114" s="17"/>
      <c r="F114" s="17"/>
      <c r="G114" s="17"/>
      <c r="H114" s="17"/>
      <c r="I114" s="17"/>
    </row>
    <row r="115" spans="1:11">
      <c r="A115" s="18" t="s">
        <v>190</v>
      </c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1">
      <c r="A116" s="19"/>
      <c r="B116" s="20"/>
      <c r="C116" s="21"/>
      <c r="D116" s="21"/>
      <c r="E116" s="21"/>
      <c r="F116" s="21"/>
      <c r="G116" s="21"/>
      <c r="H116" s="20"/>
      <c r="I116" s="20"/>
    </row>
    <row r="117" spans="1:11">
      <c r="A117" s="335" t="s">
        <v>54</v>
      </c>
      <c r="B117" s="337" t="s">
        <v>55</v>
      </c>
      <c r="C117" s="339" t="s">
        <v>182</v>
      </c>
      <c r="D117" s="341" t="s">
        <v>56</v>
      </c>
      <c r="E117" s="342"/>
      <c r="F117" s="342"/>
      <c r="G117" s="343"/>
      <c r="H117" s="344" t="s">
        <v>57</v>
      </c>
      <c r="I117" s="331" t="s">
        <v>58</v>
      </c>
      <c r="J117" s="20"/>
    </row>
    <row r="118" spans="1:11" ht="28.5" customHeight="1">
      <c r="A118" s="336"/>
      <c r="B118" s="338"/>
      <c r="C118" s="340"/>
      <c r="D118" s="22" t="s">
        <v>24</v>
      </c>
      <c r="E118" s="22" t="s">
        <v>25</v>
      </c>
      <c r="F118" s="218" t="s">
        <v>124</v>
      </c>
      <c r="G118" s="22" t="s">
        <v>59</v>
      </c>
      <c r="H118" s="345"/>
      <c r="I118" s="332"/>
      <c r="J118" s="333" t="s">
        <v>183</v>
      </c>
      <c r="K118" s="155"/>
    </row>
    <row r="119" spans="1:11">
      <c r="A119" s="24"/>
      <c r="B119" s="25" t="s">
        <v>60</v>
      </c>
      <c r="C119" s="26"/>
      <c r="D119" s="26"/>
      <c r="E119" s="26"/>
      <c r="F119" s="26"/>
      <c r="G119" s="26"/>
      <c r="H119" s="26"/>
      <c r="I119" s="27"/>
      <c r="J119" s="334"/>
      <c r="K119" s="155"/>
    </row>
    <row r="120" spans="1:11">
      <c r="A120" s="130" t="s">
        <v>104</v>
      </c>
      <c r="B120" s="135" t="s">
        <v>165</v>
      </c>
      <c r="C120" s="33">
        <f>+C94</f>
        <v>29107</v>
      </c>
      <c r="D120" s="32"/>
      <c r="E120" s="33">
        <f>D94</f>
        <v>1125000</v>
      </c>
      <c r="F120" s="33"/>
      <c r="G120" s="33"/>
      <c r="H120" s="57">
        <f>+F94</f>
        <v>145357</v>
      </c>
      <c r="I120" s="33">
        <f>+E94</f>
        <v>1008750</v>
      </c>
      <c r="J120" s="31">
        <f>+SUM(C120:G120)-(H120+I120)</f>
        <v>0</v>
      </c>
      <c r="K120" s="156" t="b">
        <f>J120=I94</f>
        <v>1</v>
      </c>
    </row>
    <row r="121" spans="1:11">
      <c r="A121" s="130" t="str">
        <f>A120</f>
        <v>DECEMBRE</v>
      </c>
      <c r="B121" s="135" t="s">
        <v>175</v>
      </c>
      <c r="C121" s="33">
        <f>+C95</f>
        <v>4000</v>
      </c>
      <c r="D121" s="32"/>
      <c r="E121" s="33">
        <f>+D95</f>
        <v>426000</v>
      </c>
      <c r="F121" s="33"/>
      <c r="G121" s="33"/>
      <c r="H121" s="57">
        <f>+F95</f>
        <v>0</v>
      </c>
      <c r="I121" s="33">
        <f>+E95</f>
        <v>420500</v>
      </c>
      <c r="J121" s="31">
        <f t="shared" ref="J121:J122" si="72">+SUM(C121:G121)-(H121+I121)</f>
        <v>9500</v>
      </c>
      <c r="K121" s="156" t="b">
        <f>J121=I95</f>
        <v>1</v>
      </c>
    </row>
    <row r="122" spans="1:11">
      <c r="A122" s="130" t="str">
        <f>+A121</f>
        <v>DECEMBRE</v>
      </c>
      <c r="B122" s="135" t="s">
        <v>48</v>
      </c>
      <c r="C122" s="33">
        <f>+C99</f>
        <v>-3675</v>
      </c>
      <c r="D122" s="32"/>
      <c r="E122" s="33">
        <f>+D99</f>
        <v>1778500</v>
      </c>
      <c r="F122" s="33"/>
      <c r="G122" s="33"/>
      <c r="H122" s="57">
        <f>+F99</f>
        <v>145000</v>
      </c>
      <c r="I122" s="33">
        <f>+E99</f>
        <v>1666925</v>
      </c>
      <c r="J122" s="107">
        <f t="shared" si="72"/>
        <v>-37100</v>
      </c>
      <c r="K122" s="156" t="b">
        <f>J122=I99</f>
        <v>1</v>
      </c>
    </row>
    <row r="123" spans="1:11">
      <c r="A123" s="130" t="str">
        <f t="shared" ref="A123:A131" si="73">+A122</f>
        <v>DECEMBRE</v>
      </c>
      <c r="B123" s="136" t="s">
        <v>31</v>
      </c>
      <c r="C123" s="33">
        <f>+C100</f>
        <v>7595</v>
      </c>
      <c r="D123" s="127"/>
      <c r="E123" s="33">
        <f>+D100</f>
        <v>286000</v>
      </c>
      <c r="F123" s="53"/>
      <c r="G123" s="53"/>
      <c r="H123" s="57">
        <f>+F100</f>
        <v>0</v>
      </c>
      <c r="I123" s="33">
        <f>+E100</f>
        <v>284950</v>
      </c>
      <c r="J123" s="132">
        <f>+SUM(C123:G123)-(H123+I123)</f>
        <v>8645</v>
      </c>
      <c r="K123" s="156" t="b">
        <f t="shared" ref="K123:K131" si="74">J123=I100</f>
        <v>1</v>
      </c>
    </row>
    <row r="124" spans="1:11">
      <c r="A124" s="130" t="str">
        <f t="shared" si="73"/>
        <v>DECEMBRE</v>
      </c>
      <c r="B124" s="137" t="s">
        <v>85</v>
      </c>
      <c r="C124" s="128">
        <f>+C101</f>
        <v>233614</v>
      </c>
      <c r="D124" s="131"/>
      <c r="E124" s="128">
        <f>+D101</f>
        <v>0</v>
      </c>
      <c r="F124" s="146"/>
      <c r="G124" s="146"/>
      <c r="H124" s="180">
        <f>+F101</f>
        <v>0</v>
      </c>
      <c r="I124" s="128">
        <f>+E101</f>
        <v>0</v>
      </c>
      <c r="J124" s="129">
        <f>+SUM(C124:G124)-(H124+I124)</f>
        <v>233614</v>
      </c>
      <c r="K124" s="156" t="b">
        <f t="shared" si="74"/>
        <v>1</v>
      </c>
    </row>
    <row r="125" spans="1:11">
      <c r="A125" s="130" t="str">
        <f t="shared" si="73"/>
        <v>DECEMBRE</v>
      </c>
      <c r="B125" s="137" t="s">
        <v>84</v>
      </c>
      <c r="C125" s="128">
        <f>+C102</f>
        <v>249769</v>
      </c>
      <c r="D125" s="131"/>
      <c r="E125" s="128">
        <f>+D102</f>
        <v>0</v>
      </c>
      <c r="F125" s="146"/>
      <c r="G125" s="146"/>
      <c r="H125" s="180">
        <f>+F102</f>
        <v>0</v>
      </c>
      <c r="I125" s="128">
        <f>+E102</f>
        <v>0</v>
      </c>
      <c r="J125" s="129">
        <f t="shared" ref="J125:J131" si="75">+SUM(C125:G125)-(H125+I125)</f>
        <v>249769</v>
      </c>
      <c r="K125" s="156" t="b">
        <f t="shared" si="74"/>
        <v>1</v>
      </c>
    </row>
    <row r="126" spans="1:11">
      <c r="A126" s="130" t="str">
        <f t="shared" si="73"/>
        <v>DECEMBRE</v>
      </c>
      <c r="B126" s="135" t="s">
        <v>155</v>
      </c>
      <c r="C126" s="33">
        <f>+C103</f>
        <v>-6000</v>
      </c>
      <c r="D126" s="32"/>
      <c r="E126" s="33">
        <f>+D103</f>
        <v>797000</v>
      </c>
      <c r="F126" s="33"/>
      <c r="G126" s="110"/>
      <c r="H126" s="57">
        <f>+F103</f>
        <v>177180</v>
      </c>
      <c r="I126" s="33">
        <f>+E103</f>
        <v>578885</v>
      </c>
      <c r="J126" s="31">
        <f t="shared" si="75"/>
        <v>34935</v>
      </c>
      <c r="K126" s="156" t="b">
        <f t="shared" si="74"/>
        <v>1</v>
      </c>
    </row>
    <row r="127" spans="1:11">
      <c r="A127" s="130" t="str">
        <f t="shared" si="73"/>
        <v>DECEMBRE</v>
      </c>
      <c r="B127" s="135" t="s">
        <v>154</v>
      </c>
      <c r="C127" s="33">
        <f t="shared" ref="C127:C131" si="76">+C104</f>
        <v>48400</v>
      </c>
      <c r="D127" s="32"/>
      <c r="E127" s="33">
        <f t="shared" ref="E127:E131" si="77">+D104</f>
        <v>847000</v>
      </c>
      <c r="F127" s="33"/>
      <c r="G127" s="110"/>
      <c r="H127" s="57">
        <f t="shared" ref="H127:H131" si="78">+F104</f>
        <v>658000</v>
      </c>
      <c r="I127" s="33">
        <f t="shared" ref="I127:I131" si="79">+E104</f>
        <v>193200</v>
      </c>
      <c r="J127" s="31">
        <f t="shared" si="75"/>
        <v>44200</v>
      </c>
      <c r="K127" s="156" t="b">
        <f t="shared" si="74"/>
        <v>1</v>
      </c>
    </row>
    <row r="128" spans="1:11">
      <c r="A128" s="130" t="str">
        <f t="shared" si="73"/>
        <v>DECEMBRE</v>
      </c>
      <c r="B128" s="135" t="s">
        <v>30</v>
      </c>
      <c r="C128" s="33">
        <f t="shared" si="76"/>
        <v>6800</v>
      </c>
      <c r="D128" s="32"/>
      <c r="E128" s="33">
        <f t="shared" si="77"/>
        <v>861000</v>
      </c>
      <c r="F128" s="33"/>
      <c r="G128" s="110"/>
      <c r="H128" s="57">
        <f t="shared" si="78"/>
        <v>0</v>
      </c>
      <c r="I128" s="33">
        <f t="shared" si="79"/>
        <v>855750</v>
      </c>
      <c r="J128" s="31">
        <f t="shared" si="75"/>
        <v>12050</v>
      </c>
      <c r="K128" s="156" t="b">
        <f t="shared" si="74"/>
        <v>1</v>
      </c>
    </row>
    <row r="129" spans="1:16">
      <c r="A129" s="130" t="str">
        <f>+A127</f>
        <v>DECEMBRE</v>
      </c>
      <c r="B129" s="135" t="s">
        <v>94</v>
      </c>
      <c r="C129" s="33">
        <f t="shared" si="76"/>
        <v>5500</v>
      </c>
      <c r="D129" s="32"/>
      <c r="E129" s="33">
        <f t="shared" si="77"/>
        <v>0</v>
      </c>
      <c r="F129" s="33"/>
      <c r="G129" s="110"/>
      <c r="H129" s="57">
        <f t="shared" si="78"/>
        <v>0</v>
      </c>
      <c r="I129" s="33">
        <f t="shared" si="79"/>
        <v>0</v>
      </c>
      <c r="J129" s="31">
        <f t="shared" si="75"/>
        <v>5500</v>
      </c>
      <c r="K129" s="156" t="b">
        <f t="shared" si="74"/>
        <v>1</v>
      </c>
    </row>
    <row r="130" spans="1:16">
      <c r="A130" s="130" t="str">
        <f>+A128</f>
        <v>DECEMBRE</v>
      </c>
      <c r="B130" s="135" t="s">
        <v>29</v>
      </c>
      <c r="C130" s="33">
        <f t="shared" si="76"/>
        <v>30700</v>
      </c>
      <c r="D130" s="32"/>
      <c r="E130" s="33">
        <f t="shared" si="77"/>
        <v>1215000</v>
      </c>
      <c r="F130" s="33"/>
      <c r="G130" s="110"/>
      <c r="H130" s="57">
        <f t="shared" si="78"/>
        <v>490000</v>
      </c>
      <c r="I130" s="33">
        <f t="shared" si="79"/>
        <v>697500</v>
      </c>
      <c r="J130" s="31">
        <f t="shared" si="75"/>
        <v>58200</v>
      </c>
      <c r="K130" s="156" t="b">
        <f t="shared" si="74"/>
        <v>1</v>
      </c>
    </row>
    <row r="131" spans="1:16">
      <c r="A131" s="130" t="str">
        <f t="shared" si="73"/>
        <v>DECEMBRE</v>
      </c>
      <c r="B131" s="136" t="s">
        <v>114</v>
      </c>
      <c r="C131" s="33">
        <f t="shared" si="76"/>
        <v>9193</v>
      </c>
      <c r="D131" s="127"/>
      <c r="E131" s="33">
        <f t="shared" si="77"/>
        <v>1100180</v>
      </c>
      <c r="F131" s="53"/>
      <c r="G131" s="147"/>
      <c r="H131" s="57">
        <f t="shared" si="78"/>
        <v>650000</v>
      </c>
      <c r="I131" s="33">
        <f t="shared" si="79"/>
        <v>195700</v>
      </c>
      <c r="J131" s="31">
        <f t="shared" si="75"/>
        <v>263673</v>
      </c>
      <c r="K131" s="156" t="b">
        <f t="shared" si="74"/>
        <v>1</v>
      </c>
    </row>
    <row r="132" spans="1:16">
      <c r="A132" s="35" t="s">
        <v>61</v>
      </c>
      <c r="B132" s="36"/>
      <c r="C132" s="36"/>
      <c r="D132" s="36"/>
      <c r="E132" s="36"/>
      <c r="F132" s="36"/>
      <c r="G132" s="36"/>
      <c r="H132" s="36"/>
      <c r="I132" s="36"/>
      <c r="J132" s="37"/>
      <c r="K132" s="155"/>
    </row>
    <row r="133" spans="1:16">
      <c r="A133" s="130" t="str">
        <f>+A131</f>
        <v>DECEMBRE</v>
      </c>
      <c r="B133" s="38" t="s">
        <v>62</v>
      </c>
      <c r="C133" s="39">
        <f>+C98</f>
        <v>926369</v>
      </c>
      <c r="D133" s="51"/>
      <c r="E133" s="51">
        <f>D98</f>
        <v>10580357</v>
      </c>
      <c r="F133" s="51"/>
      <c r="G133" s="133"/>
      <c r="H133" s="53">
        <f>+F98</f>
        <v>6750500</v>
      </c>
      <c r="I133" s="134">
        <f>+E98</f>
        <v>3713706</v>
      </c>
      <c r="J133" s="46">
        <f>+SUM(C133:G133)-(H133+I133)</f>
        <v>1042520</v>
      </c>
      <c r="K133" s="156" t="b">
        <f>J133=I98</f>
        <v>1</v>
      </c>
    </row>
    <row r="134" spans="1:16">
      <c r="A134" s="44" t="s">
        <v>63</v>
      </c>
      <c r="B134" s="25"/>
      <c r="C134" s="36"/>
      <c r="D134" s="25"/>
      <c r="E134" s="25"/>
      <c r="F134" s="25"/>
      <c r="G134" s="25"/>
      <c r="H134" s="25"/>
      <c r="I134" s="25"/>
      <c r="J134" s="37"/>
      <c r="K134" s="155"/>
    </row>
    <row r="135" spans="1:16">
      <c r="A135" s="130" t="str">
        <f>+A133</f>
        <v>DECEMBRE</v>
      </c>
      <c r="B135" s="38" t="s">
        <v>169</v>
      </c>
      <c r="C135" s="133">
        <f>+C96</f>
        <v>5738718</v>
      </c>
      <c r="D135" s="140">
        <f>+G96</f>
        <v>0</v>
      </c>
      <c r="E135" s="51"/>
      <c r="F135" s="51"/>
      <c r="G135" s="51"/>
      <c r="H135" s="53">
        <f>+F96</f>
        <v>2000000</v>
      </c>
      <c r="I135" s="55">
        <f>+E96</f>
        <v>283345</v>
      </c>
      <c r="J135" s="46">
        <f>+SUM(C135:G135)-(H135+I135)</f>
        <v>3455373</v>
      </c>
      <c r="K135" s="156" t="b">
        <f>+J135=I96</f>
        <v>1</v>
      </c>
    </row>
    <row r="136" spans="1:16">
      <c r="A136" s="130" t="str">
        <f t="shared" ref="A136" si="80">+A135</f>
        <v>DECEMBRE</v>
      </c>
      <c r="B136" s="38" t="s">
        <v>65</v>
      </c>
      <c r="C136" s="133">
        <f>+C97</f>
        <v>16087207</v>
      </c>
      <c r="D136" s="51">
        <f>+G97</f>
        <v>0</v>
      </c>
      <c r="E136" s="50"/>
      <c r="F136" s="50"/>
      <c r="G136" s="50"/>
      <c r="H136" s="33">
        <f>+F97</f>
        <v>8000000</v>
      </c>
      <c r="I136" s="52">
        <f>+E97</f>
        <v>3245592</v>
      </c>
      <c r="J136" s="46">
        <f>SUM(C136:G136)-(H136+I136)</f>
        <v>4841615</v>
      </c>
      <c r="K136" s="156" t="b">
        <f>+J136=I97</f>
        <v>1</v>
      </c>
    </row>
    <row r="137" spans="1:16" ht="15.75">
      <c r="C137" s="151">
        <f>SUM(C121:C136)</f>
        <v>23338190</v>
      </c>
      <c r="I137" s="149">
        <f>SUM(I121:I136)</f>
        <v>12136053</v>
      </c>
      <c r="J137" s="111">
        <f>+SUM(J120:J136)</f>
        <v>10222494</v>
      </c>
      <c r="K137" s="5" t="b">
        <f>J137=I109</f>
        <v>1</v>
      </c>
    </row>
    <row r="138" spans="1:16">
      <c r="G138" s="9"/>
    </row>
    <row r="139" spans="1:16">
      <c r="A139" s="273"/>
      <c r="B139" s="273"/>
      <c r="C139" s="273"/>
      <c r="D139" s="273"/>
      <c r="E139" s="273"/>
      <c r="F139" s="273"/>
      <c r="G139" s="273"/>
      <c r="H139" s="273"/>
      <c r="I139" s="273"/>
      <c r="J139" s="273"/>
      <c r="K139" s="273"/>
      <c r="L139" s="277"/>
      <c r="M139" s="277"/>
      <c r="N139" s="277"/>
      <c r="O139" s="277"/>
      <c r="P139" s="273"/>
    </row>
    <row r="140" spans="1:16">
      <c r="A140" s="4">
        <v>44530</v>
      </c>
    </row>
    <row r="141" spans="1:16" ht="15.75">
      <c r="A141" s="6" t="s">
        <v>37</v>
      </c>
      <c r="B141" s="6" t="s">
        <v>1</v>
      </c>
      <c r="C141" s="6">
        <v>44501</v>
      </c>
      <c r="D141" s="7" t="s">
        <v>38</v>
      </c>
      <c r="E141" s="7" t="s">
        <v>39</v>
      </c>
      <c r="F141" s="7" t="s">
        <v>40</v>
      </c>
      <c r="G141" s="7" t="s">
        <v>41</v>
      </c>
      <c r="H141" s="6">
        <v>44530</v>
      </c>
      <c r="I141" s="7" t="s">
        <v>42</v>
      </c>
      <c r="K141" s="47"/>
      <c r="L141" s="47" t="s">
        <v>43</v>
      </c>
      <c r="M141" s="47" t="s">
        <v>44</v>
      </c>
      <c r="N141" s="47" t="s">
        <v>45</v>
      </c>
      <c r="O141" s="47" t="s">
        <v>46</v>
      </c>
    </row>
    <row r="142" spans="1:16" s="185" customFormat="1" ht="16.5">
      <c r="A142" s="60" t="str">
        <f>+K142</f>
        <v>Axel</v>
      </c>
      <c r="B142" s="187" t="s">
        <v>166</v>
      </c>
      <c r="C142" s="62">
        <v>6757</v>
      </c>
      <c r="D142" s="63">
        <f t="shared" ref="D142:D155" si="81">+L142</f>
        <v>337000</v>
      </c>
      <c r="E142" s="63">
        <f>+N142</f>
        <v>314650</v>
      </c>
      <c r="F142" s="63">
        <f>+M142</f>
        <v>0</v>
      </c>
      <c r="G142" s="63">
        <f t="shared" ref="G142:G144" si="82">+O142</f>
        <v>0</v>
      </c>
      <c r="H142" s="63">
        <v>29107</v>
      </c>
      <c r="I142" s="63">
        <f>+C142+D142-E142-F142+G142</f>
        <v>29107</v>
      </c>
      <c r="J142" s="9">
        <f>I142-H142</f>
        <v>0</v>
      </c>
      <c r="K142" s="186" t="s">
        <v>165</v>
      </c>
      <c r="L142" s="186">
        <v>337000</v>
      </c>
      <c r="M142" s="186">
        <v>0</v>
      </c>
      <c r="N142" s="186">
        <v>314650</v>
      </c>
      <c r="O142" s="186">
        <v>0</v>
      </c>
    </row>
    <row r="143" spans="1:16" ht="16.5">
      <c r="A143" s="60" t="str">
        <f>+K143</f>
        <v>B52</v>
      </c>
      <c r="B143" s="61" t="s">
        <v>4</v>
      </c>
      <c r="C143" s="62">
        <v>0</v>
      </c>
      <c r="D143" s="63">
        <f t="shared" si="81"/>
        <v>118000</v>
      </c>
      <c r="E143" s="63">
        <f>+N143</f>
        <v>114000</v>
      </c>
      <c r="F143" s="63">
        <f>+M143</f>
        <v>0</v>
      </c>
      <c r="G143" s="63">
        <f t="shared" si="82"/>
        <v>0</v>
      </c>
      <c r="H143" s="63">
        <v>4000</v>
      </c>
      <c r="I143" s="63">
        <f>+C143+D143-E143-F143+G143</f>
        <v>4000</v>
      </c>
      <c r="J143" s="9">
        <f>I143-H143</f>
        <v>0</v>
      </c>
      <c r="K143" s="47" t="s">
        <v>175</v>
      </c>
      <c r="L143" s="49">
        <v>118000</v>
      </c>
      <c r="M143" s="49">
        <v>0</v>
      </c>
      <c r="N143" s="49">
        <v>114000</v>
      </c>
      <c r="O143" s="49">
        <v>0</v>
      </c>
    </row>
    <row r="144" spans="1:16" ht="16.5">
      <c r="A144" s="60" t="str">
        <f>+K144</f>
        <v>BCI</v>
      </c>
      <c r="B144" s="61" t="s">
        <v>47</v>
      </c>
      <c r="C144" s="62">
        <v>6762063</v>
      </c>
      <c r="D144" s="63">
        <f t="shared" si="81"/>
        <v>0</v>
      </c>
      <c r="E144" s="63">
        <f>+N144</f>
        <v>23345</v>
      </c>
      <c r="F144" s="63">
        <f>+M144</f>
        <v>1000000</v>
      </c>
      <c r="G144" s="63">
        <f t="shared" si="82"/>
        <v>0</v>
      </c>
      <c r="H144" s="63">
        <v>5738718</v>
      </c>
      <c r="I144" s="63">
        <f>+C144+D144-E144-F144+G144</f>
        <v>5738718</v>
      </c>
      <c r="J144" s="9">
        <f t="shared" ref="J144:J151" si="83">I144-H144</f>
        <v>0</v>
      </c>
      <c r="K144" s="47" t="s">
        <v>24</v>
      </c>
      <c r="L144" s="49">
        <v>0</v>
      </c>
      <c r="M144" s="49">
        <v>1000000</v>
      </c>
      <c r="N144" s="49">
        <v>23345</v>
      </c>
      <c r="O144" s="49">
        <v>0</v>
      </c>
    </row>
    <row r="145" spans="1:15" ht="16.5">
      <c r="A145" s="60" t="str">
        <f t="shared" ref="A145:A147" si="84">+K145</f>
        <v>BCI-Sous Compte</v>
      </c>
      <c r="B145" s="61" t="s">
        <v>47</v>
      </c>
      <c r="C145" s="62">
        <v>23107840</v>
      </c>
      <c r="D145" s="63">
        <f t="shared" si="81"/>
        <v>0</v>
      </c>
      <c r="E145" s="63">
        <f>+N145</f>
        <v>4020633</v>
      </c>
      <c r="F145" s="63">
        <f>+M145</f>
        <v>3000000</v>
      </c>
      <c r="G145" s="63">
        <f t="shared" ref="G145:G156" si="85">+O145</f>
        <v>0</v>
      </c>
      <c r="H145" s="63">
        <v>16087207</v>
      </c>
      <c r="I145" s="63">
        <f>+C145+D145-E145-F145+G145</f>
        <v>16087207</v>
      </c>
      <c r="J145" s="108">
        <f t="shared" si="83"/>
        <v>0</v>
      </c>
      <c r="K145" s="47" t="s">
        <v>160</v>
      </c>
      <c r="L145" s="49">
        <v>0</v>
      </c>
      <c r="M145" s="49">
        <v>3000000</v>
      </c>
      <c r="N145" s="49">
        <v>4020633</v>
      </c>
      <c r="O145" s="49">
        <v>0</v>
      </c>
    </row>
    <row r="146" spans="1:15" ht="16.5">
      <c r="A146" s="60" t="str">
        <f t="shared" si="84"/>
        <v>Caisse</v>
      </c>
      <c r="B146" s="61" t="s">
        <v>25</v>
      </c>
      <c r="C146" s="62">
        <v>1685107</v>
      </c>
      <c r="D146" s="63">
        <f t="shared" si="81"/>
        <v>4090000</v>
      </c>
      <c r="E146" s="63">
        <f t="shared" ref="E146" si="86">+N146</f>
        <v>2854238</v>
      </c>
      <c r="F146" s="63">
        <f t="shared" ref="F146:F153" si="87">+M146</f>
        <v>1994500</v>
      </c>
      <c r="G146" s="63">
        <f t="shared" si="85"/>
        <v>0</v>
      </c>
      <c r="H146" s="63">
        <v>926369</v>
      </c>
      <c r="I146" s="63">
        <f>+C146+D146-E146-F146+G146</f>
        <v>926369</v>
      </c>
      <c r="J146" s="9">
        <f t="shared" si="83"/>
        <v>0</v>
      </c>
      <c r="K146" s="47" t="s">
        <v>25</v>
      </c>
      <c r="L146" s="49">
        <v>4090000</v>
      </c>
      <c r="M146" s="49">
        <v>1994500</v>
      </c>
      <c r="N146" s="49">
        <v>2854238</v>
      </c>
      <c r="O146" s="49">
        <v>0</v>
      </c>
    </row>
    <row r="147" spans="1:15" ht="16.5">
      <c r="A147" s="60" t="str">
        <f t="shared" si="84"/>
        <v>Crépin</v>
      </c>
      <c r="B147" s="61" t="s">
        <v>166</v>
      </c>
      <c r="C147" s="62">
        <v>7200</v>
      </c>
      <c r="D147" s="63">
        <f t="shared" si="81"/>
        <v>286000</v>
      </c>
      <c r="E147" s="63">
        <f>+N147</f>
        <v>226875</v>
      </c>
      <c r="F147" s="63">
        <f t="shared" si="87"/>
        <v>70000</v>
      </c>
      <c r="G147" s="63">
        <f t="shared" si="85"/>
        <v>0</v>
      </c>
      <c r="H147" s="63">
        <v>-3675</v>
      </c>
      <c r="I147" s="63">
        <f t="shared" ref="I147" si="88">+C147+D147-E147-F147+G147</f>
        <v>-3675</v>
      </c>
      <c r="J147" s="9">
        <f t="shared" si="83"/>
        <v>0</v>
      </c>
      <c r="K147" s="47" t="s">
        <v>48</v>
      </c>
      <c r="L147" s="49">
        <v>286000</v>
      </c>
      <c r="M147" s="49">
        <v>70000</v>
      </c>
      <c r="N147" s="49">
        <v>226875</v>
      </c>
      <c r="O147" s="49">
        <v>0</v>
      </c>
    </row>
    <row r="148" spans="1:15" ht="16.5">
      <c r="A148" s="60" t="str">
        <f>K148</f>
        <v>Evariste</v>
      </c>
      <c r="B148" s="61" t="s">
        <v>167</v>
      </c>
      <c r="C148" s="62">
        <v>10095</v>
      </c>
      <c r="D148" s="63">
        <f t="shared" si="81"/>
        <v>70500</v>
      </c>
      <c r="E148" s="63">
        <f t="shared" ref="E148" si="89">+N148</f>
        <v>73000</v>
      </c>
      <c r="F148" s="63">
        <f t="shared" si="87"/>
        <v>0</v>
      </c>
      <c r="G148" s="63">
        <f t="shared" si="85"/>
        <v>0</v>
      </c>
      <c r="H148" s="63">
        <v>7595</v>
      </c>
      <c r="I148" s="63">
        <f>+C148+D148-E148-F148+G148</f>
        <v>7595</v>
      </c>
      <c r="J148" s="9">
        <f t="shared" si="83"/>
        <v>0</v>
      </c>
      <c r="K148" s="47" t="s">
        <v>31</v>
      </c>
      <c r="L148" s="49">
        <v>70500</v>
      </c>
      <c r="M148" s="49">
        <v>0</v>
      </c>
      <c r="N148" s="49">
        <v>73000</v>
      </c>
      <c r="O148" s="49">
        <v>0</v>
      </c>
    </row>
    <row r="149" spans="1:15" ht="16.5">
      <c r="A149" s="123" t="str">
        <f t="shared" ref="A149:A156" si="90">+K149</f>
        <v>I55S</v>
      </c>
      <c r="B149" s="124" t="s">
        <v>4</v>
      </c>
      <c r="C149" s="125">
        <v>233614</v>
      </c>
      <c r="D149" s="126">
        <f t="shared" si="81"/>
        <v>0</v>
      </c>
      <c r="E149" s="126">
        <f>+N149</f>
        <v>0</v>
      </c>
      <c r="F149" s="126">
        <f t="shared" si="87"/>
        <v>0</v>
      </c>
      <c r="G149" s="126">
        <f t="shared" si="85"/>
        <v>0</v>
      </c>
      <c r="H149" s="126">
        <v>233614</v>
      </c>
      <c r="I149" s="126">
        <f>+C149+D149-E149-F149+G149</f>
        <v>233614</v>
      </c>
      <c r="J149" s="9">
        <f t="shared" si="83"/>
        <v>0</v>
      </c>
      <c r="K149" s="47" t="s">
        <v>85</v>
      </c>
      <c r="L149" s="49">
        <v>0</v>
      </c>
      <c r="M149" s="49">
        <v>0</v>
      </c>
      <c r="N149" s="49">
        <v>0</v>
      </c>
      <c r="O149" s="49">
        <v>0</v>
      </c>
    </row>
    <row r="150" spans="1:15" ht="16.5">
      <c r="A150" s="123" t="str">
        <f t="shared" si="90"/>
        <v>I73X</v>
      </c>
      <c r="B150" s="124" t="s">
        <v>4</v>
      </c>
      <c r="C150" s="125">
        <v>249769</v>
      </c>
      <c r="D150" s="126">
        <f t="shared" si="81"/>
        <v>0</v>
      </c>
      <c r="E150" s="126">
        <f>+N150</f>
        <v>0</v>
      </c>
      <c r="F150" s="126">
        <f t="shared" si="87"/>
        <v>0</v>
      </c>
      <c r="G150" s="126">
        <f t="shared" si="85"/>
        <v>0</v>
      </c>
      <c r="H150" s="126">
        <v>249769</v>
      </c>
      <c r="I150" s="126">
        <f t="shared" ref="I150:I153" si="91">+C150+D150-E150-F150+G150</f>
        <v>249769</v>
      </c>
      <c r="J150" s="9">
        <f t="shared" si="83"/>
        <v>0</v>
      </c>
      <c r="K150" s="47" t="s">
        <v>84</v>
      </c>
      <c r="L150" s="49">
        <v>0</v>
      </c>
      <c r="M150" s="49">
        <v>0</v>
      </c>
      <c r="N150" s="49">
        <v>0</v>
      </c>
      <c r="O150" s="49">
        <v>0</v>
      </c>
    </row>
    <row r="151" spans="1:15" ht="16.5">
      <c r="A151" s="60" t="str">
        <f t="shared" si="90"/>
        <v>Godfré</v>
      </c>
      <c r="B151" s="104" t="s">
        <v>166</v>
      </c>
      <c r="C151" s="62">
        <v>3550</v>
      </c>
      <c r="D151" s="63">
        <f t="shared" si="81"/>
        <v>43000</v>
      </c>
      <c r="E151" s="179">
        <f t="shared" ref="E151:E156" si="92">+N151</f>
        <v>52550</v>
      </c>
      <c r="F151" s="63">
        <f t="shared" si="87"/>
        <v>0</v>
      </c>
      <c r="G151" s="63">
        <f t="shared" si="85"/>
        <v>0</v>
      </c>
      <c r="H151" s="63">
        <v>-6000</v>
      </c>
      <c r="I151" s="63">
        <f t="shared" si="91"/>
        <v>-6000</v>
      </c>
      <c r="J151" s="9">
        <f t="shared" si="83"/>
        <v>0</v>
      </c>
      <c r="K151" s="47" t="s">
        <v>155</v>
      </c>
      <c r="L151" s="49">
        <v>43000</v>
      </c>
      <c r="M151" s="49">
        <v>0</v>
      </c>
      <c r="N151" s="49">
        <v>52550</v>
      </c>
      <c r="O151" s="49">
        <v>0</v>
      </c>
    </row>
    <row r="152" spans="1:15" ht="16.5">
      <c r="A152" s="60" t="str">
        <f t="shared" si="90"/>
        <v>Grace</v>
      </c>
      <c r="B152" s="61" t="s">
        <v>2</v>
      </c>
      <c r="C152" s="62">
        <v>61300</v>
      </c>
      <c r="D152" s="63">
        <f t="shared" si="81"/>
        <v>53000</v>
      </c>
      <c r="E152" s="179">
        <f t="shared" si="92"/>
        <v>45900</v>
      </c>
      <c r="F152" s="63">
        <f t="shared" si="87"/>
        <v>20000</v>
      </c>
      <c r="G152" s="63">
        <f t="shared" si="85"/>
        <v>0</v>
      </c>
      <c r="H152" s="63">
        <v>48400</v>
      </c>
      <c r="I152" s="63">
        <f t="shared" si="91"/>
        <v>48400</v>
      </c>
      <c r="J152" s="9">
        <f>I152-H152</f>
        <v>0</v>
      </c>
      <c r="K152" s="47" t="s">
        <v>154</v>
      </c>
      <c r="L152" s="49">
        <v>53000</v>
      </c>
      <c r="M152" s="49">
        <v>20000</v>
      </c>
      <c r="N152" s="49">
        <v>45900</v>
      </c>
      <c r="O152" s="49">
        <v>0</v>
      </c>
    </row>
    <row r="153" spans="1:15" ht="16.5">
      <c r="A153" s="60" t="str">
        <f t="shared" si="90"/>
        <v>I23C</v>
      </c>
      <c r="B153" s="104" t="s">
        <v>4</v>
      </c>
      <c r="C153" s="62">
        <v>10800</v>
      </c>
      <c r="D153" s="63">
        <f t="shared" si="81"/>
        <v>488000</v>
      </c>
      <c r="E153" s="179">
        <f t="shared" si="92"/>
        <v>492000</v>
      </c>
      <c r="F153" s="63">
        <f t="shared" si="87"/>
        <v>0</v>
      </c>
      <c r="G153" s="63">
        <f t="shared" si="85"/>
        <v>0</v>
      </c>
      <c r="H153" s="63">
        <v>6800</v>
      </c>
      <c r="I153" s="63">
        <f t="shared" si="91"/>
        <v>6800</v>
      </c>
      <c r="J153" s="9">
        <f t="shared" ref="J153" si="93">I153-H153</f>
        <v>0</v>
      </c>
      <c r="K153" s="47" t="s">
        <v>30</v>
      </c>
      <c r="L153" s="49">
        <v>488000</v>
      </c>
      <c r="M153" s="49">
        <v>0</v>
      </c>
      <c r="N153" s="49">
        <v>492000</v>
      </c>
      <c r="O153" s="49">
        <v>0</v>
      </c>
    </row>
    <row r="154" spans="1:15" ht="16.5">
      <c r="A154" s="60" t="str">
        <f t="shared" si="90"/>
        <v>Merveille</v>
      </c>
      <c r="B154" s="61" t="s">
        <v>2</v>
      </c>
      <c r="C154" s="62">
        <v>9500</v>
      </c>
      <c r="D154" s="63">
        <f t="shared" si="81"/>
        <v>20000</v>
      </c>
      <c r="E154" s="179">
        <f t="shared" si="92"/>
        <v>24000</v>
      </c>
      <c r="F154" s="63">
        <f t="shared" ref="F154" si="94">+M154</f>
        <v>0</v>
      </c>
      <c r="G154" s="63">
        <f t="shared" ref="G154" si="95">+O154</f>
        <v>0</v>
      </c>
      <c r="H154" s="63">
        <v>5500</v>
      </c>
      <c r="I154" s="63">
        <f t="shared" ref="I154" si="96">+C154+D154-E154-F154+G154</f>
        <v>5500</v>
      </c>
      <c r="J154" s="9">
        <f t="shared" ref="J154" si="97">I154-H154</f>
        <v>0</v>
      </c>
      <c r="K154" s="47" t="s">
        <v>94</v>
      </c>
      <c r="L154" s="49">
        <v>20000</v>
      </c>
      <c r="M154" s="49">
        <v>0</v>
      </c>
      <c r="N154" s="49">
        <v>24000</v>
      </c>
      <c r="O154" s="49"/>
    </row>
    <row r="155" spans="1:15" ht="16.5">
      <c r="A155" s="60" t="str">
        <f t="shared" si="90"/>
        <v>P29</v>
      </c>
      <c r="B155" s="61" t="s">
        <v>4</v>
      </c>
      <c r="C155" s="62">
        <v>21200</v>
      </c>
      <c r="D155" s="63">
        <f t="shared" si="81"/>
        <v>543000</v>
      </c>
      <c r="E155" s="179">
        <f t="shared" si="92"/>
        <v>533500</v>
      </c>
      <c r="F155" s="63">
        <f>+M155</f>
        <v>0</v>
      </c>
      <c r="G155" s="63">
        <f>+O155</f>
        <v>0</v>
      </c>
      <c r="H155" s="63">
        <v>30700</v>
      </c>
      <c r="I155" s="63">
        <f>+C155+D155-E155-F155+G155</f>
        <v>30700</v>
      </c>
      <c r="J155" s="9">
        <f>I155-H155</f>
        <v>0</v>
      </c>
      <c r="K155" s="47" t="s">
        <v>29</v>
      </c>
      <c r="L155" s="49">
        <v>543000</v>
      </c>
      <c r="M155" s="49">
        <v>0</v>
      </c>
      <c r="N155" s="49">
        <v>533500</v>
      </c>
      <c r="O155" s="49">
        <v>0</v>
      </c>
    </row>
    <row r="156" spans="1:15" ht="16.5">
      <c r="A156" s="60" t="str">
        <f t="shared" si="90"/>
        <v>Tiffany</v>
      </c>
      <c r="B156" s="61" t="s">
        <v>2</v>
      </c>
      <c r="C156" s="62">
        <v>26193</v>
      </c>
      <c r="D156" s="63">
        <f t="shared" ref="D156" si="98">+L156</f>
        <v>36000</v>
      </c>
      <c r="E156" s="179">
        <f t="shared" si="92"/>
        <v>53000</v>
      </c>
      <c r="F156" s="63">
        <f t="shared" ref="F156" si="99">+M156</f>
        <v>0</v>
      </c>
      <c r="G156" s="63">
        <f t="shared" si="85"/>
        <v>0</v>
      </c>
      <c r="H156" s="63">
        <v>9193</v>
      </c>
      <c r="I156" s="63">
        <f t="shared" ref="I156" si="100">+C156+D156-E156-F156+G156</f>
        <v>9193</v>
      </c>
      <c r="J156" s="9">
        <f t="shared" ref="J156" si="101">I156-H156</f>
        <v>0</v>
      </c>
      <c r="K156" s="47" t="s">
        <v>114</v>
      </c>
      <c r="L156" s="49">
        <v>36000</v>
      </c>
      <c r="M156" s="49">
        <v>0</v>
      </c>
      <c r="N156" s="49">
        <v>53000</v>
      </c>
      <c r="O156" s="49">
        <v>0</v>
      </c>
    </row>
    <row r="157" spans="1:15" ht="16.5">
      <c r="A157" s="10" t="s">
        <v>51</v>
      </c>
      <c r="B157" s="11"/>
      <c r="C157" s="12">
        <f>SUM(C142:C156)</f>
        <v>32194988</v>
      </c>
      <c r="D157" s="59">
        <f t="shared" ref="D157:G157" si="102">SUM(D142:D156)</f>
        <v>6084500</v>
      </c>
      <c r="E157" s="59">
        <f t="shared" si="102"/>
        <v>8827691</v>
      </c>
      <c r="F157" s="59">
        <f t="shared" si="102"/>
        <v>6084500</v>
      </c>
      <c r="G157" s="59">
        <f t="shared" si="102"/>
        <v>0</v>
      </c>
      <c r="H157" s="59">
        <f>SUM(H142:H156)</f>
        <v>23367297</v>
      </c>
      <c r="I157" s="59">
        <f>SUM(I142:I156)</f>
        <v>23367297</v>
      </c>
      <c r="J157" s="9">
        <f>I157-H157</f>
        <v>0</v>
      </c>
      <c r="K157" s="3"/>
      <c r="L157" s="49">
        <v>6084500</v>
      </c>
      <c r="M157" s="49">
        <v>6084500</v>
      </c>
      <c r="N157" s="49">
        <v>8828291</v>
      </c>
      <c r="O157" s="49">
        <v>0</v>
      </c>
    </row>
    <row r="158" spans="1:15" ht="16.5">
      <c r="A158" s="10"/>
      <c r="B158" s="11"/>
      <c r="C158" s="12"/>
      <c r="D158" s="13"/>
      <c r="E158" s="12"/>
      <c r="F158" s="13"/>
      <c r="G158" s="12"/>
      <c r="H158" s="12"/>
      <c r="I158" s="143" t="b">
        <f>I157=D160</f>
        <v>1</v>
      </c>
      <c r="L158" s="5"/>
      <c r="M158" s="5"/>
      <c r="N158" s="5"/>
      <c r="O158" s="5"/>
    </row>
    <row r="159" spans="1:15" ht="16.5">
      <c r="A159" s="10" t="s">
        <v>171</v>
      </c>
      <c r="B159" s="11" t="s">
        <v>173</v>
      </c>
      <c r="C159" s="12" t="s">
        <v>177</v>
      </c>
      <c r="D159" s="12" t="s">
        <v>170</v>
      </c>
      <c r="E159" s="12" t="s">
        <v>52</v>
      </c>
      <c r="F159" s="12"/>
      <c r="G159" s="12">
        <f>+D157-F157</f>
        <v>0</v>
      </c>
      <c r="H159" s="12"/>
      <c r="I159" s="12"/>
    </row>
    <row r="160" spans="1:15" ht="16.5">
      <c r="A160" s="14">
        <f>C157</f>
        <v>32194988</v>
      </c>
      <c r="B160" s="15">
        <f>G157</f>
        <v>0</v>
      </c>
      <c r="C160" s="12">
        <f>E157</f>
        <v>8827691</v>
      </c>
      <c r="D160" s="12">
        <f>A160+B160-C160</f>
        <v>23367297</v>
      </c>
      <c r="E160" s="13">
        <f>I157-D160</f>
        <v>0</v>
      </c>
      <c r="F160" s="12"/>
      <c r="G160" s="12"/>
      <c r="H160" s="12"/>
      <c r="I160" s="12"/>
    </row>
    <row r="161" spans="1:11" ht="16.5">
      <c r="A161" s="14"/>
      <c r="B161" s="15"/>
      <c r="C161" s="12"/>
      <c r="D161" s="12"/>
      <c r="E161" s="13"/>
      <c r="F161" s="12"/>
      <c r="G161" s="12"/>
      <c r="H161" s="12"/>
      <c r="I161" s="12"/>
    </row>
    <row r="162" spans="1:11">
      <c r="A162" s="16" t="s">
        <v>53</v>
      </c>
      <c r="B162" s="16"/>
      <c r="C162" s="16"/>
      <c r="D162" s="17"/>
      <c r="E162" s="17"/>
      <c r="F162" s="17"/>
      <c r="G162" s="17"/>
      <c r="H162" s="17"/>
      <c r="I162" s="17"/>
    </row>
    <row r="163" spans="1:11">
      <c r="A163" s="18" t="s">
        <v>172</v>
      </c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1">
      <c r="A164" s="19"/>
      <c r="B164" s="20"/>
      <c r="C164" s="21"/>
      <c r="D164" s="21"/>
      <c r="E164" s="21"/>
      <c r="F164" s="21"/>
      <c r="G164" s="21"/>
      <c r="H164" s="20"/>
      <c r="I164" s="20"/>
    </row>
    <row r="165" spans="1:11">
      <c r="A165" s="335" t="s">
        <v>54</v>
      </c>
      <c r="B165" s="337" t="s">
        <v>55</v>
      </c>
      <c r="C165" s="339" t="s">
        <v>174</v>
      </c>
      <c r="D165" s="341" t="s">
        <v>56</v>
      </c>
      <c r="E165" s="342"/>
      <c r="F165" s="342"/>
      <c r="G165" s="343"/>
      <c r="H165" s="344" t="s">
        <v>57</v>
      </c>
      <c r="I165" s="331" t="s">
        <v>58</v>
      </c>
      <c r="J165" s="20"/>
    </row>
    <row r="166" spans="1:11" ht="28.5" customHeight="1">
      <c r="A166" s="336"/>
      <c r="B166" s="338"/>
      <c r="C166" s="340"/>
      <c r="D166" s="22" t="s">
        <v>24</v>
      </c>
      <c r="E166" s="22" t="s">
        <v>25</v>
      </c>
      <c r="F166" s="188" t="s">
        <v>124</v>
      </c>
      <c r="G166" s="22" t="s">
        <v>59</v>
      </c>
      <c r="H166" s="345"/>
      <c r="I166" s="332"/>
      <c r="J166" s="333" t="s">
        <v>184</v>
      </c>
      <c r="K166" s="155"/>
    </row>
    <row r="167" spans="1:11">
      <c r="A167" s="24"/>
      <c r="B167" s="25" t="s">
        <v>60</v>
      </c>
      <c r="C167" s="26"/>
      <c r="D167" s="26"/>
      <c r="E167" s="26"/>
      <c r="F167" s="26"/>
      <c r="G167" s="26"/>
      <c r="H167" s="26"/>
      <c r="I167" s="27"/>
      <c r="J167" s="334"/>
      <c r="K167" s="155"/>
    </row>
    <row r="168" spans="1:11">
      <c r="A168" s="130" t="s">
        <v>99</v>
      </c>
      <c r="B168" s="135" t="s">
        <v>165</v>
      </c>
      <c r="C168" s="33">
        <f>+C142</f>
        <v>6757</v>
      </c>
      <c r="D168" s="32"/>
      <c r="E168" s="33">
        <f>D142</f>
        <v>337000</v>
      </c>
      <c r="F168" s="33"/>
      <c r="G168" s="33"/>
      <c r="H168" s="57">
        <f>+F142</f>
        <v>0</v>
      </c>
      <c r="I168" s="33">
        <f>+E142</f>
        <v>314650</v>
      </c>
      <c r="J168" s="31">
        <f>+SUM(C168:G168)-(H168+I168)</f>
        <v>29107</v>
      </c>
      <c r="K168" s="156" t="b">
        <f>J168=I142</f>
        <v>1</v>
      </c>
    </row>
    <row r="169" spans="1:11">
      <c r="A169" s="130" t="str">
        <f>A168</f>
        <v>NOVEMBRE</v>
      </c>
      <c r="B169" s="135" t="s">
        <v>175</v>
      </c>
      <c r="C169" s="33">
        <f>+C143</f>
        <v>0</v>
      </c>
      <c r="D169" s="32"/>
      <c r="E169" s="33">
        <f>+D143</f>
        <v>118000</v>
      </c>
      <c r="F169" s="33"/>
      <c r="G169" s="33"/>
      <c r="H169" s="57">
        <f>+F143</f>
        <v>0</v>
      </c>
      <c r="I169" s="33">
        <f>+E143</f>
        <v>114000</v>
      </c>
      <c r="J169" s="31">
        <f t="shared" ref="J169:J170" si="103">+SUM(C169:G169)-(H169+I169)</f>
        <v>4000</v>
      </c>
      <c r="K169" s="156" t="b">
        <f>J169=I143</f>
        <v>1</v>
      </c>
    </row>
    <row r="170" spans="1:11">
      <c r="A170" s="130" t="str">
        <f>+A169</f>
        <v>NOVEMBRE</v>
      </c>
      <c r="B170" s="135" t="s">
        <v>48</v>
      </c>
      <c r="C170" s="33">
        <f>+C147</f>
        <v>7200</v>
      </c>
      <c r="D170" s="32"/>
      <c r="E170" s="33">
        <f>+D147</f>
        <v>286000</v>
      </c>
      <c r="F170" s="33"/>
      <c r="G170" s="33"/>
      <c r="H170" s="57">
        <f>+F147</f>
        <v>70000</v>
      </c>
      <c r="I170" s="33">
        <f>+E147</f>
        <v>226875</v>
      </c>
      <c r="J170" s="107">
        <f t="shared" si="103"/>
        <v>-3675</v>
      </c>
      <c r="K170" s="156" t="b">
        <f>J170=I147</f>
        <v>1</v>
      </c>
    </row>
    <row r="171" spans="1:11">
      <c r="A171" s="130" t="str">
        <f t="shared" ref="A171:A179" si="104">+A170</f>
        <v>NOVEMBRE</v>
      </c>
      <c r="B171" s="136" t="s">
        <v>31</v>
      </c>
      <c r="C171" s="33">
        <f>+C148</f>
        <v>10095</v>
      </c>
      <c r="D171" s="127"/>
      <c r="E171" s="33">
        <f>+D148</f>
        <v>70500</v>
      </c>
      <c r="F171" s="53"/>
      <c r="G171" s="53"/>
      <c r="H171" s="57">
        <f>+F148</f>
        <v>0</v>
      </c>
      <c r="I171" s="33">
        <f>+E148</f>
        <v>73000</v>
      </c>
      <c r="J171" s="132">
        <f>+SUM(C171:G171)-(H171+I171)</f>
        <v>7595</v>
      </c>
      <c r="K171" s="156" t="b">
        <f t="shared" ref="K171:K179" si="105">J171=I148</f>
        <v>1</v>
      </c>
    </row>
    <row r="172" spans="1:11">
      <c r="A172" s="130" t="str">
        <f t="shared" si="104"/>
        <v>NOVEMBRE</v>
      </c>
      <c r="B172" s="137" t="s">
        <v>85</v>
      </c>
      <c r="C172" s="128">
        <f>+C149</f>
        <v>233614</v>
      </c>
      <c r="D172" s="131"/>
      <c r="E172" s="128">
        <f>+D149</f>
        <v>0</v>
      </c>
      <c r="F172" s="146"/>
      <c r="G172" s="146"/>
      <c r="H172" s="180">
        <f>+F149</f>
        <v>0</v>
      </c>
      <c r="I172" s="128">
        <f>+E149</f>
        <v>0</v>
      </c>
      <c r="J172" s="129">
        <f>+SUM(C172:G172)-(H172+I172)</f>
        <v>233614</v>
      </c>
      <c r="K172" s="156" t="b">
        <f t="shared" si="105"/>
        <v>1</v>
      </c>
    </row>
    <row r="173" spans="1:11">
      <c r="A173" s="130" t="str">
        <f t="shared" si="104"/>
        <v>NOVEMBRE</v>
      </c>
      <c r="B173" s="137" t="s">
        <v>84</v>
      </c>
      <c r="C173" s="128">
        <f>+C150</f>
        <v>249769</v>
      </c>
      <c r="D173" s="131"/>
      <c r="E173" s="128">
        <f>+D150</f>
        <v>0</v>
      </c>
      <c r="F173" s="146"/>
      <c r="G173" s="146"/>
      <c r="H173" s="180">
        <f>+F150</f>
        <v>0</v>
      </c>
      <c r="I173" s="128">
        <f>+E150</f>
        <v>0</v>
      </c>
      <c r="J173" s="129">
        <f t="shared" ref="J173:J179" si="106">+SUM(C173:G173)-(H173+I173)</f>
        <v>249769</v>
      </c>
      <c r="K173" s="156" t="b">
        <f t="shared" si="105"/>
        <v>1</v>
      </c>
    </row>
    <row r="174" spans="1:11">
      <c r="A174" s="130" t="str">
        <f t="shared" si="104"/>
        <v>NOVEMBRE</v>
      </c>
      <c r="B174" s="135" t="s">
        <v>155</v>
      </c>
      <c r="C174" s="33">
        <f>+C151</f>
        <v>3550</v>
      </c>
      <c r="D174" s="32"/>
      <c r="E174" s="33">
        <f>+D151</f>
        <v>43000</v>
      </c>
      <c r="F174" s="33"/>
      <c r="G174" s="110"/>
      <c r="H174" s="57">
        <f>+F151</f>
        <v>0</v>
      </c>
      <c r="I174" s="33">
        <f>+E151</f>
        <v>52550</v>
      </c>
      <c r="J174" s="31">
        <f t="shared" si="106"/>
        <v>-6000</v>
      </c>
      <c r="K174" s="156" t="b">
        <f t="shared" si="105"/>
        <v>1</v>
      </c>
    </row>
    <row r="175" spans="1:11">
      <c r="A175" s="130" t="str">
        <f t="shared" si="104"/>
        <v>NOVEMBRE</v>
      </c>
      <c r="B175" s="135" t="s">
        <v>154</v>
      </c>
      <c r="C175" s="33">
        <f t="shared" ref="C175:C179" si="107">+C152</f>
        <v>61300</v>
      </c>
      <c r="D175" s="32"/>
      <c r="E175" s="33">
        <f t="shared" ref="E175:E179" si="108">+D152</f>
        <v>53000</v>
      </c>
      <c r="F175" s="33"/>
      <c r="G175" s="110"/>
      <c r="H175" s="57">
        <f t="shared" ref="H175:H179" si="109">+F152</f>
        <v>20000</v>
      </c>
      <c r="I175" s="33">
        <f t="shared" ref="I175:I179" si="110">+E152</f>
        <v>45900</v>
      </c>
      <c r="J175" s="31">
        <f t="shared" si="106"/>
        <v>48400</v>
      </c>
      <c r="K175" s="156" t="b">
        <f t="shared" si="105"/>
        <v>1</v>
      </c>
    </row>
    <row r="176" spans="1:11">
      <c r="A176" s="130" t="str">
        <f t="shared" si="104"/>
        <v>NOVEMBRE</v>
      </c>
      <c r="B176" s="135" t="s">
        <v>30</v>
      </c>
      <c r="C176" s="33">
        <f t="shared" si="107"/>
        <v>10800</v>
      </c>
      <c r="D176" s="32"/>
      <c r="E176" s="33">
        <f t="shared" si="108"/>
        <v>488000</v>
      </c>
      <c r="F176" s="33"/>
      <c r="G176" s="110"/>
      <c r="H176" s="57">
        <f t="shared" si="109"/>
        <v>0</v>
      </c>
      <c r="I176" s="33">
        <f t="shared" si="110"/>
        <v>492000</v>
      </c>
      <c r="J176" s="31">
        <f t="shared" si="106"/>
        <v>6800</v>
      </c>
      <c r="K176" s="156" t="b">
        <f t="shared" si="105"/>
        <v>1</v>
      </c>
    </row>
    <row r="177" spans="1:11">
      <c r="A177" s="130" t="str">
        <f>+A175</f>
        <v>NOVEMBRE</v>
      </c>
      <c r="B177" s="135" t="s">
        <v>94</v>
      </c>
      <c r="C177" s="33">
        <f t="shared" si="107"/>
        <v>9500</v>
      </c>
      <c r="D177" s="32"/>
      <c r="E177" s="33">
        <f t="shared" si="108"/>
        <v>20000</v>
      </c>
      <c r="F177" s="33"/>
      <c r="G177" s="110"/>
      <c r="H177" s="57">
        <f t="shared" si="109"/>
        <v>0</v>
      </c>
      <c r="I177" s="33">
        <f t="shared" si="110"/>
        <v>24000</v>
      </c>
      <c r="J177" s="31">
        <f t="shared" si="106"/>
        <v>5500</v>
      </c>
      <c r="K177" s="156" t="b">
        <f t="shared" si="105"/>
        <v>1</v>
      </c>
    </row>
    <row r="178" spans="1:11">
      <c r="A178" s="130" t="str">
        <f>+A176</f>
        <v>NOVEMBRE</v>
      </c>
      <c r="B178" s="135" t="s">
        <v>29</v>
      </c>
      <c r="C178" s="33">
        <f t="shared" si="107"/>
        <v>21200</v>
      </c>
      <c r="D178" s="32"/>
      <c r="E178" s="33">
        <f t="shared" si="108"/>
        <v>543000</v>
      </c>
      <c r="F178" s="33"/>
      <c r="G178" s="110"/>
      <c r="H178" s="57">
        <f t="shared" si="109"/>
        <v>0</v>
      </c>
      <c r="I178" s="33">
        <f t="shared" si="110"/>
        <v>533500</v>
      </c>
      <c r="J178" s="31">
        <f t="shared" si="106"/>
        <v>30700</v>
      </c>
      <c r="K178" s="156" t="b">
        <f t="shared" si="105"/>
        <v>1</v>
      </c>
    </row>
    <row r="179" spans="1:11">
      <c r="A179" s="130" t="str">
        <f t="shared" si="104"/>
        <v>NOVEMBRE</v>
      </c>
      <c r="B179" s="136" t="s">
        <v>114</v>
      </c>
      <c r="C179" s="33">
        <f t="shared" si="107"/>
        <v>26193</v>
      </c>
      <c r="D179" s="127"/>
      <c r="E179" s="33">
        <f t="shared" si="108"/>
        <v>36000</v>
      </c>
      <c r="F179" s="53"/>
      <c r="G179" s="147"/>
      <c r="H179" s="57">
        <f t="shared" si="109"/>
        <v>0</v>
      </c>
      <c r="I179" s="33">
        <f t="shared" si="110"/>
        <v>53000</v>
      </c>
      <c r="J179" s="31">
        <f t="shared" si="106"/>
        <v>9193</v>
      </c>
      <c r="K179" s="156" t="b">
        <f t="shared" si="105"/>
        <v>1</v>
      </c>
    </row>
    <row r="180" spans="1:11">
      <c r="A180" s="35" t="s">
        <v>61</v>
      </c>
      <c r="B180" s="36"/>
      <c r="C180" s="36"/>
      <c r="D180" s="36"/>
      <c r="E180" s="36"/>
      <c r="F180" s="36"/>
      <c r="G180" s="36"/>
      <c r="H180" s="36"/>
      <c r="I180" s="36"/>
      <c r="J180" s="37"/>
      <c r="K180" s="155"/>
    </row>
    <row r="181" spans="1:11">
      <c r="A181" s="130" t="str">
        <f>+A179</f>
        <v>NOVEMBRE</v>
      </c>
      <c r="B181" s="38" t="s">
        <v>62</v>
      </c>
      <c r="C181" s="39">
        <f>+C146</f>
        <v>1685107</v>
      </c>
      <c r="D181" s="51"/>
      <c r="E181" s="51">
        <f>D146</f>
        <v>4090000</v>
      </c>
      <c r="F181" s="51"/>
      <c r="G181" s="133"/>
      <c r="H181" s="53">
        <f>+F146</f>
        <v>1994500</v>
      </c>
      <c r="I181" s="134">
        <f>+E146</f>
        <v>2854238</v>
      </c>
      <c r="J181" s="46">
        <f>+SUM(C181:G181)-(H181+I181)</f>
        <v>926369</v>
      </c>
      <c r="K181" s="156" t="b">
        <f>J181=I146</f>
        <v>1</v>
      </c>
    </row>
    <row r="182" spans="1:11">
      <c r="A182" s="44" t="s">
        <v>63</v>
      </c>
      <c r="B182" s="25"/>
      <c r="C182" s="36"/>
      <c r="D182" s="25"/>
      <c r="E182" s="25"/>
      <c r="F182" s="25"/>
      <c r="G182" s="25"/>
      <c r="H182" s="25"/>
      <c r="I182" s="25"/>
      <c r="J182" s="37"/>
      <c r="K182" s="155"/>
    </row>
    <row r="183" spans="1:11">
      <c r="A183" s="130" t="str">
        <f>+A181</f>
        <v>NOVEMBRE</v>
      </c>
      <c r="B183" s="38" t="s">
        <v>169</v>
      </c>
      <c r="C183" s="133">
        <f>+C144</f>
        <v>6762063</v>
      </c>
      <c r="D183" s="140">
        <f>+G144</f>
        <v>0</v>
      </c>
      <c r="E183" s="51"/>
      <c r="F183" s="51"/>
      <c r="G183" s="51"/>
      <c r="H183" s="53">
        <f>+F144</f>
        <v>1000000</v>
      </c>
      <c r="I183" s="55">
        <f>+E144</f>
        <v>23345</v>
      </c>
      <c r="J183" s="46">
        <f>+SUM(C183:G183)-(H183+I183)</f>
        <v>5738718</v>
      </c>
      <c r="K183" s="156" t="b">
        <f>+J183=I144</f>
        <v>1</v>
      </c>
    </row>
    <row r="184" spans="1:11">
      <c r="A184" s="130" t="str">
        <f t="shared" ref="A184" si="111">+A183</f>
        <v>NOVEMBRE</v>
      </c>
      <c r="B184" s="38" t="s">
        <v>65</v>
      </c>
      <c r="C184" s="133">
        <f>+C145</f>
        <v>23107840</v>
      </c>
      <c r="D184" s="51">
        <f>+G145</f>
        <v>0</v>
      </c>
      <c r="E184" s="50"/>
      <c r="F184" s="50"/>
      <c r="G184" s="50"/>
      <c r="H184" s="33">
        <f>+F145</f>
        <v>3000000</v>
      </c>
      <c r="I184" s="52">
        <f>+E145</f>
        <v>4020633</v>
      </c>
      <c r="J184" s="46">
        <f>SUM(C184:G184)-(H184+I184)</f>
        <v>16087207</v>
      </c>
      <c r="K184" s="156" t="b">
        <f>+J184=I145</f>
        <v>1</v>
      </c>
    </row>
    <row r="185" spans="1:11" ht="15.75">
      <c r="C185" s="151">
        <f>SUM(C169:C184)</f>
        <v>32188231</v>
      </c>
      <c r="I185" s="149">
        <f>SUM(I169:I184)</f>
        <v>8513041</v>
      </c>
      <c r="J185" s="111">
        <f>+SUM(J168:J184)</f>
        <v>23367297</v>
      </c>
      <c r="K185" s="5" t="b">
        <f>J185=I157</f>
        <v>1</v>
      </c>
    </row>
    <row r="186" spans="1:11">
      <c r="G186" s="9"/>
    </row>
    <row r="187" spans="1:11">
      <c r="A187" s="16" t="s">
        <v>53</v>
      </c>
      <c r="B187" s="16"/>
      <c r="C187" s="16"/>
      <c r="D187" s="17"/>
      <c r="E187" s="17"/>
      <c r="F187" s="17"/>
      <c r="G187" s="17"/>
      <c r="H187" s="17"/>
      <c r="I187" s="17"/>
    </row>
    <row r="188" spans="1:11">
      <c r="A188" s="18" t="s">
        <v>164</v>
      </c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1:11">
      <c r="A189" s="19"/>
      <c r="B189" s="20"/>
      <c r="C189" s="21"/>
      <c r="D189" s="21"/>
      <c r="E189" s="21"/>
      <c r="F189" s="21"/>
      <c r="G189" s="21"/>
      <c r="H189" s="20"/>
      <c r="I189" s="20"/>
    </row>
    <row r="190" spans="1:11">
      <c r="A190" s="335" t="s">
        <v>54</v>
      </c>
      <c r="B190" s="337" t="s">
        <v>55</v>
      </c>
      <c r="C190" s="339" t="s">
        <v>161</v>
      </c>
      <c r="D190" s="341" t="s">
        <v>56</v>
      </c>
      <c r="E190" s="342"/>
      <c r="F190" s="342"/>
      <c r="G190" s="343"/>
      <c r="H190" s="344" t="s">
        <v>57</v>
      </c>
      <c r="I190" s="331" t="s">
        <v>58</v>
      </c>
      <c r="J190" s="20"/>
    </row>
    <row r="191" spans="1:11">
      <c r="A191" s="336"/>
      <c r="B191" s="338"/>
      <c r="C191" s="340"/>
      <c r="D191" s="22" t="s">
        <v>24</v>
      </c>
      <c r="E191" s="22" t="s">
        <v>25</v>
      </c>
      <c r="F191" s="182" t="s">
        <v>124</v>
      </c>
      <c r="G191" s="22" t="s">
        <v>59</v>
      </c>
      <c r="H191" s="345"/>
      <c r="I191" s="332"/>
      <c r="J191" s="333" t="s">
        <v>162</v>
      </c>
      <c r="K191" s="155"/>
    </row>
    <row r="192" spans="1:11">
      <c r="A192" s="24"/>
      <c r="B192" s="25" t="s">
        <v>60</v>
      </c>
      <c r="C192" s="26"/>
      <c r="D192" s="26"/>
      <c r="E192" s="26"/>
      <c r="F192" s="26"/>
      <c r="G192" s="26"/>
      <c r="H192" s="26"/>
      <c r="I192" s="27"/>
      <c r="J192" s="334"/>
      <c r="K192" s="155"/>
    </row>
    <row r="193" spans="1:11">
      <c r="A193" s="130" t="s">
        <v>91</v>
      </c>
      <c r="B193" s="135" t="s">
        <v>165</v>
      </c>
      <c r="C193" s="33">
        <f>+C142</f>
        <v>6757</v>
      </c>
      <c r="D193" s="32"/>
      <c r="E193" s="33">
        <f>+D142</f>
        <v>337000</v>
      </c>
      <c r="F193" s="33"/>
      <c r="G193" s="33"/>
      <c r="H193" s="57">
        <f>+F142</f>
        <v>0</v>
      </c>
      <c r="I193" s="33">
        <f>+E142</f>
        <v>314650</v>
      </c>
      <c r="J193" s="31">
        <f>+SUM(C193:G193)-(H193+I193)</f>
        <v>29107</v>
      </c>
      <c r="K193" s="156" t="b">
        <f>J193=I142</f>
        <v>1</v>
      </c>
    </row>
    <row r="194" spans="1:11">
      <c r="A194" s="130" t="s">
        <v>91</v>
      </c>
      <c r="B194" s="135" t="s">
        <v>48</v>
      </c>
      <c r="C194" s="33">
        <f t="shared" ref="C194:C203" si="112">C146</f>
        <v>1685107</v>
      </c>
      <c r="D194" s="32"/>
      <c r="E194" s="33">
        <f>+D146</f>
        <v>4090000</v>
      </c>
      <c r="F194" s="33"/>
      <c r="G194" s="33"/>
      <c r="H194" s="57">
        <f t="shared" ref="H194:H203" si="113">+F146</f>
        <v>1994500</v>
      </c>
      <c r="I194" s="33">
        <f t="shared" ref="I194:I203" si="114">+E146</f>
        <v>2854238</v>
      </c>
      <c r="J194" s="31">
        <f t="shared" ref="J194:J195" si="115">+SUM(C194:G194)-(H194+I194)</f>
        <v>926369</v>
      </c>
      <c r="K194" s="156" t="b">
        <f t="shared" ref="K194:K204" si="116">J194=I146</f>
        <v>1</v>
      </c>
    </row>
    <row r="195" spans="1:11">
      <c r="A195" s="130" t="str">
        <f>+A194</f>
        <v>OCTOBRE</v>
      </c>
      <c r="B195" s="135" t="s">
        <v>31</v>
      </c>
      <c r="C195" s="33">
        <f t="shared" si="112"/>
        <v>7200</v>
      </c>
      <c r="D195" s="32"/>
      <c r="E195" s="33">
        <f>+D147</f>
        <v>286000</v>
      </c>
      <c r="F195" s="33"/>
      <c r="G195" s="33"/>
      <c r="H195" s="57">
        <f t="shared" si="113"/>
        <v>70000</v>
      </c>
      <c r="I195" s="33">
        <f t="shared" si="114"/>
        <v>226875</v>
      </c>
      <c r="J195" s="107">
        <f t="shared" si="115"/>
        <v>-3675</v>
      </c>
      <c r="K195" s="156" t="b">
        <f t="shared" si="116"/>
        <v>1</v>
      </c>
    </row>
    <row r="196" spans="1:11">
      <c r="A196" s="130" t="str">
        <f t="shared" ref="A196:A204" si="117">+A195</f>
        <v>OCTOBRE</v>
      </c>
      <c r="B196" s="136" t="s">
        <v>155</v>
      </c>
      <c r="C196" s="33">
        <f t="shared" si="112"/>
        <v>10095</v>
      </c>
      <c r="D196" s="127"/>
      <c r="E196" s="33">
        <f>D148</f>
        <v>70500</v>
      </c>
      <c r="F196" s="53"/>
      <c r="G196" s="53"/>
      <c r="H196" s="57">
        <f t="shared" si="113"/>
        <v>0</v>
      </c>
      <c r="I196" s="33">
        <f t="shared" si="114"/>
        <v>73000</v>
      </c>
      <c r="J196" s="132">
        <f>+SUM(C196:G196)-(H196+I196)</f>
        <v>7595</v>
      </c>
      <c r="K196" s="156" t="b">
        <f t="shared" si="116"/>
        <v>1</v>
      </c>
    </row>
    <row r="197" spans="1:11">
      <c r="A197" s="130" t="str">
        <f t="shared" si="117"/>
        <v>OCTOBRE</v>
      </c>
      <c r="B197" s="137" t="s">
        <v>85</v>
      </c>
      <c r="C197" s="128">
        <f t="shared" si="112"/>
        <v>233614</v>
      </c>
      <c r="D197" s="131"/>
      <c r="E197" s="128">
        <f t="shared" ref="E197:E201" si="118">+D149</f>
        <v>0</v>
      </c>
      <c r="F197" s="146"/>
      <c r="G197" s="146"/>
      <c r="H197" s="180">
        <f t="shared" si="113"/>
        <v>0</v>
      </c>
      <c r="I197" s="128">
        <f t="shared" si="114"/>
        <v>0</v>
      </c>
      <c r="J197" s="129">
        <f>+SUM(C197:G197)-(H197+I197)</f>
        <v>233614</v>
      </c>
      <c r="K197" s="156" t="b">
        <f t="shared" si="116"/>
        <v>1</v>
      </c>
    </row>
    <row r="198" spans="1:11">
      <c r="A198" s="130" t="str">
        <f t="shared" si="117"/>
        <v>OCTOBRE</v>
      </c>
      <c r="B198" s="137" t="s">
        <v>84</v>
      </c>
      <c r="C198" s="128">
        <f t="shared" si="112"/>
        <v>249769</v>
      </c>
      <c r="D198" s="131"/>
      <c r="E198" s="128">
        <f t="shared" si="118"/>
        <v>0</v>
      </c>
      <c r="F198" s="146"/>
      <c r="G198" s="146"/>
      <c r="H198" s="180">
        <f t="shared" si="113"/>
        <v>0</v>
      </c>
      <c r="I198" s="128">
        <f t="shared" si="114"/>
        <v>0</v>
      </c>
      <c r="J198" s="129">
        <f t="shared" ref="J198:J204" si="119">+SUM(C198:G198)-(H198+I198)</f>
        <v>249769</v>
      </c>
      <c r="K198" s="156" t="b">
        <f t="shared" si="116"/>
        <v>1</v>
      </c>
    </row>
    <row r="199" spans="1:11">
      <c r="A199" s="130" t="str">
        <f t="shared" si="117"/>
        <v>OCTOBRE</v>
      </c>
      <c r="B199" s="135" t="s">
        <v>154</v>
      </c>
      <c r="C199" s="33">
        <f t="shared" si="112"/>
        <v>3550</v>
      </c>
      <c r="D199" s="32"/>
      <c r="E199" s="33">
        <f t="shared" si="118"/>
        <v>43000</v>
      </c>
      <c r="F199" s="33"/>
      <c r="G199" s="110"/>
      <c r="H199" s="57">
        <f t="shared" si="113"/>
        <v>0</v>
      </c>
      <c r="I199" s="33">
        <f t="shared" si="114"/>
        <v>52550</v>
      </c>
      <c r="J199" s="31">
        <f t="shared" si="119"/>
        <v>-6000</v>
      </c>
      <c r="K199" s="156" t="b">
        <f t="shared" si="116"/>
        <v>1</v>
      </c>
    </row>
    <row r="200" spans="1:11">
      <c r="A200" s="130" t="str">
        <f t="shared" si="117"/>
        <v>OCTOBRE</v>
      </c>
      <c r="B200" s="135" t="s">
        <v>30</v>
      </c>
      <c r="C200" s="33">
        <f t="shared" si="112"/>
        <v>61300</v>
      </c>
      <c r="D200" s="32"/>
      <c r="E200" s="33">
        <f t="shared" si="118"/>
        <v>53000</v>
      </c>
      <c r="F200" s="33"/>
      <c r="G200" s="110"/>
      <c r="H200" s="57">
        <f t="shared" si="113"/>
        <v>20000</v>
      </c>
      <c r="I200" s="33">
        <f t="shared" si="114"/>
        <v>45900</v>
      </c>
      <c r="J200" s="31">
        <f t="shared" si="119"/>
        <v>48400</v>
      </c>
      <c r="K200" s="156" t="b">
        <f t="shared" si="116"/>
        <v>1</v>
      </c>
    </row>
    <row r="201" spans="1:11">
      <c r="A201" s="130" t="str">
        <f t="shared" si="117"/>
        <v>OCTOBRE</v>
      </c>
      <c r="B201" s="135" t="s">
        <v>94</v>
      </c>
      <c r="C201" s="33">
        <f t="shared" si="112"/>
        <v>10800</v>
      </c>
      <c r="D201" s="32"/>
      <c r="E201" s="33">
        <f t="shared" si="118"/>
        <v>488000</v>
      </c>
      <c r="F201" s="33"/>
      <c r="G201" s="110"/>
      <c r="H201" s="57">
        <f t="shared" si="113"/>
        <v>0</v>
      </c>
      <c r="I201" s="33">
        <f t="shared" si="114"/>
        <v>492000</v>
      </c>
      <c r="J201" s="31">
        <f t="shared" si="119"/>
        <v>6800</v>
      </c>
      <c r="K201" s="156" t="b">
        <f t="shared" si="116"/>
        <v>1</v>
      </c>
    </row>
    <row r="202" spans="1:11">
      <c r="A202" s="130" t="str">
        <f>+A200</f>
        <v>OCTOBRE</v>
      </c>
      <c r="B202" s="135" t="s">
        <v>29</v>
      </c>
      <c r="C202" s="33">
        <f t="shared" si="112"/>
        <v>9500</v>
      </c>
      <c r="D202" s="32"/>
      <c r="E202" s="33">
        <f>+D154</f>
        <v>20000</v>
      </c>
      <c r="F202" s="33"/>
      <c r="G202" s="110"/>
      <c r="H202" s="57">
        <f t="shared" si="113"/>
        <v>0</v>
      </c>
      <c r="I202" s="33">
        <f t="shared" si="114"/>
        <v>24000</v>
      </c>
      <c r="J202" s="31">
        <f t="shared" ref="J202" si="120">+SUM(C202:G202)-(H202+I202)</f>
        <v>5500</v>
      </c>
      <c r="K202" s="156" t="b">
        <f t="shared" si="116"/>
        <v>1</v>
      </c>
    </row>
    <row r="203" spans="1:11">
      <c r="A203" s="130" t="str">
        <f>+A201</f>
        <v>OCTOBRE</v>
      </c>
      <c r="B203" s="135" t="s">
        <v>158</v>
      </c>
      <c r="C203" s="33">
        <f t="shared" si="112"/>
        <v>21200</v>
      </c>
      <c r="D203" s="32"/>
      <c r="E203" s="33">
        <f>+D155</f>
        <v>543000</v>
      </c>
      <c r="F203" s="33"/>
      <c r="G203" s="110"/>
      <c r="H203" s="57">
        <f t="shared" si="113"/>
        <v>0</v>
      </c>
      <c r="I203" s="33">
        <f t="shared" si="114"/>
        <v>533500</v>
      </c>
      <c r="J203" s="31">
        <f t="shared" si="119"/>
        <v>30700</v>
      </c>
      <c r="K203" s="156" t="b">
        <f t="shared" si="116"/>
        <v>1</v>
      </c>
    </row>
    <row r="204" spans="1:11">
      <c r="A204" s="130" t="str">
        <f t="shared" si="117"/>
        <v>OCTOBRE</v>
      </c>
      <c r="B204" s="136" t="s">
        <v>114</v>
      </c>
      <c r="C204" s="33">
        <f t="shared" ref="C204" si="121">C156</f>
        <v>26193</v>
      </c>
      <c r="D204" s="127"/>
      <c r="E204" s="33">
        <f t="shared" ref="E204" si="122">+D156</f>
        <v>36000</v>
      </c>
      <c r="F204" s="53"/>
      <c r="G204" s="147"/>
      <c r="H204" s="57">
        <f t="shared" ref="H204" si="123">+F156</f>
        <v>0</v>
      </c>
      <c r="I204" s="33">
        <f t="shared" ref="I204" si="124">+E156</f>
        <v>53000</v>
      </c>
      <c r="J204" s="31">
        <f t="shared" si="119"/>
        <v>9193</v>
      </c>
      <c r="K204" s="156" t="b">
        <f t="shared" si="116"/>
        <v>1</v>
      </c>
    </row>
    <row r="205" spans="1:11">
      <c r="A205" s="35" t="s">
        <v>61</v>
      </c>
      <c r="B205" s="36"/>
      <c r="C205" s="36"/>
      <c r="D205" s="36"/>
      <c r="E205" s="36"/>
      <c r="F205" s="36"/>
      <c r="G205" s="36"/>
      <c r="H205" s="36"/>
      <c r="I205" s="36"/>
      <c r="J205" s="37"/>
      <c r="K205" s="155"/>
    </row>
    <row r="206" spans="1:11">
      <c r="A206" s="130" t="str">
        <f>+A204</f>
        <v>OCTOBRE</v>
      </c>
      <c r="B206" s="38" t="s">
        <v>62</v>
      </c>
      <c r="C206" s="39">
        <f>C145</f>
        <v>23107840</v>
      </c>
      <c r="D206" s="51"/>
      <c r="E206" s="51">
        <f>D145</f>
        <v>0</v>
      </c>
      <c r="F206" s="51"/>
      <c r="G206" s="133"/>
      <c r="H206" s="53">
        <f>+F145</f>
        <v>3000000</v>
      </c>
      <c r="I206" s="134">
        <f>+E145</f>
        <v>4020633</v>
      </c>
      <c r="J206" s="46">
        <f>+SUM(C206:G206)-(H206+I206)</f>
        <v>16087207</v>
      </c>
      <c r="K206" s="156" t="b">
        <f>J206=I145</f>
        <v>1</v>
      </c>
    </row>
    <row r="207" spans="1:11">
      <c r="A207" s="44" t="s">
        <v>63</v>
      </c>
      <c r="B207" s="25"/>
      <c r="C207" s="36"/>
      <c r="D207" s="25"/>
      <c r="E207" s="25"/>
      <c r="F207" s="25"/>
      <c r="G207" s="25"/>
      <c r="H207" s="25"/>
      <c r="I207" s="25"/>
      <c r="J207" s="37"/>
      <c r="K207" s="155"/>
    </row>
    <row r="208" spans="1:11">
      <c r="A208" s="130" t="str">
        <f>+A206</f>
        <v>OCTOBRE</v>
      </c>
      <c r="B208" s="38" t="s">
        <v>169</v>
      </c>
      <c r="C208" s="133">
        <f>C143</f>
        <v>0</v>
      </c>
      <c r="D208" s="140">
        <f>G143</f>
        <v>0</v>
      </c>
      <c r="E208" s="51"/>
      <c r="F208" s="51"/>
      <c r="G208" s="51"/>
      <c r="H208" s="53">
        <f>+F143</f>
        <v>0</v>
      </c>
      <c r="I208" s="55">
        <f>+E143</f>
        <v>114000</v>
      </c>
      <c r="J208" s="46">
        <f>+SUM(C208:G208)-(H208+I208)</f>
        <v>-114000</v>
      </c>
      <c r="K208" s="156" t="b">
        <f>+J208=I143</f>
        <v>0</v>
      </c>
    </row>
    <row r="209" spans="1:11">
      <c r="A209" s="130" t="str">
        <f t="shared" ref="A209" si="125">+A208</f>
        <v>OCTOBRE</v>
      </c>
      <c r="B209" s="38" t="s">
        <v>65</v>
      </c>
      <c r="C209" s="133">
        <f>C144</f>
        <v>6762063</v>
      </c>
      <c r="D209" s="51">
        <f>G144</f>
        <v>0</v>
      </c>
      <c r="E209" s="50"/>
      <c r="F209" s="50"/>
      <c r="G209" s="50"/>
      <c r="H209" s="33">
        <f>+F144</f>
        <v>1000000</v>
      </c>
      <c r="I209" s="52">
        <f>+E144</f>
        <v>23345</v>
      </c>
      <c r="J209" s="46">
        <f>SUM(C209:G209)-(H209+I209)</f>
        <v>5738718</v>
      </c>
      <c r="K209" s="156" t="b">
        <f>+J209=I144</f>
        <v>1</v>
      </c>
    </row>
    <row r="210" spans="1:11" ht="15.75">
      <c r="C210" s="151">
        <f>SUM(C194:C209)</f>
        <v>32188231</v>
      </c>
      <c r="I210" s="149">
        <f>SUM(I194:I209)</f>
        <v>8513041</v>
      </c>
      <c r="J210" s="111">
        <f>+SUM(J193:J209)</f>
        <v>23249297</v>
      </c>
      <c r="K210" s="5" t="b">
        <f>J210=I157</f>
        <v>0</v>
      </c>
    </row>
    <row r="211" spans="1:11">
      <c r="G211" s="9"/>
    </row>
    <row r="212" spans="1:11">
      <c r="A212" s="16" t="s">
        <v>53</v>
      </c>
      <c r="B212" s="16"/>
      <c r="C212" s="16"/>
      <c r="D212" s="17"/>
      <c r="E212" s="17"/>
      <c r="F212" s="17"/>
      <c r="G212" s="17"/>
      <c r="H212" s="17"/>
      <c r="I212" s="17"/>
    </row>
    <row r="213" spans="1:11">
      <c r="A213" s="18" t="s">
        <v>156</v>
      </c>
      <c r="B213" s="18"/>
      <c r="C213" s="18"/>
      <c r="D213" s="18"/>
      <c r="E213" s="18"/>
      <c r="F213" s="18"/>
      <c r="G213" s="18"/>
      <c r="H213" s="18"/>
      <c r="I213" s="18"/>
      <c r="J213" s="18"/>
    </row>
    <row r="214" spans="1:11">
      <c r="A214" s="19"/>
      <c r="B214" s="20"/>
      <c r="C214" s="21"/>
      <c r="D214" s="21"/>
      <c r="E214" s="21"/>
      <c r="F214" s="21"/>
      <c r="G214" s="21"/>
      <c r="H214" s="20"/>
      <c r="I214" s="20"/>
    </row>
    <row r="215" spans="1:11">
      <c r="A215" s="335" t="s">
        <v>54</v>
      </c>
      <c r="B215" s="337" t="s">
        <v>55</v>
      </c>
      <c r="C215" s="339" t="s">
        <v>157</v>
      </c>
      <c r="D215" s="341" t="s">
        <v>56</v>
      </c>
      <c r="E215" s="342"/>
      <c r="F215" s="342"/>
      <c r="G215" s="343"/>
      <c r="H215" s="344" t="s">
        <v>57</v>
      </c>
      <c r="I215" s="331" t="s">
        <v>58</v>
      </c>
      <c r="J215" s="20"/>
    </row>
    <row r="216" spans="1:11">
      <c r="A216" s="336"/>
      <c r="B216" s="338"/>
      <c r="C216" s="340"/>
      <c r="D216" s="22" t="s">
        <v>24</v>
      </c>
      <c r="E216" s="22" t="s">
        <v>25</v>
      </c>
      <c r="F216" s="181" t="s">
        <v>124</v>
      </c>
      <c r="G216" s="22" t="s">
        <v>59</v>
      </c>
      <c r="H216" s="345"/>
      <c r="I216" s="332"/>
      <c r="J216" s="333" t="s">
        <v>163</v>
      </c>
      <c r="K216" s="155"/>
    </row>
    <row r="217" spans="1:11">
      <c r="A217" s="24"/>
      <c r="B217" s="25" t="s">
        <v>60</v>
      </c>
      <c r="C217" s="26"/>
      <c r="D217" s="26"/>
      <c r="E217" s="26"/>
      <c r="F217" s="26"/>
      <c r="G217" s="26"/>
      <c r="H217" s="26"/>
      <c r="I217" s="27"/>
      <c r="J217" s="334"/>
      <c r="K217" s="155"/>
    </row>
    <row r="218" spans="1:11">
      <c r="A218" s="130" t="s">
        <v>80</v>
      </c>
      <c r="B218" s="135" t="s">
        <v>48</v>
      </c>
      <c r="C218" s="33" t="e">
        <f>#REF!</f>
        <v>#REF!</v>
      </c>
      <c r="D218" s="32"/>
      <c r="E218" s="33" t="e">
        <f>+#REF!</f>
        <v>#REF!</v>
      </c>
      <c r="F218" s="33"/>
      <c r="G218" s="33"/>
      <c r="H218" s="57" t="e">
        <f>+#REF!</f>
        <v>#REF!</v>
      </c>
      <c r="I218" s="33" t="e">
        <f>+#REF!</f>
        <v>#REF!</v>
      </c>
      <c r="J218" s="31" t="e">
        <f t="shared" ref="J218:J219" si="126">+SUM(C218:G218)-(H218+I218)</f>
        <v>#REF!</v>
      </c>
      <c r="K218" s="156" t="e">
        <f>J218=#REF!</f>
        <v>#REF!</v>
      </c>
    </row>
    <row r="219" spans="1:11">
      <c r="A219" s="130" t="str">
        <f>+A218</f>
        <v>SEPTEMBRE</v>
      </c>
      <c r="B219" s="135" t="s">
        <v>31</v>
      </c>
      <c r="C219" s="33" t="e">
        <f>#REF!</f>
        <v>#REF!</v>
      </c>
      <c r="D219" s="32"/>
      <c r="E219" s="33" t="e">
        <f>+#REF!</f>
        <v>#REF!</v>
      </c>
      <c r="F219" s="33"/>
      <c r="G219" s="33"/>
      <c r="H219" s="57" t="e">
        <f>+#REF!</f>
        <v>#REF!</v>
      </c>
      <c r="I219" s="33" t="e">
        <f>+#REF!</f>
        <v>#REF!</v>
      </c>
      <c r="J219" s="107" t="e">
        <f t="shared" si="126"/>
        <v>#REF!</v>
      </c>
      <c r="K219" s="156" t="e">
        <f>J219=#REF!</f>
        <v>#REF!</v>
      </c>
    </row>
    <row r="220" spans="1:11">
      <c r="A220" s="130" t="str">
        <f t="shared" ref="A220:A227" si="127">+A219</f>
        <v>SEPTEMBRE</v>
      </c>
      <c r="B220" s="136" t="s">
        <v>155</v>
      </c>
      <c r="C220" s="33" t="e">
        <f>#REF!</f>
        <v>#REF!</v>
      </c>
      <c r="D220" s="127"/>
      <c r="E220" s="33" t="e">
        <f>#REF!</f>
        <v>#REF!</v>
      </c>
      <c r="F220" s="53"/>
      <c r="G220" s="53"/>
      <c r="H220" s="57" t="e">
        <f>+#REF!</f>
        <v>#REF!</v>
      </c>
      <c r="I220" s="33" t="e">
        <f>+#REF!</f>
        <v>#REF!</v>
      </c>
      <c r="J220" s="132" t="e">
        <f>+SUM(C220:G220)-(H220+I220)</f>
        <v>#REF!</v>
      </c>
      <c r="K220" s="156" t="e">
        <f>J220=#REF!</f>
        <v>#REF!</v>
      </c>
    </row>
    <row r="221" spans="1:11">
      <c r="A221" s="130" t="str">
        <f t="shared" si="127"/>
        <v>SEPTEMBRE</v>
      </c>
      <c r="B221" s="137" t="s">
        <v>85</v>
      </c>
      <c r="C221" s="128" t="e">
        <f>#REF!</f>
        <v>#REF!</v>
      </c>
      <c r="D221" s="131"/>
      <c r="E221" s="128" t="e">
        <f>+#REF!</f>
        <v>#REF!</v>
      </c>
      <c r="F221" s="146"/>
      <c r="G221" s="146"/>
      <c r="H221" s="180" t="e">
        <f>+#REF!</f>
        <v>#REF!</v>
      </c>
      <c r="I221" s="128" t="e">
        <f>+#REF!</f>
        <v>#REF!</v>
      </c>
      <c r="J221" s="129" t="e">
        <f>+SUM(C221:G221)-(H221+I221)</f>
        <v>#REF!</v>
      </c>
      <c r="K221" s="156" t="e">
        <f>J221=#REF!</f>
        <v>#REF!</v>
      </c>
    </row>
    <row r="222" spans="1:11">
      <c r="A222" s="130" t="str">
        <f t="shared" si="127"/>
        <v>SEPTEMBRE</v>
      </c>
      <c r="B222" s="137" t="s">
        <v>84</v>
      </c>
      <c r="C222" s="128" t="e">
        <f>#REF!</f>
        <v>#REF!</v>
      </c>
      <c r="D222" s="131"/>
      <c r="E222" s="128" t="e">
        <f>+#REF!</f>
        <v>#REF!</v>
      </c>
      <c r="F222" s="146"/>
      <c r="G222" s="146"/>
      <c r="H222" s="180" t="e">
        <f>+#REF!</f>
        <v>#REF!</v>
      </c>
      <c r="I222" s="128" t="e">
        <f>+#REF!</f>
        <v>#REF!</v>
      </c>
      <c r="J222" s="129" t="e">
        <f t="shared" ref="J222:J227" si="128">+SUM(C222:G222)-(H222+I222)</f>
        <v>#REF!</v>
      </c>
      <c r="K222" s="156" t="e">
        <f>J222=#REF!</f>
        <v>#REF!</v>
      </c>
    </row>
    <row r="223" spans="1:11">
      <c r="A223" s="130" t="str">
        <f t="shared" si="127"/>
        <v>SEPTEMBRE</v>
      </c>
      <c r="B223" s="135" t="s">
        <v>154</v>
      </c>
      <c r="C223" s="33" t="e">
        <f>#REF!</f>
        <v>#REF!</v>
      </c>
      <c r="D223" s="32"/>
      <c r="E223" s="33" t="e">
        <f>+#REF!</f>
        <v>#REF!</v>
      </c>
      <c r="F223" s="33"/>
      <c r="G223" s="110"/>
      <c r="H223" s="57" t="e">
        <f>+#REF!</f>
        <v>#REF!</v>
      </c>
      <c r="I223" s="33" t="e">
        <f>+#REF!</f>
        <v>#REF!</v>
      </c>
      <c r="J223" s="31" t="e">
        <f t="shared" si="128"/>
        <v>#REF!</v>
      </c>
      <c r="K223" s="156" t="e">
        <f>J223=#REF!</f>
        <v>#REF!</v>
      </c>
    </row>
    <row r="224" spans="1:11">
      <c r="A224" s="130" t="str">
        <f t="shared" si="127"/>
        <v>SEPTEMBRE</v>
      </c>
      <c r="B224" s="135" t="s">
        <v>30</v>
      </c>
      <c r="C224" s="33" t="e">
        <f>#REF!</f>
        <v>#REF!</v>
      </c>
      <c r="D224" s="32"/>
      <c r="E224" s="33" t="e">
        <f>+#REF!</f>
        <v>#REF!</v>
      </c>
      <c r="F224" s="33"/>
      <c r="G224" s="110"/>
      <c r="H224" s="57" t="e">
        <f>+#REF!</f>
        <v>#REF!</v>
      </c>
      <c r="I224" s="33" t="e">
        <f>+#REF!</f>
        <v>#REF!</v>
      </c>
      <c r="J224" s="31" t="e">
        <f t="shared" si="128"/>
        <v>#REF!</v>
      </c>
      <c r="K224" s="156" t="e">
        <f>J224=#REF!</f>
        <v>#REF!</v>
      </c>
    </row>
    <row r="225" spans="1:11">
      <c r="A225" s="130" t="str">
        <f t="shared" si="127"/>
        <v>SEPTEMBRE</v>
      </c>
      <c r="B225" s="135" t="s">
        <v>94</v>
      </c>
      <c r="C225" s="33" t="e">
        <f>#REF!</f>
        <v>#REF!</v>
      </c>
      <c r="D225" s="32"/>
      <c r="E225" s="33" t="e">
        <f>+#REF!</f>
        <v>#REF!</v>
      </c>
      <c r="F225" s="33"/>
      <c r="G225" s="110"/>
      <c r="H225" s="57" t="e">
        <f>+#REF!</f>
        <v>#REF!</v>
      </c>
      <c r="I225" s="33" t="e">
        <f>+#REF!</f>
        <v>#REF!</v>
      </c>
      <c r="J225" s="31" t="e">
        <f t="shared" si="128"/>
        <v>#REF!</v>
      </c>
      <c r="K225" s="156" t="e">
        <f>J225=#REF!</f>
        <v>#REF!</v>
      </c>
    </row>
    <row r="226" spans="1:11">
      <c r="A226" s="130" t="str">
        <f t="shared" si="127"/>
        <v>SEPTEMBRE</v>
      </c>
      <c r="B226" s="135" t="s">
        <v>158</v>
      </c>
      <c r="C226" s="33" t="e">
        <f>#REF!</f>
        <v>#REF!</v>
      </c>
      <c r="D226" s="32"/>
      <c r="E226" s="33" t="e">
        <f>+#REF!</f>
        <v>#REF!</v>
      </c>
      <c r="F226" s="33"/>
      <c r="G226" s="110"/>
      <c r="H226" s="57" t="e">
        <f>+#REF!</f>
        <v>#REF!</v>
      </c>
      <c r="I226" s="33" t="e">
        <f>+#REF!</f>
        <v>#REF!</v>
      </c>
      <c r="J226" s="31" t="e">
        <f t="shared" si="128"/>
        <v>#REF!</v>
      </c>
      <c r="K226" s="156" t="e">
        <f>J226=#REF!</f>
        <v>#REF!</v>
      </c>
    </row>
    <row r="227" spans="1:11">
      <c r="A227" s="130" t="str">
        <f t="shared" si="127"/>
        <v>SEPTEMBRE</v>
      </c>
      <c r="B227" s="136" t="s">
        <v>114</v>
      </c>
      <c r="C227" s="33" t="e">
        <f>#REF!</f>
        <v>#REF!</v>
      </c>
      <c r="D227" s="127"/>
      <c r="E227" s="33" t="e">
        <f>+#REF!</f>
        <v>#REF!</v>
      </c>
      <c r="F227" s="53"/>
      <c r="G227" s="147"/>
      <c r="H227" s="57" t="e">
        <f>+#REF!</f>
        <v>#REF!</v>
      </c>
      <c r="I227" s="33" t="e">
        <f>+#REF!</f>
        <v>#REF!</v>
      </c>
      <c r="J227" s="31" t="e">
        <f t="shared" si="128"/>
        <v>#REF!</v>
      </c>
      <c r="K227" s="156" t="e">
        <f>J227=#REF!</f>
        <v>#REF!</v>
      </c>
    </row>
    <row r="228" spans="1:11">
      <c r="A228" s="35" t="s">
        <v>61</v>
      </c>
      <c r="B228" s="36"/>
      <c r="C228" s="36"/>
      <c r="D228" s="36"/>
      <c r="E228" s="36"/>
      <c r="F228" s="36"/>
      <c r="G228" s="36"/>
      <c r="H228" s="36"/>
      <c r="I228" s="36"/>
      <c r="J228" s="37"/>
      <c r="K228" s="155"/>
    </row>
    <row r="229" spans="1:11">
      <c r="A229" s="130" t="str">
        <f>+A227</f>
        <v>SEPTEMBRE</v>
      </c>
      <c r="B229" s="38" t="s">
        <v>62</v>
      </c>
      <c r="C229" s="39" t="e">
        <f>#REF!</f>
        <v>#REF!</v>
      </c>
      <c r="D229" s="51"/>
      <c r="E229" s="51" t="e">
        <f>#REF!</f>
        <v>#REF!</v>
      </c>
      <c r="F229" s="51"/>
      <c r="G229" s="133"/>
      <c r="H229" s="53" t="e">
        <f>+#REF!</f>
        <v>#REF!</v>
      </c>
      <c r="I229" s="134" t="e">
        <f>+#REF!</f>
        <v>#REF!</v>
      </c>
      <c r="J229" s="46" t="e">
        <f>+SUM(C229:G229)-(H229+I229)</f>
        <v>#REF!</v>
      </c>
      <c r="K229" s="156" t="e">
        <f>J229=#REF!</f>
        <v>#REF!</v>
      </c>
    </row>
    <row r="230" spans="1:11">
      <c r="A230" s="44" t="s">
        <v>63</v>
      </c>
      <c r="B230" s="25"/>
      <c r="C230" s="36"/>
      <c r="D230" s="25"/>
      <c r="E230" s="25"/>
      <c r="F230" s="25"/>
      <c r="G230" s="25"/>
      <c r="H230" s="25"/>
      <c r="I230" s="25"/>
      <c r="J230" s="37"/>
      <c r="K230" s="155"/>
    </row>
    <row r="231" spans="1:11">
      <c r="A231" s="130" t="str">
        <f>+A229</f>
        <v>SEPTEMBRE</v>
      </c>
      <c r="B231" s="38" t="s">
        <v>64</v>
      </c>
      <c r="C231" s="133" t="e">
        <f>#REF!</f>
        <v>#REF!</v>
      </c>
      <c r="D231" s="140"/>
      <c r="E231" s="51"/>
      <c r="F231" s="51"/>
      <c r="G231" s="51"/>
      <c r="H231" s="53" t="e">
        <f>+#REF!</f>
        <v>#REF!</v>
      </c>
      <c r="I231" s="55" t="e">
        <f>+#REF!</f>
        <v>#REF!</v>
      </c>
      <c r="J231" s="46" t="e">
        <f>+SUM(C231:G231)-(H231+I231)</f>
        <v>#REF!</v>
      </c>
      <c r="K231" s="156" t="e">
        <f>+J231=#REF!</f>
        <v>#REF!</v>
      </c>
    </row>
    <row r="232" spans="1:11">
      <c r="A232" s="130" t="str">
        <f t="shared" ref="A232" si="129">+A231</f>
        <v>SEPTEMBRE</v>
      </c>
      <c r="B232" s="38" t="s">
        <v>65</v>
      </c>
      <c r="C232" s="133" t="e">
        <f>#REF!</f>
        <v>#REF!</v>
      </c>
      <c r="D232" s="51"/>
      <c r="E232" s="50"/>
      <c r="F232" s="50"/>
      <c r="G232" s="50"/>
      <c r="H232" s="33" t="e">
        <f>+#REF!</f>
        <v>#REF!</v>
      </c>
      <c r="I232" s="52" t="e">
        <f>+#REF!</f>
        <v>#REF!</v>
      </c>
      <c r="J232" s="46" t="e">
        <f>SUM(C232:G232)-(H232+I232)</f>
        <v>#REF!</v>
      </c>
      <c r="K232" s="156" t="e">
        <f>+J232=#REF!</f>
        <v>#REF!</v>
      </c>
    </row>
    <row r="233" spans="1:11" ht="15.75">
      <c r="C233" s="151" t="e">
        <f>SUM(C218:C232)</f>
        <v>#REF!</v>
      </c>
      <c r="I233" s="149" t="e">
        <f>SUM(I218:I232)</f>
        <v>#REF!</v>
      </c>
      <c r="J233" s="111" t="e">
        <f>+SUM(J218:J232)</f>
        <v>#REF!</v>
      </c>
      <c r="K233" s="5" t="e">
        <f>J233=#REF!</f>
        <v>#REF!</v>
      </c>
    </row>
    <row r="234" spans="1:11">
      <c r="G234" s="9"/>
    </row>
    <row r="235" spans="1:11">
      <c r="A235" s="16" t="s">
        <v>53</v>
      </c>
      <c r="B235" s="16"/>
      <c r="C235" s="16"/>
      <c r="D235" s="17"/>
      <c r="E235" s="17"/>
      <c r="F235" s="17"/>
      <c r="G235" s="17"/>
      <c r="H235" s="17"/>
      <c r="I235" s="17"/>
    </row>
    <row r="236" spans="1:11">
      <c r="A236" s="18" t="s">
        <v>152</v>
      </c>
      <c r="B236" s="18"/>
      <c r="C236" s="18"/>
      <c r="D236" s="18"/>
      <c r="E236" s="18"/>
      <c r="F236" s="18"/>
      <c r="G236" s="18"/>
      <c r="H236" s="18"/>
      <c r="I236" s="18"/>
      <c r="J236" s="17"/>
    </row>
    <row r="237" spans="1:11">
      <c r="A237" s="19"/>
      <c r="B237" s="20"/>
      <c r="C237" s="21"/>
      <c r="D237" s="21"/>
      <c r="E237" s="21"/>
      <c r="F237" s="21"/>
      <c r="G237" s="21"/>
      <c r="H237" s="20"/>
      <c r="I237" s="20"/>
      <c r="J237" s="18"/>
    </row>
    <row r="238" spans="1:11">
      <c r="A238" s="335" t="s">
        <v>54</v>
      </c>
      <c r="B238" s="337" t="s">
        <v>55</v>
      </c>
      <c r="C238" s="339" t="s">
        <v>151</v>
      </c>
      <c r="D238" s="341" t="s">
        <v>56</v>
      </c>
      <c r="E238" s="342"/>
      <c r="F238" s="342"/>
      <c r="G238" s="343"/>
      <c r="H238" s="344" t="s">
        <v>57</v>
      </c>
      <c r="I238" s="331" t="s">
        <v>58</v>
      </c>
      <c r="J238" s="20"/>
    </row>
    <row r="239" spans="1:11">
      <c r="A239" s="336"/>
      <c r="B239" s="338"/>
      <c r="C239" s="340"/>
      <c r="D239" s="22" t="s">
        <v>24</v>
      </c>
      <c r="E239" s="22" t="s">
        <v>25</v>
      </c>
      <c r="F239" s="176" t="s">
        <v>124</v>
      </c>
      <c r="G239" s="22" t="s">
        <v>59</v>
      </c>
      <c r="H239" s="345"/>
      <c r="I239" s="332"/>
      <c r="J239" s="333" t="s">
        <v>153</v>
      </c>
      <c r="K239" s="155"/>
    </row>
    <row r="240" spans="1:11">
      <c r="A240" s="24"/>
      <c r="B240" s="25" t="s">
        <v>60</v>
      </c>
      <c r="C240" s="26"/>
      <c r="D240" s="26"/>
      <c r="E240" s="26"/>
      <c r="F240" s="26"/>
      <c r="G240" s="26"/>
      <c r="H240" s="26"/>
      <c r="I240" s="27"/>
      <c r="J240" s="334"/>
      <c r="K240" s="155"/>
    </row>
    <row r="241" spans="1:11">
      <c r="A241" s="130" t="s">
        <v>150</v>
      </c>
      <c r="B241" s="135" t="s">
        <v>48</v>
      </c>
      <c r="C241" s="33" t="e">
        <f>#REF!</f>
        <v>#REF!</v>
      </c>
      <c r="D241" s="32"/>
      <c r="E241" s="33" t="e">
        <f>+#REF!</f>
        <v>#REF!</v>
      </c>
      <c r="F241" s="33"/>
      <c r="G241" s="33"/>
      <c r="H241" s="57" t="e">
        <f>+#REF!</f>
        <v>#REF!</v>
      </c>
      <c r="I241" s="33" t="e">
        <f>+#REF!</f>
        <v>#REF!</v>
      </c>
      <c r="J241" s="31" t="e">
        <f t="shared" ref="J241:J242" si="130">+SUM(C241:G241)-(H241+I241)</f>
        <v>#REF!</v>
      </c>
      <c r="K241" s="156" t="e">
        <f>J241=#REF!</f>
        <v>#REF!</v>
      </c>
    </row>
    <row r="242" spans="1:11">
      <c r="A242" s="130" t="s">
        <v>150</v>
      </c>
      <c r="B242" s="135" t="s">
        <v>31</v>
      </c>
      <c r="C242" s="33" t="e">
        <f>#REF!</f>
        <v>#REF!</v>
      </c>
      <c r="D242" s="32"/>
      <c r="E242" s="33" t="e">
        <f>+#REF!</f>
        <v>#REF!</v>
      </c>
      <c r="F242" s="33"/>
      <c r="G242" s="33"/>
      <c r="H242" s="57" t="e">
        <f>+#REF!</f>
        <v>#REF!</v>
      </c>
      <c r="I242" s="33" t="e">
        <f>+#REF!</f>
        <v>#REF!</v>
      </c>
      <c r="J242" s="107" t="e">
        <f t="shared" si="130"/>
        <v>#REF!</v>
      </c>
      <c r="K242" s="156" t="e">
        <f>J242=#REF!</f>
        <v>#REF!</v>
      </c>
    </row>
    <row r="243" spans="1:11">
      <c r="A243" s="130" t="s">
        <v>150</v>
      </c>
      <c r="B243" s="136" t="s">
        <v>155</v>
      </c>
      <c r="C243" s="33" t="e">
        <f>#REF!</f>
        <v>#REF!</v>
      </c>
      <c r="D243" s="127"/>
      <c r="E243" s="33">
        <v>30000</v>
      </c>
      <c r="F243" s="53">
        <v>240000</v>
      </c>
      <c r="G243" s="53"/>
      <c r="H243" s="57" t="e">
        <f>+#REF!</f>
        <v>#REF!</v>
      </c>
      <c r="I243" s="33" t="e">
        <f>+#REF!</f>
        <v>#REF!</v>
      </c>
      <c r="J243" s="132" t="e">
        <f>+SUM(C243:G243)-(H243+I243)</f>
        <v>#REF!</v>
      </c>
      <c r="K243" s="156" t="e">
        <f>J243=#REF!</f>
        <v>#REF!</v>
      </c>
    </row>
    <row r="244" spans="1:11">
      <c r="A244" s="130" t="s">
        <v>150</v>
      </c>
      <c r="B244" s="137" t="s">
        <v>85</v>
      </c>
      <c r="C244" s="128" t="e">
        <f>#REF!</f>
        <v>#REF!</v>
      </c>
      <c r="D244" s="131"/>
      <c r="E244" s="128" t="e">
        <f>+#REF!</f>
        <v>#REF!</v>
      </c>
      <c r="F244" s="146"/>
      <c r="G244" s="146"/>
      <c r="H244" s="180" t="e">
        <f>+#REF!</f>
        <v>#REF!</v>
      </c>
      <c r="I244" s="128" t="e">
        <f>+#REF!</f>
        <v>#REF!</v>
      </c>
      <c r="J244" s="129" t="e">
        <f>+SUM(C244:G244)-(H244+I244)</f>
        <v>#REF!</v>
      </c>
      <c r="K244" s="156" t="e">
        <f>J244=#REF!</f>
        <v>#REF!</v>
      </c>
    </row>
    <row r="245" spans="1:11">
      <c r="A245" s="130" t="s">
        <v>150</v>
      </c>
      <c r="B245" s="137" t="s">
        <v>84</v>
      </c>
      <c r="C245" s="128" t="e">
        <f>#REF!</f>
        <v>#REF!</v>
      </c>
      <c r="D245" s="131"/>
      <c r="E245" s="128" t="e">
        <f>+#REF!</f>
        <v>#REF!</v>
      </c>
      <c r="F245" s="146"/>
      <c r="G245" s="146"/>
      <c r="H245" s="180" t="e">
        <f>+#REF!</f>
        <v>#REF!</v>
      </c>
      <c r="I245" s="128" t="e">
        <f>+#REF!</f>
        <v>#REF!</v>
      </c>
      <c r="J245" s="129" t="e">
        <f t="shared" ref="J245:J251" si="131">+SUM(C245:G245)-(H245+I245)</f>
        <v>#REF!</v>
      </c>
      <c r="K245" s="156" t="e">
        <f>J245=#REF!</f>
        <v>#REF!</v>
      </c>
    </row>
    <row r="246" spans="1:11">
      <c r="A246" s="130" t="s">
        <v>150</v>
      </c>
      <c r="B246" s="135" t="s">
        <v>154</v>
      </c>
      <c r="C246" s="33" t="e">
        <f>#REF!</f>
        <v>#REF!</v>
      </c>
      <c r="D246" s="32"/>
      <c r="E246" s="33" t="e">
        <f>+#REF!</f>
        <v>#REF!</v>
      </c>
      <c r="F246" s="33"/>
      <c r="G246" s="110"/>
      <c r="H246" s="57" t="e">
        <f>+#REF!</f>
        <v>#REF!</v>
      </c>
      <c r="I246" s="33" t="e">
        <f>+#REF!</f>
        <v>#REF!</v>
      </c>
      <c r="J246" s="31" t="e">
        <f t="shared" si="131"/>
        <v>#REF!</v>
      </c>
      <c r="K246" s="156" t="e">
        <f>J246=#REF!</f>
        <v>#REF!</v>
      </c>
    </row>
    <row r="247" spans="1:11">
      <c r="A247" s="130" t="s">
        <v>150</v>
      </c>
      <c r="B247" s="135" t="s">
        <v>30</v>
      </c>
      <c r="C247" s="33" t="e">
        <f>#REF!</f>
        <v>#REF!</v>
      </c>
      <c r="D247" s="32"/>
      <c r="E247" s="33" t="e">
        <f>+#REF!</f>
        <v>#REF!</v>
      </c>
      <c r="F247" s="33"/>
      <c r="G247" s="110"/>
      <c r="H247" s="57" t="e">
        <f>+#REF!</f>
        <v>#REF!</v>
      </c>
      <c r="I247" s="33" t="e">
        <f>+#REF!</f>
        <v>#REF!</v>
      </c>
      <c r="J247" s="31" t="e">
        <f t="shared" si="131"/>
        <v>#REF!</v>
      </c>
      <c r="K247" s="156" t="e">
        <f>J247=#REF!</f>
        <v>#REF!</v>
      </c>
    </row>
    <row r="248" spans="1:11">
      <c r="A248" s="130" t="s">
        <v>150</v>
      </c>
      <c r="B248" s="135" t="s">
        <v>36</v>
      </c>
      <c r="C248" s="33" t="e">
        <f>#REF!</f>
        <v>#REF!</v>
      </c>
      <c r="D248" s="32"/>
      <c r="E248" s="33">
        <v>15000</v>
      </c>
      <c r="F248" s="33">
        <v>496625</v>
      </c>
      <c r="G248" s="110"/>
      <c r="H248" s="57" t="e">
        <f>+#REF!</f>
        <v>#REF!</v>
      </c>
      <c r="I248" s="33" t="e">
        <f>+#REF!</f>
        <v>#REF!</v>
      </c>
      <c r="J248" s="31" t="e">
        <f t="shared" si="131"/>
        <v>#REF!</v>
      </c>
      <c r="K248" s="156" t="e">
        <f>J248=#REF!</f>
        <v>#REF!</v>
      </c>
    </row>
    <row r="249" spans="1:11">
      <c r="A249" s="130" t="s">
        <v>150</v>
      </c>
      <c r="B249" s="135" t="s">
        <v>94</v>
      </c>
      <c r="C249" s="33" t="e">
        <f>#REF!</f>
        <v>#REF!</v>
      </c>
      <c r="D249" s="32"/>
      <c r="E249" s="33" t="e">
        <f>+#REF!</f>
        <v>#REF!</v>
      </c>
      <c r="F249" s="33"/>
      <c r="G249" s="110"/>
      <c r="H249" s="57" t="e">
        <f>+#REF!</f>
        <v>#REF!</v>
      </c>
      <c r="I249" s="33" t="e">
        <f>+#REF!</f>
        <v>#REF!</v>
      </c>
      <c r="J249" s="31" t="e">
        <f t="shared" si="131"/>
        <v>#REF!</v>
      </c>
      <c r="K249" s="156" t="e">
        <f>J249=#REF!</f>
        <v>#REF!</v>
      </c>
    </row>
    <row r="250" spans="1:11">
      <c r="A250" s="130" t="s">
        <v>150</v>
      </c>
      <c r="B250" s="135" t="s">
        <v>29</v>
      </c>
      <c r="C250" s="33" t="e">
        <f>#REF!</f>
        <v>#REF!</v>
      </c>
      <c r="D250" s="32"/>
      <c r="E250" s="33" t="e">
        <f>+#REF!</f>
        <v>#REF!</v>
      </c>
      <c r="F250" s="33"/>
      <c r="G250" s="110"/>
      <c r="H250" s="57" t="e">
        <f>+#REF!</f>
        <v>#REF!</v>
      </c>
      <c r="I250" s="33" t="e">
        <f>+#REF!</f>
        <v>#REF!</v>
      </c>
      <c r="J250" s="31" t="e">
        <f t="shared" ref="J250" si="132">+SUM(C250:G250)-(H250+I250)</f>
        <v>#REF!</v>
      </c>
      <c r="K250" s="156" t="e">
        <f>J250=#REF!</f>
        <v>#REF!</v>
      </c>
    </row>
    <row r="251" spans="1:11">
      <c r="A251" s="130" t="s">
        <v>150</v>
      </c>
      <c r="B251" s="136" t="s">
        <v>114</v>
      </c>
      <c r="C251" s="33" t="e">
        <f>#REF!</f>
        <v>#REF!</v>
      </c>
      <c r="D251" s="127"/>
      <c r="E251" s="33" t="e">
        <f>+#REF!</f>
        <v>#REF!</v>
      </c>
      <c r="F251" s="53"/>
      <c r="G251" s="147"/>
      <c r="H251" s="57" t="e">
        <f>+#REF!</f>
        <v>#REF!</v>
      </c>
      <c r="I251" s="33" t="e">
        <f>+#REF!</f>
        <v>#REF!</v>
      </c>
      <c r="J251" s="31" t="e">
        <f t="shared" si="131"/>
        <v>#REF!</v>
      </c>
      <c r="K251" s="156" t="e">
        <f>J251=#REF!</f>
        <v>#REF!</v>
      </c>
    </row>
    <row r="252" spans="1:11">
      <c r="A252" s="35" t="s">
        <v>61</v>
      </c>
      <c r="B252" s="36"/>
      <c r="C252" s="36"/>
      <c r="D252" s="36"/>
      <c r="E252" s="36"/>
      <c r="F252" s="36"/>
      <c r="G252" s="36"/>
      <c r="H252" s="36"/>
      <c r="I252" s="36"/>
      <c r="J252" s="37"/>
      <c r="K252" s="155"/>
    </row>
    <row r="253" spans="1:11">
      <c r="A253" s="130" t="s">
        <v>150</v>
      </c>
      <c r="B253" s="38" t="s">
        <v>62</v>
      </c>
      <c r="C253" s="39" t="e">
        <f>#REF!</f>
        <v>#REF!</v>
      </c>
      <c r="D253" s="51">
        <v>4000000</v>
      </c>
      <c r="E253" s="109"/>
      <c r="F253" s="51"/>
      <c r="G253" s="133">
        <v>15000</v>
      </c>
      <c r="H253" s="53" t="e">
        <f>+#REF!</f>
        <v>#REF!</v>
      </c>
      <c r="I253" s="134" t="e">
        <f>+#REF!</f>
        <v>#REF!</v>
      </c>
      <c r="J253" s="46" t="e">
        <f>+SUM(C253:G253)-(H253+I253)</f>
        <v>#REF!</v>
      </c>
      <c r="K253" s="156" t="e">
        <f>J253=#REF!</f>
        <v>#REF!</v>
      </c>
    </row>
    <row r="254" spans="1:11">
      <c r="A254" s="44" t="s">
        <v>63</v>
      </c>
      <c r="B254" s="25"/>
      <c r="C254" s="36"/>
      <c r="D254" s="25"/>
      <c r="E254" s="25"/>
      <c r="F254" s="25"/>
      <c r="G254" s="25"/>
      <c r="H254" s="25"/>
      <c r="I254" s="25"/>
      <c r="J254" s="37"/>
      <c r="K254" s="155"/>
    </row>
    <row r="255" spans="1:11">
      <c r="A255" s="130" t="s">
        <v>150</v>
      </c>
      <c r="B255" s="38" t="s">
        <v>64</v>
      </c>
      <c r="C255" s="133" t="e">
        <f>#REF!</f>
        <v>#REF!</v>
      </c>
      <c r="D255" s="140"/>
      <c r="E255" s="51"/>
      <c r="F255" s="51"/>
      <c r="G255" s="51"/>
      <c r="H255" s="53" t="e">
        <f>+#REF!</f>
        <v>#REF!</v>
      </c>
      <c r="I255" s="55" t="e">
        <f>+#REF!</f>
        <v>#REF!</v>
      </c>
      <c r="J255" s="46" t="e">
        <f>+SUM(C255:G255)-(H255+I255)</f>
        <v>#REF!</v>
      </c>
      <c r="K255" s="156" t="e">
        <f>+J255=#REF!</f>
        <v>#REF!</v>
      </c>
    </row>
    <row r="256" spans="1:11">
      <c r="A256" s="130" t="s">
        <v>150</v>
      </c>
      <c r="B256" s="38" t="s">
        <v>65</v>
      </c>
      <c r="C256" s="133" t="e">
        <f>#REF!</f>
        <v>#REF!</v>
      </c>
      <c r="D256" s="51"/>
      <c r="E256" s="50"/>
      <c r="F256" s="50"/>
      <c r="G256" s="50"/>
      <c r="H256" s="33" t="e">
        <f>+#REF!</f>
        <v>#REF!</v>
      </c>
      <c r="I256" s="52" t="e">
        <f>+#REF!</f>
        <v>#REF!</v>
      </c>
      <c r="J256" s="46" t="e">
        <f>SUM(C256:G256)-(H256+I256)</f>
        <v>#REF!</v>
      </c>
      <c r="K256" s="156" t="e">
        <f>+J256=#REF!</f>
        <v>#REF!</v>
      </c>
    </row>
    <row r="257" spans="1:15" ht="15.75">
      <c r="C257" s="151" t="e">
        <f>SUM(C241:C256)</f>
        <v>#REF!</v>
      </c>
      <c r="I257" s="149" t="e">
        <f>SUM(I241:I256)</f>
        <v>#REF!</v>
      </c>
      <c r="J257" s="111" t="e">
        <f>+SUM(J241:J256)</f>
        <v>#REF!</v>
      </c>
      <c r="K257" s="5" t="e">
        <f>J257=#REF!</f>
        <v>#REF!</v>
      </c>
    </row>
    <row r="258" spans="1:15" s="171" customFormat="1" ht="16.5">
      <c r="A258" s="14"/>
      <c r="B258" s="175"/>
      <c r="C258" s="174"/>
      <c r="D258" s="174"/>
      <c r="E258" s="173"/>
      <c r="F258" s="174"/>
      <c r="G258" s="174" t="e">
        <f>+#REF!-J257</f>
        <v>#REF!</v>
      </c>
      <c r="H258" s="174"/>
      <c r="I258" s="174"/>
      <c r="L258" s="172"/>
      <c r="M258" s="172"/>
      <c r="N258" s="172"/>
      <c r="O258" s="172"/>
    </row>
    <row r="259" spans="1:15">
      <c r="A259" s="16" t="s">
        <v>53</v>
      </c>
      <c r="B259" s="16"/>
      <c r="C259" s="16"/>
      <c r="D259" s="17"/>
      <c r="E259" s="17"/>
      <c r="F259" s="17"/>
      <c r="G259" s="17"/>
      <c r="H259" s="17"/>
      <c r="I259" s="17"/>
    </row>
    <row r="260" spans="1:15">
      <c r="A260" s="18" t="s">
        <v>147</v>
      </c>
      <c r="B260" s="18"/>
      <c r="C260" s="18"/>
      <c r="D260" s="18"/>
      <c r="E260" s="18"/>
      <c r="F260" s="18"/>
      <c r="G260" s="18"/>
      <c r="H260" s="18"/>
      <c r="I260" s="18"/>
      <c r="J260" s="17"/>
    </row>
    <row r="261" spans="1:15">
      <c r="A261" s="19"/>
      <c r="B261" s="20"/>
      <c r="C261" s="21"/>
      <c r="D261" s="21"/>
      <c r="E261" s="21"/>
      <c r="F261" s="21"/>
      <c r="G261" s="21"/>
      <c r="H261" s="20"/>
      <c r="I261" s="20"/>
      <c r="J261" s="18"/>
    </row>
    <row r="262" spans="1:15">
      <c r="A262" s="335" t="s">
        <v>54</v>
      </c>
      <c r="B262" s="337" t="s">
        <v>55</v>
      </c>
      <c r="C262" s="339" t="s">
        <v>148</v>
      </c>
      <c r="D262" s="341" t="s">
        <v>56</v>
      </c>
      <c r="E262" s="342"/>
      <c r="F262" s="342"/>
      <c r="G262" s="343"/>
      <c r="H262" s="344" t="s">
        <v>57</v>
      </c>
      <c r="I262" s="331" t="s">
        <v>58</v>
      </c>
      <c r="J262" s="20"/>
    </row>
    <row r="263" spans="1:15">
      <c r="A263" s="336"/>
      <c r="B263" s="338"/>
      <c r="C263" s="340"/>
      <c r="D263" s="22" t="s">
        <v>24</v>
      </c>
      <c r="E263" s="22" t="s">
        <v>25</v>
      </c>
      <c r="F263" s="170" t="s">
        <v>124</v>
      </c>
      <c r="G263" s="22" t="s">
        <v>59</v>
      </c>
      <c r="H263" s="345"/>
      <c r="I263" s="332"/>
      <c r="J263" s="333" t="s">
        <v>149</v>
      </c>
      <c r="K263" s="155"/>
    </row>
    <row r="264" spans="1:15">
      <c r="A264" s="24"/>
      <c r="B264" s="25" t="s">
        <v>60</v>
      </c>
      <c r="C264" s="26"/>
      <c r="D264" s="26"/>
      <c r="E264" s="26"/>
      <c r="F264" s="26"/>
      <c r="G264" s="26"/>
      <c r="H264" s="26"/>
      <c r="I264" s="27"/>
      <c r="J264" s="334"/>
      <c r="K264" s="155"/>
    </row>
    <row r="265" spans="1:15">
      <c r="A265" s="130" t="s">
        <v>73</v>
      </c>
      <c r="B265" s="135" t="s">
        <v>48</v>
      </c>
      <c r="C265" s="33" t="e">
        <f>#REF!</f>
        <v>#REF!</v>
      </c>
      <c r="D265" s="32"/>
      <c r="E265" s="33">
        <v>970765</v>
      </c>
      <c r="F265" s="33"/>
      <c r="G265" s="33"/>
      <c r="H265" s="57">
        <v>0</v>
      </c>
      <c r="I265" s="33">
        <v>980165</v>
      </c>
      <c r="J265" s="31" t="e">
        <f t="shared" ref="J265:J266" si="133">+SUM(C265:G265)-(H265+I265)</f>
        <v>#REF!</v>
      </c>
      <c r="K265" s="156" t="e">
        <f>J265=#REF!</f>
        <v>#REF!</v>
      </c>
    </row>
    <row r="266" spans="1:15">
      <c r="A266" s="130" t="s">
        <v>73</v>
      </c>
      <c r="B266" s="135" t="s">
        <v>31</v>
      </c>
      <c r="C266" s="33" t="e">
        <f>#REF!</f>
        <v>#REF!</v>
      </c>
      <c r="D266" s="32"/>
      <c r="E266" s="33">
        <v>58000</v>
      </c>
      <c r="F266" s="33"/>
      <c r="G266" s="33"/>
      <c r="H266" s="33">
        <v>0</v>
      </c>
      <c r="I266" s="33">
        <v>59500</v>
      </c>
      <c r="J266" s="107" t="e">
        <f t="shared" si="133"/>
        <v>#REF!</v>
      </c>
      <c r="K266" s="156" t="e">
        <f>J266=#REF!</f>
        <v>#REF!</v>
      </c>
    </row>
    <row r="267" spans="1:15">
      <c r="A267" s="130" t="s">
        <v>73</v>
      </c>
      <c r="B267" s="136" t="s">
        <v>30</v>
      </c>
      <c r="C267" s="33" t="e">
        <f>#REF!</f>
        <v>#REF!</v>
      </c>
      <c r="D267" s="127"/>
      <c r="E267" s="53">
        <v>557150</v>
      </c>
      <c r="F267" s="53"/>
      <c r="G267" s="53"/>
      <c r="H267" s="53">
        <v>0</v>
      </c>
      <c r="I267" s="53">
        <v>556650</v>
      </c>
      <c r="J267" s="132" t="e">
        <f>+SUM(C267:G267)-(H267+I267)</f>
        <v>#REF!</v>
      </c>
      <c r="K267" s="156" t="e">
        <f>J267=#REF!</f>
        <v>#REF!</v>
      </c>
    </row>
    <row r="268" spans="1:15">
      <c r="A268" s="130" t="s">
        <v>73</v>
      </c>
      <c r="B268" s="137" t="s">
        <v>85</v>
      </c>
      <c r="C268" s="128" t="e">
        <f>#REF!</f>
        <v>#REF!</v>
      </c>
      <c r="D268" s="131"/>
      <c r="E268" s="146"/>
      <c r="F268" s="146"/>
      <c r="G268" s="146"/>
      <c r="H268" s="146">
        <v>0</v>
      </c>
      <c r="I268" s="146">
        <v>0</v>
      </c>
      <c r="J268" s="129" t="e">
        <f>+SUM(C268:G268)-(H268+I268)</f>
        <v>#REF!</v>
      </c>
      <c r="K268" s="156" t="e">
        <f>J268=#REF!</f>
        <v>#REF!</v>
      </c>
    </row>
    <row r="269" spans="1:15">
      <c r="A269" s="130" t="s">
        <v>73</v>
      </c>
      <c r="B269" s="137" t="s">
        <v>84</v>
      </c>
      <c r="C269" s="128" t="e">
        <f>#REF!</f>
        <v>#REF!</v>
      </c>
      <c r="D269" s="131"/>
      <c r="E269" s="146"/>
      <c r="F269" s="146"/>
      <c r="G269" s="146"/>
      <c r="H269" s="146">
        <v>0</v>
      </c>
      <c r="I269" s="146">
        <v>0</v>
      </c>
      <c r="J269" s="129" t="e">
        <f t="shared" ref="J269:J274" si="134">+SUM(C269:G269)-(H269+I269)</f>
        <v>#REF!</v>
      </c>
      <c r="K269" s="156" t="e">
        <f>J269=#REF!</f>
        <v>#REF!</v>
      </c>
    </row>
    <row r="270" spans="1:15">
      <c r="A270" s="130" t="s">
        <v>73</v>
      </c>
      <c r="B270" s="135" t="s">
        <v>36</v>
      </c>
      <c r="C270" s="33" t="e">
        <f>#REF!</f>
        <v>#REF!</v>
      </c>
      <c r="D270" s="32"/>
      <c r="E270" s="33">
        <v>941000</v>
      </c>
      <c r="F270" s="33"/>
      <c r="G270" s="110"/>
      <c r="H270" s="110">
        <v>0</v>
      </c>
      <c r="I270" s="33">
        <v>1084725</v>
      </c>
      <c r="J270" s="31" t="e">
        <f t="shared" si="134"/>
        <v>#REF!</v>
      </c>
      <c r="K270" s="156" t="e">
        <f>J270=#REF!</f>
        <v>#REF!</v>
      </c>
    </row>
    <row r="271" spans="1:15">
      <c r="A271" s="130" t="s">
        <v>73</v>
      </c>
      <c r="B271" s="135" t="s">
        <v>94</v>
      </c>
      <c r="C271" s="33" t="e">
        <f>#REF!</f>
        <v>#REF!</v>
      </c>
      <c r="D271" s="32"/>
      <c r="E271" s="33">
        <v>52000</v>
      </c>
      <c r="F271" s="110"/>
      <c r="G271" s="110"/>
      <c r="H271" s="110">
        <v>0</v>
      </c>
      <c r="I271" s="33">
        <v>67000</v>
      </c>
      <c r="J271" s="31" t="e">
        <f t="shared" si="134"/>
        <v>#REF!</v>
      </c>
      <c r="K271" s="156" t="e">
        <f>J271=#REF!</f>
        <v>#REF!</v>
      </c>
    </row>
    <row r="272" spans="1:15">
      <c r="A272" s="130" t="s">
        <v>73</v>
      </c>
      <c r="B272" s="135" t="s">
        <v>29</v>
      </c>
      <c r="C272" s="33" t="e">
        <f>#REF!</f>
        <v>#REF!</v>
      </c>
      <c r="D272" s="32"/>
      <c r="E272" s="33">
        <v>515000</v>
      </c>
      <c r="F272" s="110"/>
      <c r="G272" s="110"/>
      <c r="H272" s="110">
        <v>0</v>
      </c>
      <c r="I272" s="33">
        <v>655500</v>
      </c>
      <c r="J272" s="31" t="e">
        <f t="shared" si="134"/>
        <v>#REF!</v>
      </c>
      <c r="K272" s="156" t="e">
        <f>J272=#REF!</f>
        <v>#REF!</v>
      </c>
    </row>
    <row r="273" spans="1:15">
      <c r="A273" s="130" t="s">
        <v>73</v>
      </c>
      <c r="B273" s="135" t="s">
        <v>32</v>
      </c>
      <c r="C273" s="33" t="e">
        <f>#REF!</f>
        <v>#REF!</v>
      </c>
      <c r="D273" s="32"/>
      <c r="E273" s="33">
        <v>10000</v>
      </c>
      <c r="F273" s="110"/>
      <c r="G273" s="110"/>
      <c r="H273" s="33">
        <v>500</v>
      </c>
      <c r="I273" s="33">
        <v>15300</v>
      </c>
      <c r="J273" s="31" t="e">
        <f t="shared" si="134"/>
        <v>#REF!</v>
      </c>
      <c r="K273" s="156" t="e">
        <f>J273=#REF!</f>
        <v>#REF!</v>
      </c>
    </row>
    <row r="274" spans="1:15">
      <c r="A274" s="130" t="s">
        <v>73</v>
      </c>
      <c r="B274" s="136" t="s">
        <v>114</v>
      </c>
      <c r="C274" s="33" t="e">
        <f>#REF!</f>
        <v>#REF!</v>
      </c>
      <c r="D274" s="127"/>
      <c r="E274" s="53">
        <v>20000</v>
      </c>
      <c r="F274" s="53"/>
      <c r="G274" s="147"/>
      <c r="H274" s="53">
        <v>0</v>
      </c>
      <c r="I274" s="53">
        <v>28000</v>
      </c>
      <c r="J274" s="31" t="e">
        <f t="shared" si="134"/>
        <v>#REF!</v>
      </c>
      <c r="K274" s="156" t="e">
        <f>J274=#REF!</f>
        <v>#REF!</v>
      </c>
    </row>
    <row r="275" spans="1:15">
      <c r="A275" s="35" t="s">
        <v>61</v>
      </c>
      <c r="B275" s="36"/>
      <c r="C275" s="36"/>
      <c r="D275" s="36"/>
      <c r="E275" s="36"/>
      <c r="F275" s="36"/>
      <c r="G275" s="36"/>
      <c r="H275" s="36"/>
      <c r="I275" s="36"/>
      <c r="J275" s="37"/>
      <c r="K275" s="155"/>
    </row>
    <row r="276" spans="1:15">
      <c r="A276" s="130" t="s">
        <v>73</v>
      </c>
      <c r="B276" s="38" t="s">
        <v>62</v>
      </c>
      <c r="C276" s="39" t="e">
        <f>#REF!</f>
        <v>#REF!</v>
      </c>
      <c r="D276" s="51">
        <v>6000500</v>
      </c>
      <c r="E276" s="109"/>
      <c r="F276" s="51"/>
      <c r="G276" s="148"/>
      <c r="H276" s="53">
        <v>3123915</v>
      </c>
      <c r="I276" s="134">
        <v>3367697</v>
      </c>
      <c r="J276" s="46" t="e">
        <f>+SUM(C276:G276)-(H276+I276)</f>
        <v>#REF!</v>
      </c>
      <c r="K276" s="156" t="e">
        <f>J276=#REF!</f>
        <v>#REF!</v>
      </c>
    </row>
    <row r="277" spans="1:15">
      <c r="A277" s="44" t="s">
        <v>63</v>
      </c>
      <c r="B277" s="25"/>
      <c r="C277" s="36"/>
      <c r="D277" s="25"/>
      <c r="E277" s="25"/>
      <c r="F277" s="25"/>
      <c r="G277" s="25"/>
      <c r="H277" s="25"/>
      <c r="I277" s="25"/>
      <c r="J277" s="37"/>
      <c r="K277" s="155"/>
    </row>
    <row r="278" spans="1:15">
      <c r="A278" s="130" t="s">
        <v>73</v>
      </c>
      <c r="B278" s="38" t="s">
        <v>64</v>
      </c>
      <c r="C278" s="133" t="e">
        <f>#REF!</f>
        <v>#REF!</v>
      </c>
      <c r="D278" s="140"/>
      <c r="E278" s="51"/>
      <c r="F278" s="51"/>
      <c r="G278" s="51"/>
      <c r="H278" s="53">
        <v>2000000</v>
      </c>
      <c r="I278" s="55">
        <v>271244</v>
      </c>
      <c r="J278" s="46" t="e">
        <f>+SUM(C278:G278)-(H278+I278)</f>
        <v>#REF!</v>
      </c>
      <c r="K278" s="156" t="e">
        <f>+J278=#REF!</f>
        <v>#REF!</v>
      </c>
    </row>
    <row r="279" spans="1:15">
      <c r="A279" s="130" t="s">
        <v>73</v>
      </c>
      <c r="B279" s="38" t="s">
        <v>65</v>
      </c>
      <c r="C279" s="133" t="e">
        <f>#REF!</f>
        <v>#REF!</v>
      </c>
      <c r="D279" s="51">
        <v>31201251</v>
      </c>
      <c r="E279" s="50"/>
      <c r="F279" s="50"/>
      <c r="G279" s="50"/>
      <c r="H279" s="33">
        <v>4000000</v>
      </c>
      <c r="I279" s="52">
        <v>6204544</v>
      </c>
      <c r="J279" s="46" t="e">
        <f>SUM(C279:G279)-(H279+I279)</f>
        <v>#REF!</v>
      </c>
      <c r="K279" s="156" t="e">
        <f>+J279=#REF!</f>
        <v>#REF!</v>
      </c>
    </row>
    <row r="280" spans="1:15" ht="15.75">
      <c r="C280" s="151" t="e">
        <f>SUM(C265:C279)</f>
        <v>#REF!</v>
      </c>
      <c r="I280" s="149">
        <f>SUM(I265:I279)</f>
        <v>13290325</v>
      </c>
      <c r="J280" s="111" t="e">
        <f>+SUM(J265:J279)</f>
        <v>#REF!</v>
      </c>
      <c r="K280" s="5" t="e">
        <f>J280=#REF!</f>
        <v>#REF!</v>
      </c>
    </row>
    <row r="281" spans="1:15" s="171" customFormat="1" ht="16.5">
      <c r="A281" s="14"/>
      <c r="B281" s="175"/>
      <c r="C281" s="174"/>
      <c r="D281" s="174"/>
      <c r="E281" s="173"/>
      <c r="F281" s="174"/>
      <c r="G281" s="174" t="e">
        <f>+#REF!-J280</f>
        <v>#REF!</v>
      </c>
      <c r="H281" s="174"/>
      <c r="I281" s="174"/>
      <c r="L281" s="172"/>
      <c r="M281" s="172"/>
      <c r="N281" s="172"/>
      <c r="O281" s="172"/>
    </row>
    <row r="282" spans="1:15" ht="16.5">
      <c r="A282" s="14"/>
      <c r="B282" s="15"/>
      <c r="C282" s="12"/>
      <c r="D282" s="12"/>
      <c r="E282" s="13"/>
      <c r="F282" s="12"/>
      <c r="G282" s="12"/>
      <c r="H282" s="12"/>
      <c r="I282" s="12"/>
    </row>
    <row r="283" spans="1:15">
      <c r="A283" s="16" t="s">
        <v>53</v>
      </c>
      <c r="B283" s="16"/>
      <c r="C283" s="16"/>
      <c r="D283" s="17"/>
      <c r="E283" s="17"/>
      <c r="F283" s="17"/>
      <c r="G283" s="17"/>
      <c r="H283" s="17"/>
      <c r="I283" s="17"/>
    </row>
    <row r="284" spans="1:15">
      <c r="A284" s="18" t="s">
        <v>141</v>
      </c>
      <c r="B284" s="18"/>
      <c r="C284" s="18"/>
      <c r="D284" s="18"/>
      <c r="E284" s="18"/>
      <c r="F284" s="18"/>
      <c r="G284" s="18"/>
      <c r="H284" s="18"/>
      <c r="I284" s="18"/>
      <c r="J284" s="17"/>
    </row>
    <row r="285" spans="1:15">
      <c r="A285" s="19"/>
      <c r="B285" s="20"/>
      <c r="C285" s="21"/>
      <c r="D285" s="21"/>
      <c r="E285" s="21"/>
      <c r="F285" s="21"/>
      <c r="G285" s="21"/>
      <c r="H285" s="20"/>
      <c r="I285" s="20"/>
      <c r="J285" s="18"/>
    </row>
    <row r="286" spans="1:15">
      <c r="A286" s="335" t="s">
        <v>54</v>
      </c>
      <c r="B286" s="337" t="s">
        <v>55</v>
      </c>
      <c r="C286" s="339" t="s">
        <v>143</v>
      </c>
      <c r="D286" s="341" t="s">
        <v>56</v>
      </c>
      <c r="E286" s="342"/>
      <c r="F286" s="342"/>
      <c r="G286" s="343"/>
      <c r="H286" s="344" t="s">
        <v>57</v>
      </c>
      <c r="I286" s="331" t="s">
        <v>58</v>
      </c>
      <c r="J286" s="20"/>
    </row>
    <row r="287" spans="1:15">
      <c r="A287" s="336"/>
      <c r="B287" s="338"/>
      <c r="C287" s="340"/>
      <c r="D287" s="22" t="s">
        <v>24</v>
      </c>
      <c r="E287" s="22" t="s">
        <v>25</v>
      </c>
      <c r="F287" s="168" t="s">
        <v>124</v>
      </c>
      <c r="G287" s="22" t="s">
        <v>59</v>
      </c>
      <c r="H287" s="345"/>
      <c r="I287" s="332"/>
      <c r="J287" s="333" t="s">
        <v>142</v>
      </c>
      <c r="K287" s="155"/>
    </row>
    <row r="288" spans="1:15">
      <c r="A288" s="24"/>
      <c r="B288" s="25" t="s">
        <v>60</v>
      </c>
      <c r="C288" s="26"/>
      <c r="D288" s="26"/>
      <c r="E288" s="26"/>
      <c r="F288" s="26"/>
      <c r="G288" s="26"/>
      <c r="H288" s="26"/>
      <c r="I288" s="27"/>
      <c r="J288" s="334"/>
      <c r="K288" s="155"/>
    </row>
    <row r="289" spans="1:11">
      <c r="A289" s="130" t="s">
        <v>144</v>
      </c>
      <c r="B289" s="135" t="s">
        <v>77</v>
      </c>
      <c r="C289" s="33" t="e">
        <f>+#REF!</f>
        <v>#REF!</v>
      </c>
      <c r="D289" s="32"/>
      <c r="E289" s="33">
        <v>114000</v>
      </c>
      <c r="F289" s="33"/>
      <c r="G289" s="33"/>
      <c r="H289" s="57">
        <v>11050</v>
      </c>
      <c r="I289" s="33">
        <v>112000</v>
      </c>
      <c r="J289" s="31" t="e">
        <f>+SUM(C289:G289)-(H289+I289)</f>
        <v>#REF!</v>
      </c>
      <c r="K289" s="156" t="e">
        <f>J289=#REF!</f>
        <v>#REF!</v>
      </c>
    </row>
    <row r="290" spans="1:11">
      <c r="A290" s="130" t="s">
        <v>144</v>
      </c>
      <c r="B290" s="135" t="s">
        <v>48</v>
      </c>
      <c r="C290" s="33" t="e">
        <f t="shared" ref="C290:C300" si="135">+C267</f>
        <v>#REF!</v>
      </c>
      <c r="D290" s="32"/>
      <c r="E290" s="33">
        <v>87350</v>
      </c>
      <c r="F290" s="33">
        <f>60000+62000</f>
        <v>122000</v>
      </c>
      <c r="G290" s="33"/>
      <c r="H290" s="57">
        <v>161395</v>
      </c>
      <c r="I290" s="33">
        <v>281200</v>
      </c>
      <c r="J290" s="31" t="e">
        <f t="shared" ref="J290:J291" si="136">+SUM(C290:G290)-(H290+I290)</f>
        <v>#REF!</v>
      </c>
      <c r="K290" s="156" t="e">
        <f t="shared" ref="K290:K300" si="137">J290=I267</f>
        <v>#REF!</v>
      </c>
    </row>
    <row r="291" spans="1:11">
      <c r="A291" s="130" t="s">
        <v>144</v>
      </c>
      <c r="B291" s="135" t="s">
        <v>31</v>
      </c>
      <c r="C291" s="33" t="e">
        <f t="shared" si="135"/>
        <v>#REF!</v>
      </c>
      <c r="D291" s="32"/>
      <c r="E291" s="33">
        <v>371500</v>
      </c>
      <c r="F291" s="33"/>
      <c r="G291" s="33"/>
      <c r="H291" s="33">
        <f>62000+81500+137000</f>
        <v>280500</v>
      </c>
      <c r="I291" s="33">
        <v>177000</v>
      </c>
      <c r="J291" s="107" t="e">
        <f t="shared" si="136"/>
        <v>#REF!</v>
      </c>
      <c r="K291" s="156" t="e">
        <f t="shared" si="137"/>
        <v>#REF!</v>
      </c>
    </row>
    <row r="292" spans="1:11">
      <c r="A292" s="130" t="s">
        <v>144</v>
      </c>
      <c r="B292" s="135" t="s">
        <v>78</v>
      </c>
      <c r="C292" s="33" t="e">
        <f t="shared" si="135"/>
        <v>#REF!</v>
      </c>
      <c r="D292" s="110"/>
      <c r="E292" s="33">
        <v>35560</v>
      </c>
      <c r="F292" s="33">
        <f>10000+81500</f>
        <v>91500</v>
      </c>
      <c r="G292" s="33"/>
      <c r="H292" s="33">
        <v>35000</v>
      </c>
      <c r="I292" s="33">
        <v>159750</v>
      </c>
      <c r="J292" s="107" t="e">
        <f>+SUM(C292:G292)-(H292+I292)</f>
        <v>#REF!</v>
      </c>
      <c r="K292" s="156" t="e">
        <f t="shared" si="137"/>
        <v>#REF!</v>
      </c>
    </row>
    <row r="293" spans="1:11">
      <c r="A293" s="130" t="s">
        <v>144</v>
      </c>
      <c r="B293" s="136" t="s">
        <v>30</v>
      </c>
      <c r="C293" s="33" t="e">
        <f t="shared" si="135"/>
        <v>#REF!</v>
      </c>
      <c r="D293" s="127"/>
      <c r="E293" s="53">
        <v>372085</v>
      </c>
      <c r="F293" s="53"/>
      <c r="G293" s="53"/>
      <c r="H293" s="53"/>
      <c r="I293" s="53">
        <v>336400</v>
      </c>
      <c r="J293" s="132" t="e">
        <f>+SUM(C293:G293)-(H293+I293)</f>
        <v>#REF!</v>
      </c>
      <c r="K293" s="156" t="e">
        <f t="shared" si="137"/>
        <v>#REF!</v>
      </c>
    </row>
    <row r="294" spans="1:11">
      <c r="A294" s="130" t="s">
        <v>144</v>
      </c>
      <c r="B294" s="137" t="s">
        <v>85</v>
      </c>
      <c r="C294" s="128" t="e">
        <f t="shared" si="135"/>
        <v>#REF!</v>
      </c>
      <c r="D294" s="131"/>
      <c r="E294" s="146"/>
      <c r="F294" s="146"/>
      <c r="G294" s="146"/>
      <c r="H294" s="146"/>
      <c r="I294" s="146"/>
      <c r="J294" s="129" t="e">
        <f>+SUM(C294:G294)-(H294+I294)</f>
        <v>#REF!</v>
      </c>
      <c r="K294" s="156" t="e">
        <f t="shared" si="137"/>
        <v>#REF!</v>
      </c>
    </row>
    <row r="295" spans="1:11">
      <c r="A295" s="130" t="s">
        <v>144</v>
      </c>
      <c r="B295" s="137" t="s">
        <v>84</v>
      </c>
      <c r="C295" s="128" t="e">
        <f t="shared" si="135"/>
        <v>#REF!</v>
      </c>
      <c r="D295" s="131"/>
      <c r="E295" s="146"/>
      <c r="F295" s="146"/>
      <c r="G295" s="146"/>
      <c r="H295" s="146"/>
      <c r="I295" s="146"/>
      <c r="J295" s="129" t="e">
        <f t="shared" ref="J295:J300" si="138">+SUM(C295:G295)-(H295+I295)</f>
        <v>#REF!</v>
      </c>
      <c r="K295" s="156" t="e">
        <f t="shared" si="137"/>
        <v>#REF!</v>
      </c>
    </row>
    <row r="296" spans="1:11">
      <c r="A296" s="130" t="s">
        <v>144</v>
      </c>
      <c r="B296" s="135" t="s">
        <v>36</v>
      </c>
      <c r="C296" s="33" t="e">
        <f t="shared" si="135"/>
        <v>#REF!</v>
      </c>
      <c r="D296" s="32"/>
      <c r="E296" s="33">
        <v>400000</v>
      </c>
      <c r="F296" s="33">
        <v>137000</v>
      </c>
      <c r="G296" s="110"/>
      <c r="H296" s="110"/>
      <c r="I296" s="33">
        <v>563500</v>
      </c>
      <c r="J296" s="31" t="e">
        <f t="shared" si="138"/>
        <v>#REF!</v>
      </c>
      <c r="K296" s="156" t="e">
        <f t="shared" si="137"/>
        <v>#REF!</v>
      </c>
    </row>
    <row r="297" spans="1:11">
      <c r="A297" s="130" t="s">
        <v>144</v>
      </c>
      <c r="B297" s="135" t="s">
        <v>94</v>
      </c>
      <c r="C297" s="33" t="e">
        <f t="shared" si="135"/>
        <v>#REF!</v>
      </c>
      <c r="D297" s="32"/>
      <c r="E297" s="33">
        <v>35000</v>
      </c>
      <c r="F297" s="110"/>
      <c r="G297" s="110"/>
      <c r="H297" s="110"/>
      <c r="I297" s="33">
        <v>23500</v>
      </c>
      <c r="J297" s="31" t="e">
        <f t="shared" si="138"/>
        <v>#REF!</v>
      </c>
      <c r="K297" s="156" t="e">
        <f t="shared" si="137"/>
        <v>#REF!</v>
      </c>
    </row>
    <row r="298" spans="1:11">
      <c r="A298" s="130" t="s">
        <v>144</v>
      </c>
      <c r="B298" s="135" t="s">
        <v>29</v>
      </c>
      <c r="C298" s="33">
        <f t="shared" si="135"/>
        <v>0</v>
      </c>
      <c r="D298" s="32"/>
      <c r="E298" s="33">
        <v>454000</v>
      </c>
      <c r="F298" s="110"/>
      <c r="G298" s="110"/>
      <c r="H298" s="110"/>
      <c r="I298" s="33">
        <v>329100</v>
      </c>
      <c r="J298" s="31">
        <f t="shared" si="138"/>
        <v>124900</v>
      </c>
      <c r="K298" s="156" t="b">
        <f t="shared" si="137"/>
        <v>0</v>
      </c>
    </row>
    <row r="299" spans="1:11">
      <c r="A299" s="130" t="s">
        <v>144</v>
      </c>
      <c r="B299" s="135" t="s">
        <v>32</v>
      </c>
      <c r="C299" s="33" t="e">
        <f t="shared" si="135"/>
        <v>#REF!</v>
      </c>
      <c r="D299" s="32"/>
      <c r="E299" s="33"/>
      <c r="F299" s="110"/>
      <c r="G299" s="110"/>
      <c r="H299" s="33">
        <v>20000</v>
      </c>
      <c r="I299" s="33">
        <v>5000</v>
      </c>
      <c r="J299" s="31" t="e">
        <f t="shared" si="138"/>
        <v>#REF!</v>
      </c>
      <c r="K299" s="156" t="e">
        <f t="shared" si="137"/>
        <v>#REF!</v>
      </c>
    </row>
    <row r="300" spans="1:11">
      <c r="A300" s="130" t="s">
        <v>144</v>
      </c>
      <c r="B300" s="136" t="s">
        <v>114</v>
      </c>
      <c r="C300" s="33">
        <f t="shared" si="135"/>
        <v>0</v>
      </c>
      <c r="D300" s="127"/>
      <c r="E300" s="53">
        <v>231000</v>
      </c>
      <c r="F300" s="53"/>
      <c r="G300" s="147"/>
      <c r="H300" s="53">
        <v>90000</v>
      </c>
      <c r="I300" s="53">
        <v>180000</v>
      </c>
      <c r="J300" s="31">
        <f t="shared" si="138"/>
        <v>-39000</v>
      </c>
      <c r="K300" s="156" t="b">
        <f t="shared" si="137"/>
        <v>0</v>
      </c>
    </row>
    <row r="301" spans="1:11">
      <c r="A301" s="35" t="s">
        <v>61</v>
      </c>
      <c r="B301" s="36"/>
      <c r="C301" s="36"/>
      <c r="D301" s="36"/>
      <c r="E301" s="36"/>
      <c r="F301" s="36"/>
      <c r="G301" s="36"/>
      <c r="H301" s="36"/>
      <c r="I301" s="36"/>
      <c r="J301" s="37"/>
      <c r="K301" s="155"/>
    </row>
    <row r="302" spans="1:11">
      <c r="A302" s="130" t="s">
        <v>144</v>
      </c>
      <c r="B302" s="38" t="s">
        <v>62</v>
      </c>
      <c r="C302" s="39" t="e">
        <f>+C266</f>
        <v>#REF!</v>
      </c>
      <c r="D302" s="51">
        <v>5000000</v>
      </c>
      <c r="E302" s="109"/>
      <c r="F302" s="51">
        <v>217445</v>
      </c>
      <c r="G302" s="148"/>
      <c r="H302" s="139">
        <v>2070495</v>
      </c>
      <c r="I302" s="134">
        <v>3286349</v>
      </c>
      <c r="J302" s="46" t="e">
        <f>+SUM(C302:G302)-(H302+I302)</f>
        <v>#REF!</v>
      </c>
      <c r="K302" s="156" t="e">
        <f>J302=I266</f>
        <v>#REF!</v>
      </c>
    </row>
    <row r="303" spans="1:11">
      <c r="A303" s="44" t="s">
        <v>63</v>
      </c>
      <c r="B303" s="25"/>
      <c r="C303" s="36"/>
      <c r="D303" s="25"/>
      <c r="E303" s="25"/>
      <c r="F303" s="25"/>
      <c r="G303" s="25"/>
      <c r="H303" s="25"/>
      <c r="I303" s="25"/>
      <c r="J303" s="37"/>
      <c r="K303" s="155"/>
    </row>
    <row r="304" spans="1:11">
      <c r="A304" s="130" t="s">
        <v>144</v>
      </c>
      <c r="B304" s="38" t="s">
        <v>64</v>
      </c>
      <c r="C304" s="133" t="e">
        <f>+#REF!</f>
        <v>#REF!</v>
      </c>
      <c r="D304" s="140">
        <v>7900099</v>
      </c>
      <c r="E304" s="51"/>
      <c r="F304" s="51"/>
      <c r="G304" s="51"/>
      <c r="H304" s="53">
        <v>3000000</v>
      </c>
      <c r="I304" s="55">
        <v>379529</v>
      </c>
      <c r="J304" s="46" t="e">
        <f>+SUM(C304:G304)-(H304+I304)</f>
        <v>#REF!</v>
      </c>
      <c r="K304" s="156" t="e">
        <f>+J304=#REF!</f>
        <v>#REF!</v>
      </c>
    </row>
    <row r="305" spans="1:11">
      <c r="A305" s="130" t="s">
        <v>144</v>
      </c>
      <c r="B305" s="38" t="s">
        <v>65</v>
      </c>
      <c r="C305" s="133" t="e">
        <f>+C265</f>
        <v>#REF!</v>
      </c>
      <c r="D305" s="51"/>
      <c r="E305" s="50"/>
      <c r="F305" s="50"/>
      <c r="G305" s="50"/>
      <c r="H305" s="33">
        <v>2000000</v>
      </c>
      <c r="I305" s="52">
        <v>5392233</v>
      </c>
      <c r="J305" s="46" t="e">
        <f>SUM(C305:G305)-(H305+I305)</f>
        <v>#REF!</v>
      </c>
      <c r="K305" s="156" t="e">
        <f>+J305=I265</f>
        <v>#REF!</v>
      </c>
    </row>
    <row r="306" spans="1:11" ht="15.75">
      <c r="C306" s="151" t="e">
        <f>SUM(C289:C305)</f>
        <v>#REF!</v>
      </c>
      <c r="I306" s="149">
        <f>SUM(I289:I305)</f>
        <v>11225561</v>
      </c>
      <c r="J306" s="111" t="e">
        <f>+SUM(J289:J305)</f>
        <v>#REF!</v>
      </c>
      <c r="K306" s="5" t="e">
        <f>J306=I278</f>
        <v>#REF!</v>
      </c>
    </row>
    <row r="307" spans="1:11" ht="16.5">
      <c r="A307" s="14"/>
      <c r="B307" s="15"/>
      <c r="C307" s="12"/>
      <c r="D307" s="12"/>
      <c r="E307" s="13"/>
      <c r="F307" s="12"/>
      <c r="G307" s="12"/>
      <c r="H307" s="12"/>
      <c r="I307" s="12"/>
    </row>
    <row r="308" spans="1:11">
      <c r="A308" s="16" t="s">
        <v>53</v>
      </c>
      <c r="B308" s="16"/>
      <c r="C308" s="16"/>
      <c r="D308" s="17"/>
      <c r="E308" s="17"/>
      <c r="F308" s="17"/>
      <c r="G308" s="17"/>
      <c r="H308" s="17"/>
      <c r="I308" s="17"/>
    </row>
    <row r="309" spans="1:11">
      <c r="A309" s="18" t="s">
        <v>132</v>
      </c>
      <c r="B309" s="18"/>
      <c r="C309" s="18"/>
      <c r="D309" s="18"/>
      <c r="E309" s="18"/>
      <c r="F309" s="18"/>
      <c r="G309" s="18"/>
      <c r="H309" s="18"/>
      <c r="I309" s="18"/>
      <c r="J309" s="17"/>
    </row>
    <row r="310" spans="1:11">
      <c r="A310" s="19"/>
      <c r="B310" s="20"/>
      <c r="C310" s="21"/>
      <c r="D310" s="21"/>
      <c r="E310" s="21"/>
      <c r="F310" s="21"/>
      <c r="G310" s="21"/>
      <c r="H310" s="20"/>
      <c r="I310" s="20"/>
      <c r="J310" s="18"/>
    </row>
    <row r="311" spans="1:11">
      <c r="A311" s="335" t="s">
        <v>54</v>
      </c>
      <c r="B311" s="337" t="s">
        <v>55</v>
      </c>
      <c r="C311" s="339" t="s">
        <v>133</v>
      </c>
      <c r="D311" s="341" t="s">
        <v>56</v>
      </c>
      <c r="E311" s="342"/>
      <c r="F311" s="342"/>
      <c r="G311" s="343"/>
      <c r="H311" s="344" t="s">
        <v>57</v>
      </c>
      <c r="I311" s="331" t="s">
        <v>58</v>
      </c>
      <c r="J311" s="20"/>
    </row>
    <row r="312" spans="1:11">
      <c r="A312" s="336"/>
      <c r="B312" s="338"/>
      <c r="C312" s="340"/>
      <c r="D312" s="22" t="s">
        <v>24</v>
      </c>
      <c r="E312" s="22" t="s">
        <v>25</v>
      </c>
      <c r="F312" s="167" t="s">
        <v>124</v>
      </c>
      <c r="G312" s="22" t="s">
        <v>59</v>
      </c>
      <c r="H312" s="345"/>
      <c r="I312" s="332"/>
      <c r="J312" s="333" t="s">
        <v>134</v>
      </c>
      <c r="K312" s="155"/>
    </row>
    <row r="313" spans="1:11">
      <c r="A313" s="24"/>
      <c r="B313" s="25" t="s">
        <v>60</v>
      </c>
      <c r="C313" s="26"/>
      <c r="D313" s="26"/>
      <c r="E313" s="26"/>
      <c r="F313" s="26"/>
      <c r="G313" s="26"/>
      <c r="H313" s="26"/>
      <c r="I313" s="27"/>
      <c r="J313" s="334"/>
      <c r="K313" s="155"/>
    </row>
    <row r="314" spans="1:11">
      <c r="A314" s="130" t="s">
        <v>135</v>
      </c>
      <c r="B314" s="135" t="s">
        <v>77</v>
      </c>
      <c r="C314" s="33">
        <v>40050</v>
      </c>
      <c r="D314" s="32"/>
      <c r="E314" s="33">
        <v>104000</v>
      </c>
      <c r="F314" s="33"/>
      <c r="G314" s="33"/>
      <c r="H314" s="57">
        <v>54000</v>
      </c>
      <c r="I314" s="33">
        <v>81000</v>
      </c>
      <c r="J314" s="31">
        <f>+SUM(C314:G314)-(H314+I314)</f>
        <v>9050</v>
      </c>
      <c r="K314" s="156" t="e">
        <f>J314=#REF!</f>
        <v>#REF!</v>
      </c>
    </row>
    <row r="315" spans="1:11">
      <c r="A315" s="130" t="s">
        <v>135</v>
      </c>
      <c r="B315" s="135" t="s">
        <v>48</v>
      </c>
      <c r="C315" s="33">
        <v>38845</v>
      </c>
      <c r="D315" s="32"/>
      <c r="E315" s="33">
        <v>1550000</v>
      </c>
      <c r="F315" s="33"/>
      <c r="G315" s="33"/>
      <c r="H315" s="57">
        <v>311000</v>
      </c>
      <c r="I315" s="33">
        <v>1017400</v>
      </c>
      <c r="J315" s="31">
        <f t="shared" ref="J315:J316" si="139">+SUM(C315:G315)-(H315+I315)</f>
        <v>260445</v>
      </c>
      <c r="K315" s="156" t="b">
        <f>J315=I267</f>
        <v>0</v>
      </c>
    </row>
    <row r="316" spans="1:11">
      <c r="A316" s="130" t="s">
        <v>135</v>
      </c>
      <c r="B316" s="135" t="s">
        <v>31</v>
      </c>
      <c r="C316" s="33">
        <v>6895</v>
      </c>
      <c r="D316" s="32"/>
      <c r="E316" s="33">
        <v>581000</v>
      </c>
      <c r="F316" s="33"/>
      <c r="G316" s="33"/>
      <c r="H316" s="33"/>
      <c r="I316" s="33">
        <v>498900</v>
      </c>
      <c r="J316" s="107">
        <f t="shared" si="139"/>
        <v>88995</v>
      </c>
      <c r="K316" s="156" t="b">
        <f>J316=I268</f>
        <v>0</v>
      </c>
    </row>
    <row r="317" spans="1:11">
      <c r="A317" s="130" t="s">
        <v>135</v>
      </c>
      <c r="B317" s="135" t="s">
        <v>78</v>
      </c>
      <c r="C317" s="33">
        <v>28540</v>
      </c>
      <c r="D317" s="110"/>
      <c r="E317" s="33">
        <v>332000</v>
      </c>
      <c r="F317" s="33">
        <v>10000</v>
      </c>
      <c r="G317" s="33"/>
      <c r="H317" s="33"/>
      <c r="I317" s="33">
        <v>302850</v>
      </c>
      <c r="J317" s="107">
        <f>+SUM(C317:G317)-(H317+I317)</f>
        <v>67690</v>
      </c>
      <c r="K317" s="156" t="b">
        <f>J317=I269</f>
        <v>0</v>
      </c>
    </row>
    <row r="318" spans="1:11">
      <c r="A318" s="130" t="s">
        <v>135</v>
      </c>
      <c r="B318" s="135" t="s">
        <v>70</v>
      </c>
      <c r="C318" s="33">
        <v>184</v>
      </c>
      <c r="D318" s="110"/>
      <c r="E318" s="33"/>
      <c r="F318" s="33"/>
      <c r="G318" s="33"/>
      <c r="H318" s="33">
        <v>184</v>
      </c>
      <c r="I318" s="33"/>
      <c r="J318" s="107">
        <f t="shared" ref="J318" si="140">+SUM(C318:G318)-(H318+I318)</f>
        <v>0</v>
      </c>
      <c r="K318" s="156" t="e">
        <f>J318=#REF!</f>
        <v>#REF!</v>
      </c>
    </row>
    <row r="319" spans="1:11">
      <c r="A319" s="130" t="s">
        <v>135</v>
      </c>
      <c r="B319" s="136" t="s">
        <v>30</v>
      </c>
      <c r="C319" s="33">
        <v>68200</v>
      </c>
      <c r="D319" s="127"/>
      <c r="E319" s="53">
        <v>638000</v>
      </c>
      <c r="F319" s="53">
        <v>45000</v>
      </c>
      <c r="G319" s="53"/>
      <c r="H319" s="53"/>
      <c r="I319" s="53">
        <v>787385</v>
      </c>
      <c r="J319" s="132">
        <f>+SUM(C319:G319)-(H319+I319)</f>
        <v>-36185</v>
      </c>
      <c r="K319" s="156" t="b">
        <f t="shared" ref="K319:K326" si="141">J319=I270</f>
        <v>0</v>
      </c>
    </row>
    <row r="320" spans="1:11">
      <c r="A320" s="130" t="s">
        <v>135</v>
      </c>
      <c r="B320" s="137" t="s">
        <v>85</v>
      </c>
      <c r="C320" s="128">
        <v>233614</v>
      </c>
      <c r="D320" s="131"/>
      <c r="E320" s="146"/>
      <c r="F320" s="146"/>
      <c r="G320" s="146"/>
      <c r="H320" s="146"/>
      <c r="I320" s="146"/>
      <c r="J320" s="129">
        <f>+SUM(C320:G320)-(H320+I320)</f>
        <v>233614</v>
      </c>
      <c r="K320" s="156" t="b">
        <f t="shared" si="141"/>
        <v>0</v>
      </c>
    </row>
    <row r="321" spans="1:11">
      <c r="A321" s="130" t="s">
        <v>135</v>
      </c>
      <c r="B321" s="137" t="s">
        <v>84</v>
      </c>
      <c r="C321" s="128">
        <v>249769</v>
      </c>
      <c r="D321" s="131"/>
      <c r="E321" s="146"/>
      <c r="F321" s="146"/>
      <c r="G321" s="146"/>
      <c r="H321" s="146"/>
      <c r="I321" s="146"/>
      <c r="J321" s="129">
        <f t="shared" ref="J321:J326" si="142">+SUM(C321:G321)-(H321+I321)</f>
        <v>249769</v>
      </c>
      <c r="K321" s="156" t="b">
        <f t="shared" si="141"/>
        <v>0</v>
      </c>
    </row>
    <row r="322" spans="1:11">
      <c r="A322" s="130" t="s">
        <v>135</v>
      </c>
      <c r="B322" s="135" t="s">
        <v>36</v>
      </c>
      <c r="C322" s="33">
        <v>-4675</v>
      </c>
      <c r="D322" s="32"/>
      <c r="E322" s="33">
        <v>494000</v>
      </c>
      <c r="F322" s="33">
        <v>256000</v>
      </c>
      <c r="G322" s="110"/>
      <c r="H322" s="110">
        <v>6500</v>
      </c>
      <c r="I322" s="33">
        <v>607250</v>
      </c>
      <c r="J322" s="31">
        <f t="shared" si="142"/>
        <v>131575</v>
      </c>
      <c r="K322" s="156" t="b">
        <f t="shared" si="141"/>
        <v>0</v>
      </c>
    </row>
    <row r="323" spans="1:11">
      <c r="A323" s="130" t="s">
        <v>135</v>
      </c>
      <c r="B323" s="135" t="s">
        <v>94</v>
      </c>
      <c r="C323" s="33">
        <v>5000</v>
      </c>
      <c r="D323" s="32"/>
      <c r="E323" s="33">
        <v>30000</v>
      </c>
      <c r="F323" s="110"/>
      <c r="G323" s="110"/>
      <c r="H323" s="110"/>
      <c r="I323" s="33">
        <v>29500</v>
      </c>
      <c r="J323" s="31">
        <f t="shared" si="142"/>
        <v>5500</v>
      </c>
      <c r="K323" s="156" t="b">
        <f t="shared" si="141"/>
        <v>0</v>
      </c>
    </row>
    <row r="324" spans="1:11">
      <c r="A324" s="130" t="s">
        <v>135</v>
      </c>
      <c r="B324" s="135" t="s">
        <v>29</v>
      </c>
      <c r="C324" s="33">
        <v>72800</v>
      </c>
      <c r="D324" s="32"/>
      <c r="E324" s="33">
        <v>446000</v>
      </c>
      <c r="F324" s="110"/>
      <c r="G324" s="110"/>
      <c r="H324" s="110"/>
      <c r="I324" s="33">
        <v>512600</v>
      </c>
      <c r="J324" s="31">
        <f t="shared" si="142"/>
        <v>6200</v>
      </c>
      <c r="K324" s="156" t="b">
        <f t="shared" si="141"/>
        <v>0</v>
      </c>
    </row>
    <row r="325" spans="1:11">
      <c r="A325" s="130" t="s">
        <v>135</v>
      </c>
      <c r="B325" s="135" t="s">
        <v>32</v>
      </c>
      <c r="C325" s="33">
        <v>47300</v>
      </c>
      <c r="D325" s="32"/>
      <c r="E325" s="33">
        <v>5000</v>
      </c>
      <c r="F325" s="110">
        <v>6500</v>
      </c>
      <c r="G325" s="110"/>
      <c r="H325" s="33">
        <v>20000</v>
      </c>
      <c r="I325" s="33">
        <v>8000</v>
      </c>
      <c r="J325" s="31">
        <f t="shared" si="142"/>
        <v>30800</v>
      </c>
      <c r="K325" s="156" t="b">
        <f t="shared" si="141"/>
        <v>0</v>
      </c>
    </row>
    <row r="326" spans="1:11">
      <c r="A326" s="130" t="s">
        <v>135</v>
      </c>
      <c r="B326" s="136" t="s">
        <v>114</v>
      </c>
      <c r="C326" s="33">
        <v>79600</v>
      </c>
      <c r="D326" s="127"/>
      <c r="E326" s="53"/>
      <c r="F326" s="53"/>
      <c r="G326" s="147"/>
      <c r="H326" s="53"/>
      <c r="I326" s="53">
        <v>37707</v>
      </c>
      <c r="J326" s="31">
        <f t="shared" si="142"/>
        <v>41893</v>
      </c>
      <c r="K326" s="156" t="b">
        <f t="shared" si="141"/>
        <v>0</v>
      </c>
    </row>
    <row r="327" spans="1:11">
      <c r="A327" s="35" t="s">
        <v>61</v>
      </c>
      <c r="B327" s="36"/>
      <c r="C327" s="36"/>
      <c r="D327" s="36"/>
      <c r="E327" s="36"/>
      <c r="F327" s="36"/>
      <c r="G327" s="36"/>
      <c r="H327" s="36"/>
      <c r="I327" s="36"/>
      <c r="J327" s="37"/>
      <c r="K327" s="155"/>
    </row>
    <row r="328" spans="1:11">
      <c r="A328" s="130" t="s">
        <v>135</v>
      </c>
      <c r="B328" s="38" t="s">
        <v>62</v>
      </c>
      <c r="C328" s="39">
        <v>467929</v>
      </c>
      <c r="D328" s="51">
        <v>6310000</v>
      </c>
      <c r="E328" s="109"/>
      <c r="F328" s="51">
        <v>74184</v>
      </c>
      <c r="G328" s="148"/>
      <c r="H328" s="139">
        <v>4180000</v>
      </c>
      <c r="I328" s="134">
        <v>1710965</v>
      </c>
      <c r="J328" s="46">
        <f>+SUM(C328:G328)-(H328+I328)</f>
        <v>961148</v>
      </c>
      <c r="K328" s="156" t="b">
        <f>J328=I266</f>
        <v>0</v>
      </c>
    </row>
    <row r="329" spans="1:11">
      <c r="A329" s="44" t="s">
        <v>63</v>
      </c>
      <c r="B329" s="25"/>
      <c r="C329" s="36"/>
      <c r="D329" s="25"/>
      <c r="E329" s="25"/>
      <c r="F329" s="25"/>
      <c r="G329" s="25"/>
      <c r="H329" s="25"/>
      <c r="I329" s="25"/>
      <c r="J329" s="37"/>
      <c r="K329" s="155"/>
    </row>
    <row r="330" spans="1:11">
      <c r="A330" s="130" t="s">
        <v>135</v>
      </c>
      <c r="B330" s="38" t="s">
        <v>64</v>
      </c>
      <c r="C330" s="133">
        <v>7405927</v>
      </c>
      <c r="D330" s="140"/>
      <c r="E330" s="51"/>
      <c r="F330" s="51"/>
      <c r="G330" s="51"/>
      <c r="H330" s="53">
        <v>2000000</v>
      </c>
      <c r="I330" s="55">
        <v>1710232</v>
      </c>
      <c r="J330" s="46">
        <f>+SUM(C330:G330)-(H330+I330)</f>
        <v>3695695</v>
      </c>
      <c r="K330" s="156" t="e">
        <f>+J330=#REF!</f>
        <v>#REF!</v>
      </c>
    </row>
    <row r="331" spans="1:11">
      <c r="A331" s="130" t="s">
        <v>135</v>
      </c>
      <c r="B331" s="38" t="s">
        <v>65</v>
      </c>
      <c r="C331" s="133">
        <v>22972065</v>
      </c>
      <c r="D331" s="51"/>
      <c r="E331" s="50"/>
      <c r="F331" s="50"/>
      <c r="G331" s="50"/>
      <c r="H331" s="33">
        <v>4310000</v>
      </c>
      <c r="I331" s="52">
        <v>3055511</v>
      </c>
      <c r="J331" s="46">
        <f>SUM(C331:G331)-(H331+I331)</f>
        <v>15606554</v>
      </c>
      <c r="K331" s="156" t="b">
        <f>+J331=I265</f>
        <v>0</v>
      </c>
    </row>
    <row r="332" spans="1:11" ht="15.75">
      <c r="C332" s="151">
        <f>SUM(C314:C331)</f>
        <v>31712043</v>
      </c>
      <c r="I332" s="149">
        <f>SUM(I314:I331)</f>
        <v>10359300</v>
      </c>
      <c r="J332" s="111">
        <f>+SUM(J314:J331)</f>
        <v>21352743</v>
      </c>
      <c r="K332" s="5" t="b">
        <f>J332=I278</f>
        <v>0</v>
      </c>
    </row>
    <row r="333" spans="1:11" ht="16.5">
      <c r="A333" s="14"/>
      <c r="B333" s="15"/>
      <c r="C333" s="12"/>
      <c r="D333" s="12"/>
      <c r="E333" s="13"/>
      <c r="F333" s="12"/>
      <c r="G333" s="12"/>
      <c r="H333" s="12"/>
      <c r="I333" s="12"/>
    </row>
    <row r="334" spans="1:11">
      <c r="A334" s="16" t="s">
        <v>53</v>
      </c>
      <c r="B334" s="16"/>
      <c r="C334" s="16"/>
      <c r="D334" s="17"/>
      <c r="E334" s="17"/>
      <c r="F334" s="17"/>
      <c r="G334" s="17"/>
      <c r="H334" s="17"/>
      <c r="I334" s="17"/>
    </row>
    <row r="335" spans="1:11">
      <c r="A335" s="18" t="s">
        <v>125</v>
      </c>
      <c r="B335" s="18"/>
      <c r="C335" s="18"/>
      <c r="D335" s="18"/>
      <c r="E335" s="18"/>
      <c r="F335" s="18"/>
      <c r="G335" s="18"/>
      <c r="H335" s="18"/>
      <c r="I335" s="18"/>
      <c r="J335" s="17"/>
    </row>
    <row r="336" spans="1:11">
      <c r="A336" s="19"/>
      <c r="B336" s="20"/>
      <c r="C336" s="21"/>
      <c r="D336" s="21"/>
      <c r="E336" s="21"/>
      <c r="F336" s="21"/>
      <c r="G336" s="21"/>
      <c r="H336" s="20"/>
      <c r="I336" s="20"/>
      <c r="J336" s="18"/>
    </row>
    <row r="337" spans="1:11">
      <c r="A337" s="335" t="s">
        <v>54</v>
      </c>
      <c r="B337" s="337" t="s">
        <v>55</v>
      </c>
      <c r="C337" s="339" t="s">
        <v>126</v>
      </c>
      <c r="D337" s="341" t="s">
        <v>56</v>
      </c>
      <c r="E337" s="342"/>
      <c r="F337" s="342"/>
      <c r="G337" s="343"/>
      <c r="H337" s="344" t="s">
        <v>57</v>
      </c>
      <c r="I337" s="331" t="s">
        <v>58</v>
      </c>
      <c r="J337" s="20"/>
    </row>
    <row r="338" spans="1:11">
      <c r="A338" s="336"/>
      <c r="B338" s="338"/>
      <c r="C338" s="340"/>
      <c r="D338" s="22" t="s">
        <v>24</v>
      </c>
      <c r="E338" s="22" t="s">
        <v>25</v>
      </c>
      <c r="F338" s="166" t="s">
        <v>124</v>
      </c>
      <c r="G338" s="22" t="s">
        <v>59</v>
      </c>
      <c r="H338" s="345"/>
      <c r="I338" s="332"/>
      <c r="J338" s="333" t="s">
        <v>127</v>
      </c>
      <c r="K338" s="155"/>
    </row>
    <row r="339" spans="1:11">
      <c r="A339" s="24"/>
      <c r="B339" s="25" t="s">
        <v>60</v>
      </c>
      <c r="C339" s="26"/>
      <c r="D339" s="26"/>
      <c r="E339" s="26"/>
      <c r="F339" s="26"/>
      <c r="G339" s="26"/>
      <c r="H339" s="26"/>
      <c r="I339" s="27"/>
      <c r="J339" s="334"/>
      <c r="K339" s="155"/>
    </row>
    <row r="340" spans="1:11">
      <c r="A340" s="130" t="s">
        <v>128</v>
      </c>
      <c r="B340" s="135" t="s">
        <v>77</v>
      </c>
      <c r="C340" s="33">
        <v>-450</v>
      </c>
      <c r="D340" s="32"/>
      <c r="E340" s="33">
        <v>168000</v>
      </c>
      <c r="F340" s="33">
        <v>55000</v>
      </c>
      <c r="G340" s="33"/>
      <c r="H340" s="57"/>
      <c r="I340" s="33">
        <v>182500</v>
      </c>
      <c r="J340" s="31">
        <f>+SUM(C340:G340)-(H340+I340)</f>
        <v>40050</v>
      </c>
      <c r="K340" s="156"/>
    </row>
    <row r="341" spans="1:11">
      <c r="A341" s="130" t="s">
        <v>128</v>
      </c>
      <c r="B341" s="135" t="s">
        <v>48</v>
      </c>
      <c r="C341" s="33">
        <v>12510</v>
      </c>
      <c r="D341" s="32"/>
      <c r="E341" s="33">
        <v>303000</v>
      </c>
      <c r="F341" s="33"/>
      <c r="G341" s="33"/>
      <c r="H341" s="57"/>
      <c r="I341" s="33">
        <v>276665</v>
      </c>
      <c r="J341" s="31">
        <f t="shared" ref="J341:J342" si="143">+SUM(C341:G341)-(H341+I341)</f>
        <v>38845</v>
      </c>
      <c r="K341" s="156"/>
    </row>
    <row r="342" spans="1:11">
      <c r="A342" s="130" t="s">
        <v>128</v>
      </c>
      <c r="B342" s="135" t="s">
        <v>31</v>
      </c>
      <c r="C342" s="33">
        <v>2895</v>
      </c>
      <c r="D342" s="32"/>
      <c r="E342" s="33">
        <v>40000</v>
      </c>
      <c r="F342" s="33"/>
      <c r="G342" s="33"/>
      <c r="H342" s="33"/>
      <c r="I342" s="33">
        <v>36000</v>
      </c>
      <c r="J342" s="107">
        <f t="shared" si="143"/>
        <v>6895</v>
      </c>
      <c r="K342" s="156"/>
    </row>
    <row r="343" spans="1:11">
      <c r="A343" s="130" t="s">
        <v>128</v>
      </c>
      <c r="B343" s="135" t="s">
        <v>78</v>
      </c>
      <c r="C343" s="33">
        <v>62040</v>
      </c>
      <c r="D343" s="110"/>
      <c r="E343" s="33"/>
      <c r="F343" s="33"/>
      <c r="G343" s="33"/>
      <c r="H343" s="33">
        <v>25000</v>
      </c>
      <c r="I343" s="33">
        <v>8500</v>
      </c>
      <c r="J343" s="107">
        <f>+SUM(C343:G343)-(H343+I343)</f>
        <v>28540</v>
      </c>
      <c r="K343" s="156"/>
    </row>
    <row r="344" spans="1:11">
      <c r="A344" s="130" t="s">
        <v>128</v>
      </c>
      <c r="B344" s="135" t="s">
        <v>70</v>
      </c>
      <c r="C344" s="33">
        <v>184</v>
      </c>
      <c r="D344" s="110"/>
      <c r="E344" s="33">
        <v>0</v>
      </c>
      <c r="F344" s="33"/>
      <c r="G344" s="33"/>
      <c r="H344" s="33"/>
      <c r="I344" s="33">
        <v>0</v>
      </c>
      <c r="J344" s="107">
        <f t="shared" ref="J344" si="144">+SUM(C344:G344)-(H344+I344)</f>
        <v>184</v>
      </c>
      <c r="K344" s="156"/>
    </row>
    <row r="345" spans="1:11">
      <c r="A345" s="130" t="s">
        <v>128</v>
      </c>
      <c r="B345" s="136" t="s">
        <v>30</v>
      </c>
      <c r="C345" s="33">
        <v>-36500</v>
      </c>
      <c r="D345" s="127"/>
      <c r="E345" s="53">
        <v>523500</v>
      </c>
      <c r="F345" s="53"/>
      <c r="G345" s="53"/>
      <c r="H345" s="53"/>
      <c r="I345" s="53">
        <v>418800</v>
      </c>
      <c r="J345" s="132">
        <f>+SUM(C345:G345)-(H345+I345)</f>
        <v>68200</v>
      </c>
      <c r="K345" s="156"/>
    </row>
    <row r="346" spans="1:11">
      <c r="A346" s="130" t="s">
        <v>128</v>
      </c>
      <c r="B346" s="137" t="s">
        <v>85</v>
      </c>
      <c r="C346" s="128">
        <v>233614</v>
      </c>
      <c r="D346" s="131"/>
      <c r="E346" s="146"/>
      <c r="F346" s="146"/>
      <c r="G346" s="146"/>
      <c r="H346" s="146"/>
      <c r="I346" s="146"/>
      <c r="J346" s="129">
        <f>+SUM(C346:G346)-(H346+I346)</f>
        <v>233614</v>
      </c>
      <c r="K346" s="156"/>
    </row>
    <row r="347" spans="1:11">
      <c r="A347" s="130" t="s">
        <v>128</v>
      </c>
      <c r="B347" s="137" t="s">
        <v>84</v>
      </c>
      <c r="C347" s="128">
        <v>249769</v>
      </c>
      <c r="D347" s="131"/>
      <c r="E347" s="146"/>
      <c r="F347" s="146"/>
      <c r="G347" s="146"/>
      <c r="H347" s="146"/>
      <c r="I347" s="146"/>
      <c r="J347" s="129">
        <f t="shared" ref="J347:J352" si="145">+SUM(C347:G347)-(H347+I347)</f>
        <v>249769</v>
      </c>
      <c r="K347" s="156"/>
    </row>
    <row r="348" spans="1:11">
      <c r="A348" s="130" t="s">
        <v>128</v>
      </c>
      <c r="B348" s="135" t="s">
        <v>36</v>
      </c>
      <c r="C348" s="33">
        <v>71200</v>
      </c>
      <c r="D348" s="32"/>
      <c r="E348" s="33">
        <v>1056000</v>
      </c>
      <c r="F348" s="33"/>
      <c r="G348" s="110"/>
      <c r="H348" s="110">
        <v>55000</v>
      </c>
      <c r="I348" s="33">
        <v>1076875</v>
      </c>
      <c r="J348" s="31">
        <f t="shared" si="145"/>
        <v>-4675</v>
      </c>
      <c r="K348" s="156"/>
    </row>
    <row r="349" spans="1:11">
      <c r="A349" s="130" t="s">
        <v>128</v>
      </c>
      <c r="B349" s="135" t="s">
        <v>94</v>
      </c>
      <c r="C349" s="33">
        <v>6000</v>
      </c>
      <c r="D349" s="32"/>
      <c r="E349" s="33">
        <v>20000</v>
      </c>
      <c r="F349" s="110"/>
      <c r="G349" s="110"/>
      <c r="H349" s="110"/>
      <c r="I349" s="33">
        <v>21000</v>
      </c>
      <c r="J349" s="31">
        <f t="shared" si="145"/>
        <v>5000</v>
      </c>
      <c r="K349" s="156"/>
    </row>
    <row r="350" spans="1:11">
      <c r="A350" s="130" t="s">
        <v>128</v>
      </c>
      <c r="B350" s="135" t="s">
        <v>29</v>
      </c>
      <c r="C350" s="33">
        <v>167700</v>
      </c>
      <c r="D350" s="32"/>
      <c r="E350" s="33">
        <v>473000</v>
      </c>
      <c r="F350" s="110"/>
      <c r="G350" s="110"/>
      <c r="H350" s="110"/>
      <c r="I350" s="33">
        <v>567900</v>
      </c>
      <c r="J350" s="31">
        <f t="shared" si="145"/>
        <v>72800</v>
      </c>
      <c r="K350" s="156"/>
    </row>
    <row r="351" spans="1:11">
      <c r="A351" s="130" t="s">
        <v>128</v>
      </c>
      <c r="B351" s="135" t="s">
        <v>32</v>
      </c>
      <c r="C351" s="33">
        <v>65300</v>
      </c>
      <c r="D351" s="32"/>
      <c r="E351" s="33">
        <v>10000</v>
      </c>
      <c r="F351" s="110"/>
      <c r="G351" s="110"/>
      <c r="H351" s="110">
        <v>20000</v>
      </c>
      <c r="I351" s="33">
        <v>8000</v>
      </c>
      <c r="J351" s="31">
        <f t="shared" si="145"/>
        <v>47300</v>
      </c>
      <c r="K351" s="156"/>
    </row>
    <row r="352" spans="1:11">
      <c r="A352" s="130" t="s">
        <v>128</v>
      </c>
      <c r="B352" s="136" t="s">
        <v>114</v>
      </c>
      <c r="C352" s="33">
        <v>-11700</v>
      </c>
      <c r="D352" s="127"/>
      <c r="E352" s="53">
        <v>385800</v>
      </c>
      <c r="F352" s="53"/>
      <c r="G352" s="147"/>
      <c r="H352" s="53"/>
      <c r="I352" s="53">
        <v>294500</v>
      </c>
      <c r="J352" s="31">
        <f t="shared" si="145"/>
        <v>79600</v>
      </c>
      <c r="K352" s="156"/>
    </row>
    <row r="353" spans="1:11">
      <c r="A353" s="35" t="s">
        <v>61</v>
      </c>
      <c r="B353" s="36"/>
      <c r="C353" s="36"/>
      <c r="D353" s="36"/>
      <c r="E353" s="36"/>
      <c r="F353" s="36"/>
      <c r="G353" s="36"/>
      <c r="H353" s="36"/>
      <c r="I353" s="36"/>
      <c r="J353" s="37"/>
      <c r="K353" s="155"/>
    </row>
    <row r="354" spans="1:11">
      <c r="A354" s="130" t="s">
        <v>128</v>
      </c>
      <c r="B354" s="38" t="s">
        <v>62</v>
      </c>
      <c r="C354" s="39">
        <v>1672959</v>
      </c>
      <c r="D354" s="51">
        <v>3341000</v>
      </c>
      <c r="E354" s="109"/>
      <c r="F354" s="109">
        <v>45000</v>
      </c>
      <c r="G354" s="148"/>
      <c r="H354" s="139">
        <v>2979300</v>
      </c>
      <c r="I354" s="134">
        <v>1611730</v>
      </c>
      <c r="J354" s="46">
        <f>+SUM(C354:G354)-(H354+I354)</f>
        <v>467929</v>
      </c>
      <c r="K354" s="156"/>
    </row>
    <row r="355" spans="1:11">
      <c r="A355" s="44" t="s">
        <v>63</v>
      </c>
      <c r="B355" s="25"/>
      <c r="C355" s="36"/>
      <c r="D355" s="25"/>
      <c r="E355" s="25"/>
      <c r="F355" s="25"/>
      <c r="G355" s="25"/>
      <c r="H355" s="25"/>
      <c r="I355" s="25"/>
      <c r="J355" s="37"/>
      <c r="K355" s="155"/>
    </row>
    <row r="356" spans="1:11">
      <c r="A356" s="130" t="s">
        <v>128</v>
      </c>
      <c r="B356" s="38" t="s">
        <v>64</v>
      </c>
      <c r="C356" s="133">
        <v>2957378</v>
      </c>
      <c r="D356" s="140">
        <v>7828953</v>
      </c>
      <c r="E356" s="51"/>
      <c r="F356" s="51"/>
      <c r="G356" s="51"/>
      <c r="H356" s="53">
        <v>3000000</v>
      </c>
      <c r="I356" s="55">
        <v>380404</v>
      </c>
      <c r="J356" s="46">
        <f>+SUM(C356:G356)-(H356+I356)</f>
        <v>7405927</v>
      </c>
      <c r="K356" s="156"/>
    </row>
    <row r="357" spans="1:11">
      <c r="A357" s="130" t="s">
        <v>128</v>
      </c>
      <c r="B357" s="38" t="s">
        <v>65</v>
      </c>
      <c r="C357" s="133">
        <v>28018504</v>
      </c>
      <c r="D357" s="51"/>
      <c r="E357" s="50"/>
      <c r="F357" s="50"/>
      <c r="G357" s="50"/>
      <c r="H357" s="33">
        <v>341000</v>
      </c>
      <c r="I357" s="52">
        <v>4705439</v>
      </c>
      <c r="J357" s="46">
        <f>SUM(C357:G357)-(H357+I357)</f>
        <v>22972065</v>
      </c>
      <c r="K357" s="156"/>
    </row>
    <row r="358" spans="1:11" ht="15.75">
      <c r="C358" s="151">
        <f>SUM(C340:C357)</f>
        <v>33471403</v>
      </c>
      <c r="I358" s="149">
        <f>SUM(I340:I357)</f>
        <v>9588313</v>
      </c>
      <c r="J358" s="111">
        <f>+SUM(J340:J357)</f>
        <v>31712043</v>
      </c>
    </row>
    <row r="359" spans="1:11" ht="16.5">
      <c r="A359" s="14"/>
      <c r="B359" s="15"/>
      <c r="C359" s="12" t="e">
        <f>C358=C278</f>
        <v>#REF!</v>
      </c>
      <c r="D359" s="12"/>
      <c r="E359" s="13"/>
      <c r="F359" s="12"/>
      <c r="G359" s="12"/>
      <c r="H359" s="12"/>
      <c r="I359" s="12"/>
    </row>
    <row r="360" spans="1:11">
      <c r="A360" s="16" t="s">
        <v>53</v>
      </c>
      <c r="B360" s="16"/>
      <c r="C360" s="16"/>
      <c r="D360" s="17"/>
      <c r="E360" s="17"/>
      <c r="F360" s="17"/>
      <c r="G360" s="17"/>
      <c r="H360" s="17"/>
      <c r="I360" s="17"/>
    </row>
    <row r="361" spans="1:11">
      <c r="A361" s="18" t="s">
        <v>120</v>
      </c>
      <c r="B361" s="18"/>
      <c r="C361" s="18"/>
      <c r="D361" s="18"/>
      <c r="E361" s="18"/>
      <c r="F361" s="18"/>
      <c r="G361" s="18"/>
      <c r="H361" s="18"/>
      <c r="I361" s="18"/>
      <c r="J361" s="17"/>
    </row>
    <row r="362" spans="1:11">
      <c r="A362" s="19"/>
      <c r="B362" s="20"/>
      <c r="C362" s="21"/>
      <c r="D362" s="21"/>
      <c r="E362" s="21"/>
      <c r="F362" s="21"/>
      <c r="G362" s="21"/>
      <c r="H362" s="20"/>
      <c r="I362" s="20"/>
      <c r="J362" s="18"/>
    </row>
    <row r="363" spans="1:11">
      <c r="A363" s="335" t="s">
        <v>54</v>
      </c>
      <c r="B363" s="337" t="s">
        <v>55</v>
      </c>
      <c r="C363" s="339" t="s">
        <v>122</v>
      </c>
      <c r="D363" s="341" t="s">
        <v>56</v>
      </c>
      <c r="E363" s="342"/>
      <c r="F363" s="342"/>
      <c r="G363" s="343"/>
      <c r="H363" s="344" t="s">
        <v>57</v>
      </c>
      <c r="I363" s="331" t="s">
        <v>58</v>
      </c>
      <c r="J363" s="20"/>
    </row>
    <row r="364" spans="1:11">
      <c r="A364" s="336"/>
      <c r="B364" s="338"/>
      <c r="C364" s="340"/>
      <c r="D364" s="22" t="s">
        <v>24</v>
      </c>
      <c r="E364" s="22" t="s">
        <v>25</v>
      </c>
      <c r="F364" s="154" t="s">
        <v>124</v>
      </c>
      <c r="G364" s="22" t="s">
        <v>59</v>
      </c>
      <c r="H364" s="345"/>
      <c r="I364" s="332"/>
      <c r="J364" s="333" t="s">
        <v>123</v>
      </c>
      <c r="K364" s="155"/>
    </row>
    <row r="365" spans="1:11">
      <c r="A365" s="24"/>
      <c r="B365" s="25" t="s">
        <v>60</v>
      </c>
      <c r="C365" s="26"/>
      <c r="D365" s="26"/>
      <c r="E365" s="26"/>
      <c r="F365" s="26"/>
      <c r="G365" s="26"/>
      <c r="H365" s="26"/>
      <c r="I365" s="27"/>
      <c r="J365" s="334"/>
      <c r="K365" s="155"/>
    </row>
    <row r="366" spans="1:11">
      <c r="A366" s="130" t="s">
        <v>121</v>
      </c>
      <c r="B366" s="135" t="s">
        <v>77</v>
      </c>
      <c r="C366" s="33">
        <v>7670</v>
      </c>
      <c r="D366" s="32"/>
      <c r="E366" s="33">
        <v>438000</v>
      </c>
      <c r="F366" s="33"/>
      <c r="G366" s="33"/>
      <c r="H366" s="57">
        <v>40000</v>
      </c>
      <c r="I366" s="33">
        <v>406120</v>
      </c>
      <c r="J366" s="31">
        <f>+SUM(C366:G366)-(H366+I366)</f>
        <v>-450</v>
      </c>
      <c r="K366" s="156" t="e">
        <f>J366=#REF!</f>
        <v>#REF!</v>
      </c>
    </row>
    <row r="367" spans="1:11">
      <c r="A367" s="130" t="s">
        <v>121</v>
      </c>
      <c r="B367" s="135" t="s">
        <v>48</v>
      </c>
      <c r="C367" s="33">
        <v>4710</v>
      </c>
      <c r="D367" s="32"/>
      <c r="E367" s="33">
        <v>303000</v>
      </c>
      <c r="F367" s="33">
        <f>25000+91000+62000</f>
        <v>178000</v>
      </c>
      <c r="G367" s="33"/>
      <c r="H367" s="57">
        <v>29000</v>
      </c>
      <c r="I367" s="33">
        <v>444200</v>
      </c>
      <c r="J367" s="31">
        <f t="shared" ref="J367:J368" si="146">+SUM(C367:G367)-(H367+I367)</f>
        <v>12510</v>
      </c>
      <c r="K367" s="156" t="b">
        <f>J367=I267</f>
        <v>0</v>
      </c>
    </row>
    <row r="368" spans="1:11">
      <c r="A368" s="130" t="s">
        <v>121</v>
      </c>
      <c r="B368" s="135" t="s">
        <v>31</v>
      </c>
      <c r="C368" s="33">
        <v>9295</v>
      </c>
      <c r="D368" s="32"/>
      <c r="E368" s="33">
        <v>743000</v>
      </c>
      <c r="F368" s="33">
        <v>2000</v>
      </c>
      <c r="G368" s="33"/>
      <c r="H368" s="33">
        <f>103000+91000+137000+101000+91000</f>
        <v>523000</v>
      </c>
      <c r="I368" s="33">
        <v>228400</v>
      </c>
      <c r="J368" s="107">
        <f t="shared" si="146"/>
        <v>2895</v>
      </c>
      <c r="K368" s="156" t="b">
        <f>J368=I268</f>
        <v>0</v>
      </c>
    </row>
    <row r="369" spans="1:11">
      <c r="A369" s="130" t="s">
        <v>121</v>
      </c>
      <c r="B369" s="135" t="s">
        <v>78</v>
      </c>
      <c r="C369" s="33">
        <v>-25100</v>
      </c>
      <c r="D369" s="110"/>
      <c r="E369" s="33">
        <v>121100</v>
      </c>
      <c r="F369" s="33">
        <f>103000+1000+28000+137000</f>
        <v>269000</v>
      </c>
      <c r="G369" s="33"/>
      <c r="H369" s="33"/>
      <c r="I369" s="33">
        <v>302960</v>
      </c>
      <c r="J369" s="107">
        <f>+SUM(C369:G369)-(H369+I369)</f>
        <v>62040</v>
      </c>
      <c r="K369" s="156" t="b">
        <f>J369=I269</f>
        <v>0</v>
      </c>
    </row>
    <row r="370" spans="1:11">
      <c r="A370" s="130" t="s">
        <v>121</v>
      </c>
      <c r="B370" s="135" t="s">
        <v>70</v>
      </c>
      <c r="C370" s="33">
        <v>7384</v>
      </c>
      <c r="D370" s="110"/>
      <c r="E370" s="33">
        <v>319000</v>
      </c>
      <c r="F370" s="33">
        <v>101000</v>
      </c>
      <c r="G370" s="33"/>
      <c r="H370" s="33">
        <v>62000</v>
      </c>
      <c r="I370" s="33">
        <v>365200</v>
      </c>
      <c r="J370" s="107">
        <f t="shared" ref="J370" si="147">+SUM(C370:G370)-(H370+I370)</f>
        <v>184</v>
      </c>
      <c r="K370" s="156" t="e">
        <f>J370=#REF!</f>
        <v>#REF!</v>
      </c>
    </row>
    <row r="371" spans="1:11">
      <c r="A371" s="130" t="s">
        <v>121</v>
      </c>
      <c r="B371" s="136" t="s">
        <v>30</v>
      </c>
      <c r="C371" s="33">
        <v>61300</v>
      </c>
      <c r="D371" s="127"/>
      <c r="E371" s="53">
        <v>931200</v>
      </c>
      <c r="F371" s="53"/>
      <c r="G371" s="53"/>
      <c r="H371" s="53">
        <v>28000</v>
      </c>
      <c r="I371" s="53">
        <v>1001000</v>
      </c>
      <c r="J371" s="132">
        <f>+SUM(C371:G371)-(H371+I371)</f>
        <v>-36500</v>
      </c>
      <c r="K371" s="156" t="b">
        <f t="shared" ref="K371:K378" si="148">J371=I270</f>
        <v>0</v>
      </c>
    </row>
    <row r="372" spans="1:11">
      <c r="A372" s="130" t="s">
        <v>121</v>
      </c>
      <c r="B372" s="137" t="s">
        <v>85</v>
      </c>
      <c r="C372" s="128">
        <v>233614</v>
      </c>
      <c r="D372" s="131"/>
      <c r="E372" s="146"/>
      <c r="F372" s="146"/>
      <c r="G372" s="146"/>
      <c r="H372" s="146"/>
      <c r="I372" s="146"/>
      <c r="J372" s="129">
        <f>+SUM(C372:G372)-(H372+I372)</f>
        <v>233614</v>
      </c>
      <c r="K372" s="156" t="b">
        <f t="shared" si="148"/>
        <v>0</v>
      </c>
    </row>
    <row r="373" spans="1:11">
      <c r="A373" s="130" t="s">
        <v>121</v>
      </c>
      <c r="B373" s="137" t="s">
        <v>84</v>
      </c>
      <c r="C373" s="128">
        <v>249769</v>
      </c>
      <c r="D373" s="131"/>
      <c r="E373" s="146"/>
      <c r="F373" s="146"/>
      <c r="G373" s="146"/>
      <c r="H373" s="146"/>
      <c r="I373" s="146"/>
      <c r="J373" s="129">
        <f t="shared" ref="J373:J376" si="149">+SUM(C373:G373)-(H373+I373)</f>
        <v>249769</v>
      </c>
      <c r="K373" s="156" t="b">
        <f t="shared" si="148"/>
        <v>0</v>
      </c>
    </row>
    <row r="374" spans="1:11">
      <c r="A374" s="130" t="s">
        <v>121</v>
      </c>
      <c r="B374" s="135" t="s">
        <v>36</v>
      </c>
      <c r="C374" s="33">
        <v>4500</v>
      </c>
      <c r="D374" s="32"/>
      <c r="E374" s="33">
        <v>234000</v>
      </c>
      <c r="F374" s="33">
        <v>40000</v>
      </c>
      <c r="G374" s="110"/>
      <c r="H374" s="110"/>
      <c r="I374" s="33">
        <v>207300</v>
      </c>
      <c r="J374" s="31">
        <f t="shared" si="149"/>
        <v>71200</v>
      </c>
      <c r="K374" s="156" t="b">
        <f t="shared" si="148"/>
        <v>0</v>
      </c>
    </row>
    <row r="375" spans="1:11">
      <c r="A375" s="130" t="s">
        <v>121</v>
      </c>
      <c r="B375" s="135" t="s">
        <v>94</v>
      </c>
      <c r="C375" s="33">
        <v>-6000</v>
      </c>
      <c r="D375" s="32"/>
      <c r="E375" s="33">
        <v>61000</v>
      </c>
      <c r="F375" s="110"/>
      <c r="G375" s="110"/>
      <c r="H375" s="110"/>
      <c r="I375" s="33">
        <v>49000</v>
      </c>
      <c r="J375" s="31">
        <f t="shared" si="149"/>
        <v>6000</v>
      </c>
      <c r="K375" s="156" t="b">
        <f t="shared" si="148"/>
        <v>0</v>
      </c>
    </row>
    <row r="376" spans="1:11">
      <c r="A376" s="130" t="s">
        <v>121</v>
      </c>
      <c r="B376" s="135" t="s">
        <v>29</v>
      </c>
      <c r="C376" s="33">
        <v>72200</v>
      </c>
      <c r="D376" s="32"/>
      <c r="E376" s="33">
        <v>722000</v>
      </c>
      <c r="F376" s="110"/>
      <c r="G376" s="110"/>
      <c r="H376" s="110"/>
      <c r="I376" s="33">
        <v>626500</v>
      </c>
      <c r="J376" s="31">
        <f t="shared" si="149"/>
        <v>167700</v>
      </c>
      <c r="K376" s="156" t="b">
        <f t="shared" si="148"/>
        <v>0</v>
      </c>
    </row>
    <row r="377" spans="1:11">
      <c r="A377" s="130" t="s">
        <v>121</v>
      </c>
      <c r="B377" s="135" t="s">
        <v>32</v>
      </c>
      <c r="C377" s="33">
        <v>9300</v>
      </c>
      <c r="D377" s="32"/>
      <c r="E377" s="33">
        <v>60000</v>
      </c>
      <c r="F377" s="110"/>
      <c r="G377" s="110"/>
      <c r="H377" s="110"/>
      <c r="I377" s="33">
        <v>4000</v>
      </c>
      <c r="J377" s="31">
        <f t="shared" ref="J377:J378" si="150">+SUM(C377:G377)-(H377+I377)</f>
        <v>65300</v>
      </c>
      <c r="K377" s="156" t="b">
        <f t="shared" si="148"/>
        <v>0</v>
      </c>
    </row>
    <row r="378" spans="1:11">
      <c r="A378" s="130" t="s">
        <v>121</v>
      </c>
      <c r="B378" s="136" t="s">
        <v>114</v>
      </c>
      <c r="C378" s="33">
        <v>-14000</v>
      </c>
      <c r="D378" s="127"/>
      <c r="E378" s="53">
        <v>378000</v>
      </c>
      <c r="F378" s="53">
        <f>29000+91000</f>
        <v>120000</v>
      </c>
      <c r="G378" s="147"/>
      <c r="H378" s="53">
        <f>2000+1000+25000</f>
        <v>28000</v>
      </c>
      <c r="I378" s="53">
        <v>467700</v>
      </c>
      <c r="J378" s="31">
        <f t="shared" si="150"/>
        <v>-11700</v>
      </c>
      <c r="K378" s="156" t="b">
        <f t="shared" si="148"/>
        <v>0</v>
      </c>
    </row>
    <row r="379" spans="1:11">
      <c r="A379" s="35" t="s">
        <v>61</v>
      </c>
      <c r="B379" s="36"/>
      <c r="C379" s="36"/>
      <c r="D379" s="36"/>
      <c r="E379" s="36"/>
      <c r="F379" s="36"/>
      <c r="G379" s="36"/>
      <c r="H379" s="36"/>
      <c r="I379" s="36"/>
      <c r="J379" s="37"/>
      <c r="K379" s="155"/>
    </row>
    <row r="380" spans="1:11">
      <c r="A380" s="130" t="s">
        <v>121</v>
      </c>
      <c r="B380" s="38" t="s">
        <v>62</v>
      </c>
      <c r="C380" s="39">
        <v>1148337</v>
      </c>
      <c r="D380" s="51">
        <v>7000000</v>
      </c>
      <c r="E380" s="109"/>
      <c r="F380" s="109"/>
      <c r="G380" s="148"/>
      <c r="H380" s="139">
        <v>4310300</v>
      </c>
      <c r="I380" s="134">
        <v>2165078</v>
      </c>
      <c r="J380" s="46">
        <f>+SUM(C380:G380)-(H380+I380)</f>
        <v>1672959</v>
      </c>
      <c r="K380" s="156" t="b">
        <f>J380=I266</f>
        <v>0</v>
      </c>
    </row>
    <row r="381" spans="1:11">
      <c r="A381" s="44" t="s">
        <v>63</v>
      </c>
      <c r="B381" s="25"/>
      <c r="C381" s="36"/>
      <c r="D381" s="25"/>
      <c r="E381" s="25"/>
      <c r="F381" s="25"/>
      <c r="G381" s="25"/>
      <c r="H381" s="25"/>
      <c r="I381" s="25"/>
      <c r="J381" s="37"/>
      <c r="K381" s="155"/>
    </row>
    <row r="382" spans="1:11">
      <c r="A382" s="130" t="s">
        <v>121</v>
      </c>
      <c r="B382" s="38" t="s">
        <v>64</v>
      </c>
      <c r="C382" s="133">
        <v>10113263</v>
      </c>
      <c r="D382" s="140">
        <v>0</v>
      </c>
      <c r="E382" s="51"/>
      <c r="F382" s="51"/>
      <c r="G382" s="51"/>
      <c r="H382" s="53">
        <v>7000000</v>
      </c>
      <c r="I382" s="55">
        <v>155885</v>
      </c>
      <c r="J382" s="46">
        <f>+SUM(C382:G382)-(H382+I382)</f>
        <v>2957378</v>
      </c>
      <c r="K382" s="156" t="e">
        <f>+J382=#REF!</f>
        <v>#REF!</v>
      </c>
    </row>
    <row r="383" spans="1:11">
      <c r="A383" s="130" t="s">
        <v>121</v>
      </c>
      <c r="B383" s="38" t="s">
        <v>65</v>
      </c>
      <c r="C383" s="133">
        <v>6219904</v>
      </c>
      <c r="D383" s="51">
        <v>28506579</v>
      </c>
      <c r="E383" s="50"/>
      <c r="F383" s="50"/>
      <c r="G383" s="50"/>
      <c r="H383" s="33"/>
      <c r="I383" s="52">
        <v>6707979</v>
      </c>
      <c r="J383" s="46">
        <f>SUM(C383:G383)-(H383+I383)</f>
        <v>28018504</v>
      </c>
      <c r="K383" s="156" t="b">
        <f>+J383=I265</f>
        <v>0</v>
      </c>
    </row>
    <row r="384" spans="1:11" ht="15.75">
      <c r="C384" s="151">
        <f>SUM(C366:C383)</f>
        <v>18096146</v>
      </c>
      <c r="I384" s="149">
        <f>SUM(I366:I383)</f>
        <v>13131322</v>
      </c>
      <c r="J384" s="111">
        <f>+SUM(J366:J383)</f>
        <v>33471403</v>
      </c>
      <c r="K384" s="5" t="b">
        <f>J384=I278</f>
        <v>0</v>
      </c>
    </row>
    <row r="385" spans="1:11" ht="16.5">
      <c r="A385" s="14"/>
      <c r="B385" s="15"/>
      <c r="C385" s="12" t="e">
        <f>C384=C278</f>
        <v>#REF!</v>
      </c>
      <c r="D385" s="12"/>
      <c r="E385" s="13"/>
      <c r="F385" s="12"/>
      <c r="G385" s="12"/>
      <c r="H385" s="12"/>
      <c r="I385" s="12"/>
    </row>
    <row r="386" spans="1:11" ht="16.5">
      <c r="A386" s="14"/>
      <c r="B386" s="15"/>
      <c r="C386" s="12"/>
      <c r="D386" s="12"/>
      <c r="E386" s="13"/>
      <c r="F386" s="12"/>
      <c r="G386" s="12"/>
      <c r="H386" s="12"/>
      <c r="I386" s="12"/>
    </row>
    <row r="387" spans="1:11">
      <c r="A387" s="16" t="s">
        <v>53</v>
      </c>
      <c r="B387" s="16"/>
      <c r="C387" s="16"/>
      <c r="D387" s="17"/>
      <c r="E387" s="17"/>
      <c r="F387" s="17"/>
      <c r="G387" s="17"/>
      <c r="H387" s="17"/>
      <c r="I387" s="17"/>
    </row>
    <row r="388" spans="1:11">
      <c r="A388" s="18" t="s">
        <v>115</v>
      </c>
      <c r="B388" s="18"/>
      <c r="C388" s="18"/>
      <c r="D388" s="18"/>
      <c r="E388" s="18"/>
      <c r="F388" s="18"/>
      <c r="G388" s="18"/>
      <c r="H388" s="18"/>
      <c r="I388" s="18"/>
      <c r="J388" s="17"/>
    </row>
    <row r="389" spans="1:11">
      <c r="A389" s="19"/>
      <c r="B389" s="20"/>
      <c r="C389" s="21"/>
      <c r="D389" s="21"/>
      <c r="E389" s="21"/>
      <c r="F389" s="21"/>
      <c r="G389" s="21"/>
      <c r="H389" s="20"/>
      <c r="I389" s="20"/>
      <c r="J389" s="18"/>
    </row>
    <row r="390" spans="1:11">
      <c r="A390" s="335" t="s">
        <v>54</v>
      </c>
      <c r="B390" s="337" t="s">
        <v>55</v>
      </c>
      <c r="C390" s="339" t="s">
        <v>117</v>
      </c>
      <c r="D390" s="341" t="s">
        <v>56</v>
      </c>
      <c r="E390" s="342"/>
      <c r="F390" s="342"/>
      <c r="G390" s="343"/>
      <c r="H390" s="344" t="s">
        <v>57</v>
      </c>
      <c r="I390" s="331" t="s">
        <v>58</v>
      </c>
      <c r="J390" s="20"/>
    </row>
    <row r="391" spans="1:11">
      <c r="A391" s="336"/>
      <c r="B391" s="338"/>
      <c r="C391" s="340"/>
      <c r="D391" s="22" t="s">
        <v>24</v>
      </c>
      <c r="E391" s="22" t="s">
        <v>25</v>
      </c>
      <c r="F391" s="152" t="s">
        <v>119</v>
      </c>
      <c r="G391" s="22" t="s">
        <v>59</v>
      </c>
      <c r="H391" s="345"/>
      <c r="I391" s="332"/>
      <c r="J391" s="333" t="s">
        <v>118</v>
      </c>
    </row>
    <row r="392" spans="1:11">
      <c r="A392" s="24"/>
      <c r="B392" s="25" t="s">
        <v>60</v>
      </c>
      <c r="C392" s="26"/>
      <c r="D392" s="26"/>
      <c r="E392" s="26"/>
      <c r="F392" s="26"/>
      <c r="G392" s="26"/>
      <c r="H392" s="26"/>
      <c r="I392" s="27"/>
      <c r="J392" s="334"/>
    </row>
    <row r="393" spans="1:11">
      <c r="A393" s="130" t="s">
        <v>116</v>
      </c>
      <c r="B393" s="135" t="s">
        <v>77</v>
      </c>
      <c r="C393" s="33">
        <v>3670</v>
      </c>
      <c r="D393" s="32"/>
      <c r="E393" s="33">
        <v>118000</v>
      </c>
      <c r="F393" s="33">
        <v>4000</v>
      </c>
      <c r="G393" s="33"/>
      <c r="H393" s="57"/>
      <c r="I393" s="33">
        <v>118000</v>
      </c>
      <c r="J393" s="31">
        <f>+SUM(C393:G393)-(H393+I393)</f>
        <v>7670</v>
      </c>
      <c r="K393" s="153"/>
    </row>
    <row r="394" spans="1:11">
      <c r="A394" s="130" t="s">
        <v>116</v>
      </c>
      <c r="B394" s="135" t="s">
        <v>48</v>
      </c>
      <c r="C394" s="33">
        <v>-540</v>
      </c>
      <c r="D394" s="32"/>
      <c r="E394" s="33">
        <v>209750</v>
      </c>
      <c r="F394" s="33">
        <v>5000</v>
      </c>
      <c r="G394" s="33"/>
      <c r="H394" s="57"/>
      <c r="I394" s="33">
        <v>209500</v>
      </c>
      <c r="J394" s="31">
        <f t="shared" ref="J394:J395" si="151">+SUM(C394:G394)-(H394+I394)</f>
        <v>4710</v>
      </c>
      <c r="K394" s="153"/>
    </row>
    <row r="395" spans="1:11">
      <c r="A395" s="130" t="s">
        <v>116</v>
      </c>
      <c r="B395" s="135" t="s">
        <v>31</v>
      </c>
      <c r="C395" s="33">
        <v>2395</v>
      </c>
      <c r="D395" s="32"/>
      <c r="E395" s="33">
        <v>70000</v>
      </c>
      <c r="F395" s="33">
        <v>4000</v>
      </c>
      <c r="G395" s="33"/>
      <c r="H395" s="33"/>
      <c r="I395" s="33">
        <v>67100</v>
      </c>
      <c r="J395" s="107">
        <f t="shared" si="151"/>
        <v>9295</v>
      </c>
      <c r="K395" s="153"/>
    </row>
    <row r="396" spans="1:11">
      <c r="A396" s="130" t="s">
        <v>116</v>
      </c>
      <c r="B396" s="135" t="s">
        <v>78</v>
      </c>
      <c r="C396" s="33">
        <v>96100</v>
      </c>
      <c r="D396" s="110"/>
      <c r="E396" s="33">
        <v>488100</v>
      </c>
      <c r="F396" s="33">
        <v>4000</v>
      </c>
      <c r="G396" s="33"/>
      <c r="H396" s="33">
        <v>61600</v>
      </c>
      <c r="I396" s="33">
        <v>551700</v>
      </c>
      <c r="J396" s="107">
        <f>+SUM(C396:G396)-(H396+I396)</f>
        <v>-25100</v>
      </c>
      <c r="K396" s="153"/>
    </row>
    <row r="397" spans="1:11">
      <c r="A397" s="130" t="s">
        <v>116</v>
      </c>
      <c r="B397" s="135" t="s">
        <v>70</v>
      </c>
      <c r="C397" s="33">
        <v>13884</v>
      </c>
      <c r="D397" s="110"/>
      <c r="E397" s="33">
        <v>194000</v>
      </c>
      <c r="F397" s="33"/>
      <c r="G397" s="33"/>
      <c r="H397" s="33">
        <v>17000</v>
      </c>
      <c r="I397" s="33">
        <v>183500</v>
      </c>
      <c r="J397" s="107">
        <f t="shared" ref="J397" si="152">+SUM(C397:G397)-(H397+I397)</f>
        <v>7384</v>
      </c>
      <c r="K397" s="153"/>
    </row>
    <row r="398" spans="1:11">
      <c r="A398" s="130" t="s">
        <v>116</v>
      </c>
      <c r="B398" s="136" t="s">
        <v>30</v>
      </c>
      <c r="C398" s="33">
        <v>72400</v>
      </c>
      <c r="D398" s="127"/>
      <c r="E398" s="53">
        <v>599900</v>
      </c>
      <c r="F398" s="53"/>
      <c r="G398" s="53"/>
      <c r="H398" s="53"/>
      <c r="I398" s="53">
        <v>611000</v>
      </c>
      <c r="J398" s="132">
        <f>+SUM(C398:G398)-(H398+I398)</f>
        <v>61300</v>
      </c>
      <c r="K398" s="153"/>
    </row>
    <row r="399" spans="1:11">
      <c r="A399" s="130" t="s">
        <v>116</v>
      </c>
      <c r="B399" s="137" t="s">
        <v>85</v>
      </c>
      <c r="C399" s="128">
        <v>233614</v>
      </c>
      <c r="D399" s="131"/>
      <c r="E399" s="146"/>
      <c r="F399" s="146"/>
      <c r="G399" s="146"/>
      <c r="H399" s="146"/>
      <c r="I399" s="146"/>
      <c r="J399" s="129">
        <f>+SUM(C399:G399)-(H399+I399)</f>
        <v>233614</v>
      </c>
      <c r="K399" s="153"/>
    </row>
    <row r="400" spans="1:11">
      <c r="A400" s="130" t="s">
        <v>116</v>
      </c>
      <c r="B400" s="137" t="s">
        <v>84</v>
      </c>
      <c r="C400" s="128">
        <v>249769</v>
      </c>
      <c r="D400" s="131"/>
      <c r="E400" s="146"/>
      <c r="F400" s="146"/>
      <c r="G400" s="146"/>
      <c r="H400" s="146"/>
      <c r="I400" s="146"/>
      <c r="J400" s="129">
        <f t="shared" ref="J400:J407" si="153">+SUM(C400:G400)-(H400+I400)</f>
        <v>249769</v>
      </c>
      <c r="K400" s="153"/>
    </row>
    <row r="401" spans="1:11">
      <c r="A401" s="130" t="s">
        <v>116</v>
      </c>
      <c r="B401" s="135" t="s">
        <v>36</v>
      </c>
      <c r="C401" s="33">
        <v>18490</v>
      </c>
      <c r="D401" s="32"/>
      <c r="E401" s="33">
        <v>796460</v>
      </c>
      <c r="F401" s="33">
        <v>61600</v>
      </c>
      <c r="G401" s="110"/>
      <c r="H401" s="110"/>
      <c r="I401" s="33">
        <v>872050</v>
      </c>
      <c r="J401" s="31">
        <f t="shared" si="153"/>
        <v>4500</v>
      </c>
      <c r="K401" s="153"/>
    </row>
    <row r="402" spans="1:11">
      <c r="A402" s="130" t="s">
        <v>116</v>
      </c>
      <c r="B402" s="135" t="s">
        <v>94</v>
      </c>
      <c r="C402" s="33">
        <v>4500</v>
      </c>
      <c r="D402" s="32"/>
      <c r="E402" s="33">
        <v>40000</v>
      </c>
      <c r="F402" s="110"/>
      <c r="G402" s="110"/>
      <c r="H402" s="110"/>
      <c r="I402" s="33">
        <v>50500</v>
      </c>
      <c r="J402" s="31">
        <f t="shared" si="153"/>
        <v>-6000</v>
      </c>
      <c r="K402" s="153"/>
    </row>
    <row r="403" spans="1:11">
      <c r="A403" s="130" t="s">
        <v>116</v>
      </c>
      <c r="B403" s="135" t="s">
        <v>29</v>
      </c>
      <c r="C403" s="33">
        <v>44200</v>
      </c>
      <c r="D403" s="32"/>
      <c r="E403" s="33">
        <v>60000</v>
      </c>
      <c r="F403" s="110"/>
      <c r="G403" s="110"/>
      <c r="H403" s="110"/>
      <c r="I403" s="33">
        <v>32000</v>
      </c>
      <c r="J403" s="31">
        <f t="shared" si="153"/>
        <v>72200</v>
      </c>
      <c r="K403" s="153"/>
    </row>
    <row r="404" spans="1:11">
      <c r="A404" s="130" t="s">
        <v>116</v>
      </c>
      <c r="B404" s="135" t="s">
        <v>95</v>
      </c>
      <c r="C404" s="33">
        <v>-851709</v>
      </c>
      <c r="D404" s="32"/>
      <c r="E404" s="33">
        <v>851709</v>
      </c>
      <c r="F404" s="110"/>
      <c r="G404" s="110"/>
      <c r="H404" s="110"/>
      <c r="I404" s="33"/>
      <c r="J404" s="31">
        <f>+SUM(C404:G404)-(H404+I404)</f>
        <v>0</v>
      </c>
      <c r="K404" s="153"/>
    </row>
    <row r="405" spans="1:11">
      <c r="A405" s="130" t="s">
        <v>116</v>
      </c>
      <c r="B405" s="135" t="s">
        <v>102</v>
      </c>
      <c r="C405" s="33">
        <v>90300</v>
      </c>
      <c r="D405" s="32"/>
      <c r="E405" s="33">
        <v>69200</v>
      </c>
      <c r="F405" s="110"/>
      <c r="G405" s="110"/>
      <c r="H405" s="110"/>
      <c r="I405" s="33">
        <v>159500</v>
      </c>
      <c r="J405" s="31">
        <f t="shared" si="153"/>
        <v>0</v>
      </c>
      <c r="K405" s="153"/>
    </row>
    <row r="406" spans="1:11">
      <c r="A406" s="130" t="s">
        <v>116</v>
      </c>
      <c r="B406" s="135" t="s">
        <v>32</v>
      </c>
      <c r="C406" s="33">
        <v>300</v>
      </c>
      <c r="D406" s="32"/>
      <c r="E406" s="33">
        <v>20000</v>
      </c>
      <c r="F406" s="110"/>
      <c r="G406" s="110"/>
      <c r="H406" s="110"/>
      <c r="I406" s="33">
        <v>11000</v>
      </c>
      <c r="J406" s="31">
        <f t="shared" si="153"/>
        <v>9300</v>
      </c>
      <c r="K406" s="153"/>
    </row>
    <row r="407" spans="1:11">
      <c r="A407" s="130" t="s">
        <v>116</v>
      </c>
      <c r="B407" s="136" t="s">
        <v>114</v>
      </c>
      <c r="C407" s="33">
        <v>0</v>
      </c>
      <c r="D407" s="127"/>
      <c r="E407" s="145"/>
      <c r="F407" s="145"/>
      <c r="G407" s="147"/>
      <c r="H407" s="145"/>
      <c r="I407" s="53">
        <v>14000</v>
      </c>
      <c r="J407" s="31">
        <f t="shared" si="153"/>
        <v>-14000</v>
      </c>
      <c r="K407" s="153"/>
    </row>
    <row r="408" spans="1:11">
      <c r="A408" s="35" t="s">
        <v>61</v>
      </c>
      <c r="B408" s="36"/>
      <c r="C408" s="36"/>
      <c r="D408" s="36"/>
      <c r="E408" s="36"/>
      <c r="F408" s="36"/>
      <c r="G408" s="36"/>
      <c r="H408" s="36"/>
      <c r="I408" s="36"/>
      <c r="J408" s="37"/>
    </row>
    <row r="409" spans="1:11">
      <c r="A409" s="130" t="s">
        <v>116</v>
      </c>
      <c r="B409" s="38" t="s">
        <v>62</v>
      </c>
      <c r="C409" s="39" t="e">
        <f>C266</f>
        <v>#REF!</v>
      </c>
      <c r="D409" s="51">
        <v>5872000</v>
      </c>
      <c r="E409" s="109"/>
      <c r="F409" s="109"/>
      <c r="G409" s="148"/>
      <c r="H409" s="139">
        <v>3517119</v>
      </c>
      <c r="I409" s="134">
        <v>1523260</v>
      </c>
      <c r="J409" s="46" t="e">
        <f>+SUM(C409:G409)-(H409+I409)</f>
        <v>#REF!</v>
      </c>
      <c r="K409" s="153"/>
    </row>
    <row r="410" spans="1:11">
      <c r="A410" s="44" t="s">
        <v>63</v>
      </c>
      <c r="B410" s="25"/>
      <c r="C410" s="36"/>
      <c r="D410" s="25"/>
      <c r="E410" s="25"/>
      <c r="F410" s="25"/>
      <c r="G410" s="25"/>
      <c r="H410" s="25"/>
      <c r="I410" s="25"/>
      <c r="J410" s="37"/>
    </row>
    <row r="411" spans="1:11">
      <c r="A411" s="130" t="s">
        <v>116</v>
      </c>
      <c r="B411" s="38" t="s">
        <v>64</v>
      </c>
      <c r="C411" s="133" t="e">
        <f>#REF!</f>
        <v>#REF!</v>
      </c>
      <c r="D411" s="140">
        <v>10380044</v>
      </c>
      <c r="E411" s="51"/>
      <c r="F411" s="51"/>
      <c r="G411" s="51"/>
      <c r="H411" s="53">
        <v>5500000</v>
      </c>
      <c r="I411" s="55">
        <v>277455</v>
      </c>
      <c r="J411" s="46" t="e">
        <f>+SUM(C411:G411)-(H411+I411)</f>
        <v>#REF!</v>
      </c>
      <c r="K411" s="153"/>
    </row>
    <row r="412" spans="1:11">
      <c r="A412" s="130" t="s">
        <v>116</v>
      </c>
      <c r="B412" s="38" t="s">
        <v>65</v>
      </c>
      <c r="C412" s="133" t="e">
        <f>C265</f>
        <v>#REF!</v>
      </c>
      <c r="D412" s="51"/>
      <c r="E412" s="50"/>
      <c r="F412" s="50"/>
      <c r="G412" s="50"/>
      <c r="H412" s="33">
        <v>372000</v>
      </c>
      <c r="I412" s="52">
        <v>4601760</v>
      </c>
      <c r="J412" s="46" t="e">
        <f>SUM(C412:G412)-(H412+I412)</f>
        <v>#REF!</v>
      </c>
      <c r="K412" s="153"/>
    </row>
    <row r="413" spans="1:11" ht="15.75">
      <c r="C413" s="151" t="e">
        <f>SUM(C393:C412)</f>
        <v>#REF!</v>
      </c>
      <c r="I413" s="149">
        <f>SUM(I393:I412)</f>
        <v>9282325</v>
      </c>
      <c r="J413" s="111" t="e">
        <f>+SUM(J393:J412)</f>
        <v>#REF!</v>
      </c>
    </row>
    <row r="414" spans="1:11" ht="16.5">
      <c r="A414" s="14"/>
      <c r="B414" s="15"/>
      <c r="C414" s="12"/>
      <c r="D414" s="12"/>
      <c r="E414" s="13"/>
      <c r="F414" s="12"/>
      <c r="G414" s="12"/>
      <c r="H414" s="12"/>
      <c r="I414" s="12"/>
    </row>
    <row r="415" spans="1:11">
      <c r="A415" s="16" t="s">
        <v>53</v>
      </c>
      <c r="B415" s="16"/>
      <c r="C415" s="16"/>
      <c r="D415" s="17"/>
      <c r="E415" s="17"/>
      <c r="F415" s="17"/>
      <c r="G415" s="17"/>
      <c r="H415" s="17"/>
      <c r="I415" s="17"/>
    </row>
    <row r="416" spans="1:11">
      <c r="A416" s="18" t="s">
        <v>110</v>
      </c>
      <c r="B416" s="18"/>
      <c r="C416" s="18"/>
      <c r="D416" s="18"/>
      <c r="E416" s="18"/>
      <c r="F416" s="18"/>
      <c r="G416" s="18"/>
      <c r="H416" s="18"/>
      <c r="I416" s="18"/>
      <c r="J416" s="17"/>
    </row>
    <row r="417" spans="1:11">
      <c r="A417" s="19"/>
      <c r="B417" s="20"/>
      <c r="C417" s="21"/>
      <c r="D417" s="21"/>
      <c r="E417" s="21"/>
      <c r="F417" s="21"/>
      <c r="G417" s="21"/>
      <c r="H417" s="20"/>
      <c r="I417" s="20"/>
      <c r="J417" s="18"/>
    </row>
    <row r="418" spans="1:11">
      <c r="A418" s="335" t="s">
        <v>54</v>
      </c>
      <c r="B418" s="337" t="s">
        <v>55</v>
      </c>
      <c r="C418" s="339" t="s">
        <v>111</v>
      </c>
      <c r="D418" s="341" t="s">
        <v>56</v>
      </c>
      <c r="E418" s="342"/>
      <c r="F418" s="342"/>
      <c r="G418" s="343"/>
      <c r="H418" s="344" t="s">
        <v>57</v>
      </c>
      <c r="I418" s="331" t="s">
        <v>58</v>
      </c>
      <c r="J418" s="20"/>
    </row>
    <row r="419" spans="1:11">
      <c r="A419" s="336"/>
      <c r="B419" s="338"/>
      <c r="C419" s="340"/>
      <c r="D419" s="22" t="s">
        <v>24</v>
      </c>
      <c r="E419" s="22" t="s">
        <v>25</v>
      </c>
      <c r="F419" s="150" t="s">
        <v>113</v>
      </c>
      <c r="G419" s="22" t="s">
        <v>59</v>
      </c>
      <c r="H419" s="345"/>
      <c r="I419" s="332"/>
      <c r="J419" s="333" t="s">
        <v>112</v>
      </c>
    </row>
    <row r="420" spans="1:11">
      <c r="A420" s="24"/>
      <c r="B420" s="25" t="s">
        <v>60</v>
      </c>
      <c r="C420" s="26"/>
      <c r="D420" s="26"/>
      <c r="E420" s="26"/>
      <c r="F420" s="26"/>
      <c r="G420" s="26"/>
      <c r="H420" s="26"/>
      <c r="I420" s="27"/>
      <c r="J420" s="334"/>
    </row>
    <row r="421" spans="1:11">
      <c r="A421" s="130" t="s">
        <v>109</v>
      </c>
      <c r="B421" s="135" t="s">
        <v>77</v>
      </c>
      <c r="C421" s="33">
        <v>-11330</v>
      </c>
      <c r="D421" s="32"/>
      <c r="E421" s="33">
        <v>201400</v>
      </c>
      <c r="F421" s="33">
        <v>184300</v>
      </c>
      <c r="G421" s="33"/>
      <c r="H421" s="57"/>
      <c r="I421" s="33">
        <v>370700</v>
      </c>
      <c r="J421" s="31">
        <f>+SUM(C421:G421)-(H421+I421)</f>
        <v>3670</v>
      </c>
      <c r="K421" s="70"/>
    </row>
    <row r="422" spans="1:11">
      <c r="A422" s="130" t="s">
        <v>109</v>
      </c>
      <c r="B422" s="135" t="s">
        <v>48</v>
      </c>
      <c r="C422" s="33">
        <v>8260</v>
      </c>
      <c r="D422" s="32"/>
      <c r="E422" s="33">
        <v>357900</v>
      </c>
      <c r="F422" s="33"/>
      <c r="G422" s="33"/>
      <c r="H422" s="57">
        <v>50000</v>
      </c>
      <c r="I422" s="33">
        <v>316700</v>
      </c>
      <c r="J422" s="31">
        <f t="shared" ref="J422:J423" si="154">+SUM(C422:G422)-(H422+I422)</f>
        <v>-540</v>
      </c>
      <c r="K422" s="70"/>
    </row>
    <row r="423" spans="1:11">
      <c r="A423" s="130" t="s">
        <v>109</v>
      </c>
      <c r="B423" s="135" t="s">
        <v>31</v>
      </c>
      <c r="C423" s="33">
        <v>3795</v>
      </c>
      <c r="D423" s="32"/>
      <c r="E423" s="33">
        <v>20000</v>
      </c>
      <c r="F423" s="33"/>
      <c r="G423" s="33"/>
      <c r="H423" s="33"/>
      <c r="I423" s="33">
        <v>21400</v>
      </c>
      <c r="J423" s="107">
        <f t="shared" si="154"/>
        <v>2395</v>
      </c>
      <c r="K423" s="70"/>
    </row>
    <row r="424" spans="1:11">
      <c r="A424" s="130" t="s">
        <v>109</v>
      </c>
      <c r="B424" s="135" t="s">
        <v>78</v>
      </c>
      <c r="C424" s="33">
        <v>-83100</v>
      </c>
      <c r="D424" s="110"/>
      <c r="E424" s="33">
        <v>699200</v>
      </c>
      <c r="F424" s="33"/>
      <c r="G424" s="33"/>
      <c r="H424" s="33"/>
      <c r="I424" s="33">
        <v>520000</v>
      </c>
      <c r="J424" s="107">
        <f>+SUM(C424:G424)-(H424+I424)</f>
        <v>96100</v>
      </c>
      <c r="K424" s="70"/>
    </row>
    <row r="425" spans="1:11">
      <c r="A425" s="130" t="s">
        <v>109</v>
      </c>
      <c r="B425" s="135" t="s">
        <v>70</v>
      </c>
      <c r="C425" s="33">
        <v>1784</v>
      </c>
      <c r="D425" s="110"/>
      <c r="E425" s="33">
        <v>568600</v>
      </c>
      <c r="F425" s="33">
        <v>50000</v>
      </c>
      <c r="G425" s="33"/>
      <c r="H425" s="33">
        <v>184300</v>
      </c>
      <c r="I425" s="33">
        <v>422200</v>
      </c>
      <c r="J425" s="107">
        <f t="shared" ref="J425" si="155">+SUM(C425:G425)-(H425+I425)</f>
        <v>13884</v>
      </c>
      <c r="K425" s="70"/>
    </row>
    <row r="426" spans="1:11">
      <c r="A426" s="130" t="s">
        <v>109</v>
      </c>
      <c r="B426" s="136" t="s">
        <v>30</v>
      </c>
      <c r="C426" s="33">
        <v>88800</v>
      </c>
      <c r="D426" s="127"/>
      <c r="E426" s="53">
        <v>694600</v>
      </c>
      <c r="F426" s="53"/>
      <c r="G426" s="53"/>
      <c r="H426" s="53"/>
      <c r="I426" s="53">
        <v>711000</v>
      </c>
      <c r="J426" s="132">
        <f>+SUM(C426:G426)-(H426+I426)</f>
        <v>72400</v>
      </c>
      <c r="K426" s="70"/>
    </row>
    <row r="427" spans="1:11">
      <c r="A427" s="130" t="s">
        <v>109</v>
      </c>
      <c r="B427" s="137" t="s">
        <v>85</v>
      </c>
      <c r="C427" s="128">
        <v>233614</v>
      </c>
      <c r="D427" s="131"/>
      <c r="E427" s="146"/>
      <c r="F427" s="146"/>
      <c r="G427" s="146"/>
      <c r="H427" s="146"/>
      <c r="I427" s="146"/>
      <c r="J427" s="129">
        <f>+SUM(C427:G427)-(H427+I427)</f>
        <v>233614</v>
      </c>
      <c r="K427" s="70"/>
    </row>
    <row r="428" spans="1:11">
      <c r="A428" s="130" t="s">
        <v>109</v>
      </c>
      <c r="B428" s="137" t="s">
        <v>84</v>
      </c>
      <c r="C428" s="128">
        <v>249769</v>
      </c>
      <c r="D428" s="131"/>
      <c r="E428" s="146"/>
      <c r="F428" s="146"/>
      <c r="G428" s="146"/>
      <c r="H428" s="146"/>
      <c r="I428" s="146"/>
      <c r="J428" s="129">
        <f t="shared" ref="J428:J432" si="156">+SUM(C428:G428)-(H428+I428)</f>
        <v>249769</v>
      </c>
      <c r="K428" s="70"/>
    </row>
    <row r="429" spans="1:11">
      <c r="A429" s="130" t="s">
        <v>109</v>
      </c>
      <c r="B429" s="135" t="s">
        <v>36</v>
      </c>
      <c r="C429" s="33">
        <v>7890</v>
      </c>
      <c r="D429" s="32"/>
      <c r="E429" s="33">
        <v>135600</v>
      </c>
      <c r="F429" s="110"/>
      <c r="G429" s="110"/>
      <c r="H429" s="110"/>
      <c r="I429" s="33">
        <v>125000</v>
      </c>
      <c r="J429" s="31">
        <f t="shared" si="156"/>
        <v>18490</v>
      </c>
      <c r="K429" s="70"/>
    </row>
    <row r="430" spans="1:11">
      <c r="A430" s="130" t="s">
        <v>109</v>
      </c>
      <c r="B430" s="135" t="s">
        <v>94</v>
      </c>
      <c r="C430" s="33">
        <v>5000</v>
      </c>
      <c r="D430" s="32"/>
      <c r="E430" s="33">
        <v>30000</v>
      </c>
      <c r="F430" s="110"/>
      <c r="G430" s="110"/>
      <c r="H430" s="110"/>
      <c r="I430" s="33">
        <v>30500</v>
      </c>
      <c r="J430" s="31">
        <f t="shared" si="156"/>
        <v>4500</v>
      </c>
      <c r="K430" s="70"/>
    </row>
    <row r="431" spans="1:11">
      <c r="A431" s="130" t="s">
        <v>109</v>
      </c>
      <c r="B431" s="135" t="s">
        <v>29</v>
      </c>
      <c r="C431" s="33">
        <v>57700</v>
      </c>
      <c r="D431" s="32"/>
      <c r="E431" s="33">
        <v>639000</v>
      </c>
      <c r="F431" s="110"/>
      <c r="G431" s="110"/>
      <c r="H431" s="110"/>
      <c r="I431" s="33">
        <v>652500</v>
      </c>
      <c r="J431" s="31">
        <f t="shared" si="156"/>
        <v>44200</v>
      </c>
      <c r="K431" s="70"/>
    </row>
    <row r="432" spans="1:11">
      <c r="A432" s="130" t="s">
        <v>109</v>
      </c>
      <c r="B432" s="135" t="s">
        <v>95</v>
      </c>
      <c r="C432" s="33">
        <v>-32081</v>
      </c>
      <c r="D432" s="32"/>
      <c r="E432" s="110"/>
      <c r="F432" s="110"/>
      <c r="G432" s="110"/>
      <c r="H432" s="110"/>
      <c r="I432" s="33">
        <v>819628</v>
      </c>
      <c r="J432" s="31">
        <f t="shared" si="156"/>
        <v>-851709</v>
      </c>
      <c r="K432" s="70"/>
    </row>
    <row r="433" spans="1:11">
      <c r="A433" s="130" t="s">
        <v>109</v>
      </c>
      <c r="B433" s="135" t="s">
        <v>102</v>
      </c>
      <c r="C433" s="33">
        <v>62000</v>
      </c>
      <c r="D433" s="32"/>
      <c r="E433" s="33">
        <v>622600</v>
      </c>
      <c r="F433" s="110"/>
      <c r="G433" s="110"/>
      <c r="H433" s="110"/>
      <c r="I433" s="33">
        <v>594300</v>
      </c>
      <c r="J433" s="31">
        <f>+SUM(C433:G433)-(H433+I433)</f>
        <v>90300</v>
      </c>
      <c r="K433" s="70"/>
    </row>
    <row r="434" spans="1:11">
      <c r="A434" s="130" t="s">
        <v>109</v>
      </c>
      <c r="B434" s="136" t="s">
        <v>32</v>
      </c>
      <c r="C434" s="33">
        <v>4300</v>
      </c>
      <c r="D434" s="127"/>
      <c r="E434" s="145"/>
      <c r="F434" s="145"/>
      <c r="G434" s="147"/>
      <c r="H434" s="145"/>
      <c r="I434" s="53">
        <v>4000</v>
      </c>
      <c r="J434" s="31">
        <f t="shared" ref="J434" si="157">+SUM(C434:G434)-(H434+I434)</f>
        <v>300</v>
      </c>
      <c r="K434" s="70"/>
    </row>
    <row r="435" spans="1:11">
      <c r="A435" s="35" t="s">
        <v>61</v>
      </c>
      <c r="B435" s="36"/>
      <c r="C435" s="36"/>
      <c r="D435" s="36"/>
      <c r="E435" s="36"/>
      <c r="F435" s="36"/>
      <c r="G435" s="36"/>
      <c r="H435" s="36"/>
      <c r="I435" s="36"/>
      <c r="J435" s="37"/>
      <c r="K435" s="70"/>
    </row>
    <row r="436" spans="1:11">
      <c r="A436" s="130" t="s">
        <v>109</v>
      </c>
      <c r="B436" s="38" t="s">
        <v>62</v>
      </c>
      <c r="C436" s="39">
        <v>62150</v>
      </c>
      <c r="D436" s="51">
        <v>5500000</v>
      </c>
      <c r="E436" s="109"/>
      <c r="F436" s="109"/>
      <c r="G436" s="148"/>
      <c r="H436" s="139">
        <v>3968900</v>
      </c>
      <c r="I436" s="134">
        <v>1276534</v>
      </c>
      <c r="J436" s="46">
        <f>+SUM(C436:G436)-(H436+I436)</f>
        <v>316716</v>
      </c>
      <c r="K436" s="70"/>
    </row>
    <row r="437" spans="1:11">
      <c r="A437" s="44" t="s">
        <v>63</v>
      </c>
      <c r="B437" s="25"/>
      <c r="C437" s="36"/>
      <c r="D437" s="25"/>
      <c r="E437" s="25"/>
      <c r="F437" s="25"/>
      <c r="G437" s="25"/>
      <c r="H437" s="25"/>
      <c r="I437" s="25"/>
      <c r="J437" s="37"/>
    </row>
    <row r="438" spans="1:11">
      <c r="A438" s="130" t="s">
        <v>109</v>
      </c>
      <c r="B438" s="38" t="s">
        <v>64</v>
      </c>
      <c r="C438" s="133">
        <v>11284555</v>
      </c>
      <c r="D438" s="140"/>
      <c r="E438" s="51"/>
      <c r="F438" s="51"/>
      <c r="G438" s="51"/>
      <c r="H438" s="53">
        <v>5500000</v>
      </c>
      <c r="I438" s="55">
        <v>273881</v>
      </c>
      <c r="J438" s="46">
        <f>+SUM(C438:G438)-(H438+I438)</f>
        <v>5510674</v>
      </c>
      <c r="K438" s="70"/>
    </row>
    <row r="439" spans="1:11">
      <c r="A439" s="130" t="s">
        <v>109</v>
      </c>
      <c r="B439" s="38" t="s">
        <v>65</v>
      </c>
      <c r="C439" s="133">
        <v>2158645</v>
      </c>
      <c r="D439" s="51">
        <v>15435980</v>
      </c>
      <c r="E439" s="50"/>
      <c r="F439" s="50"/>
      <c r="G439" s="50"/>
      <c r="H439" s="33"/>
      <c r="I439" s="52">
        <v>6400961</v>
      </c>
      <c r="J439" s="46">
        <f>SUM(C439:G439)-(H439+I439)</f>
        <v>11193664</v>
      </c>
      <c r="K439" s="70"/>
    </row>
    <row r="440" spans="1:11" ht="15.75">
      <c r="C440" s="151">
        <f>SUM(C421:C439)</f>
        <v>14101751</v>
      </c>
      <c r="I440" s="149">
        <f>SUM(I421:I439)</f>
        <v>12539304</v>
      </c>
      <c r="J440" s="111">
        <f>+SUM(J421:J439)</f>
        <v>16998427</v>
      </c>
    </row>
    <row r="441" spans="1:11" ht="16.5">
      <c r="A441" s="10"/>
      <c r="B441" s="11"/>
      <c r="C441" s="12"/>
      <c r="D441" s="12"/>
      <c r="E441" s="12"/>
      <c r="F441" s="12"/>
      <c r="G441" s="12"/>
      <c r="H441" s="12"/>
      <c r="I441" s="12"/>
      <c r="J441" s="141"/>
    </row>
    <row r="442" spans="1:11" ht="16.5">
      <c r="A442" s="14"/>
      <c r="B442" s="15"/>
      <c r="C442" s="12"/>
      <c r="D442" s="12"/>
      <c r="E442" s="13"/>
      <c r="F442" s="12"/>
      <c r="G442" s="12"/>
      <c r="H442" s="12"/>
      <c r="I442" s="12"/>
    </row>
    <row r="443" spans="1:11">
      <c r="A443" s="16" t="s">
        <v>53</v>
      </c>
      <c r="B443" s="16"/>
      <c r="C443" s="16"/>
      <c r="D443" s="17"/>
      <c r="E443" s="17"/>
      <c r="F443" s="17"/>
      <c r="G443" s="17"/>
      <c r="H443" s="17"/>
      <c r="I443" s="17"/>
    </row>
    <row r="444" spans="1:11">
      <c r="A444" s="18" t="s">
        <v>107</v>
      </c>
      <c r="B444" s="18"/>
      <c r="C444" s="18"/>
      <c r="D444" s="18"/>
      <c r="E444" s="18"/>
      <c r="F444" s="18"/>
      <c r="G444" s="18"/>
      <c r="H444" s="18"/>
      <c r="I444" s="18"/>
      <c r="J444" s="17"/>
    </row>
    <row r="445" spans="1:11">
      <c r="A445" s="19"/>
      <c r="B445" s="20"/>
      <c r="C445" s="21"/>
      <c r="D445" s="21"/>
      <c r="E445" s="21"/>
      <c r="F445" s="21"/>
      <c r="G445" s="21"/>
      <c r="H445" s="20"/>
      <c r="I445" s="20"/>
      <c r="J445" s="18"/>
    </row>
    <row r="446" spans="1:11">
      <c r="A446" s="335" t="s">
        <v>54</v>
      </c>
      <c r="B446" s="337" t="s">
        <v>55</v>
      </c>
      <c r="C446" s="339" t="s">
        <v>105</v>
      </c>
      <c r="D446" s="341" t="s">
        <v>56</v>
      </c>
      <c r="E446" s="342"/>
      <c r="F446" s="342"/>
      <c r="G446" s="343"/>
      <c r="H446" s="344" t="s">
        <v>57</v>
      </c>
      <c r="I446" s="331" t="s">
        <v>58</v>
      </c>
      <c r="J446" s="20"/>
    </row>
    <row r="447" spans="1:11">
      <c r="A447" s="336"/>
      <c r="B447" s="338"/>
      <c r="C447" s="340"/>
      <c r="D447" s="22" t="s">
        <v>24</v>
      </c>
      <c r="E447" s="22" t="s">
        <v>25</v>
      </c>
      <c r="F447" s="142" t="s">
        <v>108</v>
      </c>
      <c r="G447" s="22" t="s">
        <v>59</v>
      </c>
      <c r="H447" s="345"/>
      <c r="I447" s="332"/>
      <c r="J447" s="333" t="s">
        <v>106</v>
      </c>
    </row>
    <row r="448" spans="1:11">
      <c r="A448" s="24"/>
      <c r="B448" s="25" t="s">
        <v>60</v>
      </c>
      <c r="C448" s="26"/>
      <c r="D448" s="26"/>
      <c r="E448" s="26"/>
      <c r="F448" s="26"/>
      <c r="G448" s="26"/>
      <c r="H448" s="26"/>
      <c r="I448" s="27"/>
      <c r="J448" s="334"/>
    </row>
    <row r="449" spans="1:11">
      <c r="A449" s="130" t="s">
        <v>104</v>
      </c>
      <c r="B449" s="135" t="s">
        <v>77</v>
      </c>
      <c r="C449" s="33">
        <v>22200</v>
      </c>
      <c r="D449" s="32"/>
      <c r="E449" s="33">
        <v>439970</v>
      </c>
      <c r="F449" s="110"/>
      <c r="G449" s="110"/>
      <c r="H449" s="144"/>
      <c r="I449" s="33">
        <v>473500</v>
      </c>
      <c r="J449" s="31">
        <f>+SUM(C449:G449)-(H449+I449)</f>
        <v>-11330</v>
      </c>
      <c r="K449" s="70"/>
    </row>
    <row r="450" spans="1:11">
      <c r="A450" s="130" t="s">
        <v>104</v>
      </c>
      <c r="B450" s="135" t="s">
        <v>48</v>
      </c>
      <c r="C450" s="33">
        <v>3060</v>
      </c>
      <c r="D450" s="32"/>
      <c r="E450" s="33">
        <v>157200</v>
      </c>
      <c r="F450" s="33"/>
      <c r="G450" s="33"/>
      <c r="H450" s="57"/>
      <c r="I450" s="33">
        <v>152000</v>
      </c>
      <c r="J450" s="31">
        <f t="shared" ref="J450:J451" si="158">+SUM(C450:G450)-(H450+I450)</f>
        <v>8260</v>
      </c>
      <c r="K450" s="70"/>
    </row>
    <row r="451" spans="1:11">
      <c r="A451" s="130" t="s">
        <v>104</v>
      </c>
      <c r="B451" s="135" t="s">
        <v>31</v>
      </c>
      <c r="C451" s="33">
        <v>3795</v>
      </c>
      <c r="D451" s="32"/>
      <c r="E451" s="33">
        <v>45000</v>
      </c>
      <c r="F451" s="33"/>
      <c r="G451" s="33"/>
      <c r="H451" s="33"/>
      <c r="I451" s="33">
        <v>45000</v>
      </c>
      <c r="J451" s="107">
        <f t="shared" si="158"/>
        <v>3795</v>
      </c>
      <c r="K451" s="70"/>
    </row>
    <row r="452" spans="1:11">
      <c r="A452" s="130" t="s">
        <v>104</v>
      </c>
      <c r="B452" s="135" t="s">
        <v>78</v>
      </c>
      <c r="C452" s="33">
        <v>2300</v>
      </c>
      <c r="D452" s="110"/>
      <c r="E452" s="33">
        <v>266600</v>
      </c>
      <c r="F452" s="33">
        <v>159900</v>
      </c>
      <c r="G452" s="33"/>
      <c r="H452" s="33">
        <v>25000</v>
      </c>
      <c r="I452" s="33">
        <v>486900</v>
      </c>
      <c r="J452" s="107">
        <f>+SUM(C452:G452)-(H452+I452)</f>
        <v>-83100</v>
      </c>
      <c r="K452" s="70"/>
    </row>
    <row r="453" spans="1:11">
      <c r="A453" s="130" t="s">
        <v>104</v>
      </c>
      <c r="B453" s="135" t="s">
        <v>70</v>
      </c>
      <c r="C453" s="33">
        <v>-14216</v>
      </c>
      <c r="D453" s="110"/>
      <c r="E453" s="33">
        <v>622600</v>
      </c>
      <c r="F453" s="33">
        <v>25000</v>
      </c>
      <c r="G453" s="33"/>
      <c r="H453" s="33">
        <v>260700</v>
      </c>
      <c r="I453" s="33">
        <v>370900</v>
      </c>
      <c r="J453" s="107">
        <f>+SUM(C453:G453)-(H453+I453)</f>
        <v>1784</v>
      </c>
      <c r="K453" s="70"/>
    </row>
    <row r="454" spans="1:11">
      <c r="A454" s="130" t="s">
        <v>104</v>
      </c>
      <c r="B454" s="136" t="s">
        <v>30</v>
      </c>
      <c r="C454" s="53">
        <v>143300</v>
      </c>
      <c r="D454" s="127"/>
      <c r="E454" s="53">
        <v>466500</v>
      </c>
      <c r="F454" s="145"/>
      <c r="G454" s="145"/>
      <c r="H454" s="145"/>
      <c r="I454" s="53">
        <v>521000</v>
      </c>
      <c r="J454" s="132">
        <f>+SUM(C454:G454)-(H454+I454)</f>
        <v>88800</v>
      </c>
      <c r="K454" s="70"/>
    </row>
    <row r="455" spans="1:11">
      <c r="A455" s="130" t="s">
        <v>104</v>
      </c>
      <c r="B455" s="137" t="s">
        <v>85</v>
      </c>
      <c r="C455" s="128">
        <v>233614</v>
      </c>
      <c r="D455" s="131"/>
      <c r="E455" s="146"/>
      <c r="F455" s="146"/>
      <c r="G455" s="146"/>
      <c r="H455" s="146"/>
      <c r="I455" s="146"/>
      <c r="J455" s="129">
        <f>+SUM(C455:G455)-(H455+I455)</f>
        <v>233614</v>
      </c>
      <c r="K455" s="70"/>
    </row>
    <row r="456" spans="1:11">
      <c r="A456" s="130" t="s">
        <v>104</v>
      </c>
      <c r="B456" s="137" t="s">
        <v>84</v>
      </c>
      <c r="C456" s="128">
        <v>249768</v>
      </c>
      <c r="D456" s="131"/>
      <c r="E456" s="146"/>
      <c r="F456" s="146"/>
      <c r="G456" s="146"/>
      <c r="H456" s="146"/>
      <c r="I456" s="146"/>
      <c r="J456" s="129">
        <f t="shared" ref="J456:J462" si="159">+SUM(C456:G456)-(H456+I456)</f>
        <v>249768</v>
      </c>
      <c r="K456" s="70"/>
    </row>
    <row r="457" spans="1:11">
      <c r="A457" s="130" t="s">
        <v>104</v>
      </c>
      <c r="B457" s="135" t="s">
        <v>36</v>
      </c>
      <c r="C457" s="33">
        <v>55090</v>
      </c>
      <c r="D457" s="32"/>
      <c r="E457" s="33">
        <v>143000</v>
      </c>
      <c r="F457" s="33">
        <v>70800</v>
      </c>
      <c r="G457" s="110"/>
      <c r="H457" s="110"/>
      <c r="I457" s="33">
        <v>261000</v>
      </c>
      <c r="J457" s="31">
        <f t="shared" si="159"/>
        <v>7890</v>
      </c>
      <c r="K457" s="70"/>
    </row>
    <row r="458" spans="1:11">
      <c r="A458" s="130" t="s">
        <v>104</v>
      </c>
      <c r="B458" s="135" t="s">
        <v>94</v>
      </c>
      <c r="C458" s="33">
        <v>0</v>
      </c>
      <c r="D458" s="32"/>
      <c r="E458" s="33">
        <v>30000</v>
      </c>
      <c r="F458" s="110"/>
      <c r="G458" s="110"/>
      <c r="H458" s="110"/>
      <c r="I458" s="33">
        <v>25000</v>
      </c>
      <c r="J458" s="31">
        <f t="shared" si="159"/>
        <v>5000</v>
      </c>
      <c r="K458" s="70"/>
    </row>
    <row r="459" spans="1:11">
      <c r="A459" s="130" t="s">
        <v>104</v>
      </c>
      <c r="B459" s="135" t="s">
        <v>29</v>
      </c>
      <c r="C459" s="33">
        <v>110700</v>
      </c>
      <c r="D459" s="32"/>
      <c r="E459" s="33">
        <v>375000</v>
      </c>
      <c r="F459" s="33">
        <v>30000</v>
      </c>
      <c r="G459" s="110"/>
      <c r="H459" s="110"/>
      <c r="I459" s="33">
        <v>458000</v>
      </c>
      <c r="J459" s="31">
        <f t="shared" si="159"/>
        <v>57700</v>
      </c>
      <c r="K459" s="70"/>
    </row>
    <row r="460" spans="1:11">
      <c r="A460" s="130" t="s">
        <v>104</v>
      </c>
      <c r="B460" s="135" t="s">
        <v>95</v>
      </c>
      <c r="C460" s="33">
        <v>-32081</v>
      </c>
      <c r="D460" s="32"/>
      <c r="E460" s="110">
        <v>0</v>
      </c>
      <c r="F460" s="110"/>
      <c r="G460" s="110"/>
      <c r="H460" s="110"/>
      <c r="I460" s="110">
        <v>0</v>
      </c>
      <c r="J460" s="31">
        <f t="shared" si="159"/>
        <v>-32081</v>
      </c>
      <c r="K460" s="70"/>
    </row>
    <row r="461" spans="1:11">
      <c r="A461" s="130" t="s">
        <v>104</v>
      </c>
      <c r="B461" s="135" t="s">
        <v>102</v>
      </c>
      <c r="C461" s="33">
        <v>0</v>
      </c>
      <c r="D461" s="32"/>
      <c r="E461" s="33">
        <v>82000</v>
      </c>
      <c r="F461" s="110"/>
      <c r="G461" s="110"/>
      <c r="H461" s="110"/>
      <c r="I461" s="33">
        <v>20000</v>
      </c>
      <c r="J461" s="31">
        <f>+SUM(C461:G461)-(H461+I461)</f>
        <v>62000</v>
      </c>
      <c r="K461" s="70"/>
    </row>
    <row r="462" spans="1:11">
      <c r="A462" s="130" t="s">
        <v>104</v>
      </c>
      <c r="B462" s="136" t="s">
        <v>32</v>
      </c>
      <c r="C462" s="53">
        <v>7300</v>
      </c>
      <c r="D462" s="127"/>
      <c r="E462" s="145"/>
      <c r="F462" s="145"/>
      <c r="G462" s="147"/>
      <c r="H462" s="145"/>
      <c r="I462" s="53">
        <v>3000</v>
      </c>
      <c r="J462" s="31">
        <f t="shared" si="159"/>
        <v>4300</v>
      </c>
      <c r="K462" s="70"/>
    </row>
    <row r="463" spans="1:11">
      <c r="A463" s="35" t="s">
        <v>61</v>
      </c>
      <c r="B463" s="36"/>
      <c r="C463" s="36"/>
      <c r="D463" s="36"/>
      <c r="E463" s="36"/>
      <c r="F463" s="36"/>
      <c r="G463" s="36"/>
      <c r="H463" s="36"/>
      <c r="I463" s="36"/>
      <c r="J463" s="37"/>
      <c r="K463" s="70"/>
    </row>
    <row r="464" spans="1:11">
      <c r="A464" s="130" t="s">
        <v>104</v>
      </c>
      <c r="B464" s="38" t="s">
        <v>62</v>
      </c>
      <c r="C464" s="39">
        <v>817769</v>
      </c>
      <c r="D464" s="51">
        <v>3000000</v>
      </c>
      <c r="E464" s="109"/>
      <c r="F464" s="109"/>
      <c r="G464" s="148"/>
      <c r="H464" s="139">
        <v>2627870</v>
      </c>
      <c r="I464" s="134">
        <v>1127749</v>
      </c>
      <c r="J464" s="46">
        <f>+SUM(C464:G464)-(H464+I464)</f>
        <v>62150</v>
      </c>
      <c r="K464" s="70"/>
    </row>
    <row r="465" spans="1:11">
      <c r="A465" s="44" t="s">
        <v>63</v>
      </c>
      <c r="B465" s="25"/>
      <c r="C465" s="36"/>
      <c r="D465" s="25"/>
      <c r="E465" s="25"/>
      <c r="F465" s="25"/>
      <c r="G465" s="25"/>
      <c r="H465" s="25"/>
      <c r="I465" s="25"/>
      <c r="J465" s="37"/>
    </row>
    <row r="466" spans="1:11">
      <c r="A466" s="130" t="s">
        <v>104</v>
      </c>
      <c r="B466" s="38" t="s">
        <v>64</v>
      </c>
      <c r="C466" s="133">
        <v>14712920</v>
      </c>
      <c r="D466" s="140"/>
      <c r="E466" s="51"/>
      <c r="F466" s="51"/>
      <c r="G466" s="51"/>
      <c r="H466" s="53">
        <v>3000000</v>
      </c>
      <c r="I466" s="55">
        <v>428365</v>
      </c>
      <c r="J466" s="46">
        <f>+SUM(C466:G466)-(H466+I466)</f>
        <v>11284555</v>
      </c>
      <c r="K466" s="70"/>
    </row>
    <row r="467" spans="1:11">
      <c r="A467" s="130" t="s">
        <v>104</v>
      </c>
      <c r="B467" s="38" t="s">
        <v>65</v>
      </c>
      <c r="C467" s="133">
        <v>8361083</v>
      </c>
      <c r="D467" s="51"/>
      <c r="E467" s="50"/>
      <c r="F467" s="50"/>
      <c r="G467" s="50"/>
      <c r="H467" s="33"/>
      <c r="I467" s="52">
        <v>6202438</v>
      </c>
      <c r="J467" s="46">
        <f>SUM(C467:G467)-(H467+I467)</f>
        <v>2158645</v>
      </c>
      <c r="K467" s="70"/>
    </row>
    <row r="468" spans="1:11" ht="15.75">
      <c r="C468" s="9"/>
      <c r="I468" s="149">
        <f>SUM(I449:I467)</f>
        <v>10574852</v>
      </c>
      <c r="J468" s="111">
        <f>+SUM(J449:J467)</f>
        <v>14101750</v>
      </c>
      <c r="K468" s="9">
        <f>J468-C440</f>
        <v>-1</v>
      </c>
    </row>
    <row r="469" spans="1:11" ht="16.5">
      <c r="A469" s="10"/>
      <c r="B469" s="11"/>
      <c r="C469" s="12"/>
      <c r="D469" s="12"/>
      <c r="E469" s="12"/>
      <c r="F469" s="12"/>
      <c r="G469" s="12"/>
      <c r="H469" s="12"/>
      <c r="I469" s="12"/>
      <c r="J469" s="141"/>
    </row>
    <row r="470" spans="1:11">
      <c r="A470" s="16" t="s">
        <v>53</v>
      </c>
      <c r="B470" s="16"/>
      <c r="C470" s="16"/>
      <c r="D470" s="17"/>
      <c r="E470" s="17"/>
      <c r="F470" s="17"/>
      <c r="G470" s="17"/>
      <c r="H470" s="17"/>
      <c r="I470" s="17"/>
    </row>
    <row r="471" spans="1:11">
      <c r="A471" s="18" t="s">
        <v>96</v>
      </c>
      <c r="B471" s="18"/>
      <c r="C471" s="18"/>
      <c r="D471" s="18"/>
      <c r="E471" s="18"/>
      <c r="F471" s="18"/>
      <c r="G471" s="18"/>
      <c r="H471" s="18"/>
      <c r="I471" s="18"/>
      <c r="J471" s="17"/>
    </row>
    <row r="472" spans="1:11">
      <c r="A472" s="19"/>
      <c r="B472" s="20"/>
      <c r="C472" s="21"/>
      <c r="D472" s="21"/>
      <c r="E472" s="21"/>
      <c r="F472" s="21"/>
      <c r="G472" s="21"/>
      <c r="H472" s="20"/>
      <c r="I472" s="20"/>
      <c r="J472" s="18"/>
    </row>
    <row r="473" spans="1:11" ht="15" customHeight="1">
      <c r="A473" s="335" t="s">
        <v>54</v>
      </c>
      <c r="B473" s="337" t="s">
        <v>55</v>
      </c>
      <c r="C473" s="339" t="s">
        <v>97</v>
      </c>
      <c r="D473" s="341" t="s">
        <v>56</v>
      </c>
      <c r="E473" s="342"/>
      <c r="F473" s="342"/>
      <c r="G473" s="343"/>
      <c r="H473" s="344" t="s">
        <v>57</v>
      </c>
      <c r="I473" s="331" t="s">
        <v>58</v>
      </c>
      <c r="J473" s="20"/>
    </row>
    <row r="474" spans="1:11" ht="15" customHeight="1">
      <c r="A474" s="336"/>
      <c r="B474" s="338"/>
      <c r="C474" s="340"/>
      <c r="D474" s="22" t="s">
        <v>24</v>
      </c>
      <c r="E474" s="22" t="s">
        <v>25</v>
      </c>
      <c r="F474" s="122" t="s">
        <v>100</v>
      </c>
      <c r="G474" s="22" t="s">
        <v>59</v>
      </c>
      <c r="H474" s="345"/>
      <c r="I474" s="332"/>
      <c r="J474" s="333" t="s">
        <v>98</v>
      </c>
    </row>
    <row r="475" spans="1:11">
      <c r="A475" s="24"/>
      <c r="B475" s="25" t="s">
        <v>60</v>
      </c>
      <c r="C475" s="26"/>
      <c r="D475" s="26"/>
      <c r="E475" s="26"/>
      <c r="F475" s="26"/>
      <c r="G475" s="26"/>
      <c r="H475" s="26"/>
      <c r="I475" s="27"/>
      <c r="J475" s="334"/>
    </row>
    <row r="476" spans="1:11">
      <c r="A476" s="130" t="s">
        <v>99</v>
      </c>
      <c r="B476" s="135" t="s">
        <v>77</v>
      </c>
      <c r="C476" s="33">
        <v>-10750</v>
      </c>
      <c r="D476" s="32"/>
      <c r="E476" s="32">
        <v>170625</v>
      </c>
      <c r="F476" s="32">
        <v>301700</v>
      </c>
      <c r="G476" s="32"/>
      <c r="H476" s="57">
        <v>27000</v>
      </c>
      <c r="I476" s="33">
        <v>412375</v>
      </c>
      <c r="J476" s="31">
        <f>+SUM(C476:G476)-(H476+I476)</f>
        <v>22200</v>
      </c>
      <c r="K476" s="70"/>
    </row>
    <row r="477" spans="1:11">
      <c r="A477" s="130" t="s">
        <v>99</v>
      </c>
      <c r="B477" s="135" t="s">
        <v>48</v>
      </c>
      <c r="C477" s="33">
        <v>9060</v>
      </c>
      <c r="D477" s="32"/>
      <c r="E477" s="32">
        <v>0</v>
      </c>
      <c r="F477" s="32"/>
      <c r="G477" s="32"/>
      <c r="H477" s="57"/>
      <c r="I477" s="33">
        <v>6000</v>
      </c>
      <c r="J477" s="31">
        <f t="shared" ref="J477:J478" si="160">+SUM(C477:G477)-(H477+I477)</f>
        <v>3060</v>
      </c>
      <c r="K477" s="70"/>
    </row>
    <row r="478" spans="1:11">
      <c r="A478" s="130" t="s">
        <v>99</v>
      </c>
      <c r="B478" s="135" t="s">
        <v>31</v>
      </c>
      <c r="C478" s="33">
        <v>1195</v>
      </c>
      <c r="D478" s="32"/>
      <c r="E478" s="32">
        <v>75000</v>
      </c>
      <c r="F478" s="33"/>
      <c r="G478" s="33"/>
      <c r="H478" s="33"/>
      <c r="I478" s="33">
        <v>72400</v>
      </c>
      <c r="J478" s="107">
        <f t="shared" si="160"/>
        <v>3795</v>
      </c>
      <c r="K478" s="70"/>
    </row>
    <row r="479" spans="1:11">
      <c r="A479" s="130" t="s">
        <v>99</v>
      </c>
      <c r="B479" s="135" t="s">
        <v>78</v>
      </c>
      <c r="C479" s="33">
        <v>-8600</v>
      </c>
      <c r="D479" s="110"/>
      <c r="E479" s="32">
        <v>596900</v>
      </c>
      <c r="F479" s="33"/>
      <c r="G479" s="33"/>
      <c r="H479" s="33"/>
      <c r="I479" s="33">
        <v>586000</v>
      </c>
      <c r="J479" s="107">
        <f>+SUM(C479:G479)-(H479+I479)</f>
        <v>2300</v>
      </c>
      <c r="K479" s="70"/>
    </row>
    <row r="480" spans="1:11">
      <c r="A480" s="130" t="s">
        <v>99</v>
      </c>
      <c r="B480" s="135" t="s">
        <v>70</v>
      </c>
      <c r="C480" s="33">
        <v>8884</v>
      </c>
      <c r="D480" s="110"/>
      <c r="E480" s="32">
        <v>618600</v>
      </c>
      <c r="F480" s="33">
        <v>27000</v>
      </c>
      <c r="G480" s="33"/>
      <c r="H480" s="33">
        <v>301700</v>
      </c>
      <c r="I480" s="33">
        <v>367000</v>
      </c>
      <c r="J480" s="107">
        <f t="shared" ref="J480" si="161">+SUM(C480:G480)-(H480+I480)</f>
        <v>-14216</v>
      </c>
      <c r="K480" s="70"/>
    </row>
    <row r="481" spans="1:11">
      <c r="A481" s="127" t="s">
        <v>99</v>
      </c>
      <c r="B481" s="136" t="s">
        <v>30</v>
      </c>
      <c r="C481" s="53">
        <v>191600</v>
      </c>
      <c r="D481" s="127"/>
      <c r="E481" s="127">
        <v>777000</v>
      </c>
      <c r="F481" s="53"/>
      <c r="G481" s="53"/>
      <c r="H481" s="53"/>
      <c r="I481" s="53">
        <v>825300</v>
      </c>
      <c r="J481" s="132">
        <f>+SUM(C481:G481)-(H481+I481)</f>
        <v>143300</v>
      </c>
      <c r="K481" s="70"/>
    </row>
    <row r="482" spans="1:11">
      <c r="A482" s="131" t="s">
        <v>99</v>
      </c>
      <c r="B482" s="137" t="s">
        <v>85</v>
      </c>
      <c r="C482" s="128">
        <v>233614</v>
      </c>
      <c r="D482" s="131"/>
      <c r="E482" s="131"/>
      <c r="F482" s="131"/>
      <c r="G482" s="131"/>
      <c r="H482" s="128"/>
      <c r="I482" s="128"/>
      <c r="J482" s="129">
        <f>+SUM(C482:G482)-(H482+I482)</f>
        <v>233614</v>
      </c>
      <c r="K482" s="70"/>
    </row>
    <row r="483" spans="1:11">
      <c r="A483" s="131" t="s">
        <v>99</v>
      </c>
      <c r="B483" s="137" t="s">
        <v>84</v>
      </c>
      <c r="C483" s="128">
        <v>249769</v>
      </c>
      <c r="D483" s="131"/>
      <c r="E483" s="131"/>
      <c r="F483" s="131"/>
      <c r="G483" s="131"/>
      <c r="H483" s="128"/>
      <c r="I483" s="128"/>
      <c r="J483" s="129">
        <f t="shared" ref="J483:J488" si="162">+SUM(C483:G483)-(H483+I483)</f>
        <v>249769</v>
      </c>
      <c r="K483" s="70"/>
    </row>
    <row r="484" spans="1:11">
      <c r="A484" s="130" t="s">
        <v>99</v>
      </c>
      <c r="B484" s="135" t="s">
        <v>36</v>
      </c>
      <c r="C484" s="33">
        <v>-3510</v>
      </c>
      <c r="D484" s="32"/>
      <c r="E484" s="32">
        <v>240100</v>
      </c>
      <c r="F484" s="32"/>
      <c r="G484" s="32"/>
      <c r="H484" s="33"/>
      <c r="I484" s="33">
        <v>181500</v>
      </c>
      <c r="J484" s="31">
        <f t="shared" si="162"/>
        <v>55090</v>
      </c>
      <c r="K484" s="70"/>
    </row>
    <row r="485" spans="1:11">
      <c r="A485" s="130" t="s">
        <v>99</v>
      </c>
      <c r="B485" s="135" t="s">
        <v>94</v>
      </c>
      <c r="C485" s="33">
        <v>0</v>
      </c>
      <c r="D485" s="32"/>
      <c r="E485" s="32">
        <v>5000</v>
      </c>
      <c r="F485" s="32"/>
      <c r="G485" s="32"/>
      <c r="H485" s="33"/>
      <c r="I485" s="33">
        <v>5000</v>
      </c>
      <c r="J485" s="31">
        <f t="shared" si="162"/>
        <v>0</v>
      </c>
      <c r="K485" s="70"/>
    </row>
    <row r="486" spans="1:11">
      <c r="A486" s="130" t="s">
        <v>99</v>
      </c>
      <c r="B486" s="135" t="s">
        <v>29</v>
      </c>
      <c r="C486" s="33">
        <v>111200</v>
      </c>
      <c r="D486" s="32"/>
      <c r="E486" s="32">
        <v>704000</v>
      </c>
      <c r="F486" s="32"/>
      <c r="G486" s="32"/>
      <c r="H486" s="33"/>
      <c r="I486" s="33">
        <v>704500</v>
      </c>
      <c r="J486" s="31">
        <f t="shared" si="162"/>
        <v>110700</v>
      </c>
      <c r="K486" s="70"/>
    </row>
    <row r="487" spans="1:11">
      <c r="A487" s="130" t="s">
        <v>99</v>
      </c>
      <c r="B487" s="135" t="s">
        <v>95</v>
      </c>
      <c r="C487" s="33">
        <v>-32081</v>
      </c>
      <c r="D487" s="32"/>
      <c r="E487" s="32">
        <v>0</v>
      </c>
      <c r="F487" s="32"/>
      <c r="G487" s="32"/>
      <c r="H487" s="33"/>
      <c r="I487" s="33">
        <v>0</v>
      </c>
      <c r="J487" s="31">
        <f t="shared" si="162"/>
        <v>-32081</v>
      </c>
      <c r="K487" s="70"/>
    </row>
    <row r="488" spans="1:11">
      <c r="A488" s="130" t="s">
        <v>99</v>
      </c>
      <c r="B488" s="136" t="s">
        <v>32</v>
      </c>
      <c r="C488" s="53">
        <v>5300</v>
      </c>
      <c r="D488" s="127"/>
      <c r="E488" s="127">
        <v>10000</v>
      </c>
      <c r="F488" s="127"/>
      <c r="G488" s="138"/>
      <c r="H488" s="53"/>
      <c r="I488" s="53">
        <v>8000</v>
      </c>
      <c r="J488" s="31">
        <f t="shared" si="162"/>
        <v>7300</v>
      </c>
      <c r="K488" s="70"/>
    </row>
    <row r="489" spans="1:11">
      <c r="A489" s="35" t="s">
        <v>61</v>
      </c>
      <c r="B489" s="36"/>
      <c r="C489" s="36"/>
      <c r="D489" s="36"/>
      <c r="E489" s="36"/>
      <c r="F489" s="36"/>
      <c r="G489" s="36"/>
      <c r="H489" s="36"/>
      <c r="I489" s="36"/>
      <c r="J489" s="37"/>
      <c r="K489" s="70"/>
    </row>
    <row r="490" spans="1:11">
      <c r="A490" s="28" t="s">
        <v>99</v>
      </c>
      <c r="B490" s="38" t="s">
        <v>62</v>
      </c>
      <c r="C490" s="39">
        <v>733034</v>
      </c>
      <c r="D490" s="40">
        <v>4293000</v>
      </c>
      <c r="E490" s="40"/>
      <c r="F490" s="40"/>
      <c r="G490" s="133"/>
      <c r="H490" s="139">
        <v>3197225</v>
      </c>
      <c r="I490" s="134">
        <v>1011040</v>
      </c>
      <c r="J490" s="46">
        <f>+SUM(C490:G490)-(H490+I490)</f>
        <v>817769</v>
      </c>
      <c r="K490" s="70"/>
    </row>
    <row r="491" spans="1:11">
      <c r="A491" s="44" t="s">
        <v>63</v>
      </c>
      <c r="B491" s="25"/>
      <c r="C491" s="36"/>
      <c r="D491" s="25"/>
      <c r="E491" s="25"/>
      <c r="F491" s="25"/>
      <c r="G491" s="25"/>
      <c r="H491" s="25"/>
      <c r="I491" s="25"/>
      <c r="J491" s="37"/>
    </row>
    <row r="492" spans="1:11">
      <c r="A492" s="28" t="s">
        <v>99</v>
      </c>
      <c r="B492" s="38" t="s">
        <v>64</v>
      </c>
      <c r="C492" s="133">
        <v>19184971</v>
      </c>
      <c r="D492" s="140"/>
      <c r="E492" s="51"/>
      <c r="F492" s="51"/>
      <c r="G492" s="51"/>
      <c r="H492" s="53">
        <v>4000000</v>
      </c>
      <c r="I492" s="55">
        <v>472051</v>
      </c>
      <c r="J492" s="46">
        <f>+SUM(C492:G492)-(H492+I492)</f>
        <v>14712920</v>
      </c>
      <c r="K492" s="70"/>
    </row>
    <row r="493" spans="1:11">
      <c r="A493" s="28" t="s">
        <v>99</v>
      </c>
      <c r="B493" s="38" t="s">
        <v>65</v>
      </c>
      <c r="C493" s="133">
        <v>14419055</v>
      </c>
      <c r="D493" s="51"/>
      <c r="E493" s="50"/>
      <c r="F493" s="50"/>
      <c r="G493" s="50"/>
      <c r="H493" s="33">
        <v>293000</v>
      </c>
      <c r="I493" s="52">
        <v>5764972</v>
      </c>
      <c r="J493" s="46">
        <f>SUM(C493:G493)-(H493+I493)</f>
        <v>8361083</v>
      </c>
      <c r="K493" s="70"/>
    </row>
    <row r="494" spans="1:11" ht="15.75">
      <c r="C494" s="9"/>
      <c r="I494" s="9"/>
      <c r="J494" s="111">
        <f>+SUM(J476:J493)</f>
        <v>24676603</v>
      </c>
    </row>
    <row r="495" spans="1:11" ht="16.5">
      <c r="A495" s="10"/>
      <c r="B495" s="11"/>
      <c r="C495" s="12"/>
      <c r="D495" s="12"/>
      <c r="E495" s="12"/>
      <c r="F495" s="12"/>
      <c r="G495" s="12"/>
      <c r="H495" s="12"/>
      <c r="I495" s="12"/>
      <c r="J495" s="141"/>
    </row>
    <row r="496" spans="1:11">
      <c r="A496" s="16" t="s">
        <v>53</v>
      </c>
      <c r="B496" s="16"/>
      <c r="C496" s="16"/>
      <c r="D496" s="17"/>
      <c r="E496" s="17"/>
      <c r="F496" s="17"/>
      <c r="G496" s="17"/>
      <c r="H496" s="17"/>
      <c r="I496" s="17"/>
    </row>
    <row r="497" spans="1:10">
      <c r="A497" s="18" t="s">
        <v>88</v>
      </c>
      <c r="B497" s="18"/>
      <c r="C497" s="18"/>
      <c r="D497" s="18"/>
      <c r="E497" s="18"/>
      <c r="F497" s="18"/>
      <c r="G497" s="18"/>
      <c r="H497" s="18"/>
      <c r="I497" s="18"/>
      <c r="J497" s="17"/>
    </row>
    <row r="498" spans="1:10" ht="15" customHeight="1">
      <c r="A498" s="19"/>
      <c r="B498" s="20"/>
      <c r="C498" s="21"/>
      <c r="D498" s="21"/>
      <c r="E498" s="21"/>
      <c r="F498" s="21"/>
      <c r="G498" s="21"/>
      <c r="H498" s="20"/>
      <c r="I498" s="20"/>
      <c r="J498" s="18"/>
    </row>
    <row r="499" spans="1:10" ht="15" customHeight="1">
      <c r="A499" s="335" t="s">
        <v>54</v>
      </c>
      <c r="B499" s="337" t="s">
        <v>55</v>
      </c>
      <c r="C499" s="339" t="s">
        <v>89</v>
      </c>
      <c r="D499" s="341" t="s">
        <v>56</v>
      </c>
      <c r="E499" s="342"/>
      <c r="F499" s="342"/>
      <c r="G499" s="343"/>
      <c r="H499" s="344" t="s">
        <v>57</v>
      </c>
      <c r="I499" s="331" t="s">
        <v>58</v>
      </c>
      <c r="J499" s="20"/>
    </row>
    <row r="500" spans="1:10" ht="15" customHeight="1">
      <c r="A500" s="336"/>
      <c r="B500" s="338"/>
      <c r="C500" s="340"/>
      <c r="D500" s="22" t="s">
        <v>24</v>
      </c>
      <c r="E500" s="22" t="s">
        <v>25</v>
      </c>
      <c r="F500" s="112" t="s">
        <v>92</v>
      </c>
      <c r="G500" s="22" t="s">
        <v>59</v>
      </c>
      <c r="H500" s="345"/>
      <c r="I500" s="332"/>
      <c r="J500" s="333" t="s">
        <v>90</v>
      </c>
    </row>
    <row r="501" spans="1:10">
      <c r="A501" s="24"/>
      <c r="B501" s="25" t="s">
        <v>60</v>
      </c>
      <c r="C501" s="26"/>
      <c r="D501" s="26"/>
      <c r="E501" s="26"/>
      <c r="F501" s="26"/>
      <c r="G501" s="26"/>
      <c r="H501" s="26"/>
      <c r="I501" s="27"/>
      <c r="J501" s="334"/>
    </row>
    <row r="502" spans="1:10" ht="16.5">
      <c r="A502" s="28" t="s">
        <v>91</v>
      </c>
      <c r="B502" s="8" t="s">
        <v>77</v>
      </c>
      <c r="C502" s="29" t="e">
        <f>+#REF!</f>
        <v>#REF!</v>
      </c>
      <c r="D502" s="30"/>
      <c r="E502" s="30">
        <v>271100</v>
      </c>
      <c r="F502" s="30">
        <f>112800+126500</f>
        <v>239300</v>
      </c>
      <c r="G502" s="30"/>
      <c r="H502" s="57"/>
      <c r="I502" s="34">
        <v>521950</v>
      </c>
      <c r="J502" s="31" t="e">
        <f>+SUM(C502:G502)-(H502+I502)</f>
        <v>#REF!</v>
      </c>
    </row>
    <row r="503" spans="1:10" ht="16.5">
      <c r="A503" s="28" t="s">
        <v>91</v>
      </c>
      <c r="B503" s="8" t="s">
        <v>48</v>
      </c>
      <c r="C503" s="29" t="e">
        <f>+C267</f>
        <v>#REF!</v>
      </c>
      <c r="D503" s="30"/>
      <c r="E503" s="30">
        <v>625000</v>
      </c>
      <c r="F503" s="30"/>
      <c r="G503" s="30"/>
      <c r="H503" s="57">
        <v>247500</v>
      </c>
      <c r="I503" s="34">
        <v>371500</v>
      </c>
      <c r="J503" s="31" t="e">
        <f t="shared" ref="J503:J504" si="163">+SUM(C503:G503)-(H503+I503)</f>
        <v>#REF!</v>
      </c>
    </row>
    <row r="504" spans="1:10" ht="16.5">
      <c r="A504" s="28" t="s">
        <v>91</v>
      </c>
      <c r="B504" s="8" t="s">
        <v>31</v>
      </c>
      <c r="C504" s="29" t="e">
        <f>+C268</f>
        <v>#REF!</v>
      </c>
      <c r="D504" s="30"/>
      <c r="E504" s="30">
        <v>60000</v>
      </c>
      <c r="F504" s="106"/>
      <c r="G504" s="106"/>
      <c r="H504" s="33"/>
      <c r="I504" s="56">
        <v>67200</v>
      </c>
      <c r="J504" s="107" t="e">
        <f t="shared" si="163"/>
        <v>#REF!</v>
      </c>
    </row>
    <row r="505" spans="1:10" ht="15.75" customHeight="1">
      <c r="A505" s="28" t="s">
        <v>91</v>
      </c>
      <c r="B505" s="8" t="s">
        <v>78</v>
      </c>
      <c r="C505" s="29" t="e">
        <f>+C269</f>
        <v>#REF!</v>
      </c>
      <c r="D505" s="58"/>
      <c r="E505" s="30">
        <v>140000</v>
      </c>
      <c r="F505" s="106">
        <v>270500</v>
      </c>
      <c r="G505" s="106"/>
      <c r="H505" s="33"/>
      <c r="I505" s="33">
        <v>417300</v>
      </c>
      <c r="J505" s="107" t="e">
        <f>+SUM(C505:G505)-(H505+I505)</f>
        <v>#REF!</v>
      </c>
    </row>
    <row r="506" spans="1:10" ht="16.5">
      <c r="A506" s="28" t="s">
        <v>91</v>
      </c>
      <c r="B506" s="8" t="s">
        <v>70</v>
      </c>
      <c r="C506" s="29">
        <v>15984</v>
      </c>
      <c r="D506" s="58"/>
      <c r="E506" s="30">
        <v>256400</v>
      </c>
      <c r="F506" s="106"/>
      <c r="G506" s="106"/>
      <c r="H506" s="33"/>
      <c r="I506" s="34">
        <v>263500</v>
      </c>
      <c r="J506" s="107">
        <f t="shared" ref="J506" si="164">+SUM(C506:G506)-(H506+I506)</f>
        <v>8884</v>
      </c>
    </row>
    <row r="507" spans="1:10" ht="16.5">
      <c r="A507" s="28" t="s">
        <v>91</v>
      </c>
      <c r="B507" s="8" t="s">
        <v>30</v>
      </c>
      <c r="C507" s="29" t="e">
        <f t="shared" ref="C507:C511" si="165">+C270</f>
        <v>#REF!</v>
      </c>
      <c r="D507" s="30"/>
      <c r="E507" s="30">
        <v>858500</v>
      </c>
      <c r="F507" s="106"/>
      <c r="G507" s="106"/>
      <c r="H507" s="33"/>
      <c r="I507" s="34">
        <v>645000</v>
      </c>
      <c r="J507" s="107" t="e">
        <f>+SUM(C507:G507)-(H507+I507)</f>
        <v>#REF!</v>
      </c>
    </row>
    <row r="508" spans="1:10" ht="16.5">
      <c r="A508" s="28" t="s">
        <v>91</v>
      </c>
      <c r="B508" s="8" t="s">
        <v>36</v>
      </c>
      <c r="C508" s="29" t="e">
        <f t="shared" si="165"/>
        <v>#REF!</v>
      </c>
      <c r="D508" s="30"/>
      <c r="E508" s="30">
        <v>800700</v>
      </c>
      <c r="F508" s="30"/>
      <c r="G508" s="30"/>
      <c r="H508" s="33">
        <v>262300</v>
      </c>
      <c r="I508" s="34">
        <v>543600</v>
      </c>
      <c r="J508" s="31" t="e">
        <f>+SUM(C508:G508)-(H508+I508)</f>
        <v>#REF!</v>
      </c>
    </row>
    <row r="509" spans="1:10" ht="16.5">
      <c r="A509" s="28" t="s">
        <v>91</v>
      </c>
      <c r="B509" s="8" t="s">
        <v>29</v>
      </c>
      <c r="C509" s="29" t="e">
        <f t="shared" si="165"/>
        <v>#REF!</v>
      </c>
      <c r="D509" s="30"/>
      <c r="E509" s="30">
        <v>971600</v>
      </c>
      <c r="F509" s="30"/>
      <c r="G509" s="30"/>
      <c r="H509" s="33">
        <v>200000</v>
      </c>
      <c r="I509" s="34">
        <v>639450</v>
      </c>
      <c r="J509" s="31" t="e">
        <f t="shared" ref="J509:J510" si="166">+SUM(C509:G509)-(H509+I509)</f>
        <v>#REF!</v>
      </c>
    </row>
    <row r="510" spans="1:10" ht="16.5">
      <c r="A510" s="28" t="s">
        <v>91</v>
      </c>
      <c r="B510" s="8" t="s">
        <v>5</v>
      </c>
      <c r="C510" s="29" t="e">
        <f t="shared" si="165"/>
        <v>#REF!</v>
      </c>
      <c r="D510" s="30"/>
      <c r="E510" s="30"/>
      <c r="F510" s="30"/>
      <c r="G510" s="30"/>
      <c r="H510" s="33"/>
      <c r="I510" s="56">
        <v>23000</v>
      </c>
      <c r="J510" s="31" t="e">
        <f t="shared" si="166"/>
        <v>#REF!</v>
      </c>
    </row>
    <row r="511" spans="1:10" ht="16.5">
      <c r="A511" s="28" t="s">
        <v>91</v>
      </c>
      <c r="B511" s="8" t="s">
        <v>32</v>
      </c>
      <c r="C511" s="29" t="e">
        <f t="shared" si="165"/>
        <v>#REF!</v>
      </c>
      <c r="D511" s="30"/>
      <c r="E511" s="30"/>
      <c r="F511" s="30"/>
      <c r="G511" s="30"/>
      <c r="H511" s="33"/>
      <c r="I511" s="34">
        <v>0</v>
      </c>
      <c r="J511" s="31" t="e">
        <f>+SUM(C511:G511)-(H511+I511)</f>
        <v>#REF!</v>
      </c>
    </row>
    <row r="512" spans="1:10" ht="16.5">
      <c r="A512" s="114" t="s">
        <v>91</v>
      </c>
      <c r="B512" s="115" t="s">
        <v>93</v>
      </c>
      <c r="C512" s="116">
        <v>3721074</v>
      </c>
      <c r="D512" s="117"/>
      <c r="E512" s="118"/>
      <c r="F512" s="117"/>
      <c r="G512" s="119"/>
      <c r="H512" s="116">
        <v>3721074</v>
      </c>
      <c r="I512" s="120"/>
      <c r="J512" s="121">
        <f>+SUM(C512:G512)-(H512+I512)</f>
        <v>0</v>
      </c>
    </row>
    <row r="513" spans="1:11">
      <c r="A513" s="35" t="s">
        <v>61</v>
      </c>
      <c r="B513" s="36"/>
      <c r="C513" s="36"/>
      <c r="D513" s="36"/>
      <c r="E513" s="36"/>
      <c r="F513" s="36"/>
      <c r="G513" s="36"/>
      <c r="H513" s="36"/>
      <c r="I513" s="36"/>
      <c r="J513" s="37"/>
    </row>
    <row r="514" spans="1:11">
      <c r="A514" s="28" t="s">
        <v>91</v>
      </c>
      <c r="B514" s="38" t="s">
        <v>62</v>
      </c>
      <c r="C514" s="39" t="e">
        <f>+C266</f>
        <v>#REF!</v>
      </c>
      <c r="D514" s="40">
        <v>5000000</v>
      </c>
      <c r="E514" s="40"/>
      <c r="F514" s="40"/>
      <c r="G514" s="41">
        <v>200000</v>
      </c>
      <c r="H514" s="49">
        <v>3983300</v>
      </c>
      <c r="I514" s="42">
        <v>776245</v>
      </c>
      <c r="J514" s="43" t="e">
        <f>+SUM(C514:G514)-(H514+I514)</f>
        <v>#REF!</v>
      </c>
    </row>
    <row r="515" spans="1:11">
      <c r="A515" s="44" t="s">
        <v>63</v>
      </c>
      <c r="B515" s="25"/>
      <c r="C515" s="36"/>
      <c r="D515" s="25"/>
      <c r="E515" s="25"/>
      <c r="F515" s="25"/>
      <c r="G515" s="25"/>
      <c r="H515" s="25"/>
      <c r="I515" s="25"/>
      <c r="J515" s="37"/>
    </row>
    <row r="516" spans="1:11">
      <c r="A516" s="28" t="s">
        <v>91</v>
      </c>
      <c r="B516" s="38" t="s">
        <v>64</v>
      </c>
      <c r="C516" s="45" t="e">
        <f>+#REF!</f>
        <v>#REF!</v>
      </c>
      <c r="D516" s="54">
        <v>19826114</v>
      </c>
      <c r="E516" s="51"/>
      <c r="F516" s="51"/>
      <c r="G516" s="51"/>
      <c r="H516" s="53">
        <v>5000000</v>
      </c>
      <c r="I516" s="55">
        <v>455737</v>
      </c>
      <c r="J516" s="46" t="e">
        <f>+SUM(C516:G516)-(H516+I516)</f>
        <v>#REF!</v>
      </c>
    </row>
    <row r="517" spans="1:11">
      <c r="A517" s="28" t="s">
        <v>91</v>
      </c>
      <c r="B517" s="38" t="s">
        <v>65</v>
      </c>
      <c r="C517" s="45" t="e">
        <f>+C265</f>
        <v>#REF!</v>
      </c>
      <c r="D517" s="51">
        <v>13119140</v>
      </c>
      <c r="E517" s="50"/>
      <c r="F517" s="50"/>
      <c r="G517" s="50"/>
      <c r="H517" s="33"/>
      <c r="I517" s="52">
        <v>3445919</v>
      </c>
      <c r="J517" s="46" t="e">
        <f>SUM(C517:G517)-(H517+I517)</f>
        <v>#REF!</v>
      </c>
    </row>
    <row r="518" spans="1:11">
      <c r="A518" s="162" t="s">
        <v>91</v>
      </c>
      <c r="B518" s="158" t="s">
        <v>84</v>
      </c>
      <c r="C518" s="163">
        <v>249769</v>
      </c>
      <c r="D518" s="51"/>
      <c r="E518" s="51"/>
      <c r="F518" s="51"/>
      <c r="G518" s="51"/>
      <c r="H518" s="33"/>
      <c r="I518" s="52"/>
      <c r="J518" s="164">
        <f>SUM(C518:G518)-(H518+I518)</f>
        <v>249769</v>
      </c>
    </row>
    <row r="519" spans="1:11">
      <c r="A519" s="162" t="s">
        <v>91</v>
      </c>
      <c r="B519" s="160" t="s">
        <v>85</v>
      </c>
      <c r="C519" s="163">
        <v>233614</v>
      </c>
      <c r="D519" s="51"/>
      <c r="E519" s="51"/>
      <c r="F519" s="51"/>
      <c r="G519" s="51"/>
      <c r="H519" s="33"/>
      <c r="I519" s="52"/>
      <c r="J519" s="164">
        <f>SUM(C519:G519)-(H519+I519)</f>
        <v>233614</v>
      </c>
    </row>
    <row r="520" spans="1:11">
      <c r="A520" s="162" t="s">
        <v>91</v>
      </c>
      <c r="B520" s="161" t="s">
        <v>86</v>
      </c>
      <c r="C520" s="163">
        <v>330169</v>
      </c>
      <c r="D520" s="165"/>
      <c r="E520" s="165"/>
      <c r="F520" s="165"/>
      <c r="G520" s="165"/>
      <c r="H520" s="165"/>
      <c r="I520" s="165"/>
      <c r="J520" s="164">
        <f>SUM(C520:G520)-(H520+I520)</f>
        <v>330169</v>
      </c>
    </row>
    <row r="521" spans="1:11" ht="15.75">
      <c r="C521" s="9"/>
      <c r="I521" s="9"/>
      <c r="J521" s="111" t="e">
        <f>+SUM(J502:J520)</f>
        <v>#REF!</v>
      </c>
      <c r="K521" s="113" t="e">
        <f>+J521-I278</f>
        <v>#REF!</v>
      </c>
    </row>
    <row r="523" spans="1:11">
      <c r="A523" s="16" t="s">
        <v>53</v>
      </c>
      <c r="B523" s="16"/>
      <c r="C523" s="16"/>
      <c r="D523" s="17"/>
      <c r="E523" s="17"/>
      <c r="F523" s="17"/>
      <c r="G523" s="17"/>
      <c r="H523" s="17"/>
      <c r="I523" s="17"/>
    </row>
    <row r="524" spans="1:11">
      <c r="A524" s="18" t="s">
        <v>79</v>
      </c>
      <c r="B524" s="18"/>
      <c r="C524" s="18"/>
      <c r="D524" s="18"/>
      <c r="E524" s="18"/>
      <c r="F524" s="18"/>
      <c r="G524" s="18"/>
      <c r="H524" s="18"/>
      <c r="I524" s="18"/>
      <c r="J524" s="17"/>
    </row>
    <row r="525" spans="1:11">
      <c r="A525" s="19"/>
      <c r="B525" s="20"/>
      <c r="C525" s="21"/>
      <c r="D525" s="21"/>
      <c r="E525" s="21"/>
      <c r="F525" s="21"/>
      <c r="G525" s="21"/>
      <c r="H525" s="20"/>
      <c r="I525" s="20"/>
      <c r="J525" s="18"/>
    </row>
    <row r="526" spans="1:11">
      <c r="A526" s="335" t="s">
        <v>54</v>
      </c>
      <c r="B526" s="337" t="s">
        <v>55</v>
      </c>
      <c r="C526" s="339" t="s">
        <v>81</v>
      </c>
      <c r="D526" s="341" t="s">
        <v>56</v>
      </c>
      <c r="E526" s="342"/>
      <c r="F526" s="342"/>
      <c r="G526" s="343"/>
      <c r="H526" s="344" t="s">
        <v>57</v>
      </c>
      <c r="I526" s="331" t="s">
        <v>58</v>
      </c>
      <c r="J526" s="20"/>
    </row>
    <row r="527" spans="1:11" ht="36.75" customHeight="1">
      <c r="A527" s="336"/>
      <c r="B527" s="338"/>
      <c r="C527" s="340"/>
      <c r="D527" s="22" t="s">
        <v>24</v>
      </c>
      <c r="E527" s="22" t="s">
        <v>25</v>
      </c>
      <c r="F527" s="23" t="s">
        <v>70</v>
      </c>
      <c r="G527" s="22" t="s">
        <v>59</v>
      </c>
      <c r="H527" s="345"/>
      <c r="I527" s="332"/>
      <c r="J527" s="333" t="s">
        <v>87</v>
      </c>
    </row>
    <row r="528" spans="1:11">
      <c r="A528" s="24"/>
      <c r="B528" s="25" t="s">
        <v>60</v>
      </c>
      <c r="C528" s="26"/>
      <c r="D528" s="26"/>
      <c r="E528" s="26"/>
      <c r="F528" s="26"/>
      <c r="G528" s="26"/>
      <c r="H528" s="26"/>
      <c r="I528" s="27"/>
      <c r="J528" s="334"/>
    </row>
    <row r="529" spans="1:10" ht="16.5">
      <c r="A529" s="28" t="s">
        <v>80</v>
      </c>
      <c r="B529" s="8" t="s">
        <v>77</v>
      </c>
      <c r="C529" s="29">
        <v>0</v>
      </c>
      <c r="D529" s="30"/>
      <c r="E529" s="30">
        <v>40000</v>
      </c>
      <c r="F529" s="30"/>
      <c r="G529" s="30"/>
      <c r="H529" s="57"/>
      <c r="I529" s="34">
        <v>39200</v>
      </c>
      <c r="J529" s="31">
        <f>+SUM(C529:G529)-(H529+I529)</f>
        <v>800</v>
      </c>
    </row>
    <row r="530" spans="1:10" ht="16.5">
      <c r="A530" s="28" t="s">
        <v>80</v>
      </c>
      <c r="B530" s="8" t="str">
        <f>+A267</f>
        <v>JUILLET</v>
      </c>
      <c r="C530" s="29">
        <v>19060</v>
      </c>
      <c r="D530" s="30"/>
      <c r="E530" s="30">
        <v>20000</v>
      </c>
      <c r="F530" s="30"/>
      <c r="G530" s="30"/>
      <c r="H530" s="57"/>
      <c r="I530" s="34">
        <v>36000</v>
      </c>
      <c r="J530" s="31">
        <f t="shared" ref="J530:J537" si="167">+SUM(C530:G530)-(H530+I530)</f>
        <v>3060</v>
      </c>
    </row>
    <row r="531" spans="1:10" ht="16.5">
      <c r="A531" s="28" t="s">
        <v>80</v>
      </c>
      <c r="B531" s="8" t="str">
        <f>+A268</f>
        <v>JUILLET</v>
      </c>
      <c r="C531" s="29">
        <v>8395</v>
      </c>
      <c r="D531" s="30"/>
      <c r="E531" s="30">
        <v>20000</v>
      </c>
      <c r="F531" s="106"/>
      <c r="G531" s="106"/>
      <c r="H531" s="33"/>
      <c r="I531" s="56">
        <v>20000</v>
      </c>
      <c r="J531" s="107">
        <f t="shared" si="167"/>
        <v>8395</v>
      </c>
    </row>
    <row r="532" spans="1:10" ht="16.5">
      <c r="A532" s="28" t="s">
        <v>80</v>
      </c>
      <c r="B532" s="8" t="str">
        <f>+A269</f>
        <v>JUILLET</v>
      </c>
      <c r="C532" s="29">
        <v>0</v>
      </c>
      <c r="D532" s="58"/>
      <c r="E532" s="30">
        <v>100000</v>
      </c>
      <c r="F532" s="106">
        <v>102200</v>
      </c>
      <c r="G532" s="106"/>
      <c r="H532" s="33"/>
      <c r="I532" s="33">
        <v>204000</v>
      </c>
      <c r="J532" s="107">
        <f>+SUM(C532:G532)-(H532+I532)</f>
        <v>-1800</v>
      </c>
    </row>
    <row r="533" spans="1:10" ht="16.5">
      <c r="A533" s="28" t="s">
        <v>80</v>
      </c>
      <c r="B533" s="8" t="e">
        <f>+#REF!</f>
        <v>#REF!</v>
      </c>
      <c r="C533" s="29">
        <v>7559</v>
      </c>
      <c r="D533" s="58"/>
      <c r="E533" s="30">
        <v>866200</v>
      </c>
      <c r="F533" s="106"/>
      <c r="G533" s="106"/>
      <c r="H533" s="33">
        <v>252200</v>
      </c>
      <c r="I533" s="34">
        <v>605575</v>
      </c>
      <c r="J533" s="107">
        <f t="shared" si="167"/>
        <v>15984</v>
      </c>
    </row>
    <row r="534" spans="1:10" ht="16.5">
      <c r="A534" s="28" t="s">
        <v>80</v>
      </c>
      <c r="B534" s="8" t="str">
        <f t="shared" ref="B534:B537" si="168">+A270</f>
        <v>JUILLET</v>
      </c>
      <c r="C534" s="29">
        <v>214000</v>
      </c>
      <c r="D534" s="30"/>
      <c r="E534" s="30">
        <v>724100</v>
      </c>
      <c r="F534" s="106"/>
      <c r="G534" s="106"/>
      <c r="H534" s="33"/>
      <c r="I534" s="34">
        <v>960000</v>
      </c>
      <c r="J534" s="107">
        <f>+SUM(C534:G534)-(H534+I534)</f>
        <v>-21900</v>
      </c>
    </row>
    <row r="535" spans="1:10" ht="16.5">
      <c r="A535" s="28" t="s">
        <v>80</v>
      </c>
      <c r="B535" s="8" t="str">
        <f t="shared" si="168"/>
        <v>JUILLET</v>
      </c>
      <c r="C535" s="29">
        <v>-13805</v>
      </c>
      <c r="D535" s="30"/>
      <c r="E535" s="30">
        <v>333400</v>
      </c>
      <c r="F535" s="30">
        <v>150000</v>
      </c>
      <c r="G535" s="30"/>
      <c r="H535" s="33">
        <v>129000</v>
      </c>
      <c r="I535" s="34">
        <v>338905</v>
      </c>
      <c r="J535" s="31">
        <f>+SUM(C535:G535)-(H535+I535)</f>
        <v>1690</v>
      </c>
    </row>
    <row r="536" spans="1:10" ht="16.5">
      <c r="A536" s="28" t="s">
        <v>80</v>
      </c>
      <c r="B536" s="8" t="str">
        <f t="shared" si="168"/>
        <v>JUILLET</v>
      </c>
      <c r="C536" s="29">
        <v>84350</v>
      </c>
      <c r="D536" s="30"/>
      <c r="E536" s="30">
        <v>669400</v>
      </c>
      <c r="F536" s="30"/>
      <c r="G536" s="30"/>
      <c r="H536" s="33">
        <v>100000</v>
      </c>
      <c r="I536" s="34">
        <v>674700</v>
      </c>
      <c r="J536" s="31">
        <f>+SUM(C536:G536)-(H536+I536)</f>
        <v>-20950</v>
      </c>
    </row>
    <row r="537" spans="1:10" ht="16.5">
      <c r="A537" s="28" t="s">
        <v>80</v>
      </c>
      <c r="B537" s="8" t="str">
        <f t="shared" si="168"/>
        <v>JUILLET</v>
      </c>
      <c r="C537" s="29">
        <v>-216251</v>
      </c>
      <c r="D537" s="30"/>
      <c r="E537" s="30">
        <v>242000</v>
      </c>
      <c r="F537" s="30"/>
      <c r="G537" s="30"/>
      <c r="H537" s="33"/>
      <c r="I537" s="56">
        <v>34830</v>
      </c>
      <c r="J537" s="31">
        <f t="shared" si="167"/>
        <v>-9081</v>
      </c>
    </row>
    <row r="538" spans="1:10" ht="16.5">
      <c r="A538" s="28" t="s">
        <v>80</v>
      </c>
      <c r="B538" s="8" t="s">
        <v>33</v>
      </c>
      <c r="C538" s="29">
        <v>2025</v>
      </c>
      <c r="D538" s="30"/>
      <c r="E538" s="30">
        <v>25000</v>
      </c>
      <c r="F538" s="30"/>
      <c r="G538" s="30"/>
      <c r="H538" s="33">
        <v>3025</v>
      </c>
      <c r="I538" s="34">
        <v>24000</v>
      </c>
      <c r="J538" s="31">
        <f>+SUM(C538:G538)-(H538+I538)</f>
        <v>0</v>
      </c>
    </row>
    <row r="539" spans="1:10" ht="16.5">
      <c r="A539" s="28" t="s">
        <v>80</v>
      </c>
      <c r="B539" s="8" t="s">
        <v>32</v>
      </c>
      <c r="C539" s="29">
        <v>10000</v>
      </c>
      <c r="D539" s="32"/>
      <c r="E539" s="30">
        <v>0</v>
      </c>
      <c r="F539" s="32"/>
      <c r="G539" s="32"/>
      <c r="H539" s="33"/>
      <c r="I539" s="34">
        <v>4700</v>
      </c>
      <c r="J539" s="31">
        <f>+SUM(C539:G539)-(H539+I539)</f>
        <v>5300</v>
      </c>
    </row>
    <row r="540" spans="1:10">
      <c r="A540" s="35" t="s">
        <v>61</v>
      </c>
      <c r="B540" s="36"/>
      <c r="C540" s="36"/>
      <c r="D540" s="36"/>
      <c r="E540" s="36"/>
      <c r="F540" s="36"/>
      <c r="G540" s="36"/>
      <c r="H540" s="36"/>
      <c r="I540" s="36"/>
      <c r="J540" s="37"/>
    </row>
    <row r="541" spans="1:10">
      <c r="A541" s="28" t="s">
        <v>80</v>
      </c>
      <c r="B541" s="38" t="s">
        <v>62</v>
      </c>
      <c r="C541" s="39">
        <v>791675</v>
      </c>
      <c r="D541" s="40">
        <v>3185100</v>
      </c>
      <c r="E541" s="40"/>
      <c r="F541" s="40"/>
      <c r="G541" s="41">
        <v>237025</v>
      </c>
      <c r="H541" s="49">
        <v>3045100</v>
      </c>
      <c r="I541" s="42">
        <v>876121</v>
      </c>
      <c r="J541" s="43">
        <f>+SUM(C541:G541)-(H541+I541)</f>
        <v>292579</v>
      </c>
    </row>
    <row r="542" spans="1:10">
      <c r="A542" s="44" t="s">
        <v>63</v>
      </c>
      <c r="B542" s="25"/>
      <c r="C542" s="36"/>
      <c r="D542" s="25"/>
      <c r="E542" s="25"/>
      <c r="F542" s="25"/>
      <c r="G542" s="25"/>
      <c r="H542" s="25"/>
      <c r="I542" s="25"/>
      <c r="J542" s="37"/>
    </row>
    <row r="543" spans="1:10">
      <c r="A543" s="28" t="s">
        <v>80</v>
      </c>
      <c r="B543" s="38" t="s">
        <v>64</v>
      </c>
      <c r="C543" s="45">
        <v>8039273</v>
      </c>
      <c r="D543" s="54">
        <v>0</v>
      </c>
      <c r="E543" s="51"/>
      <c r="F543" s="51"/>
      <c r="G543" s="51"/>
      <c r="H543" s="53">
        <v>3000000</v>
      </c>
      <c r="I543" s="55">
        <v>224679</v>
      </c>
      <c r="J543" s="46">
        <f>+SUM(C543:G543)-(H543+I543)</f>
        <v>4814594</v>
      </c>
    </row>
    <row r="544" spans="1:10">
      <c r="A544" s="28" t="s">
        <v>80</v>
      </c>
      <c r="B544" s="38" t="s">
        <v>65</v>
      </c>
      <c r="C544" s="45">
        <v>13283340</v>
      </c>
      <c r="D544" s="51">
        <v>0</v>
      </c>
      <c r="E544" s="50"/>
      <c r="F544" s="50"/>
      <c r="G544" s="50"/>
      <c r="H544" s="33">
        <v>185100</v>
      </c>
      <c r="I544" s="52">
        <v>8352406</v>
      </c>
      <c r="J544" s="46">
        <f>SUM(C544:G544)-(H544+I544)</f>
        <v>4745834</v>
      </c>
    </row>
    <row r="545" spans="1:15">
      <c r="A545" s="157" t="s">
        <v>80</v>
      </c>
      <c r="B545" s="158" t="s">
        <v>83</v>
      </c>
      <c r="C545" s="45">
        <v>3721074</v>
      </c>
      <c r="D545" s="157"/>
      <c r="E545" s="157"/>
      <c r="F545" s="157"/>
      <c r="G545" s="157"/>
      <c r="H545" s="157"/>
      <c r="I545" s="157"/>
      <c r="J545" s="159">
        <f>SUM(C545:G545)-(H545+I545)</f>
        <v>3721074</v>
      </c>
    </row>
    <row r="546" spans="1:15">
      <c r="A546" s="157" t="s">
        <v>80</v>
      </c>
      <c r="B546" s="158" t="s">
        <v>84</v>
      </c>
      <c r="C546" s="45">
        <v>249769</v>
      </c>
      <c r="D546" s="51"/>
      <c r="E546" s="51"/>
      <c r="F546" s="51"/>
      <c r="G546" s="51"/>
      <c r="H546" s="33"/>
      <c r="I546" s="52"/>
      <c r="J546" s="159">
        <f>SUM(C546:G546)-(H546+I546)</f>
        <v>249769</v>
      </c>
    </row>
    <row r="547" spans="1:15">
      <c r="A547" s="157" t="s">
        <v>80</v>
      </c>
      <c r="B547" s="160" t="s">
        <v>85</v>
      </c>
      <c r="C547" s="45">
        <v>233614</v>
      </c>
      <c r="D547" s="51"/>
      <c r="E547" s="51"/>
      <c r="F547" s="51"/>
      <c r="G547" s="51"/>
      <c r="H547" s="33"/>
      <c r="I547" s="52"/>
      <c r="J547" s="159">
        <f>SUM(C547:G547)-(H547+I547)</f>
        <v>233614</v>
      </c>
    </row>
    <row r="548" spans="1:15">
      <c r="A548" s="157" t="s">
        <v>80</v>
      </c>
      <c r="B548" s="161" t="s">
        <v>86</v>
      </c>
      <c r="C548" s="45">
        <v>330169</v>
      </c>
      <c r="D548" s="157"/>
      <c r="E548" s="157"/>
      <c r="F548" s="157"/>
      <c r="G548" s="157"/>
      <c r="H548" s="157"/>
      <c r="I548" s="157"/>
      <c r="J548" s="159">
        <f>SUM(C548:G548)-(H548+I548)</f>
        <v>330169</v>
      </c>
    </row>
    <row r="549" spans="1:15" ht="15.75">
      <c r="C549" s="9"/>
      <c r="I549" s="9"/>
      <c r="J549" s="111">
        <f>+SUM(J529:J548)</f>
        <v>14369131</v>
      </c>
    </row>
    <row r="550" spans="1:15">
      <c r="C550" s="9"/>
      <c r="I550" s="9"/>
      <c r="J550" s="9"/>
    </row>
    <row r="551" spans="1:15" s="74" customFormat="1">
      <c r="A551" s="72" t="s">
        <v>66</v>
      </c>
      <c r="B551" s="72"/>
      <c r="C551" s="72"/>
      <c r="D551" s="72"/>
      <c r="E551" s="72"/>
      <c r="F551" s="72"/>
      <c r="G551" s="72"/>
      <c r="H551" s="72"/>
      <c r="I551" s="72"/>
      <c r="J551" s="73"/>
      <c r="L551" s="75"/>
      <c r="M551" s="75"/>
      <c r="N551" s="75"/>
      <c r="O551" s="75"/>
    </row>
    <row r="552" spans="1:15" s="74" customFormat="1">
      <c r="A552" s="76"/>
      <c r="B552" s="73"/>
      <c r="C552" s="77"/>
      <c r="D552" s="77"/>
      <c r="E552" s="77"/>
      <c r="F552" s="77"/>
      <c r="G552" s="77"/>
      <c r="H552" s="73"/>
      <c r="I552" s="73"/>
      <c r="J552" s="72"/>
      <c r="L552" s="75"/>
      <c r="M552" s="75"/>
      <c r="N552" s="75"/>
      <c r="O552" s="75"/>
    </row>
    <row r="553" spans="1:15" s="74" customFormat="1">
      <c r="A553" s="335" t="s">
        <v>54</v>
      </c>
      <c r="B553" s="337" t="s">
        <v>55</v>
      </c>
      <c r="C553" s="339" t="s">
        <v>68</v>
      </c>
      <c r="D553" s="358" t="s">
        <v>56</v>
      </c>
      <c r="E553" s="359"/>
      <c r="F553" s="359"/>
      <c r="G553" s="360"/>
      <c r="H553" s="361" t="s">
        <v>57</v>
      </c>
      <c r="I553" s="363" t="s">
        <v>58</v>
      </c>
      <c r="J553" s="73"/>
      <c r="L553" s="75"/>
      <c r="M553" s="75"/>
      <c r="N553" s="75"/>
      <c r="O553" s="75"/>
    </row>
    <row r="554" spans="1:15" s="74" customFormat="1">
      <c r="A554" s="336"/>
      <c r="B554" s="338"/>
      <c r="C554" s="340"/>
      <c r="D554" s="22" t="s">
        <v>24</v>
      </c>
      <c r="E554" s="22" t="s">
        <v>25</v>
      </c>
      <c r="F554" s="71" t="s">
        <v>70</v>
      </c>
      <c r="G554" s="22" t="s">
        <v>59</v>
      </c>
      <c r="H554" s="362"/>
      <c r="I554" s="364"/>
      <c r="J554" s="333" t="s">
        <v>69</v>
      </c>
      <c r="L554" s="75"/>
      <c r="M554" s="75"/>
      <c r="N554" s="75"/>
      <c r="O554" s="75"/>
    </row>
    <row r="555" spans="1:15" s="74" customFormat="1">
      <c r="A555" s="78"/>
      <c r="B555" s="79" t="s">
        <v>60</v>
      </c>
      <c r="C555" s="80"/>
      <c r="D555" s="80"/>
      <c r="E555" s="80"/>
      <c r="F555" s="80"/>
      <c r="G555" s="80"/>
      <c r="H555" s="80"/>
      <c r="I555" s="81"/>
      <c r="J555" s="334"/>
      <c r="L555" s="75"/>
      <c r="M555" s="75"/>
      <c r="N555" s="75"/>
      <c r="O555" s="75"/>
    </row>
    <row r="556" spans="1:15" s="74" customFormat="1" ht="16.5">
      <c r="A556" s="82" t="s">
        <v>67</v>
      </c>
      <c r="B556" s="8" t="s">
        <v>48</v>
      </c>
      <c r="C556" s="83">
        <v>40560</v>
      </c>
      <c r="D556" s="30"/>
      <c r="E556" s="30">
        <v>0</v>
      </c>
      <c r="F556" s="30"/>
      <c r="G556" s="30"/>
      <c r="H556" s="84"/>
      <c r="I556" s="85">
        <f>+SUM([1]COMPTA_CREPIN!$F$3050:$F$3066)</f>
        <v>21500</v>
      </c>
      <c r="J556" s="31">
        <f>+SUM(C556:G556)-(H556+I556)</f>
        <v>19060</v>
      </c>
      <c r="L556" s="75"/>
      <c r="M556" s="75"/>
      <c r="N556" s="75"/>
      <c r="O556" s="75"/>
    </row>
    <row r="557" spans="1:15" s="74" customFormat="1" ht="16.5">
      <c r="A557" s="82" t="s">
        <v>67</v>
      </c>
      <c r="B557" s="8" t="s">
        <v>28</v>
      </c>
      <c r="C557" s="83">
        <v>227975</v>
      </c>
      <c r="D557" s="30"/>
      <c r="E557" s="30">
        <f>+'[2]Compta Dalia (2)'!$E$1908+'[2]Compta Dalia (2)'!$E$1909+'[2]Compta Dalia (2)'!$E$1911+'[2]Compta Dalia (2)'!$E$1917</f>
        <v>119600</v>
      </c>
      <c r="F557" s="30"/>
      <c r="G557" s="30"/>
      <c r="H557" s="84">
        <f>+'[2]Compta Dalia (2)'!$F$1919</f>
        <v>1635</v>
      </c>
      <c r="I557" s="85">
        <v>345940</v>
      </c>
      <c r="J557" s="31">
        <f t="shared" ref="J557:J564" si="169">+SUM(C557:G557)-(H557+I557)</f>
        <v>0</v>
      </c>
      <c r="L557" s="75"/>
      <c r="M557" s="75"/>
      <c r="N557" s="75"/>
      <c r="O557" s="75"/>
    </row>
    <row r="558" spans="1:15" s="74" customFormat="1" ht="16.5">
      <c r="A558" s="82" t="s">
        <v>67</v>
      </c>
      <c r="B558" s="8" t="s">
        <v>31</v>
      </c>
      <c r="C558" s="83">
        <v>-605</v>
      </c>
      <c r="D558" s="30"/>
      <c r="E558" s="30">
        <f>+'[3]compta (3)'!$E$2556+'[3]compta (3)'!$E$2557+'[3]compta (3)'!$E$2558</f>
        <v>30000</v>
      </c>
      <c r="F558" s="30"/>
      <c r="G558" s="30"/>
      <c r="H558" s="86"/>
      <c r="I558" s="87">
        <f>'[3]compta (3)'!$F$2559</f>
        <v>21000</v>
      </c>
      <c r="J558" s="31">
        <f t="shared" si="169"/>
        <v>8395</v>
      </c>
      <c r="L558" s="75"/>
      <c r="M558" s="75"/>
      <c r="N558" s="75"/>
      <c r="O558" s="75"/>
    </row>
    <row r="559" spans="1:15" s="74" customFormat="1" ht="16.5">
      <c r="A559" s="82" t="s">
        <v>67</v>
      </c>
      <c r="B559" s="105" t="s">
        <v>26</v>
      </c>
      <c r="C559" s="83">
        <v>264659</v>
      </c>
      <c r="D559" s="106"/>
      <c r="E559" s="106">
        <f>+'[4]compta (2)'!$E$2521+'[4]compta (2)'!$E$2525+'[4]compta (2)'!$E$2527+'[4]compta (2)'!$E$2529</f>
        <v>325000</v>
      </c>
      <c r="F559" s="106"/>
      <c r="G559" s="106"/>
      <c r="H559" s="33">
        <f>'[4]compta (2)'!$F$2528+60000</f>
        <v>75000</v>
      </c>
      <c r="I559" s="33">
        <f>'[4]compta (2)'!$F$2522+'[4]compta (2)'!$F$2523+'[4]compta (2)'!$F$2524+'[4]compta (2)'!$F$2526+'[4]compta (2)'!$F$2530+'[4]compta (2)'!$F$2532+'[4]compta (2)'!$F$2533+'[4]compta (2)'!$F$2534</f>
        <v>507100</v>
      </c>
      <c r="J559" s="107">
        <f t="shared" si="169"/>
        <v>7559</v>
      </c>
      <c r="L559" s="75"/>
      <c r="M559" s="75"/>
      <c r="N559" s="75"/>
      <c r="O559" s="75"/>
    </row>
    <row r="560" spans="1:15" s="74" customFormat="1" ht="16.5">
      <c r="A560" s="82" t="s">
        <v>67</v>
      </c>
      <c r="B560" s="105" t="s">
        <v>49</v>
      </c>
      <c r="C560" s="83">
        <v>272500</v>
      </c>
      <c r="D560" s="106"/>
      <c r="E560" s="106">
        <f>+'[5]COMPTA_I23C (2)'!$E$4171+'[5]COMPTA_I23C (2)'!$E$4172+'[5]COMPTA_I23C (2)'!$E$4174+'[5]COMPTA_I23C (2)'!$E$4178+'[5]COMPTA_I23C (2)'!$E$4180+'[5]COMPTA_I23C (2)'!$E$4181</f>
        <v>695000</v>
      </c>
      <c r="F560" s="106"/>
      <c r="G560" s="106"/>
      <c r="H560" s="33"/>
      <c r="I560" s="83">
        <v>753500</v>
      </c>
      <c r="J560" s="107">
        <f t="shared" si="169"/>
        <v>214000</v>
      </c>
      <c r="L560" s="75"/>
      <c r="M560" s="75"/>
      <c r="N560" s="75"/>
      <c r="O560" s="75"/>
    </row>
    <row r="561" spans="1:15" s="74" customFormat="1" ht="16.5">
      <c r="A561" s="82" t="s">
        <v>67</v>
      </c>
      <c r="B561" s="8" t="s">
        <v>36</v>
      </c>
      <c r="C561" s="83">
        <v>284595</v>
      </c>
      <c r="D561" s="30"/>
      <c r="E561" s="30">
        <f>+'[6]Feuil1 (2)'!$E$2684+'[6]Feuil1 (2)'!$E$2689+'[6]Feuil1 (2)'!$E$2691</f>
        <v>275000</v>
      </c>
      <c r="F561" s="30">
        <f>'[4]compta (2)'!$F$2531</f>
        <v>60000</v>
      </c>
      <c r="G561" s="30"/>
      <c r="H561" s="86"/>
      <c r="I561" s="85">
        <v>633400</v>
      </c>
      <c r="J561" s="31">
        <f t="shared" si="169"/>
        <v>-13805</v>
      </c>
      <c r="L561" s="75"/>
      <c r="M561" s="75"/>
      <c r="N561" s="75"/>
      <c r="O561" s="75"/>
    </row>
    <row r="562" spans="1:15" s="74" customFormat="1" ht="16.5">
      <c r="A562" s="82" t="s">
        <v>67</v>
      </c>
      <c r="B562" s="8" t="s">
        <v>27</v>
      </c>
      <c r="C562" s="83">
        <v>-1750</v>
      </c>
      <c r="D562" s="30"/>
      <c r="E562" s="30">
        <f>+'[7]Compta Jospin (2)'!$E$1583+'[7]Compta Jospin (2)'!$E$1584+'[7]Compta Jospin (2)'!$E$1587</f>
        <v>96400</v>
      </c>
      <c r="F562" s="30"/>
      <c r="G562" s="30"/>
      <c r="H562" s="86">
        <f>+'[7]Compta Jospin (2)'!$F$1592</f>
        <v>950</v>
      </c>
      <c r="I562" s="85">
        <v>93700</v>
      </c>
      <c r="J562" s="31">
        <f t="shared" si="169"/>
        <v>0</v>
      </c>
      <c r="L562" s="75"/>
      <c r="M562" s="75"/>
      <c r="N562" s="75"/>
      <c r="O562" s="75"/>
    </row>
    <row r="563" spans="1:15" s="74" customFormat="1" ht="16.5">
      <c r="A563" s="82" t="s">
        <v>67</v>
      </c>
      <c r="B563" s="8" t="s">
        <v>29</v>
      </c>
      <c r="C563" s="83">
        <v>265600</v>
      </c>
      <c r="D563" s="30"/>
      <c r="E563" s="30">
        <f>+'[8]COMPT-P29 (2)'!$E$190+'[8]COMPT-P29 (2)'!$E$191+'[8]COMPT-P29 (2)'!$E$196+'[8]COMPT-P29 (2)'!$E$201+'[8]COMPT-P29 (2)'!$E$202+'[8]COMPT-P29 (2)'!$E$204+'[8]COMPT-P29 (2)'!$E$207+'[8]COMPT-P29 (2)'!$E$215</f>
        <v>855600</v>
      </c>
      <c r="F563" s="30"/>
      <c r="G563" s="30"/>
      <c r="H563" s="86"/>
      <c r="I563" s="85">
        <v>1036850</v>
      </c>
      <c r="J563" s="31">
        <f t="shared" si="169"/>
        <v>84350</v>
      </c>
      <c r="L563" s="75"/>
      <c r="M563" s="75"/>
      <c r="N563" s="75"/>
      <c r="O563" s="75"/>
    </row>
    <row r="564" spans="1:15" s="74" customFormat="1" ht="16.5">
      <c r="A564" s="82" t="s">
        <v>67</v>
      </c>
      <c r="B564" s="8" t="s">
        <v>50</v>
      </c>
      <c r="C564" s="83">
        <f t="shared" ref="C564" si="170">+C537</f>
        <v>-216251</v>
      </c>
      <c r="D564" s="30"/>
      <c r="E564" s="30">
        <v>0</v>
      </c>
      <c r="F564" s="30"/>
      <c r="G564" s="30"/>
      <c r="H564" s="86"/>
      <c r="I564" s="87">
        <v>0</v>
      </c>
      <c r="J564" s="31">
        <f t="shared" si="169"/>
        <v>-216251</v>
      </c>
      <c r="L564" s="75"/>
      <c r="M564" s="75"/>
      <c r="N564" s="75"/>
      <c r="O564" s="75"/>
    </row>
    <row r="565" spans="1:15" s="74" customFormat="1" ht="16.5">
      <c r="A565" s="82" t="s">
        <v>67</v>
      </c>
      <c r="B565" s="8" t="s">
        <v>33</v>
      </c>
      <c r="C565" s="83">
        <v>1025</v>
      </c>
      <c r="D565" s="30"/>
      <c r="E565" s="30">
        <f>+'[9]compta shely'!$E$90+'[9]compta shely'!$E$97+'[9]compta shely'!$E$100</f>
        <v>25000</v>
      </c>
      <c r="F565" s="30"/>
      <c r="G565" s="30"/>
      <c r="H565" s="86"/>
      <c r="I565" s="85">
        <v>24000</v>
      </c>
      <c r="J565" s="31">
        <f>+SUM(C565:G565)-(H565+I565)</f>
        <v>2025</v>
      </c>
      <c r="L565" s="75"/>
      <c r="M565" s="75"/>
      <c r="N565" s="75"/>
      <c r="O565" s="75"/>
    </row>
    <row r="566" spans="1:15" s="74" customFormat="1" ht="16.5">
      <c r="A566" s="32" t="s">
        <v>67</v>
      </c>
      <c r="B566" s="8" t="s">
        <v>32</v>
      </c>
      <c r="C566" s="83">
        <v>0</v>
      </c>
      <c r="D566" s="32"/>
      <c r="E566" s="32">
        <f>+'[10]compta ted'!$E$11</f>
        <v>10000</v>
      </c>
      <c r="F566" s="32"/>
      <c r="G566" s="32"/>
      <c r="H566" s="86"/>
      <c r="I566" s="85">
        <v>0</v>
      </c>
      <c r="J566" s="31">
        <f>+SUM(C566:G566)-(H566+I566)</f>
        <v>10000</v>
      </c>
      <c r="L566" s="75"/>
      <c r="M566" s="75"/>
      <c r="N566" s="75"/>
      <c r="O566" s="75"/>
    </row>
    <row r="567" spans="1:15" s="74" customFormat="1">
      <c r="A567" s="88" t="s">
        <v>61</v>
      </c>
      <c r="B567" s="89"/>
      <c r="C567" s="89"/>
      <c r="D567" s="89"/>
      <c r="E567" s="89"/>
      <c r="F567" s="89"/>
      <c r="G567" s="89"/>
      <c r="H567" s="89"/>
      <c r="I567" s="89"/>
      <c r="J567" s="90"/>
      <c r="L567" s="75"/>
      <c r="M567" s="75"/>
      <c r="N567" s="75"/>
      <c r="O567" s="75"/>
    </row>
    <row r="568" spans="1:15" s="74" customFormat="1">
      <c r="A568" s="32" t="s">
        <v>67</v>
      </c>
      <c r="B568" s="38" t="s">
        <v>62</v>
      </c>
      <c r="C568" s="39">
        <v>954796</v>
      </c>
      <c r="D568" s="30">
        <v>3000000</v>
      </c>
      <c r="E568" s="30"/>
      <c r="F568" s="30"/>
      <c r="G568" s="91">
        <v>17585</v>
      </c>
      <c r="H568" s="92">
        <v>2431600</v>
      </c>
      <c r="I568" s="93">
        <v>749106</v>
      </c>
      <c r="J568" s="94">
        <f>+SUM(C568:G568)-(H568+I568)</f>
        <v>791675</v>
      </c>
      <c r="L568" s="75"/>
      <c r="M568" s="75"/>
      <c r="N568" s="75"/>
      <c r="O568" s="75"/>
    </row>
    <row r="569" spans="1:15" s="74" customFormat="1">
      <c r="A569" s="95" t="s">
        <v>63</v>
      </c>
      <c r="B569" s="79"/>
      <c r="C569" s="89"/>
      <c r="D569" s="79"/>
      <c r="E569" s="79"/>
      <c r="F569" s="79"/>
      <c r="G569" s="79"/>
      <c r="H569" s="79"/>
      <c r="I569" s="79"/>
      <c r="J569" s="90"/>
      <c r="L569" s="75"/>
      <c r="M569" s="75"/>
      <c r="N569" s="75"/>
      <c r="O569" s="75"/>
    </row>
    <row r="570" spans="1:15" s="74" customFormat="1">
      <c r="A570" s="32" t="s">
        <v>67</v>
      </c>
      <c r="B570" s="38" t="s">
        <v>64</v>
      </c>
      <c r="C570" s="83">
        <v>705838</v>
      </c>
      <c r="D570" s="96">
        <v>10801800</v>
      </c>
      <c r="E570" s="97"/>
      <c r="F570" s="97"/>
      <c r="G570" s="97"/>
      <c r="H570" s="98">
        <v>3000000</v>
      </c>
      <c r="I570" s="99">
        <v>468365</v>
      </c>
      <c r="J570" s="31">
        <f>+SUM(C570:G570)-(H570+I570)</f>
        <v>8039273</v>
      </c>
      <c r="L570" s="75"/>
      <c r="M570" s="75"/>
      <c r="N570" s="75"/>
      <c r="O570" s="75"/>
    </row>
    <row r="571" spans="1:15" s="74" customFormat="1">
      <c r="A571" s="32" t="s">
        <v>67</v>
      </c>
      <c r="B571" s="38" t="s">
        <v>65</v>
      </c>
      <c r="C571" s="83">
        <v>14874402</v>
      </c>
      <c r="D571" s="97">
        <v>3279785</v>
      </c>
      <c r="E571" s="100"/>
      <c r="F571" s="100"/>
      <c r="G571" s="100"/>
      <c r="H571" s="101"/>
      <c r="I571" s="102">
        <v>4870847</v>
      </c>
      <c r="J571" s="31">
        <f>SUM(C571:G571)-(H571+I571)</f>
        <v>13283340</v>
      </c>
      <c r="L571" s="75"/>
      <c r="M571" s="75"/>
      <c r="N571" s="75"/>
      <c r="O571" s="75"/>
    </row>
    <row r="572" spans="1:15" s="74" customFormat="1">
      <c r="L572" s="75"/>
      <c r="M572" s="75"/>
      <c r="N572" s="75"/>
      <c r="O572" s="75"/>
    </row>
    <row r="573" spans="1:15" s="74" customFormat="1">
      <c r="C573" s="103">
        <f>+SUM(C556:C571)</f>
        <v>17673344</v>
      </c>
      <c r="I573" s="103">
        <f>SUM(I556:I571)</f>
        <v>9525308</v>
      </c>
      <c r="J573" s="103">
        <f>+SUM(J556:J571)</f>
        <v>22229621</v>
      </c>
      <c r="L573" s="75"/>
      <c r="M573" s="75"/>
      <c r="N573" s="75"/>
      <c r="O573" s="75"/>
    </row>
    <row r="574" spans="1:15">
      <c r="C574" s="9"/>
      <c r="I574" s="9"/>
      <c r="J574" s="9"/>
    </row>
    <row r="575" spans="1:15">
      <c r="A575" s="64" t="s">
        <v>71</v>
      </c>
      <c r="B575" s="64"/>
    </row>
    <row r="576" spans="1:15">
      <c r="A576" s="65" t="s">
        <v>72</v>
      </c>
      <c r="B576" s="65"/>
      <c r="C576" s="65"/>
      <c r="D576" s="65"/>
      <c r="E576" s="65"/>
      <c r="F576" s="65"/>
      <c r="G576" s="65"/>
      <c r="H576" s="65"/>
      <c r="I576" s="65"/>
      <c r="J576" s="65"/>
    </row>
    <row r="578" spans="1:11" ht="15" customHeight="1">
      <c r="A578" s="346" t="s">
        <v>54</v>
      </c>
      <c r="B578" s="346" t="s">
        <v>55</v>
      </c>
      <c r="C578" s="357" t="s">
        <v>74</v>
      </c>
      <c r="D578" s="352" t="s">
        <v>56</v>
      </c>
      <c r="E578" s="352"/>
      <c r="F578" s="352"/>
      <c r="G578" s="352"/>
      <c r="H578" s="353" t="s">
        <v>57</v>
      </c>
      <c r="I578" s="355" t="s">
        <v>58</v>
      </c>
      <c r="J578" s="348" t="s">
        <v>75</v>
      </c>
      <c r="K578" s="349"/>
    </row>
    <row r="579" spans="1:11" ht="28.5" customHeight="1">
      <c r="A579" s="347"/>
      <c r="B579" s="347"/>
      <c r="C579" s="347"/>
      <c r="D579" s="69" t="s">
        <v>24</v>
      </c>
      <c r="E579" s="66" t="s">
        <v>25</v>
      </c>
      <c r="F579" s="66" t="s">
        <v>27</v>
      </c>
      <c r="G579" s="66" t="s">
        <v>59</v>
      </c>
      <c r="H579" s="354"/>
      <c r="I579" s="356"/>
      <c r="J579" s="350"/>
      <c r="K579" s="351"/>
    </row>
    <row r="580" spans="1:11">
      <c r="A580" s="47"/>
      <c r="B580" s="47" t="s">
        <v>60</v>
      </c>
      <c r="C580" s="49"/>
      <c r="D580" s="49"/>
      <c r="E580" s="49"/>
      <c r="F580" s="49"/>
      <c r="G580" s="49"/>
      <c r="H580" s="49"/>
      <c r="I580" s="49"/>
      <c r="J580" s="49"/>
      <c r="K580" s="47"/>
    </row>
    <row r="581" spans="1:11">
      <c r="A581" s="47" t="s">
        <v>73</v>
      </c>
      <c r="B581" s="47" t="s">
        <v>48</v>
      </c>
      <c r="C581" s="49">
        <v>89360</v>
      </c>
      <c r="D581" s="49"/>
      <c r="E581" s="49">
        <v>13000</v>
      </c>
      <c r="F581" s="49"/>
      <c r="G581" s="49"/>
      <c r="H581" s="49"/>
      <c r="I581" s="49">
        <v>61800</v>
      </c>
      <c r="J581" s="49">
        <v>40560</v>
      </c>
      <c r="K581" s="47"/>
    </row>
    <row r="582" spans="1:11">
      <c r="A582" s="47" t="s">
        <v>73</v>
      </c>
      <c r="B582" s="47" t="s">
        <v>28</v>
      </c>
      <c r="C582" s="49">
        <v>-1025</v>
      </c>
      <c r="D582" s="49"/>
      <c r="E582" s="49">
        <v>684500</v>
      </c>
      <c r="F582" s="49"/>
      <c r="G582" s="49"/>
      <c r="H582" s="49"/>
      <c r="I582" s="49">
        <v>455500</v>
      </c>
      <c r="J582" s="49">
        <v>227975</v>
      </c>
      <c r="K582" s="47"/>
    </row>
    <row r="583" spans="1:11">
      <c r="A583" s="47" t="s">
        <v>73</v>
      </c>
      <c r="B583" s="47" t="s">
        <v>31</v>
      </c>
      <c r="C583" s="49">
        <v>14395</v>
      </c>
      <c r="D583" s="49"/>
      <c r="E583" s="49">
        <v>40000</v>
      </c>
      <c r="F583" s="49"/>
      <c r="G583" s="49"/>
      <c r="H583" s="49"/>
      <c r="I583" s="49">
        <v>55000</v>
      </c>
      <c r="J583" s="49">
        <v>-605</v>
      </c>
      <c r="K583" s="47"/>
    </row>
    <row r="584" spans="1:11">
      <c r="A584" s="47" t="s">
        <v>73</v>
      </c>
      <c r="B584" s="47" t="s">
        <v>26</v>
      </c>
      <c r="C584" s="49">
        <v>8559</v>
      </c>
      <c r="D584" s="49"/>
      <c r="E584" s="49">
        <v>428750</v>
      </c>
      <c r="F584" s="49">
        <v>280200</v>
      </c>
      <c r="G584" s="49"/>
      <c r="H584" s="49"/>
      <c r="I584" s="49">
        <v>452850</v>
      </c>
      <c r="J584" s="49">
        <v>264659</v>
      </c>
      <c r="K584" s="47"/>
    </row>
    <row r="585" spans="1:11">
      <c r="A585" s="47" t="s">
        <v>73</v>
      </c>
      <c r="B585" s="47" t="s">
        <v>49</v>
      </c>
      <c r="C585" s="49">
        <v>-5750</v>
      </c>
      <c r="D585" s="49"/>
      <c r="E585" s="49">
        <v>1161750</v>
      </c>
      <c r="F585" s="49"/>
      <c r="G585" s="49"/>
      <c r="H585" s="49">
        <v>124000</v>
      </c>
      <c r="I585" s="49">
        <v>759500</v>
      </c>
      <c r="J585" s="49">
        <v>272500</v>
      </c>
      <c r="K585" s="47"/>
    </row>
    <row r="586" spans="1:11">
      <c r="A586" s="47" t="s">
        <v>73</v>
      </c>
      <c r="B586" s="47" t="s">
        <v>36</v>
      </c>
      <c r="C586" s="49">
        <v>12995</v>
      </c>
      <c r="D586" s="49"/>
      <c r="E586" s="49">
        <v>726000</v>
      </c>
      <c r="F586" s="49"/>
      <c r="G586" s="49"/>
      <c r="H586" s="49"/>
      <c r="I586" s="49">
        <v>454400</v>
      </c>
      <c r="J586" s="49">
        <v>284595</v>
      </c>
      <c r="K586" s="47"/>
    </row>
    <row r="587" spans="1:11">
      <c r="A587" s="47" t="s">
        <v>73</v>
      </c>
      <c r="B587" s="47" t="s">
        <v>27</v>
      </c>
      <c r="C587" s="49">
        <v>6050</v>
      </c>
      <c r="D587" s="49"/>
      <c r="E587" s="49">
        <v>736300</v>
      </c>
      <c r="F587" s="49"/>
      <c r="G587" s="49"/>
      <c r="H587" s="49">
        <v>405200</v>
      </c>
      <c r="I587" s="49">
        <v>338900</v>
      </c>
      <c r="J587" s="49">
        <v>-1750</v>
      </c>
      <c r="K587" s="47"/>
    </row>
    <row r="588" spans="1:11">
      <c r="A588" s="47" t="s">
        <v>73</v>
      </c>
      <c r="B588" s="47" t="s">
        <v>29</v>
      </c>
      <c r="C588" s="49">
        <v>142400</v>
      </c>
      <c r="D588" s="49"/>
      <c r="E588" s="49">
        <v>1014000</v>
      </c>
      <c r="F588" s="49"/>
      <c r="G588" s="49"/>
      <c r="H588" s="49">
        <v>100000</v>
      </c>
      <c r="I588" s="49">
        <v>790800</v>
      </c>
      <c r="J588" s="49">
        <v>265600</v>
      </c>
      <c r="K588" s="47"/>
    </row>
    <row r="589" spans="1:11">
      <c r="A589" s="47" t="s">
        <v>73</v>
      </c>
      <c r="B589" s="47" t="s">
        <v>50</v>
      </c>
      <c r="C589" s="49">
        <v>-221251.00072999997</v>
      </c>
      <c r="D589" s="49"/>
      <c r="E589" s="49">
        <v>485000</v>
      </c>
      <c r="F589" s="49"/>
      <c r="G589" s="49"/>
      <c r="H589" s="49">
        <v>5000</v>
      </c>
      <c r="I589" s="49">
        <v>475000</v>
      </c>
      <c r="J589" s="49">
        <v>-216251.00072999997</v>
      </c>
      <c r="K589" s="47"/>
    </row>
    <row r="590" spans="1:11">
      <c r="A590" s="47" t="s">
        <v>73</v>
      </c>
      <c r="B590" s="47" t="s">
        <v>33</v>
      </c>
      <c r="C590" s="49">
        <v>14225</v>
      </c>
      <c r="D590" s="49"/>
      <c r="E590" s="49">
        <v>30000</v>
      </c>
      <c r="F590" s="49"/>
      <c r="G590" s="49"/>
      <c r="H590" s="49"/>
      <c r="I590" s="49">
        <v>43200</v>
      </c>
      <c r="J590" s="49">
        <v>1025</v>
      </c>
      <c r="K590" s="47"/>
    </row>
    <row r="591" spans="1:11">
      <c r="A591" s="67" t="s">
        <v>61</v>
      </c>
      <c r="B591" s="67"/>
      <c r="C591" s="68"/>
      <c r="D591" s="68"/>
      <c r="E591" s="68"/>
      <c r="F591" s="68"/>
      <c r="G591" s="68"/>
      <c r="H591" s="68"/>
      <c r="I591" s="68"/>
      <c r="J591" s="68"/>
      <c r="K591" s="67"/>
    </row>
    <row r="592" spans="1:11">
      <c r="A592" s="47" t="s">
        <v>73</v>
      </c>
      <c r="B592" s="47" t="s">
        <v>62</v>
      </c>
      <c r="C592" s="49">
        <v>494738</v>
      </c>
      <c r="D592" s="49">
        <v>6000000</v>
      </c>
      <c r="E592" s="49"/>
      <c r="F592" s="49"/>
      <c r="G592" s="49">
        <v>105000</v>
      </c>
      <c r="H592" s="49">
        <v>5070300</v>
      </c>
      <c r="I592" s="49">
        <v>574642</v>
      </c>
      <c r="J592" s="49">
        <v>954796</v>
      </c>
      <c r="K592" s="47"/>
    </row>
    <row r="593" spans="1:11">
      <c r="A593" s="67" t="s">
        <v>63</v>
      </c>
      <c r="B593" s="67"/>
      <c r="C593" s="68"/>
      <c r="D593" s="68"/>
      <c r="E593" s="68"/>
      <c r="F593" s="68"/>
      <c r="G593" s="68"/>
      <c r="H593" s="68"/>
      <c r="I593" s="68"/>
      <c r="J593" s="68"/>
      <c r="K593" s="67"/>
    </row>
    <row r="594" spans="1:11">
      <c r="A594" s="47" t="s">
        <v>73</v>
      </c>
      <c r="B594" s="47" t="s">
        <v>64</v>
      </c>
      <c r="C594" s="49">
        <v>11363703</v>
      </c>
      <c r="D594" s="49"/>
      <c r="E594" s="49"/>
      <c r="F594" s="49"/>
      <c r="G594" s="49"/>
      <c r="H594" s="49">
        <v>10000000</v>
      </c>
      <c r="I594" s="49">
        <v>657865</v>
      </c>
      <c r="J594" s="49">
        <v>705838</v>
      </c>
      <c r="K594" s="47"/>
    </row>
    <row r="595" spans="1:11">
      <c r="A595" s="47" t="s">
        <v>73</v>
      </c>
      <c r="B595" s="47" t="s">
        <v>65</v>
      </c>
      <c r="C595" s="49">
        <v>4902843</v>
      </c>
      <c r="D595" s="49">
        <v>17119140</v>
      </c>
      <c r="E595" s="49"/>
      <c r="F595" s="49"/>
      <c r="G595" s="49"/>
      <c r="H595" s="49"/>
      <c r="I595" s="49">
        <v>7147581</v>
      </c>
      <c r="J595" s="49">
        <v>14874402</v>
      </c>
      <c r="K595" s="47"/>
    </row>
    <row r="596" spans="1:11">
      <c r="A596" s="47"/>
      <c r="B596" s="47"/>
      <c r="C596" s="49"/>
      <c r="D596" s="49"/>
      <c r="E596" s="49"/>
      <c r="F596" s="49"/>
      <c r="G596" s="49"/>
      <c r="H596" s="49"/>
      <c r="I596" s="49"/>
      <c r="J596" s="49"/>
      <c r="K596" s="47"/>
    </row>
    <row r="597" spans="1:11">
      <c r="A597" s="47"/>
      <c r="B597" s="47"/>
      <c r="C597" s="49"/>
      <c r="D597" s="49"/>
      <c r="E597" s="49"/>
      <c r="F597" s="49"/>
      <c r="G597" s="49"/>
      <c r="H597" s="49"/>
      <c r="I597" s="49">
        <v>12267038</v>
      </c>
      <c r="J597" s="49">
        <v>17673343.99927</v>
      </c>
      <c r="K597" s="47" t="b">
        <v>1</v>
      </c>
    </row>
    <row r="598" spans="1:11">
      <c r="J598" s="70" t="b">
        <f>J597=[11]TABLEAU!$I$16</f>
        <v>1</v>
      </c>
    </row>
  </sheetData>
  <mergeCells count="140">
    <mergeCell ref="A25:A26"/>
    <mergeCell ref="B25:B26"/>
    <mergeCell ref="C25:C26"/>
    <mergeCell ref="D25:G25"/>
    <mergeCell ref="H25:H26"/>
    <mergeCell ref="I25:I26"/>
    <mergeCell ref="J26:J27"/>
    <mergeCell ref="A117:A118"/>
    <mergeCell ref="B117:B118"/>
    <mergeCell ref="C117:C118"/>
    <mergeCell ref="D117:G117"/>
    <mergeCell ref="H117:H118"/>
    <mergeCell ref="I117:I118"/>
    <mergeCell ref="J118:J119"/>
    <mergeCell ref="A70:A71"/>
    <mergeCell ref="B70:B71"/>
    <mergeCell ref="C70:C71"/>
    <mergeCell ref="D70:G70"/>
    <mergeCell ref="H70:H71"/>
    <mergeCell ref="I70:I71"/>
    <mergeCell ref="J71:J72"/>
    <mergeCell ref="A165:A166"/>
    <mergeCell ref="B165:B166"/>
    <mergeCell ref="C165:C166"/>
    <mergeCell ref="D165:G165"/>
    <mergeCell ref="H165:H166"/>
    <mergeCell ref="I165:I166"/>
    <mergeCell ref="J166:J167"/>
    <mergeCell ref="A286:A287"/>
    <mergeCell ref="B286:B287"/>
    <mergeCell ref="C286:C287"/>
    <mergeCell ref="D286:G286"/>
    <mergeCell ref="H286:H287"/>
    <mergeCell ref="I215:I216"/>
    <mergeCell ref="J216:J217"/>
    <mergeCell ref="A215:A216"/>
    <mergeCell ref="B215:B216"/>
    <mergeCell ref="C215:C216"/>
    <mergeCell ref="D215:G215"/>
    <mergeCell ref="H215:H216"/>
    <mergeCell ref="I238:I239"/>
    <mergeCell ref="J239:J240"/>
    <mergeCell ref="A238:A239"/>
    <mergeCell ref="B238:B239"/>
    <mergeCell ref="C238:C239"/>
    <mergeCell ref="B262:B263"/>
    <mergeCell ref="C262:C263"/>
    <mergeCell ref="D262:G262"/>
    <mergeCell ref="H262:H263"/>
    <mergeCell ref="H363:H364"/>
    <mergeCell ref="B311:B312"/>
    <mergeCell ref="C311:C312"/>
    <mergeCell ref="D311:G311"/>
    <mergeCell ref="H311:H312"/>
    <mergeCell ref="A578:A579"/>
    <mergeCell ref="J527:J528"/>
    <mergeCell ref="A526:A527"/>
    <mergeCell ref="B526:B527"/>
    <mergeCell ref="C526:C527"/>
    <mergeCell ref="D526:G526"/>
    <mergeCell ref="H526:H527"/>
    <mergeCell ref="I526:I527"/>
    <mergeCell ref="B578:B579"/>
    <mergeCell ref="J578:K579"/>
    <mergeCell ref="D578:G578"/>
    <mergeCell ref="H578:H579"/>
    <mergeCell ref="I578:I579"/>
    <mergeCell ref="C578:C579"/>
    <mergeCell ref="B553:B554"/>
    <mergeCell ref="C553:C554"/>
    <mergeCell ref="A553:A554"/>
    <mergeCell ref="D553:G553"/>
    <mergeCell ref="H553:H554"/>
    <mergeCell ref="J554:J555"/>
    <mergeCell ref="I553:I554"/>
    <mergeCell ref="I363:I364"/>
    <mergeCell ref="J364:J365"/>
    <mergeCell ref="A363:A364"/>
    <mergeCell ref="B363:B364"/>
    <mergeCell ref="C363:C364"/>
    <mergeCell ref="D363:G363"/>
    <mergeCell ref="J500:J501"/>
    <mergeCell ref="A499:A500"/>
    <mergeCell ref="B499:B500"/>
    <mergeCell ref="C499:C500"/>
    <mergeCell ref="D499:G499"/>
    <mergeCell ref="H499:H500"/>
    <mergeCell ref="I390:I391"/>
    <mergeCell ref="J391:J392"/>
    <mergeCell ref="A390:A391"/>
    <mergeCell ref="B390:B391"/>
    <mergeCell ref="C390:C391"/>
    <mergeCell ref="D390:G390"/>
    <mergeCell ref="H390:H391"/>
    <mergeCell ref="B446:B447"/>
    <mergeCell ref="C446:C447"/>
    <mergeCell ref="D446:G446"/>
    <mergeCell ref="H446:H447"/>
    <mergeCell ref="I499:I500"/>
    <mergeCell ref="I473:I474"/>
    <mergeCell ref="J474:J475"/>
    <mergeCell ref="A473:A474"/>
    <mergeCell ref="B473:B474"/>
    <mergeCell ref="C473:C474"/>
    <mergeCell ref="D473:G473"/>
    <mergeCell ref="H473:H474"/>
    <mergeCell ref="I418:I419"/>
    <mergeCell ref="J419:J420"/>
    <mergeCell ref="A418:A419"/>
    <mergeCell ref="B418:B419"/>
    <mergeCell ref="C418:C419"/>
    <mergeCell ref="D418:G418"/>
    <mergeCell ref="H418:H419"/>
    <mergeCell ref="I446:I447"/>
    <mergeCell ref="J447:J448"/>
    <mergeCell ref="A446:A447"/>
    <mergeCell ref="I337:I338"/>
    <mergeCell ref="J338:J339"/>
    <mergeCell ref="A337:A338"/>
    <mergeCell ref="B337:B338"/>
    <mergeCell ref="C337:C338"/>
    <mergeCell ref="D337:G337"/>
    <mergeCell ref="H337:H338"/>
    <mergeCell ref="A190:A191"/>
    <mergeCell ref="B190:B191"/>
    <mergeCell ref="C190:C191"/>
    <mergeCell ref="D190:G190"/>
    <mergeCell ref="H190:H191"/>
    <mergeCell ref="I190:I191"/>
    <mergeCell ref="J191:J192"/>
    <mergeCell ref="I262:I263"/>
    <mergeCell ref="J263:J264"/>
    <mergeCell ref="A262:A263"/>
    <mergeCell ref="A311:A312"/>
    <mergeCell ref="I286:I287"/>
    <mergeCell ref="I311:I312"/>
    <mergeCell ref="J287:J288"/>
    <mergeCell ref="J312:J313"/>
    <mergeCell ref="D238:G238"/>
    <mergeCell ref="H238:H2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6"/>
  <sheetViews>
    <sheetView workbookViewId="0">
      <selection activeCell="C6" sqref="C6"/>
    </sheetView>
  </sheetViews>
  <sheetFormatPr baseColWidth="10" defaultRowHeight="15"/>
  <cols>
    <col min="1" max="1" width="21" bestFit="1" customWidth="1"/>
    <col min="2" max="2" width="16.28515625" bestFit="1" customWidth="1"/>
  </cols>
  <sheetData>
    <row r="3" spans="1:2">
      <c r="A3" s="1" t="s">
        <v>129</v>
      </c>
      <c r="B3" t="s">
        <v>136</v>
      </c>
    </row>
    <row r="4" spans="1:2">
      <c r="A4" s="2" t="s">
        <v>103</v>
      </c>
      <c r="B4" s="330">
        <v>8399572</v>
      </c>
    </row>
    <row r="5" spans="1:2">
      <c r="A5" s="2" t="s">
        <v>168</v>
      </c>
      <c r="B5" s="330">
        <v>5777794</v>
      </c>
    </row>
    <row r="6" spans="1:2">
      <c r="A6" s="2" t="s">
        <v>130</v>
      </c>
      <c r="B6" s="330">
        <v>14177366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AW20"/>
  <sheetViews>
    <sheetView workbookViewId="0">
      <pane xSplit="1" topLeftCell="AO1" activePane="topRight" state="frozen"/>
      <selection pane="topRight" activeCell="AP26" sqref="AP26"/>
    </sheetView>
  </sheetViews>
  <sheetFormatPr baseColWidth="10" defaultRowHeight="15"/>
  <cols>
    <col min="1" max="1" width="21" customWidth="1"/>
    <col min="2" max="2" width="23.85546875" customWidth="1"/>
    <col min="3" max="3" width="19.140625" customWidth="1"/>
    <col min="4" max="4" width="16.140625" customWidth="1"/>
    <col min="5" max="5" width="19.140625" customWidth="1"/>
    <col min="6" max="6" width="16.140625" customWidth="1"/>
    <col min="7" max="7" width="19.140625" customWidth="1"/>
    <col min="8" max="8" width="16.140625" customWidth="1"/>
    <col min="9" max="9" width="19.140625" customWidth="1"/>
    <col min="10" max="10" width="16.140625" customWidth="1"/>
    <col min="11" max="11" width="19.140625" customWidth="1"/>
    <col min="12" max="12" width="16.140625" customWidth="1"/>
    <col min="13" max="13" width="19.140625" customWidth="1"/>
    <col min="14" max="14" width="16.140625" customWidth="1"/>
    <col min="15" max="15" width="19.140625" customWidth="1"/>
    <col min="16" max="16" width="16.140625" customWidth="1"/>
    <col min="17" max="17" width="19.140625" customWidth="1"/>
    <col min="18" max="18" width="16.140625" customWidth="1"/>
    <col min="19" max="19" width="19.140625" customWidth="1"/>
    <col min="20" max="20" width="16.140625" customWidth="1"/>
    <col min="21" max="21" width="19.140625" customWidth="1"/>
    <col min="22" max="22" width="16.140625" customWidth="1"/>
    <col min="23" max="23" width="19.140625" customWidth="1"/>
    <col min="24" max="24" width="16.140625" customWidth="1"/>
    <col min="25" max="25" width="19.140625" customWidth="1"/>
    <col min="26" max="26" width="16.140625" customWidth="1"/>
    <col min="27" max="27" width="19.140625" customWidth="1"/>
    <col min="28" max="28" width="16.140625" customWidth="1"/>
    <col min="29" max="29" width="19.140625" customWidth="1"/>
    <col min="30" max="30" width="16.140625" customWidth="1"/>
    <col min="31" max="31" width="19.140625" customWidth="1"/>
    <col min="32" max="32" width="16.140625" customWidth="1"/>
    <col min="33" max="33" width="19.140625" customWidth="1"/>
    <col min="34" max="34" width="17.5703125" bestFit="1" customWidth="1"/>
    <col min="35" max="35" width="19.140625" customWidth="1"/>
    <col min="36" max="36" width="16.140625" customWidth="1"/>
    <col min="37" max="37" width="19.140625" customWidth="1"/>
    <col min="38" max="38" width="16.140625" customWidth="1"/>
    <col min="39" max="39" width="19.140625" customWidth="1"/>
    <col min="40" max="40" width="16.140625" customWidth="1"/>
    <col min="41" max="41" width="19.140625" customWidth="1"/>
    <col min="42" max="42" width="21" customWidth="1"/>
    <col min="43" max="43" width="24.140625" customWidth="1"/>
    <col min="44" max="44" width="21" customWidth="1"/>
    <col min="45" max="45" width="16.42578125" customWidth="1"/>
    <col min="46" max="46" width="17.85546875" customWidth="1"/>
    <col min="47" max="47" width="16.85546875" customWidth="1"/>
  </cols>
  <sheetData>
    <row r="3" spans="1:49">
      <c r="B3" s="1" t="s">
        <v>131</v>
      </c>
    </row>
    <row r="4" spans="1:49">
      <c r="B4" t="s">
        <v>203</v>
      </c>
      <c r="D4" t="s">
        <v>271</v>
      </c>
      <c r="F4" t="s">
        <v>201</v>
      </c>
      <c r="H4" t="s">
        <v>191</v>
      </c>
      <c r="J4" t="s">
        <v>176</v>
      </c>
      <c r="L4" t="s">
        <v>274</v>
      </c>
      <c r="N4" t="s">
        <v>140</v>
      </c>
      <c r="P4" t="s">
        <v>385</v>
      </c>
      <c r="R4" t="s">
        <v>145</v>
      </c>
      <c r="T4" t="s">
        <v>35</v>
      </c>
      <c r="V4" t="s">
        <v>185</v>
      </c>
      <c r="X4" t="s">
        <v>193</v>
      </c>
      <c r="Z4" t="s">
        <v>3</v>
      </c>
      <c r="AB4" t="s">
        <v>186</v>
      </c>
      <c r="AD4" t="s">
        <v>187</v>
      </c>
      <c r="AF4" t="s">
        <v>34</v>
      </c>
      <c r="AH4" t="s">
        <v>159</v>
      </c>
      <c r="AJ4" t="s">
        <v>202</v>
      </c>
      <c r="AL4" t="s">
        <v>76</v>
      </c>
      <c r="AN4" t="s">
        <v>189</v>
      </c>
      <c r="AP4" t="s">
        <v>139</v>
      </c>
      <c r="AQ4" t="s">
        <v>137</v>
      </c>
    </row>
    <row r="5" spans="1:49">
      <c r="A5" s="1" t="s">
        <v>129</v>
      </c>
      <c r="B5" t="s">
        <v>136</v>
      </c>
      <c r="C5" t="s">
        <v>138</v>
      </c>
      <c r="D5" t="s">
        <v>136</v>
      </c>
      <c r="E5" t="s">
        <v>138</v>
      </c>
      <c r="F5" t="s">
        <v>136</v>
      </c>
      <c r="G5" t="s">
        <v>138</v>
      </c>
      <c r="H5" t="s">
        <v>136</v>
      </c>
      <c r="I5" t="s">
        <v>138</v>
      </c>
      <c r="J5" t="s">
        <v>136</v>
      </c>
      <c r="K5" t="s">
        <v>138</v>
      </c>
      <c r="L5" t="s">
        <v>136</v>
      </c>
      <c r="M5" t="s">
        <v>138</v>
      </c>
      <c r="N5" t="s">
        <v>136</v>
      </c>
      <c r="O5" t="s">
        <v>138</v>
      </c>
      <c r="P5" t="s">
        <v>136</v>
      </c>
      <c r="Q5" t="s">
        <v>138</v>
      </c>
      <c r="R5" t="s">
        <v>136</v>
      </c>
      <c r="S5" t="s">
        <v>138</v>
      </c>
      <c r="T5" t="s">
        <v>136</v>
      </c>
      <c r="U5" t="s">
        <v>138</v>
      </c>
      <c r="V5" t="s">
        <v>136</v>
      </c>
      <c r="W5" t="s">
        <v>138</v>
      </c>
      <c r="X5" t="s">
        <v>136</v>
      </c>
      <c r="Y5" t="s">
        <v>138</v>
      </c>
      <c r="Z5" t="s">
        <v>136</v>
      </c>
      <c r="AA5" t="s">
        <v>138</v>
      </c>
      <c r="AB5" t="s">
        <v>136</v>
      </c>
      <c r="AC5" t="s">
        <v>138</v>
      </c>
      <c r="AD5" t="s">
        <v>136</v>
      </c>
      <c r="AE5" t="s">
        <v>138</v>
      </c>
      <c r="AF5" t="s">
        <v>136</v>
      </c>
      <c r="AG5" t="s">
        <v>138</v>
      </c>
      <c r="AH5" t="s">
        <v>136</v>
      </c>
      <c r="AI5" t="s">
        <v>138</v>
      </c>
      <c r="AJ5" t="s">
        <v>136</v>
      </c>
      <c r="AK5" t="s">
        <v>138</v>
      </c>
      <c r="AL5" t="s">
        <v>136</v>
      </c>
      <c r="AM5" t="s">
        <v>138</v>
      </c>
      <c r="AN5" t="s">
        <v>136</v>
      </c>
      <c r="AO5" t="s">
        <v>138</v>
      </c>
      <c r="AS5" s="47" t="s">
        <v>218</v>
      </c>
      <c r="AT5" s="47" t="s">
        <v>43</v>
      </c>
      <c r="AU5" s="47" t="s">
        <v>44</v>
      </c>
      <c r="AV5" s="47" t="s">
        <v>45</v>
      </c>
      <c r="AW5" s="47" t="s">
        <v>46</v>
      </c>
    </row>
    <row r="6" spans="1:49">
      <c r="A6" s="2" t="s">
        <v>175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>
        <v>40500</v>
      </c>
      <c r="AG6" s="169"/>
      <c r="AH6" s="169">
        <v>8000</v>
      </c>
      <c r="AI6" s="169"/>
      <c r="AJ6" s="169">
        <v>2000</v>
      </c>
      <c r="AK6" s="169"/>
      <c r="AL6" s="169"/>
      <c r="AM6" s="169">
        <v>50000</v>
      </c>
      <c r="AN6" s="169"/>
      <c r="AO6" s="169"/>
      <c r="AP6" s="169">
        <v>50500</v>
      </c>
      <c r="AQ6" s="169">
        <v>50000</v>
      </c>
      <c r="AS6" s="47" t="str">
        <f>A6</f>
        <v>B52</v>
      </c>
      <c r="AT6" s="49">
        <f>AM6</f>
        <v>50000</v>
      </c>
      <c r="AU6" s="49">
        <f>AL6</f>
        <v>0</v>
      </c>
      <c r="AV6" s="49">
        <f>AP6-AU6</f>
        <v>50500</v>
      </c>
      <c r="AW6" s="49">
        <v>0</v>
      </c>
    </row>
    <row r="7" spans="1:49">
      <c r="A7" s="2" t="s">
        <v>24</v>
      </c>
      <c r="B7" s="169">
        <v>23345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>
        <v>260000</v>
      </c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>
        <v>1000000</v>
      </c>
      <c r="AM7" s="169"/>
      <c r="AN7" s="169"/>
      <c r="AO7" s="169"/>
      <c r="AP7" s="169">
        <v>1283345</v>
      </c>
      <c r="AQ7" s="169"/>
      <c r="AS7" s="47" t="str">
        <f t="shared" ref="AS7:AS17" si="0">A7</f>
        <v>BCI</v>
      </c>
      <c r="AT7" s="49">
        <f t="shared" ref="AT7:AT16" si="1">AM7</f>
        <v>0</v>
      </c>
      <c r="AU7" s="49">
        <f t="shared" ref="AU7:AU17" si="2">AL7</f>
        <v>1000000</v>
      </c>
      <c r="AV7" s="49">
        <f t="shared" ref="AV7:AV17" si="3">AP7-AU7</f>
        <v>283345</v>
      </c>
      <c r="AW7" s="49">
        <v>0</v>
      </c>
    </row>
    <row r="8" spans="1:49">
      <c r="A8" s="2" t="s">
        <v>160</v>
      </c>
      <c r="B8" s="169">
        <v>14701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>
        <v>800000</v>
      </c>
      <c r="S8" s="169"/>
      <c r="T8" s="169"/>
      <c r="U8" s="169"/>
      <c r="V8" s="169">
        <v>2445891</v>
      </c>
      <c r="W8" s="169"/>
      <c r="X8" s="169">
        <v>1000000</v>
      </c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>
        <v>9000000</v>
      </c>
      <c r="AM8" s="169"/>
      <c r="AN8" s="169"/>
      <c r="AO8" s="169"/>
      <c r="AP8" s="169">
        <v>13260592</v>
      </c>
      <c r="AQ8" s="169"/>
      <c r="AS8" s="47" t="str">
        <f t="shared" si="0"/>
        <v>BCI-Sous Compte</v>
      </c>
      <c r="AT8" s="49">
        <f t="shared" si="1"/>
        <v>0</v>
      </c>
      <c r="AU8" s="49">
        <f t="shared" si="2"/>
        <v>9000000</v>
      </c>
      <c r="AV8" s="49">
        <f t="shared" si="3"/>
        <v>4260592</v>
      </c>
      <c r="AW8" s="49">
        <v>0</v>
      </c>
    </row>
    <row r="9" spans="1:49">
      <c r="A9" s="2" t="s">
        <v>25</v>
      </c>
      <c r="B9" s="169"/>
      <c r="C9" s="169"/>
      <c r="D9" s="169">
        <v>265000</v>
      </c>
      <c r="E9" s="169"/>
      <c r="F9" s="169"/>
      <c r="G9" s="169"/>
      <c r="H9" s="169"/>
      <c r="I9" s="169"/>
      <c r="J9" s="169">
        <v>149155</v>
      </c>
      <c r="K9" s="169"/>
      <c r="L9" s="169">
        <v>30000</v>
      </c>
      <c r="M9" s="169"/>
      <c r="N9" s="169">
        <v>89175</v>
      </c>
      <c r="O9" s="169"/>
      <c r="P9" s="169"/>
      <c r="Q9" s="169"/>
      <c r="R9" s="169">
        <v>528000</v>
      </c>
      <c r="S9" s="169"/>
      <c r="T9" s="169">
        <v>83300</v>
      </c>
      <c r="U9" s="169"/>
      <c r="V9" s="169">
        <v>921149</v>
      </c>
      <c r="W9" s="169"/>
      <c r="X9" s="169">
        <v>12750</v>
      </c>
      <c r="Y9" s="169"/>
      <c r="Z9" s="169">
        <v>12000</v>
      </c>
      <c r="AA9" s="169"/>
      <c r="AB9" s="169">
        <v>269000</v>
      </c>
      <c r="AC9" s="169"/>
      <c r="AD9" s="169">
        <v>161250</v>
      </c>
      <c r="AE9" s="169"/>
      <c r="AF9" s="169"/>
      <c r="AG9" s="169"/>
      <c r="AH9" s="169"/>
      <c r="AI9" s="169"/>
      <c r="AJ9" s="169"/>
      <c r="AK9" s="169"/>
      <c r="AL9" s="169">
        <v>7774000</v>
      </c>
      <c r="AM9" s="169">
        <v>10511000</v>
      </c>
      <c r="AN9" s="169"/>
      <c r="AO9" s="169"/>
      <c r="AP9" s="169">
        <v>10294779</v>
      </c>
      <c r="AQ9" s="169">
        <v>10511000</v>
      </c>
      <c r="AS9" s="47" t="str">
        <f t="shared" si="0"/>
        <v>Caisse</v>
      </c>
      <c r="AT9" s="49">
        <f t="shared" si="1"/>
        <v>10511000</v>
      </c>
      <c r="AU9" s="49">
        <f t="shared" si="2"/>
        <v>7774000</v>
      </c>
      <c r="AV9" s="49">
        <f t="shared" si="3"/>
        <v>2520779</v>
      </c>
      <c r="AW9" s="49">
        <v>0</v>
      </c>
    </row>
    <row r="10" spans="1:49">
      <c r="A10" s="2" t="s">
        <v>48</v>
      </c>
      <c r="B10" s="169"/>
      <c r="C10" s="169"/>
      <c r="D10" s="169"/>
      <c r="E10" s="169"/>
      <c r="F10" s="169">
        <v>40000</v>
      </c>
      <c r="G10" s="169"/>
      <c r="H10" s="169"/>
      <c r="I10" s="169"/>
      <c r="J10" s="169"/>
      <c r="K10" s="169"/>
      <c r="L10" s="169"/>
      <c r="M10" s="169"/>
      <c r="N10" s="169"/>
      <c r="O10" s="169"/>
      <c r="P10" s="169">
        <v>9000</v>
      </c>
      <c r="Q10" s="169"/>
      <c r="R10" s="169"/>
      <c r="S10" s="169"/>
      <c r="T10" s="169">
        <v>73950</v>
      </c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>
        <v>199500</v>
      </c>
      <c r="AG10" s="169"/>
      <c r="AH10" s="169">
        <v>1699500</v>
      </c>
      <c r="AI10" s="169"/>
      <c r="AJ10" s="169"/>
      <c r="AK10" s="169"/>
      <c r="AL10" s="169">
        <v>440000</v>
      </c>
      <c r="AM10" s="169">
        <v>2509000</v>
      </c>
      <c r="AN10" s="169"/>
      <c r="AO10" s="169"/>
      <c r="AP10" s="169">
        <v>2461950</v>
      </c>
      <c r="AQ10" s="169">
        <v>2509000</v>
      </c>
      <c r="AS10" s="47" t="str">
        <f t="shared" si="0"/>
        <v>Crépin</v>
      </c>
      <c r="AT10" s="49">
        <f t="shared" si="1"/>
        <v>2509000</v>
      </c>
      <c r="AU10" s="49">
        <f t="shared" si="2"/>
        <v>440000</v>
      </c>
      <c r="AV10" s="49">
        <f t="shared" si="3"/>
        <v>2021950</v>
      </c>
      <c r="AW10" s="49">
        <v>0</v>
      </c>
    </row>
    <row r="11" spans="1:49">
      <c r="A11" s="2" t="s">
        <v>31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>
        <v>63650</v>
      </c>
      <c r="Q11" s="169"/>
      <c r="R11" s="169"/>
      <c r="S11" s="169"/>
      <c r="T11" s="169">
        <v>19000</v>
      </c>
      <c r="U11" s="169"/>
      <c r="V11" s="169"/>
      <c r="W11" s="169"/>
      <c r="X11" s="169"/>
      <c r="Y11" s="169"/>
      <c r="Z11" s="169">
        <v>14000</v>
      </c>
      <c r="AA11" s="169"/>
      <c r="AB11" s="169"/>
      <c r="AC11" s="169"/>
      <c r="AD11" s="169"/>
      <c r="AE11" s="169"/>
      <c r="AF11" s="169">
        <v>109500</v>
      </c>
      <c r="AG11" s="169"/>
      <c r="AH11" s="169">
        <v>395000</v>
      </c>
      <c r="AI11" s="169"/>
      <c r="AJ11" s="169"/>
      <c r="AK11" s="169"/>
      <c r="AL11" s="169"/>
      <c r="AM11" s="169">
        <v>614000</v>
      </c>
      <c r="AN11" s="169"/>
      <c r="AO11" s="169"/>
      <c r="AP11" s="169">
        <v>601150</v>
      </c>
      <c r="AQ11" s="169">
        <v>614000</v>
      </c>
      <c r="AS11" s="47" t="str">
        <f t="shared" si="0"/>
        <v>Evariste</v>
      </c>
      <c r="AT11" s="49">
        <f t="shared" si="1"/>
        <v>614000</v>
      </c>
      <c r="AU11" s="49">
        <f t="shared" si="2"/>
        <v>0</v>
      </c>
      <c r="AV11" s="49">
        <f t="shared" si="3"/>
        <v>601150</v>
      </c>
      <c r="AW11" s="49">
        <v>0</v>
      </c>
    </row>
    <row r="12" spans="1:49">
      <c r="A12" s="2" t="s">
        <v>155</v>
      </c>
      <c r="B12" s="169"/>
      <c r="C12" s="169"/>
      <c r="D12" s="169"/>
      <c r="E12" s="169"/>
      <c r="F12" s="169">
        <v>20000</v>
      </c>
      <c r="G12" s="169"/>
      <c r="H12" s="169"/>
      <c r="I12" s="169"/>
      <c r="J12" s="169"/>
      <c r="K12" s="169"/>
      <c r="L12" s="169"/>
      <c r="M12" s="169"/>
      <c r="N12" s="169"/>
      <c r="O12" s="169"/>
      <c r="P12" s="169">
        <v>13000</v>
      </c>
      <c r="Q12" s="169"/>
      <c r="R12" s="169"/>
      <c r="S12" s="169"/>
      <c r="T12" s="169">
        <v>5900</v>
      </c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>
        <v>671400</v>
      </c>
      <c r="AG12" s="169"/>
      <c r="AH12" s="169">
        <v>408450</v>
      </c>
      <c r="AI12" s="169"/>
      <c r="AJ12" s="169"/>
      <c r="AK12" s="169"/>
      <c r="AL12" s="169">
        <v>50000</v>
      </c>
      <c r="AM12" s="169">
        <v>1202000</v>
      </c>
      <c r="AN12" s="169"/>
      <c r="AO12" s="169"/>
      <c r="AP12" s="169">
        <v>1168750</v>
      </c>
      <c r="AQ12" s="169">
        <v>1202000</v>
      </c>
      <c r="AS12" s="47" t="str">
        <f t="shared" si="0"/>
        <v>Godfré</v>
      </c>
      <c r="AT12" s="49">
        <f t="shared" si="1"/>
        <v>1202000</v>
      </c>
      <c r="AU12" s="49">
        <f t="shared" si="2"/>
        <v>50000</v>
      </c>
      <c r="AV12" s="49">
        <f t="shared" si="3"/>
        <v>1118750</v>
      </c>
      <c r="AW12" s="49">
        <v>0</v>
      </c>
    </row>
    <row r="13" spans="1:49">
      <c r="A13" s="2" t="s">
        <v>154</v>
      </c>
      <c r="B13" s="169"/>
      <c r="C13" s="169"/>
      <c r="D13" s="169">
        <v>360000</v>
      </c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>
        <v>24200</v>
      </c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>
        <v>547800</v>
      </c>
      <c r="AG13" s="169"/>
      <c r="AH13" s="169">
        <v>233100</v>
      </c>
      <c r="AI13" s="169"/>
      <c r="AJ13" s="169"/>
      <c r="AK13" s="169"/>
      <c r="AL13" s="169">
        <v>2081000</v>
      </c>
      <c r="AM13" s="169">
        <v>3247000</v>
      </c>
      <c r="AN13" s="169"/>
      <c r="AO13" s="169"/>
      <c r="AP13" s="169">
        <v>3246100</v>
      </c>
      <c r="AQ13" s="169">
        <v>3247000</v>
      </c>
      <c r="AS13" s="47" t="str">
        <f t="shared" si="0"/>
        <v>Grace</v>
      </c>
      <c r="AT13" s="49">
        <f t="shared" si="1"/>
        <v>3247000</v>
      </c>
      <c r="AU13" s="49">
        <f t="shared" si="2"/>
        <v>2081000</v>
      </c>
      <c r="AV13" s="49">
        <f t="shared" si="3"/>
        <v>1165100</v>
      </c>
      <c r="AW13" s="49">
        <v>0</v>
      </c>
    </row>
    <row r="14" spans="1:49">
      <c r="A14" s="2" t="s">
        <v>49</v>
      </c>
      <c r="B14" s="169"/>
      <c r="C14" s="169"/>
      <c r="D14" s="169"/>
      <c r="E14" s="169"/>
      <c r="F14" s="169"/>
      <c r="G14" s="169"/>
      <c r="H14" s="169">
        <v>105000</v>
      </c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>
        <v>285500</v>
      </c>
      <c r="AG14" s="169"/>
      <c r="AH14" s="169">
        <v>735000</v>
      </c>
      <c r="AI14" s="169"/>
      <c r="AJ14" s="169">
        <v>112500</v>
      </c>
      <c r="AK14" s="169"/>
      <c r="AL14" s="169">
        <v>270000</v>
      </c>
      <c r="AM14" s="169">
        <v>1493000</v>
      </c>
      <c r="AN14" s="169"/>
      <c r="AO14" s="169"/>
      <c r="AP14" s="169">
        <v>1508000</v>
      </c>
      <c r="AQ14" s="169">
        <v>1493000</v>
      </c>
      <c r="AS14" s="47" t="str">
        <f t="shared" si="0"/>
        <v>i23c</v>
      </c>
      <c r="AT14" s="49">
        <f t="shared" si="1"/>
        <v>1493000</v>
      </c>
      <c r="AU14" s="49">
        <f t="shared" si="2"/>
        <v>270000</v>
      </c>
      <c r="AV14" s="49">
        <f t="shared" si="3"/>
        <v>1238000</v>
      </c>
      <c r="AW14" s="49">
        <v>0</v>
      </c>
    </row>
    <row r="15" spans="1:49">
      <c r="A15" s="2" t="s">
        <v>94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>
        <v>58200</v>
      </c>
      <c r="AG15" s="169"/>
      <c r="AH15" s="169"/>
      <c r="AI15" s="169"/>
      <c r="AJ15" s="169"/>
      <c r="AK15" s="169"/>
      <c r="AL15" s="169"/>
      <c r="AM15" s="169">
        <v>50000</v>
      </c>
      <c r="AN15" s="169"/>
      <c r="AO15" s="169"/>
      <c r="AP15" s="169">
        <v>58200</v>
      </c>
      <c r="AQ15" s="169">
        <v>50000</v>
      </c>
      <c r="AS15" s="47" t="str">
        <f t="shared" si="0"/>
        <v>Merveille</v>
      </c>
      <c r="AT15" s="49">
        <f t="shared" si="1"/>
        <v>50000</v>
      </c>
      <c r="AU15" s="49">
        <f t="shared" si="2"/>
        <v>0</v>
      </c>
      <c r="AV15" s="49">
        <f t="shared" si="3"/>
        <v>58200</v>
      </c>
      <c r="AW15" s="49">
        <v>0</v>
      </c>
    </row>
    <row r="16" spans="1:49">
      <c r="A16" s="2" t="s">
        <v>29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>
        <v>48000</v>
      </c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>
        <v>129500</v>
      </c>
      <c r="AG16" s="169"/>
      <c r="AH16" s="169">
        <v>340000</v>
      </c>
      <c r="AI16" s="169"/>
      <c r="AJ16" s="169">
        <v>131000</v>
      </c>
      <c r="AK16" s="169"/>
      <c r="AL16" s="169">
        <v>300000</v>
      </c>
      <c r="AM16" s="169">
        <v>1029000</v>
      </c>
      <c r="AN16" s="169"/>
      <c r="AO16" s="169"/>
      <c r="AP16" s="169">
        <v>948500</v>
      </c>
      <c r="AQ16" s="169">
        <v>1029000</v>
      </c>
      <c r="AS16" s="47" t="str">
        <f t="shared" si="0"/>
        <v>P29</v>
      </c>
      <c r="AT16" s="49">
        <f t="shared" si="1"/>
        <v>1029000</v>
      </c>
      <c r="AU16" s="49">
        <f t="shared" si="2"/>
        <v>300000</v>
      </c>
      <c r="AV16" s="49">
        <f t="shared" si="3"/>
        <v>648500</v>
      </c>
      <c r="AW16" s="49">
        <v>0</v>
      </c>
    </row>
    <row r="17" spans="1:49">
      <c r="A17" s="2" t="s">
        <v>114</v>
      </c>
      <c r="B17" s="169"/>
      <c r="C17" s="169"/>
      <c r="D17" s="169"/>
      <c r="E17" s="169"/>
      <c r="F17" s="169"/>
      <c r="G17" s="169"/>
      <c r="H17" s="169"/>
      <c r="I17" s="169"/>
      <c r="J17" s="169">
        <v>136000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>
        <v>34500</v>
      </c>
      <c r="AG17" s="169"/>
      <c r="AH17" s="169">
        <v>40000</v>
      </c>
      <c r="AI17" s="169"/>
      <c r="AJ17" s="169"/>
      <c r="AK17" s="169"/>
      <c r="AL17" s="169"/>
      <c r="AM17" s="169">
        <v>60000</v>
      </c>
      <c r="AN17" s="169"/>
      <c r="AO17" s="169">
        <v>150000</v>
      </c>
      <c r="AP17" s="169">
        <v>210500</v>
      </c>
      <c r="AQ17" s="169">
        <v>210000</v>
      </c>
      <c r="AS17" s="47" t="str">
        <f t="shared" si="0"/>
        <v>Tiffany</v>
      </c>
      <c r="AT17" s="49">
        <f>AM17+AO17</f>
        <v>210000</v>
      </c>
      <c r="AU17" s="49">
        <f t="shared" si="2"/>
        <v>0</v>
      </c>
      <c r="AV17" s="49">
        <f t="shared" si="3"/>
        <v>210500</v>
      </c>
      <c r="AW17" s="49">
        <v>0</v>
      </c>
    </row>
    <row r="18" spans="1:49">
      <c r="A18" s="2" t="s">
        <v>130</v>
      </c>
      <c r="B18" s="169">
        <v>38046</v>
      </c>
      <c r="C18" s="169"/>
      <c r="D18" s="169">
        <v>625000</v>
      </c>
      <c r="E18" s="169"/>
      <c r="F18" s="169">
        <v>60000</v>
      </c>
      <c r="G18" s="169"/>
      <c r="H18" s="169">
        <v>105000</v>
      </c>
      <c r="I18" s="169"/>
      <c r="J18" s="169">
        <v>285155</v>
      </c>
      <c r="K18" s="169"/>
      <c r="L18" s="169">
        <v>30000</v>
      </c>
      <c r="M18" s="169"/>
      <c r="N18" s="169">
        <v>89175</v>
      </c>
      <c r="O18" s="169"/>
      <c r="P18" s="169">
        <v>85650</v>
      </c>
      <c r="Q18" s="169"/>
      <c r="R18" s="169">
        <v>1328000</v>
      </c>
      <c r="S18" s="169"/>
      <c r="T18" s="169">
        <v>254350</v>
      </c>
      <c r="U18" s="169"/>
      <c r="V18" s="169">
        <v>3367040</v>
      </c>
      <c r="W18" s="169"/>
      <c r="X18" s="169">
        <v>1012750</v>
      </c>
      <c r="Y18" s="169"/>
      <c r="Z18" s="169">
        <v>286000</v>
      </c>
      <c r="AA18" s="169"/>
      <c r="AB18" s="169">
        <v>269000</v>
      </c>
      <c r="AC18" s="169"/>
      <c r="AD18" s="169">
        <v>161250</v>
      </c>
      <c r="AE18" s="169"/>
      <c r="AF18" s="169">
        <v>2076400</v>
      </c>
      <c r="AG18" s="169"/>
      <c r="AH18" s="169">
        <v>3859050</v>
      </c>
      <c r="AI18" s="169"/>
      <c r="AJ18" s="169">
        <v>245500</v>
      </c>
      <c r="AK18" s="169"/>
      <c r="AL18" s="169">
        <v>20915000</v>
      </c>
      <c r="AM18" s="169">
        <v>20765000</v>
      </c>
      <c r="AN18" s="169"/>
      <c r="AO18" s="169">
        <v>150000</v>
      </c>
      <c r="AP18" s="169">
        <v>35092366</v>
      </c>
      <c r="AQ18" s="169">
        <v>20915000</v>
      </c>
      <c r="AT18" s="49">
        <f>SUM(AT6:AT17)</f>
        <v>20915000</v>
      </c>
      <c r="AU18" s="49">
        <f t="shared" ref="AU18:AV18" si="4">SUM(AU6:AU17)</f>
        <v>20915000</v>
      </c>
      <c r="AV18" s="49">
        <f t="shared" si="4"/>
        <v>14177366</v>
      </c>
      <c r="AW18" s="49">
        <f>SUM(AW6:AW16)</f>
        <v>0</v>
      </c>
    </row>
    <row r="20" spans="1:49">
      <c r="AU20" s="246">
        <f>+AU18-AT18</f>
        <v>0</v>
      </c>
      <c r="AV20" s="248" t="b">
        <f>AV18=GETPIVOTDATA("Spent",Donateurs!$A$3)</f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U442"/>
  <sheetViews>
    <sheetView tabSelected="1" zoomScale="66" zoomScaleNormal="66" workbookViewId="0">
      <pane ySplit="11" topLeftCell="A350" activePane="bottomLeft" state="frozen"/>
      <selection pane="bottomLeft" activeCell="I366" sqref="I366"/>
    </sheetView>
  </sheetViews>
  <sheetFormatPr baseColWidth="10" defaultColWidth="11.42578125" defaultRowHeight="15.75"/>
  <cols>
    <col min="1" max="1" width="12.42578125" style="283" customWidth="1"/>
    <col min="2" max="2" width="129.42578125" style="178" customWidth="1"/>
    <col min="3" max="3" width="21.28515625" style="178" customWidth="1"/>
    <col min="4" max="4" width="22" style="178" customWidth="1"/>
    <col min="5" max="5" width="17.7109375" style="195" customWidth="1"/>
    <col min="6" max="6" width="18.5703125" style="301" customWidth="1"/>
    <col min="7" max="7" width="16.7109375" style="196" customWidth="1"/>
    <col min="8" max="8" width="17.7109375" style="178" customWidth="1"/>
    <col min="9" max="9" width="12.5703125" style="183" customWidth="1"/>
    <col min="10" max="10" width="12" style="183" customWidth="1"/>
    <col min="11" max="11" width="12" style="178" customWidth="1"/>
    <col min="12" max="12" width="10.5703125" style="178" customWidth="1"/>
    <col min="13" max="13" width="18.140625" style="178" customWidth="1"/>
    <col min="14" max="14" width="16.28515625" style="177" customWidth="1"/>
    <col min="15" max="15" width="70.5703125" style="249" customWidth="1"/>
    <col min="16" max="16384" width="11.42578125" style="178"/>
  </cols>
  <sheetData>
    <row r="1" spans="1:15" s="192" customFormat="1" ht="26.25" customHeight="1">
      <c r="A1" s="365" t="s">
        <v>225</v>
      </c>
      <c r="B1" s="365"/>
      <c r="C1" s="365"/>
      <c r="D1" s="365"/>
      <c r="E1" s="365"/>
      <c r="F1" s="366"/>
      <c r="G1" s="365"/>
      <c r="H1" s="365"/>
      <c r="I1" s="367"/>
      <c r="J1" s="365"/>
      <c r="K1" s="365"/>
      <c r="L1" s="365"/>
      <c r="M1" s="365"/>
      <c r="N1" s="365"/>
      <c r="O1" s="368"/>
    </row>
    <row r="2" spans="1:15">
      <c r="B2" s="193" t="s">
        <v>178</v>
      </c>
      <c r="C2" s="194">
        <v>17560283</v>
      </c>
    </row>
    <row r="4" spans="1:15">
      <c r="B4" s="197" t="s">
        <v>6</v>
      </c>
      <c r="C4" s="197" t="s">
        <v>7</v>
      </c>
    </row>
    <row r="5" spans="1:15">
      <c r="B5" s="178" t="s">
        <v>8</v>
      </c>
      <c r="C5" s="198">
        <f>SUM(E13:E1139)</f>
        <v>20915000</v>
      </c>
      <c r="E5" s="195" t="s">
        <v>101</v>
      </c>
      <c r="H5" s="198"/>
    </row>
    <row r="6" spans="1:15">
      <c r="B6" s="178" t="s">
        <v>9</v>
      </c>
      <c r="C6" s="198">
        <f>SUM(F13:F1140)</f>
        <v>35092366</v>
      </c>
      <c r="E6" s="247">
        <f>+C7-Récapitulatif!I17</f>
        <v>0</v>
      </c>
      <c r="J6" s="215"/>
      <c r="K6" s="191"/>
    </row>
    <row r="7" spans="1:15">
      <c r="B7" s="279" t="s">
        <v>10</v>
      </c>
      <c r="C7" s="294">
        <f>C2+C5-C6</f>
        <v>3382917</v>
      </c>
      <c r="D7" s="199">
        <f>C7-Récapitulatif!I17</f>
        <v>0</v>
      </c>
      <c r="K7" s="191"/>
    </row>
    <row r="9" spans="1:15">
      <c r="B9" s="189"/>
    </row>
    <row r="11" spans="1:15">
      <c r="A11" s="309" t="s">
        <v>0</v>
      </c>
      <c r="B11" s="202" t="s">
        <v>11</v>
      </c>
      <c r="C11" s="202" t="s">
        <v>12</v>
      </c>
      <c r="D11" s="202" t="s">
        <v>13</v>
      </c>
      <c r="E11" s="217" t="s">
        <v>14</v>
      </c>
      <c r="F11" s="302" t="s">
        <v>15</v>
      </c>
      <c r="G11" s="203" t="s">
        <v>16</v>
      </c>
      <c r="H11" s="202" t="s">
        <v>17</v>
      </c>
      <c r="I11" s="204" t="s">
        <v>18</v>
      </c>
      <c r="J11" s="204" t="s">
        <v>19</v>
      </c>
      <c r="K11" s="202" t="s">
        <v>20</v>
      </c>
      <c r="L11" s="202" t="s">
        <v>21</v>
      </c>
      <c r="M11" s="202" t="s">
        <v>82</v>
      </c>
      <c r="N11" s="244" t="s">
        <v>23</v>
      </c>
      <c r="O11" s="202" t="s">
        <v>22</v>
      </c>
    </row>
    <row r="12" spans="1:15" ht="15.75" customHeight="1">
      <c r="A12" s="283">
        <v>44593</v>
      </c>
      <c r="B12" s="227" t="s">
        <v>224</v>
      </c>
      <c r="C12" s="227"/>
      <c r="D12" s="227"/>
      <c r="E12" s="211"/>
      <c r="F12" s="195"/>
      <c r="G12" s="281">
        <f>+C2</f>
        <v>17560283</v>
      </c>
      <c r="H12" s="227"/>
      <c r="I12" s="280"/>
      <c r="J12" s="227"/>
      <c r="K12" s="227"/>
      <c r="L12" s="227" t="s">
        <v>188</v>
      </c>
      <c r="M12" s="227"/>
      <c r="N12" s="227"/>
      <c r="O12" s="227"/>
    </row>
    <row r="13" spans="1:15" ht="15" customHeight="1">
      <c r="A13" s="283">
        <v>44593</v>
      </c>
      <c r="B13" s="227" t="s">
        <v>48</v>
      </c>
      <c r="C13" s="227" t="s">
        <v>76</v>
      </c>
      <c r="D13" s="227"/>
      <c r="E13" s="211"/>
      <c r="F13" s="220">
        <v>40000</v>
      </c>
      <c r="G13" s="237">
        <f t="shared" ref="G13:G76" si="0">+G12+E13-F13</f>
        <v>17520283</v>
      </c>
      <c r="H13" s="227" t="s">
        <v>25</v>
      </c>
      <c r="I13" s="280"/>
      <c r="J13" s="227"/>
      <c r="K13" s="227"/>
      <c r="L13" s="227" t="s">
        <v>188</v>
      </c>
      <c r="M13" s="227"/>
      <c r="N13" s="227"/>
      <c r="O13" s="227"/>
    </row>
    <row r="14" spans="1:15" ht="15" customHeight="1">
      <c r="A14" s="283">
        <v>44593</v>
      </c>
      <c r="B14" s="227" t="s">
        <v>228</v>
      </c>
      <c r="C14" s="227" t="s">
        <v>186</v>
      </c>
      <c r="D14" s="227" t="s">
        <v>229</v>
      </c>
      <c r="E14" s="211"/>
      <c r="F14" s="220">
        <f>21000+16000+5000</f>
        <v>42000</v>
      </c>
      <c r="G14" s="237">
        <f t="shared" si="0"/>
        <v>17478283</v>
      </c>
      <c r="H14" s="227" t="s">
        <v>25</v>
      </c>
      <c r="I14" s="227" t="s">
        <v>230</v>
      </c>
      <c r="J14" s="227" t="s">
        <v>103</v>
      </c>
      <c r="K14" s="227" t="s">
        <v>481</v>
      </c>
      <c r="L14" s="227" t="s">
        <v>188</v>
      </c>
      <c r="M14" s="178" t="s">
        <v>524</v>
      </c>
      <c r="N14" s="328" t="s">
        <v>214</v>
      </c>
      <c r="O14" s="227"/>
    </row>
    <row r="15" spans="1:15" ht="15" customHeight="1">
      <c r="A15" s="283">
        <v>44593</v>
      </c>
      <c r="B15" s="227" t="s">
        <v>231</v>
      </c>
      <c r="C15" s="227" t="s">
        <v>186</v>
      </c>
      <c r="D15" s="227" t="s">
        <v>166</v>
      </c>
      <c r="E15" s="211"/>
      <c r="F15" s="220">
        <v>37000</v>
      </c>
      <c r="G15" s="237">
        <f t="shared" si="0"/>
        <v>17441283</v>
      </c>
      <c r="H15" s="227" t="s">
        <v>25</v>
      </c>
      <c r="I15" s="227" t="s">
        <v>230</v>
      </c>
      <c r="J15" s="227" t="s">
        <v>103</v>
      </c>
      <c r="K15" s="227" t="s">
        <v>481</v>
      </c>
      <c r="L15" s="227" t="s">
        <v>188</v>
      </c>
      <c r="M15" s="178" t="s">
        <v>525</v>
      </c>
      <c r="N15" s="328" t="s">
        <v>214</v>
      </c>
      <c r="O15" s="227"/>
    </row>
    <row r="16" spans="1:15" ht="15" customHeight="1">
      <c r="A16" s="283">
        <v>44593</v>
      </c>
      <c r="B16" s="227" t="s">
        <v>232</v>
      </c>
      <c r="C16" s="227" t="s">
        <v>186</v>
      </c>
      <c r="D16" s="227" t="s">
        <v>4</v>
      </c>
      <c r="E16" s="211"/>
      <c r="F16" s="320">
        <v>20000</v>
      </c>
      <c r="G16" s="237">
        <f t="shared" si="0"/>
        <v>17421283</v>
      </c>
      <c r="H16" s="227" t="s">
        <v>25</v>
      </c>
      <c r="I16" s="178" t="s">
        <v>230</v>
      </c>
      <c r="J16" s="227" t="s">
        <v>103</v>
      </c>
      <c r="K16" s="227" t="s">
        <v>481</v>
      </c>
      <c r="L16" s="227" t="s">
        <v>188</v>
      </c>
      <c r="M16" s="178" t="s">
        <v>526</v>
      </c>
      <c r="N16" s="328" t="s">
        <v>214</v>
      </c>
      <c r="O16" s="227"/>
    </row>
    <row r="17" spans="1:15" ht="15" customHeight="1">
      <c r="A17" s="283">
        <v>44593</v>
      </c>
      <c r="B17" s="227" t="s">
        <v>500</v>
      </c>
      <c r="C17" s="227" t="s">
        <v>186</v>
      </c>
      <c r="D17" s="227" t="s">
        <v>4</v>
      </c>
      <c r="E17" s="211"/>
      <c r="F17" s="320">
        <v>10000</v>
      </c>
      <c r="G17" s="237">
        <f t="shared" si="0"/>
        <v>17411283</v>
      </c>
      <c r="H17" s="227" t="s">
        <v>25</v>
      </c>
      <c r="I17" s="178" t="s">
        <v>230</v>
      </c>
      <c r="J17" s="227" t="s">
        <v>168</v>
      </c>
      <c r="K17" s="227" t="s">
        <v>482</v>
      </c>
      <c r="L17" s="227" t="s">
        <v>188</v>
      </c>
      <c r="N17" s="227"/>
      <c r="O17" s="227"/>
    </row>
    <row r="18" spans="1:15" ht="15" customHeight="1">
      <c r="A18" s="283">
        <v>44593</v>
      </c>
      <c r="B18" s="227" t="s">
        <v>233</v>
      </c>
      <c r="C18" s="227" t="s">
        <v>186</v>
      </c>
      <c r="D18" s="227" t="s">
        <v>167</v>
      </c>
      <c r="E18" s="211"/>
      <c r="F18" s="320">
        <v>5000</v>
      </c>
      <c r="G18" s="237">
        <f t="shared" si="0"/>
        <v>17406283</v>
      </c>
      <c r="H18" s="227" t="s">
        <v>25</v>
      </c>
      <c r="I18" s="178" t="s">
        <v>230</v>
      </c>
      <c r="J18" s="227" t="s">
        <v>103</v>
      </c>
      <c r="K18" s="227" t="s">
        <v>481</v>
      </c>
      <c r="L18" s="227" t="s">
        <v>188</v>
      </c>
      <c r="M18" s="178" t="s">
        <v>527</v>
      </c>
      <c r="N18" s="328" t="s">
        <v>214</v>
      </c>
      <c r="O18" s="227"/>
    </row>
    <row r="19" spans="1:15" ht="15" customHeight="1">
      <c r="A19" s="286">
        <v>44593</v>
      </c>
      <c r="B19" s="287" t="s">
        <v>234</v>
      </c>
      <c r="C19" s="227" t="s">
        <v>186</v>
      </c>
      <c r="D19" s="227" t="s">
        <v>229</v>
      </c>
      <c r="E19" s="213"/>
      <c r="F19" s="222">
        <v>11000</v>
      </c>
      <c r="G19" s="237">
        <f t="shared" si="0"/>
        <v>17395283</v>
      </c>
      <c r="H19" s="242" t="s">
        <v>25</v>
      </c>
      <c r="I19" s="178" t="s">
        <v>230</v>
      </c>
      <c r="J19" s="227" t="s">
        <v>103</v>
      </c>
      <c r="K19" s="227" t="s">
        <v>481</v>
      </c>
      <c r="L19" s="227" t="s">
        <v>188</v>
      </c>
      <c r="M19" s="178" t="s">
        <v>528</v>
      </c>
      <c r="N19" s="328" t="s">
        <v>214</v>
      </c>
      <c r="O19" s="227"/>
    </row>
    <row r="20" spans="1:15" ht="15" customHeight="1">
      <c r="A20" s="283">
        <v>44593</v>
      </c>
      <c r="B20" s="227" t="s">
        <v>235</v>
      </c>
      <c r="C20" s="227" t="s">
        <v>186</v>
      </c>
      <c r="D20" s="227" t="s">
        <v>166</v>
      </c>
      <c r="E20" s="211"/>
      <c r="F20" s="320">
        <v>5000</v>
      </c>
      <c r="G20" s="237">
        <f t="shared" si="0"/>
        <v>17390283</v>
      </c>
      <c r="H20" s="227" t="s">
        <v>25</v>
      </c>
      <c r="I20" s="178" t="s">
        <v>230</v>
      </c>
      <c r="J20" s="227" t="s">
        <v>103</v>
      </c>
      <c r="K20" s="227" t="s">
        <v>481</v>
      </c>
      <c r="L20" s="227" t="s">
        <v>188</v>
      </c>
      <c r="M20" s="178" t="s">
        <v>529</v>
      </c>
      <c r="N20" s="328" t="s">
        <v>214</v>
      </c>
      <c r="O20" s="227"/>
    </row>
    <row r="21" spans="1:15" ht="15" customHeight="1">
      <c r="A21" s="283">
        <v>44593</v>
      </c>
      <c r="B21" s="227" t="s">
        <v>501</v>
      </c>
      <c r="C21" s="227" t="s">
        <v>186</v>
      </c>
      <c r="D21" s="227" t="s">
        <v>4</v>
      </c>
      <c r="E21" s="211"/>
      <c r="F21" s="320">
        <v>32000</v>
      </c>
      <c r="G21" s="237">
        <f t="shared" si="0"/>
        <v>17358283</v>
      </c>
      <c r="H21" s="227" t="s">
        <v>25</v>
      </c>
      <c r="I21" s="178" t="s">
        <v>230</v>
      </c>
      <c r="J21" s="227" t="s">
        <v>103</v>
      </c>
      <c r="K21" s="227" t="s">
        <v>481</v>
      </c>
      <c r="L21" s="227" t="s">
        <v>188</v>
      </c>
      <c r="M21" s="178" t="s">
        <v>530</v>
      </c>
      <c r="N21" s="328" t="s">
        <v>214</v>
      </c>
      <c r="O21" s="227"/>
    </row>
    <row r="22" spans="1:15" ht="15" customHeight="1">
      <c r="A22" s="283">
        <v>44593</v>
      </c>
      <c r="B22" s="227" t="s">
        <v>236</v>
      </c>
      <c r="C22" s="227" t="s">
        <v>186</v>
      </c>
      <c r="D22" s="227" t="s">
        <v>4</v>
      </c>
      <c r="E22" s="211"/>
      <c r="F22" s="320">
        <v>16000</v>
      </c>
      <c r="G22" s="237">
        <f t="shared" si="0"/>
        <v>17342283</v>
      </c>
      <c r="H22" s="227" t="s">
        <v>25</v>
      </c>
      <c r="I22" s="178" t="s">
        <v>230</v>
      </c>
      <c r="J22" s="227" t="s">
        <v>168</v>
      </c>
      <c r="K22" s="227" t="s">
        <v>482</v>
      </c>
      <c r="L22" s="227" t="s">
        <v>188</v>
      </c>
      <c r="N22" s="227"/>
      <c r="O22" s="227"/>
    </row>
    <row r="23" spans="1:15" ht="15" customHeight="1">
      <c r="A23" s="283">
        <v>44593</v>
      </c>
      <c r="B23" s="227" t="s">
        <v>237</v>
      </c>
      <c r="C23" s="227" t="s">
        <v>186</v>
      </c>
      <c r="D23" s="227" t="s">
        <v>167</v>
      </c>
      <c r="E23" s="211"/>
      <c r="F23" s="220">
        <v>11000</v>
      </c>
      <c r="G23" s="237">
        <f t="shared" si="0"/>
        <v>17331283</v>
      </c>
      <c r="H23" s="227" t="s">
        <v>25</v>
      </c>
      <c r="I23" s="178" t="s">
        <v>230</v>
      </c>
      <c r="J23" s="227" t="s">
        <v>103</v>
      </c>
      <c r="K23" s="227" t="s">
        <v>481</v>
      </c>
      <c r="L23" s="227" t="s">
        <v>188</v>
      </c>
      <c r="M23" s="178" t="s">
        <v>531</v>
      </c>
      <c r="N23" s="328" t="s">
        <v>214</v>
      </c>
      <c r="O23" s="227"/>
    </row>
    <row r="24" spans="1:15" ht="15" customHeight="1">
      <c r="A24" s="286">
        <v>44593</v>
      </c>
      <c r="B24" s="287" t="s">
        <v>238</v>
      </c>
      <c r="C24" s="227" t="s">
        <v>35</v>
      </c>
      <c r="D24" s="227" t="s">
        <v>239</v>
      </c>
      <c r="E24" s="313"/>
      <c r="F24" s="320">
        <v>1500</v>
      </c>
      <c r="G24" s="237">
        <f t="shared" si="0"/>
        <v>17329783</v>
      </c>
      <c r="H24" s="227" t="s">
        <v>25</v>
      </c>
      <c r="I24" s="178" t="s">
        <v>230</v>
      </c>
      <c r="J24" s="227" t="s">
        <v>103</v>
      </c>
      <c r="K24" s="227" t="s">
        <v>481</v>
      </c>
      <c r="L24" s="227" t="s">
        <v>188</v>
      </c>
      <c r="M24" s="178" t="s">
        <v>532</v>
      </c>
      <c r="N24" s="328" t="s">
        <v>207</v>
      </c>
      <c r="O24" s="227"/>
    </row>
    <row r="25" spans="1:15" ht="15" customHeight="1">
      <c r="A25" s="286">
        <v>44593</v>
      </c>
      <c r="B25" s="227" t="s">
        <v>240</v>
      </c>
      <c r="C25" s="227" t="s">
        <v>176</v>
      </c>
      <c r="D25" s="227" t="s">
        <v>239</v>
      </c>
      <c r="E25" s="190"/>
      <c r="F25" s="222">
        <v>69155</v>
      </c>
      <c r="G25" s="237">
        <f t="shared" si="0"/>
        <v>17260628</v>
      </c>
      <c r="H25" s="227" t="s">
        <v>25</v>
      </c>
      <c r="I25" s="178" t="s">
        <v>230</v>
      </c>
      <c r="J25" s="227" t="s">
        <v>103</v>
      </c>
      <c r="K25" s="227" t="s">
        <v>481</v>
      </c>
      <c r="L25" s="227" t="s">
        <v>188</v>
      </c>
      <c r="M25" s="178" t="s">
        <v>533</v>
      </c>
      <c r="N25" s="328">
        <v>7</v>
      </c>
      <c r="O25" s="227"/>
    </row>
    <row r="26" spans="1:15" ht="15" customHeight="1">
      <c r="A26" s="286">
        <v>44593</v>
      </c>
      <c r="B26" s="287" t="s">
        <v>241</v>
      </c>
      <c r="C26" s="287" t="s">
        <v>76</v>
      </c>
      <c r="D26" s="227"/>
      <c r="E26" s="212">
        <v>30000</v>
      </c>
      <c r="F26" s="223"/>
      <c r="G26" s="237">
        <f t="shared" si="0"/>
        <v>17290628</v>
      </c>
      <c r="H26" s="242" t="s">
        <v>25</v>
      </c>
      <c r="I26" s="178"/>
      <c r="J26" s="227"/>
      <c r="K26" s="227"/>
      <c r="L26" s="227" t="s">
        <v>188</v>
      </c>
      <c r="N26" s="227"/>
      <c r="O26" s="227"/>
    </row>
    <row r="27" spans="1:15" ht="15" customHeight="1">
      <c r="A27" s="285">
        <v>44593</v>
      </c>
      <c r="B27" s="227" t="s">
        <v>479</v>
      </c>
      <c r="C27" s="238" t="s">
        <v>203</v>
      </c>
      <c r="D27" s="237" t="s">
        <v>239</v>
      </c>
      <c r="E27" s="305"/>
      <c r="F27" s="222">
        <v>14701</v>
      </c>
      <c r="G27" s="237">
        <f t="shared" si="0"/>
        <v>17275927</v>
      </c>
      <c r="H27" s="227" t="s">
        <v>160</v>
      </c>
      <c r="I27" s="227" t="s">
        <v>311</v>
      </c>
      <c r="J27" s="227" t="s">
        <v>103</v>
      </c>
      <c r="K27" s="227" t="s">
        <v>481</v>
      </c>
      <c r="L27" s="227" t="s">
        <v>188</v>
      </c>
      <c r="M27" s="178" t="s">
        <v>534</v>
      </c>
      <c r="N27" s="328" t="s">
        <v>204</v>
      </c>
      <c r="O27" s="227"/>
    </row>
    <row r="28" spans="1:15" ht="15" customHeight="1">
      <c r="A28" s="283">
        <v>44593</v>
      </c>
      <c r="B28" s="227" t="s">
        <v>354</v>
      </c>
      <c r="C28" s="227" t="s">
        <v>76</v>
      </c>
      <c r="D28" s="227"/>
      <c r="E28" s="213">
        <v>40000</v>
      </c>
      <c r="F28" s="320"/>
      <c r="G28" s="237">
        <f t="shared" si="0"/>
        <v>17315927</v>
      </c>
      <c r="H28" s="227" t="s">
        <v>48</v>
      </c>
      <c r="I28" s="280"/>
      <c r="J28" s="227"/>
      <c r="K28" s="227"/>
      <c r="L28" s="227" t="s">
        <v>188</v>
      </c>
      <c r="N28" s="227"/>
      <c r="O28" s="227"/>
    </row>
    <row r="29" spans="1:15" ht="15" customHeight="1">
      <c r="A29" s="285">
        <v>44593</v>
      </c>
      <c r="B29" s="232" t="s">
        <v>415</v>
      </c>
      <c r="C29" s="233" t="s">
        <v>76</v>
      </c>
      <c r="D29" s="233"/>
      <c r="E29" s="314"/>
      <c r="F29" s="223">
        <v>30000</v>
      </c>
      <c r="G29" s="237">
        <f t="shared" si="0"/>
        <v>17285927</v>
      </c>
      <c r="H29" s="232" t="s">
        <v>155</v>
      </c>
      <c r="J29" s="235"/>
      <c r="K29" s="232"/>
      <c r="L29" s="227" t="s">
        <v>188</v>
      </c>
      <c r="N29" s="308"/>
      <c r="O29" s="235"/>
    </row>
    <row r="30" spans="1:15" ht="15" customHeight="1">
      <c r="A30" s="283">
        <v>44594</v>
      </c>
      <c r="B30" s="227" t="s">
        <v>175</v>
      </c>
      <c r="C30" s="227" t="s">
        <v>76</v>
      </c>
      <c r="D30" s="227"/>
      <c r="E30" s="211"/>
      <c r="F30" s="220">
        <v>15000</v>
      </c>
      <c r="G30" s="237">
        <f t="shared" si="0"/>
        <v>17270927</v>
      </c>
      <c r="H30" s="227" t="s">
        <v>25</v>
      </c>
      <c r="I30" s="178"/>
      <c r="J30" s="227"/>
      <c r="K30" s="227"/>
      <c r="L30" s="227" t="s">
        <v>188</v>
      </c>
      <c r="N30" s="227"/>
      <c r="O30" s="227"/>
    </row>
    <row r="31" spans="1:15" ht="15" customHeight="1">
      <c r="A31" s="284">
        <v>44594</v>
      </c>
      <c r="B31" s="227" t="s">
        <v>154</v>
      </c>
      <c r="C31" s="227" t="s">
        <v>76</v>
      </c>
      <c r="D31" s="227"/>
      <c r="E31" s="315"/>
      <c r="F31" s="321">
        <v>15000</v>
      </c>
      <c r="G31" s="237">
        <f t="shared" si="0"/>
        <v>17255927</v>
      </c>
      <c r="H31" s="231" t="s">
        <v>25</v>
      </c>
      <c r="I31" s="178"/>
      <c r="J31" s="227"/>
      <c r="K31" s="227"/>
      <c r="L31" s="227" t="s">
        <v>188</v>
      </c>
      <c r="N31" s="231"/>
      <c r="O31" s="231"/>
    </row>
    <row r="32" spans="1:15" ht="15" customHeight="1">
      <c r="A32" s="286">
        <v>44594</v>
      </c>
      <c r="B32" s="287" t="s">
        <v>242</v>
      </c>
      <c r="C32" s="227" t="s">
        <v>35</v>
      </c>
      <c r="D32" s="227" t="s">
        <v>239</v>
      </c>
      <c r="E32" s="212"/>
      <c r="F32" s="223">
        <v>18000</v>
      </c>
      <c r="G32" s="237">
        <f t="shared" si="0"/>
        <v>17237927</v>
      </c>
      <c r="H32" s="242" t="s">
        <v>25</v>
      </c>
      <c r="I32" s="227" t="s">
        <v>230</v>
      </c>
      <c r="J32" s="227" t="s">
        <v>168</v>
      </c>
      <c r="K32" s="227" t="s">
        <v>482</v>
      </c>
      <c r="L32" s="227" t="s">
        <v>188</v>
      </c>
      <c r="M32" s="227"/>
      <c r="N32" s="227"/>
      <c r="O32" s="227"/>
    </row>
    <row r="33" spans="1:16" ht="15" customHeight="1">
      <c r="A33" s="283">
        <v>44594</v>
      </c>
      <c r="B33" s="227" t="s">
        <v>29</v>
      </c>
      <c r="C33" s="227" t="s">
        <v>76</v>
      </c>
      <c r="D33" s="227"/>
      <c r="E33" s="213"/>
      <c r="F33" s="320">
        <v>20000</v>
      </c>
      <c r="G33" s="237">
        <f t="shared" si="0"/>
        <v>17217927</v>
      </c>
      <c r="H33" s="227" t="s">
        <v>25</v>
      </c>
      <c r="I33" s="178"/>
      <c r="J33" s="227"/>
      <c r="K33" s="227"/>
      <c r="L33" s="227" t="s">
        <v>188</v>
      </c>
      <c r="N33" s="227"/>
      <c r="O33" s="227"/>
    </row>
    <row r="34" spans="1:16" ht="15.75" customHeight="1">
      <c r="A34" s="283">
        <v>44594</v>
      </c>
      <c r="B34" s="227" t="s">
        <v>314</v>
      </c>
      <c r="C34" s="227" t="s">
        <v>76</v>
      </c>
      <c r="D34" s="226"/>
      <c r="E34" s="213">
        <v>15000</v>
      </c>
      <c r="F34" s="320"/>
      <c r="G34" s="237">
        <f t="shared" si="0"/>
        <v>17232927</v>
      </c>
      <c r="H34" s="227" t="s">
        <v>154</v>
      </c>
      <c r="I34" s="178"/>
      <c r="J34" s="227"/>
      <c r="K34" s="227"/>
      <c r="L34" s="227" t="s">
        <v>188</v>
      </c>
      <c r="N34" s="227"/>
      <c r="O34" s="227"/>
    </row>
    <row r="35" spans="1:16" ht="15" customHeight="1">
      <c r="A35" s="295">
        <v>44594</v>
      </c>
      <c r="B35" s="287" t="s">
        <v>355</v>
      </c>
      <c r="C35" s="296" t="s">
        <v>201</v>
      </c>
      <c r="D35" s="227" t="s">
        <v>166</v>
      </c>
      <c r="E35" s="316"/>
      <c r="F35" s="322">
        <v>10000</v>
      </c>
      <c r="G35" s="237">
        <f t="shared" si="0"/>
        <v>17222927</v>
      </c>
      <c r="H35" s="298" t="s">
        <v>48</v>
      </c>
      <c r="I35" s="299" t="s">
        <v>230</v>
      </c>
      <c r="J35" s="297" t="s">
        <v>168</v>
      </c>
      <c r="K35" s="297" t="s">
        <v>482</v>
      </c>
      <c r="L35" s="227" t="s">
        <v>188</v>
      </c>
      <c r="N35" s="297"/>
      <c r="O35" s="227"/>
    </row>
    <row r="36" spans="1:16" ht="15.75" customHeight="1">
      <c r="A36" s="283">
        <v>44594</v>
      </c>
      <c r="B36" s="227" t="s">
        <v>356</v>
      </c>
      <c r="C36" s="296" t="s">
        <v>201</v>
      </c>
      <c r="D36" s="227" t="s">
        <v>166</v>
      </c>
      <c r="E36" s="211"/>
      <c r="F36" s="323">
        <v>30000</v>
      </c>
      <c r="G36" s="237">
        <f t="shared" si="0"/>
        <v>17192927</v>
      </c>
      <c r="H36" s="227" t="s">
        <v>48</v>
      </c>
      <c r="I36" s="280" t="s">
        <v>230</v>
      </c>
      <c r="J36" s="297" t="s">
        <v>168</v>
      </c>
      <c r="K36" s="297" t="s">
        <v>482</v>
      </c>
      <c r="L36" s="227" t="s">
        <v>188</v>
      </c>
      <c r="N36" s="231"/>
      <c r="O36" s="227"/>
    </row>
    <row r="37" spans="1:16" ht="15.75" customHeight="1">
      <c r="A37" s="283">
        <v>44594</v>
      </c>
      <c r="B37" s="178" t="s">
        <v>456</v>
      </c>
      <c r="C37" s="178" t="s">
        <v>76</v>
      </c>
      <c r="D37" s="226"/>
      <c r="E37" s="220">
        <v>20000</v>
      </c>
      <c r="F37" s="220"/>
      <c r="G37" s="237">
        <f t="shared" si="0"/>
        <v>17212927</v>
      </c>
      <c r="H37" s="178" t="s">
        <v>29</v>
      </c>
      <c r="L37" s="227" t="s">
        <v>188</v>
      </c>
      <c r="O37" s="178"/>
      <c r="P37" s="228"/>
    </row>
    <row r="38" spans="1:16" ht="15.75" customHeight="1">
      <c r="A38" s="283">
        <v>44594</v>
      </c>
      <c r="B38" s="178" t="s">
        <v>474</v>
      </c>
      <c r="C38" s="178" t="s">
        <v>475</v>
      </c>
      <c r="D38" s="226"/>
      <c r="E38" s="222">
        <v>15000</v>
      </c>
      <c r="F38" s="221"/>
      <c r="G38" s="237">
        <f t="shared" si="0"/>
        <v>17227927</v>
      </c>
      <c r="H38" s="178" t="s">
        <v>175</v>
      </c>
      <c r="J38" s="178"/>
      <c r="L38" s="227" t="s">
        <v>188</v>
      </c>
      <c r="N38" s="231"/>
      <c r="O38" s="228"/>
      <c r="P38" s="229"/>
    </row>
    <row r="39" spans="1:16" ht="15.75" customHeight="1">
      <c r="A39" s="286">
        <v>44595</v>
      </c>
      <c r="B39" s="287" t="s">
        <v>243</v>
      </c>
      <c r="C39" s="287" t="s">
        <v>76</v>
      </c>
      <c r="D39" s="227"/>
      <c r="E39" s="212">
        <v>1000000</v>
      </c>
      <c r="F39" s="324"/>
      <c r="G39" s="237">
        <f t="shared" si="0"/>
        <v>18227927</v>
      </c>
      <c r="H39" s="242" t="s">
        <v>25</v>
      </c>
      <c r="I39" s="178"/>
      <c r="J39" s="227"/>
      <c r="K39" s="227"/>
      <c r="L39" s="227" t="s">
        <v>188</v>
      </c>
      <c r="N39" s="231"/>
      <c r="O39" s="227"/>
    </row>
    <row r="40" spans="1:16" ht="15.75" customHeight="1">
      <c r="A40" s="286">
        <v>44595</v>
      </c>
      <c r="B40" s="287" t="s">
        <v>29</v>
      </c>
      <c r="C40" s="227" t="s">
        <v>76</v>
      </c>
      <c r="D40" s="226"/>
      <c r="E40" s="317"/>
      <c r="F40" s="320">
        <v>171000</v>
      </c>
      <c r="G40" s="237">
        <f t="shared" si="0"/>
        <v>18056927</v>
      </c>
      <c r="H40" s="227" t="s">
        <v>25</v>
      </c>
      <c r="I40" s="178"/>
      <c r="J40" s="227"/>
      <c r="K40" s="242"/>
      <c r="L40" s="227" t="s">
        <v>188</v>
      </c>
      <c r="N40" s="227"/>
      <c r="O40" s="227"/>
    </row>
    <row r="41" spans="1:16" ht="15.75" customHeight="1">
      <c r="A41" s="283">
        <v>44595</v>
      </c>
      <c r="B41" s="227" t="s">
        <v>30</v>
      </c>
      <c r="C41" s="227" t="s">
        <v>76</v>
      </c>
      <c r="D41" s="227"/>
      <c r="E41" s="213"/>
      <c r="F41" s="222">
        <v>181000</v>
      </c>
      <c r="G41" s="237">
        <f t="shared" si="0"/>
        <v>17875927</v>
      </c>
      <c r="H41" s="227" t="s">
        <v>25</v>
      </c>
      <c r="I41" s="227"/>
      <c r="J41" s="227"/>
      <c r="K41" s="227"/>
      <c r="L41" s="227" t="s">
        <v>188</v>
      </c>
      <c r="M41" s="227"/>
      <c r="N41" s="227"/>
      <c r="O41" s="227"/>
    </row>
    <row r="42" spans="1:16" ht="15.75" customHeight="1">
      <c r="A42" s="283">
        <v>44595</v>
      </c>
      <c r="B42" s="226" t="s">
        <v>312</v>
      </c>
      <c r="C42" s="237" t="s">
        <v>76</v>
      </c>
      <c r="F42" s="222">
        <v>1000000</v>
      </c>
      <c r="G42" s="237">
        <f t="shared" si="0"/>
        <v>16875927</v>
      </c>
      <c r="H42" s="227" t="s">
        <v>24</v>
      </c>
      <c r="I42" s="227"/>
      <c r="L42" s="227" t="s">
        <v>188</v>
      </c>
      <c r="N42" s="227"/>
      <c r="O42" s="227"/>
    </row>
    <row r="43" spans="1:16" ht="15.75" customHeight="1">
      <c r="A43" s="283">
        <v>44595</v>
      </c>
      <c r="B43" s="227" t="s">
        <v>313</v>
      </c>
      <c r="C43" s="178" t="s">
        <v>3</v>
      </c>
      <c r="D43" s="237" t="s">
        <v>239</v>
      </c>
      <c r="F43" s="320">
        <v>260000</v>
      </c>
      <c r="G43" s="237">
        <f t="shared" si="0"/>
        <v>16615927</v>
      </c>
      <c r="H43" s="227" t="s">
        <v>24</v>
      </c>
      <c r="I43" s="280">
        <v>3654469</v>
      </c>
      <c r="J43" s="183" t="s">
        <v>168</v>
      </c>
      <c r="K43" s="178" t="s">
        <v>482</v>
      </c>
      <c r="L43" s="227" t="s">
        <v>188</v>
      </c>
      <c r="M43" s="227"/>
      <c r="N43" s="227"/>
      <c r="O43" s="227"/>
    </row>
    <row r="44" spans="1:16" ht="15" customHeight="1">
      <c r="A44" s="283">
        <v>44595</v>
      </c>
      <c r="B44" s="178" t="s">
        <v>433</v>
      </c>
      <c r="C44" s="178" t="s">
        <v>76</v>
      </c>
      <c r="D44" s="226"/>
      <c r="E44" s="222">
        <v>181000</v>
      </c>
      <c r="F44" s="222"/>
      <c r="G44" s="237">
        <f t="shared" si="0"/>
        <v>16796927</v>
      </c>
      <c r="H44" s="227" t="s">
        <v>49</v>
      </c>
      <c r="J44" s="178"/>
      <c r="L44" s="227" t="s">
        <v>188</v>
      </c>
      <c r="O44" s="178"/>
    </row>
    <row r="45" spans="1:16" ht="15" customHeight="1">
      <c r="A45" s="283">
        <v>44595</v>
      </c>
      <c r="B45" s="178" t="s">
        <v>493</v>
      </c>
      <c r="C45" s="178" t="s">
        <v>34</v>
      </c>
      <c r="D45" s="227" t="s">
        <v>4</v>
      </c>
      <c r="E45" s="222"/>
      <c r="F45" s="320">
        <v>10000</v>
      </c>
      <c r="G45" s="237">
        <f t="shared" si="0"/>
        <v>16786927</v>
      </c>
      <c r="H45" s="227" t="s">
        <v>49</v>
      </c>
      <c r="I45" s="183" t="s">
        <v>349</v>
      </c>
      <c r="J45" s="228" t="s">
        <v>103</v>
      </c>
      <c r="K45" s="228" t="s">
        <v>481</v>
      </c>
      <c r="L45" s="227" t="s">
        <v>188</v>
      </c>
      <c r="M45" s="178" t="s">
        <v>535</v>
      </c>
      <c r="N45" s="243" t="s">
        <v>215</v>
      </c>
      <c r="O45" s="228"/>
    </row>
    <row r="46" spans="1:16" ht="15" customHeight="1">
      <c r="A46" s="286">
        <v>44595</v>
      </c>
      <c r="B46" s="184" t="s">
        <v>456</v>
      </c>
      <c r="C46" s="178" t="s">
        <v>76</v>
      </c>
      <c r="E46" s="223">
        <v>171000</v>
      </c>
      <c r="F46" s="223"/>
      <c r="G46" s="237">
        <f t="shared" si="0"/>
        <v>16957927</v>
      </c>
      <c r="H46" s="205" t="s">
        <v>29</v>
      </c>
      <c r="L46" s="227" t="s">
        <v>188</v>
      </c>
      <c r="O46" s="178"/>
      <c r="P46" s="228"/>
    </row>
    <row r="47" spans="1:16" ht="15" customHeight="1">
      <c r="A47" s="283">
        <v>44596</v>
      </c>
      <c r="B47" s="227" t="s">
        <v>244</v>
      </c>
      <c r="C47" s="227" t="s">
        <v>76</v>
      </c>
      <c r="D47" s="227"/>
      <c r="E47" s="211">
        <v>20000</v>
      </c>
      <c r="F47" s="220"/>
      <c r="G47" s="237">
        <f t="shared" si="0"/>
        <v>16977927</v>
      </c>
      <c r="H47" s="227" t="s">
        <v>25</v>
      </c>
      <c r="I47" s="231"/>
      <c r="J47" s="227"/>
      <c r="K47" s="227"/>
      <c r="L47" s="227" t="s">
        <v>188</v>
      </c>
      <c r="M47" s="231"/>
      <c r="N47" s="231"/>
      <c r="O47" s="227"/>
    </row>
    <row r="48" spans="1:16" ht="15" customHeight="1">
      <c r="A48" s="283">
        <v>44596</v>
      </c>
      <c r="B48" s="227" t="s">
        <v>245</v>
      </c>
      <c r="C48" s="227" t="s">
        <v>76</v>
      </c>
      <c r="D48" s="227"/>
      <c r="E48" s="211"/>
      <c r="F48" s="220">
        <v>101000</v>
      </c>
      <c r="G48" s="237">
        <f t="shared" si="0"/>
        <v>16876927</v>
      </c>
      <c r="H48" s="227" t="s">
        <v>25</v>
      </c>
      <c r="I48" s="227"/>
      <c r="J48" s="227"/>
      <c r="K48" s="227"/>
      <c r="L48" s="227" t="s">
        <v>188</v>
      </c>
      <c r="M48" s="227"/>
      <c r="N48" s="227"/>
      <c r="O48" s="227"/>
    </row>
    <row r="49" spans="1:21" ht="15" customHeight="1">
      <c r="A49" s="284">
        <v>44596</v>
      </c>
      <c r="B49" s="227" t="s">
        <v>246</v>
      </c>
      <c r="C49" s="178" t="s">
        <v>3</v>
      </c>
      <c r="D49" s="227" t="s">
        <v>239</v>
      </c>
      <c r="E49" s="315"/>
      <c r="F49" s="321">
        <v>12000</v>
      </c>
      <c r="G49" s="237">
        <f t="shared" si="0"/>
        <v>16864927</v>
      </c>
      <c r="H49" s="231" t="s">
        <v>25</v>
      </c>
      <c r="I49" s="178" t="s">
        <v>230</v>
      </c>
      <c r="J49" s="183" t="s">
        <v>168</v>
      </c>
      <c r="K49" s="178" t="s">
        <v>482</v>
      </c>
      <c r="L49" s="227" t="s">
        <v>188</v>
      </c>
      <c r="N49" s="227"/>
      <c r="O49" s="231"/>
      <c r="U49" s="178">
        <f>39000+156000+117000+111000+62000+92000+154000</f>
        <v>731000</v>
      </c>
    </row>
    <row r="50" spans="1:21" ht="15" customHeight="1">
      <c r="A50" s="283">
        <v>44596</v>
      </c>
      <c r="B50" s="227" t="s">
        <v>175</v>
      </c>
      <c r="C50" s="227" t="s">
        <v>76</v>
      </c>
      <c r="D50" s="226"/>
      <c r="E50" s="213"/>
      <c r="F50" s="222">
        <v>15000</v>
      </c>
      <c r="G50" s="237">
        <f t="shared" si="0"/>
        <v>16849927</v>
      </c>
      <c r="H50" s="227" t="s">
        <v>25</v>
      </c>
      <c r="I50" s="227"/>
      <c r="J50" s="227"/>
      <c r="K50" s="227"/>
      <c r="L50" s="227" t="s">
        <v>188</v>
      </c>
      <c r="M50" s="227"/>
      <c r="N50" s="227"/>
      <c r="O50" s="227"/>
    </row>
    <row r="51" spans="1:21" ht="15" customHeight="1">
      <c r="A51" s="283">
        <v>44596</v>
      </c>
      <c r="B51" s="227" t="s">
        <v>114</v>
      </c>
      <c r="C51" s="227" t="s">
        <v>76</v>
      </c>
      <c r="D51" s="226"/>
      <c r="E51" s="213"/>
      <c r="F51" s="222">
        <v>60000</v>
      </c>
      <c r="G51" s="237">
        <f t="shared" si="0"/>
        <v>16789927</v>
      </c>
      <c r="H51" s="227" t="s">
        <v>25</v>
      </c>
      <c r="I51" s="227"/>
      <c r="J51" s="227"/>
      <c r="K51" s="227"/>
      <c r="L51" s="227" t="s">
        <v>188</v>
      </c>
      <c r="M51" s="227"/>
      <c r="N51" s="227"/>
      <c r="O51" s="227"/>
    </row>
    <row r="52" spans="1:21" ht="15" customHeight="1">
      <c r="A52" s="283">
        <v>44596</v>
      </c>
      <c r="B52" s="227" t="s">
        <v>247</v>
      </c>
      <c r="C52" s="227" t="s">
        <v>145</v>
      </c>
      <c r="D52" s="227" t="s">
        <v>166</v>
      </c>
      <c r="E52" s="211"/>
      <c r="F52" s="320">
        <v>86000</v>
      </c>
      <c r="G52" s="237">
        <f t="shared" si="0"/>
        <v>16703927</v>
      </c>
      <c r="H52" s="227" t="s">
        <v>25</v>
      </c>
      <c r="I52" s="227" t="s">
        <v>230</v>
      </c>
      <c r="J52" s="227" t="s">
        <v>103</v>
      </c>
      <c r="K52" s="227" t="s">
        <v>481</v>
      </c>
      <c r="L52" s="227" t="s">
        <v>188</v>
      </c>
      <c r="M52" s="178" t="s">
        <v>536</v>
      </c>
      <c r="N52" s="328" t="s">
        <v>206</v>
      </c>
      <c r="O52" s="227"/>
    </row>
    <row r="53" spans="1:21" ht="15" customHeight="1">
      <c r="A53" s="283">
        <v>44596</v>
      </c>
      <c r="B53" s="227" t="s">
        <v>248</v>
      </c>
      <c r="C53" s="227" t="s">
        <v>35</v>
      </c>
      <c r="D53" s="227" t="s">
        <v>239</v>
      </c>
      <c r="E53" s="211"/>
      <c r="F53" s="320">
        <v>23000</v>
      </c>
      <c r="G53" s="237">
        <f t="shared" si="0"/>
        <v>16680927</v>
      </c>
      <c r="H53" s="227" t="s">
        <v>25</v>
      </c>
      <c r="I53" s="178" t="s">
        <v>230</v>
      </c>
      <c r="J53" s="227" t="s">
        <v>103</v>
      </c>
      <c r="K53" s="227" t="s">
        <v>481</v>
      </c>
      <c r="L53" s="227" t="s">
        <v>188</v>
      </c>
      <c r="M53" s="178" t="s">
        <v>537</v>
      </c>
      <c r="N53" s="328" t="s">
        <v>207</v>
      </c>
      <c r="O53" s="227"/>
    </row>
    <row r="54" spans="1:21" ht="15" customHeight="1">
      <c r="A54" s="283">
        <v>44596</v>
      </c>
      <c r="B54" s="227" t="s">
        <v>503</v>
      </c>
      <c r="C54" s="227" t="s">
        <v>185</v>
      </c>
      <c r="D54" s="227" t="s">
        <v>502</v>
      </c>
      <c r="E54" s="211"/>
      <c r="F54" s="320">
        <v>450000</v>
      </c>
      <c r="G54" s="237">
        <f t="shared" si="0"/>
        <v>16230927</v>
      </c>
      <c r="H54" s="227" t="s">
        <v>25</v>
      </c>
      <c r="I54" s="178" t="s">
        <v>249</v>
      </c>
      <c r="J54" s="227" t="s">
        <v>168</v>
      </c>
      <c r="K54" s="227" t="s">
        <v>482</v>
      </c>
      <c r="L54" s="227" t="s">
        <v>188</v>
      </c>
      <c r="N54" s="227"/>
      <c r="O54" s="227"/>
    </row>
    <row r="55" spans="1:21" ht="15" customHeight="1">
      <c r="A55" s="283">
        <v>44596</v>
      </c>
      <c r="B55" s="227" t="s">
        <v>348</v>
      </c>
      <c r="C55" s="227" t="s">
        <v>76</v>
      </c>
      <c r="D55" s="226"/>
      <c r="E55" s="213">
        <v>60000</v>
      </c>
      <c r="F55" s="221"/>
      <c r="G55" s="237">
        <f t="shared" si="0"/>
        <v>16290927</v>
      </c>
      <c r="H55" s="227" t="s">
        <v>114</v>
      </c>
      <c r="I55" s="280"/>
      <c r="J55" s="227"/>
      <c r="K55" s="227"/>
      <c r="L55" s="227" t="s">
        <v>188</v>
      </c>
      <c r="M55" s="227"/>
      <c r="N55" s="227"/>
      <c r="O55" s="227"/>
    </row>
    <row r="56" spans="1:21" ht="15" customHeight="1">
      <c r="A56" s="285">
        <v>44596</v>
      </c>
      <c r="B56" s="232" t="s">
        <v>415</v>
      </c>
      <c r="C56" s="233" t="s">
        <v>76</v>
      </c>
      <c r="D56" s="233"/>
      <c r="E56" s="234"/>
      <c r="F56" s="225">
        <v>20000</v>
      </c>
      <c r="G56" s="237">
        <f t="shared" si="0"/>
        <v>16270927</v>
      </c>
      <c r="H56" s="232" t="s">
        <v>155</v>
      </c>
      <c r="J56" s="235"/>
      <c r="K56" s="232"/>
      <c r="L56" s="227" t="s">
        <v>188</v>
      </c>
      <c r="M56" s="235"/>
      <c r="N56" s="235"/>
      <c r="O56" s="235"/>
    </row>
    <row r="57" spans="1:21" ht="15" customHeight="1">
      <c r="A57" s="283">
        <v>44596</v>
      </c>
      <c r="B57" s="178" t="s">
        <v>314</v>
      </c>
      <c r="C57" s="178" t="s">
        <v>76</v>
      </c>
      <c r="D57" s="226"/>
      <c r="E57" s="222">
        <v>101000</v>
      </c>
      <c r="F57" s="221"/>
      <c r="G57" s="237">
        <f t="shared" si="0"/>
        <v>16371927</v>
      </c>
      <c r="H57" s="178" t="s">
        <v>155</v>
      </c>
      <c r="J57" s="178"/>
      <c r="L57" s="227" t="s">
        <v>188</v>
      </c>
      <c r="O57" s="178"/>
    </row>
    <row r="58" spans="1:21" ht="15" customHeight="1">
      <c r="A58" s="283">
        <v>44596</v>
      </c>
      <c r="B58" s="178" t="s">
        <v>416</v>
      </c>
      <c r="C58" s="178" t="s">
        <v>34</v>
      </c>
      <c r="D58" s="227" t="s">
        <v>166</v>
      </c>
      <c r="E58" s="222"/>
      <c r="F58" s="320">
        <v>15000</v>
      </c>
      <c r="G58" s="237">
        <f t="shared" si="0"/>
        <v>16356927</v>
      </c>
      <c r="H58" s="178" t="s">
        <v>155</v>
      </c>
      <c r="I58" s="183" t="s">
        <v>230</v>
      </c>
      <c r="J58" s="228" t="s">
        <v>103</v>
      </c>
      <c r="K58" s="228" t="s">
        <v>481</v>
      </c>
      <c r="L58" s="227" t="s">
        <v>188</v>
      </c>
      <c r="M58" s="178" t="s">
        <v>538</v>
      </c>
      <c r="N58" s="243" t="s">
        <v>215</v>
      </c>
      <c r="O58" s="228"/>
    </row>
    <row r="59" spans="1:21" ht="15" customHeight="1">
      <c r="A59" s="283">
        <v>44596</v>
      </c>
      <c r="B59" s="178" t="s">
        <v>436</v>
      </c>
      <c r="C59" s="178" t="s">
        <v>34</v>
      </c>
      <c r="D59" s="226" t="s">
        <v>260</v>
      </c>
      <c r="E59" s="222"/>
      <c r="F59" s="221">
        <v>10000</v>
      </c>
      <c r="G59" s="237">
        <f t="shared" si="0"/>
        <v>16346927</v>
      </c>
      <c r="H59" s="178" t="s">
        <v>49</v>
      </c>
      <c r="I59" s="183" t="s">
        <v>349</v>
      </c>
      <c r="J59" s="216" t="s">
        <v>168</v>
      </c>
      <c r="K59" s="209" t="s">
        <v>482</v>
      </c>
      <c r="L59" s="227" t="s">
        <v>188</v>
      </c>
      <c r="N59" s="243"/>
      <c r="O59" s="228"/>
    </row>
    <row r="60" spans="1:21" ht="15" customHeight="1">
      <c r="A60" s="286">
        <v>44596</v>
      </c>
      <c r="B60" s="184" t="s">
        <v>458</v>
      </c>
      <c r="C60" s="178" t="s">
        <v>34</v>
      </c>
      <c r="D60" s="226" t="s">
        <v>260</v>
      </c>
      <c r="E60" s="223"/>
      <c r="F60" s="324">
        <v>10000</v>
      </c>
      <c r="G60" s="237">
        <f t="shared" si="0"/>
        <v>16336927</v>
      </c>
      <c r="H60" s="206" t="s">
        <v>29</v>
      </c>
      <c r="I60" s="183" t="s">
        <v>230</v>
      </c>
      <c r="J60" s="183" t="s">
        <v>103</v>
      </c>
      <c r="K60" s="183" t="s">
        <v>481</v>
      </c>
      <c r="L60" s="227" t="s">
        <v>188</v>
      </c>
      <c r="M60" s="178" t="s">
        <v>539</v>
      </c>
      <c r="N60" s="177" t="s">
        <v>215</v>
      </c>
      <c r="O60" s="178"/>
      <c r="P60" s="228"/>
    </row>
    <row r="61" spans="1:21" ht="15" customHeight="1">
      <c r="A61" s="283">
        <v>44596</v>
      </c>
      <c r="B61" s="178" t="s">
        <v>474</v>
      </c>
      <c r="C61" s="178" t="s">
        <v>475</v>
      </c>
      <c r="D61" s="226"/>
      <c r="E61" s="222">
        <v>15000</v>
      </c>
      <c r="F61" s="221"/>
      <c r="G61" s="237">
        <f t="shared" si="0"/>
        <v>16351927</v>
      </c>
      <c r="H61" s="178" t="s">
        <v>175</v>
      </c>
      <c r="J61" s="178"/>
      <c r="L61" s="227" t="s">
        <v>188</v>
      </c>
      <c r="N61" s="231"/>
      <c r="O61" s="228"/>
      <c r="P61" s="229"/>
    </row>
    <row r="62" spans="1:21" ht="15" customHeight="1">
      <c r="A62" s="283">
        <v>44596</v>
      </c>
      <c r="B62" s="178" t="s">
        <v>435</v>
      </c>
      <c r="C62" s="178" t="s">
        <v>159</v>
      </c>
      <c r="D62" s="227" t="s">
        <v>4</v>
      </c>
      <c r="E62" s="222"/>
      <c r="F62" s="320">
        <v>60000</v>
      </c>
      <c r="G62" s="237">
        <f t="shared" si="0"/>
        <v>16291927</v>
      </c>
      <c r="H62" s="178" t="s">
        <v>49</v>
      </c>
      <c r="I62" s="183" t="s">
        <v>249</v>
      </c>
      <c r="J62" s="178" t="s">
        <v>103</v>
      </c>
      <c r="K62" s="178" t="s">
        <v>481</v>
      </c>
      <c r="L62" s="227" t="s">
        <v>188</v>
      </c>
      <c r="M62" s="178" t="s">
        <v>540</v>
      </c>
      <c r="N62" s="177" t="s">
        <v>217</v>
      </c>
      <c r="O62" s="178"/>
    </row>
    <row r="63" spans="1:21" ht="15" customHeight="1">
      <c r="A63" s="286">
        <v>44596</v>
      </c>
      <c r="B63" s="184" t="s">
        <v>506</v>
      </c>
      <c r="C63" s="178" t="s">
        <v>159</v>
      </c>
      <c r="D63" s="226" t="s">
        <v>260</v>
      </c>
      <c r="E63" s="223"/>
      <c r="F63" s="223">
        <v>60000</v>
      </c>
      <c r="G63" s="237">
        <f t="shared" si="0"/>
        <v>16231927</v>
      </c>
      <c r="H63" s="206" t="s">
        <v>29</v>
      </c>
      <c r="I63" s="183" t="s">
        <v>457</v>
      </c>
      <c r="J63" s="178" t="s">
        <v>103</v>
      </c>
      <c r="K63" s="178" t="s">
        <v>481</v>
      </c>
      <c r="L63" s="227" t="s">
        <v>188</v>
      </c>
      <c r="M63" s="178" t="s">
        <v>541</v>
      </c>
      <c r="N63" s="177" t="s">
        <v>217</v>
      </c>
      <c r="O63" s="178"/>
      <c r="P63" s="228"/>
    </row>
    <row r="64" spans="1:21" ht="15" customHeight="1">
      <c r="A64" s="283">
        <v>44597</v>
      </c>
      <c r="B64" s="227" t="s">
        <v>48</v>
      </c>
      <c r="C64" s="227" t="s">
        <v>76</v>
      </c>
      <c r="D64" s="238"/>
      <c r="E64" s="213"/>
      <c r="F64" s="222">
        <v>40000</v>
      </c>
      <c r="G64" s="237">
        <f t="shared" si="0"/>
        <v>16191927</v>
      </c>
      <c r="H64" s="227" t="s">
        <v>25</v>
      </c>
      <c r="I64" s="227"/>
      <c r="J64" s="227"/>
      <c r="K64" s="227"/>
      <c r="L64" s="227" t="s">
        <v>188</v>
      </c>
      <c r="M64" s="227"/>
      <c r="N64" s="227"/>
      <c r="O64" s="227"/>
    </row>
    <row r="65" spans="1:16" ht="15" customHeight="1">
      <c r="A65" s="283">
        <v>44597</v>
      </c>
      <c r="B65" s="227" t="s">
        <v>250</v>
      </c>
      <c r="C65" s="237" t="s">
        <v>76</v>
      </c>
      <c r="D65" s="237"/>
      <c r="E65" s="190"/>
      <c r="F65" s="222">
        <v>30000</v>
      </c>
      <c r="G65" s="237">
        <f t="shared" si="0"/>
        <v>16161927</v>
      </c>
      <c r="H65" s="227" t="s">
        <v>25</v>
      </c>
      <c r="I65" s="227"/>
      <c r="J65" s="227"/>
      <c r="K65" s="227"/>
      <c r="L65" s="227" t="s">
        <v>188</v>
      </c>
      <c r="M65" s="227"/>
      <c r="N65" s="227"/>
      <c r="O65" s="227"/>
    </row>
    <row r="66" spans="1:16" ht="15" customHeight="1">
      <c r="A66" s="285">
        <v>44597</v>
      </c>
      <c r="B66" s="287" t="s">
        <v>31</v>
      </c>
      <c r="C66" s="235" t="s">
        <v>76</v>
      </c>
      <c r="D66" s="235"/>
      <c r="E66" s="212"/>
      <c r="F66" s="223">
        <v>40000</v>
      </c>
      <c r="G66" s="237">
        <f t="shared" si="0"/>
        <v>16121927</v>
      </c>
      <c r="H66" s="287" t="s">
        <v>25</v>
      </c>
      <c r="I66" s="227"/>
      <c r="J66" s="235"/>
      <c r="K66" s="287"/>
      <c r="L66" s="227" t="s">
        <v>188</v>
      </c>
      <c r="M66" s="227"/>
      <c r="N66" s="227"/>
      <c r="O66" s="235"/>
    </row>
    <row r="67" spans="1:16" ht="15" customHeight="1">
      <c r="A67" s="285">
        <v>44597</v>
      </c>
      <c r="B67" s="287" t="s">
        <v>154</v>
      </c>
      <c r="C67" s="227" t="s">
        <v>76</v>
      </c>
      <c r="D67" s="227"/>
      <c r="E67" s="212"/>
      <c r="F67" s="324">
        <v>40000</v>
      </c>
      <c r="G67" s="237">
        <f t="shared" si="0"/>
        <v>16081927</v>
      </c>
      <c r="H67" s="287" t="s">
        <v>25</v>
      </c>
      <c r="I67" s="178"/>
      <c r="J67" s="227"/>
      <c r="K67" s="227"/>
      <c r="L67" s="227" t="s">
        <v>188</v>
      </c>
      <c r="N67" s="231"/>
      <c r="O67" s="235"/>
    </row>
    <row r="68" spans="1:16" ht="15" customHeight="1">
      <c r="A68" s="283">
        <v>44597</v>
      </c>
      <c r="B68" s="227" t="s">
        <v>251</v>
      </c>
      <c r="C68" s="227" t="s">
        <v>35</v>
      </c>
      <c r="D68" s="227" t="s">
        <v>239</v>
      </c>
      <c r="E68" s="211"/>
      <c r="F68" s="220">
        <v>12000</v>
      </c>
      <c r="G68" s="237">
        <f t="shared" si="0"/>
        <v>16069927</v>
      </c>
      <c r="H68" s="227" t="s">
        <v>25</v>
      </c>
      <c r="I68" s="227" t="s">
        <v>230</v>
      </c>
      <c r="J68" s="227" t="s">
        <v>168</v>
      </c>
      <c r="K68" s="227" t="s">
        <v>482</v>
      </c>
      <c r="L68" s="227" t="s">
        <v>188</v>
      </c>
      <c r="N68" s="328"/>
      <c r="O68" s="227"/>
    </row>
    <row r="69" spans="1:16" ht="15" customHeight="1">
      <c r="A69" s="283">
        <v>44597</v>
      </c>
      <c r="B69" s="227" t="s">
        <v>315</v>
      </c>
      <c r="C69" s="227" t="s">
        <v>76</v>
      </c>
      <c r="D69" s="226"/>
      <c r="E69" s="213">
        <v>40000</v>
      </c>
      <c r="F69" s="221"/>
      <c r="G69" s="237">
        <f t="shared" si="0"/>
        <v>16109927</v>
      </c>
      <c r="H69" s="227" t="s">
        <v>154</v>
      </c>
      <c r="I69" s="227"/>
      <c r="J69" s="227"/>
      <c r="K69" s="227"/>
      <c r="L69" s="227" t="s">
        <v>188</v>
      </c>
      <c r="M69" s="227"/>
      <c r="N69" s="227"/>
      <c r="O69" s="227"/>
    </row>
    <row r="70" spans="1:16" ht="15" customHeight="1">
      <c r="A70" s="286">
        <v>44597</v>
      </c>
      <c r="B70" s="287" t="s">
        <v>354</v>
      </c>
      <c r="C70" s="227" t="s">
        <v>76</v>
      </c>
      <c r="D70" s="227"/>
      <c r="E70" s="212">
        <v>40000</v>
      </c>
      <c r="F70" s="322"/>
      <c r="G70" s="237">
        <f t="shared" si="0"/>
        <v>16149927</v>
      </c>
      <c r="H70" s="242" t="s">
        <v>48</v>
      </c>
      <c r="I70" s="280"/>
      <c r="J70" s="227"/>
      <c r="K70" s="227"/>
      <c r="L70" s="227" t="s">
        <v>188</v>
      </c>
      <c r="N70" s="231"/>
      <c r="O70" s="227"/>
    </row>
    <row r="71" spans="1:16" ht="15" customHeight="1">
      <c r="A71" s="283">
        <v>44597</v>
      </c>
      <c r="B71" s="227" t="s">
        <v>357</v>
      </c>
      <c r="C71" s="227" t="s">
        <v>76</v>
      </c>
      <c r="D71" s="227"/>
      <c r="E71" s="211">
        <v>30000</v>
      </c>
      <c r="F71" s="320"/>
      <c r="G71" s="237">
        <f t="shared" si="0"/>
        <v>16179927</v>
      </c>
      <c r="H71" s="227" t="s">
        <v>48</v>
      </c>
      <c r="I71" s="280"/>
      <c r="J71" s="227"/>
      <c r="K71" s="227"/>
      <c r="L71" s="227" t="s">
        <v>188</v>
      </c>
      <c r="N71" s="231"/>
      <c r="O71" s="227"/>
    </row>
    <row r="72" spans="1:16" ht="15" customHeight="1">
      <c r="A72" s="283">
        <v>44597</v>
      </c>
      <c r="B72" s="227" t="s">
        <v>358</v>
      </c>
      <c r="C72" s="227" t="s">
        <v>34</v>
      </c>
      <c r="D72" s="227" t="s">
        <v>2</v>
      </c>
      <c r="E72" s="211"/>
      <c r="F72" s="320">
        <v>10000</v>
      </c>
      <c r="G72" s="237">
        <f t="shared" si="0"/>
        <v>16169927</v>
      </c>
      <c r="H72" s="227" t="s">
        <v>48</v>
      </c>
      <c r="I72" s="280" t="s">
        <v>230</v>
      </c>
      <c r="J72" s="227" t="s">
        <v>103</v>
      </c>
      <c r="K72" s="227" t="s">
        <v>481</v>
      </c>
      <c r="L72" s="227" t="s">
        <v>188</v>
      </c>
      <c r="M72" s="178" t="s">
        <v>542</v>
      </c>
      <c r="N72" s="245" t="s">
        <v>215</v>
      </c>
      <c r="O72" s="227"/>
    </row>
    <row r="73" spans="1:16" ht="15" customHeight="1">
      <c r="A73" s="283">
        <v>44597</v>
      </c>
      <c r="B73" s="178" t="s">
        <v>398</v>
      </c>
      <c r="C73" s="178" t="s">
        <v>76</v>
      </c>
      <c r="D73" s="184"/>
      <c r="E73" s="222">
        <v>40000</v>
      </c>
      <c r="F73" s="221"/>
      <c r="G73" s="237">
        <f t="shared" si="0"/>
        <v>16209927</v>
      </c>
      <c r="H73" s="178" t="s">
        <v>31</v>
      </c>
      <c r="J73" s="256"/>
      <c r="K73" s="249"/>
      <c r="L73" s="227" t="s">
        <v>188</v>
      </c>
      <c r="M73" s="249"/>
      <c r="N73" s="257"/>
      <c r="P73" s="249"/>
    </row>
    <row r="74" spans="1:16" ht="15" customHeight="1">
      <c r="A74" s="286">
        <v>44597</v>
      </c>
      <c r="B74" s="184" t="s">
        <v>399</v>
      </c>
      <c r="C74" s="178" t="s">
        <v>34</v>
      </c>
      <c r="D74" s="184" t="s">
        <v>167</v>
      </c>
      <c r="E74" s="223"/>
      <c r="F74" s="324">
        <v>10000</v>
      </c>
      <c r="G74" s="237">
        <f t="shared" si="0"/>
        <v>16199927</v>
      </c>
      <c r="H74" s="206" t="s">
        <v>31</v>
      </c>
      <c r="I74" s="183" t="s">
        <v>230</v>
      </c>
      <c r="J74" s="183" t="s">
        <v>103</v>
      </c>
      <c r="K74" s="178" t="s">
        <v>481</v>
      </c>
      <c r="L74" s="227" t="s">
        <v>188</v>
      </c>
      <c r="M74" s="178" t="s">
        <v>543</v>
      </c>
      <c r="N74" s="177" t="s">
        <v>215</v>
      </c>
      <c r="P74" s="249"/>
    </row>
    <row r="75" spans="1:16" ht="15" customHeight="1">
      <c r="A75" s="283">
        <v>44597</v>
      </c>
      <c r="B75" s="178" t="s">
        <v>459</v>
      </c>
      <c r="C75" s="227" t="s">
        <v>35</v>
      </c>
      <c r="D75" s="226" t="s">
        <v>260</v>
      </c>
      <c r="E75" s="222"/>
      <c r="F75" s="221">
        <v>8700</v>
      </c>
      <c r="G75" s="237">
        <f t="shared" si="0"/>
        <v>16191227</v>
      </c>
      <c r="H75" s="178" t="s">
        <v>29</v>
      </c>
      <c r="I75" s="183" t="s">
        <v>230</v>
      </c>
      <c r="J75" s="227" t="s">
        <v>168</v>
      </c>
      <c r="K75" s="227" t="s">
        <v>482</v>
      </c>
      <c r="L75" s="227" t="s">
        <v>188</v>
      </c>
      <c r="N75" s="231"/>
      <c r="O75" s="228"/>
      <c r="P75" s="228"/>
    </row>
    <row r="76" spans="1:16" ht="17.25" customHeight="1">
      <c r="A76" s="286">
        <v>44598</v>
      </c>
      <c r="B76" s="287" t="s">
        <v>359</v>
      </c>
      <c r="C76" s="178" t="s">
        <v>159</v>
      </c>
      <c r="D76" s="226" t="s">
        <v>260</v>
      </c>
      <c r="E76" s="212"/>
      <c r="F76" s="225">
        <v>100000</v>
      </c>
      <c r="G76" s="237">
        <f t="shared" si="0"/>
        <v>16091227</v>
      </c>
      <c r="H76" s="287" t="s">
        <v>48</v>
      </c>
      <c r="I76" s="280" t="s">
        <v>249</v>
      </c>
      <c r="J76" s="235" t="s">
        <v>103</v>
      </c>
      <c r="K76" s="287" t="s">
        <v>481</v>
      </c>
      <c r="L76" s="227" t="s">
        <v>188</v>
      </c>
      <c r="M76" s="178" t="s">
        <v>544</v>
      </c>
      <c r="N76" s="308" t="s">
        <v>217</v>
      </c>
      <c r="O76" s="235"/>
    </row>
    <row r="77" spans="1:16" ht="16.5" customHeight="1">
      <c r="A77" s="286">
        <v>44598</v>
      </c>
      <c r="B77" s="287" t="s">
        <v>316</v>
      </c>
      <c r="C77" s="227" t="s">
        <v>34</v>
      </c>
      <c r="D77" s="288" t="s">
        <v>2</v>
      </c>
      <c r="E77" s="212"/>
      <c r="F77" s="320">
        <v>10000</v>
      </c>
      <c r="G77" s="237">
        <f t="shared" ref="G77:G140" si="1">+G76+E77-F77</f>
        <v>16081227</v>
      </c>
      <c r="H77" s="287" t="s">
        <v>154</v>
      </c>
      <c r="I77" s="227" t="s">
        <v>230</v>
      </c>
      <c r="J77" s="227" t="s">
        <v>103</v>
      </c>
      <c r="K77" s="227" t="s">
        <v>481</v>
      </c>
      <c r="L77" s="227" t="s">
        <v>188</v>
      </c>
      <c r="M77" s="178" t="s">
        <v>545</v>
      </c>
      <c r="N77" s="328" t="s">
        <v>215</v>
      </c>
      <c r="O77" s="227"/>
    </row>
    <row r="78" spans="1:16" ht="15" customHeight="1">
      <c r="A78" s="286">
        <v>44598</v>
      </c>
      <c r="B78" s="287" t="s">
        <v>317</v>
      </c>
      <c r="C78" s="227" t="s">
        <v>34</v>
      </c>
      <c r="D78" s="226" t="s">
        <v>260</v>
      </c>
      <c r="E78" s="212"/>
      <c r="F78" s="223">
        <v>3500</v>
      </c>
      <c r="G78" s="237">
        <f t="shared" si="1"/>
        <v>16077727</v>
      </c>
      <c r="H78" s="242" t="s">
        <v>154</v>
      </c>
      <c r="I78" s="227" t="s">
        <v>230</v>
      </c>
      <c r="J78" s="288" t="s">
        <v>168</v>
      </c>
      <c r="K78" s="242" t="s">
        <v>482</v>
      </c>
      <c r="L78" s="227" t="s">
        <v>188</v>
      </c>
      <c r="M78" s="227"/>
      <c r="N78" s="227"/>
      <c r="O78" s="227"/>
    </row>
    <row r="79" spans="1:16" ht="15" customHeight="1">
      <c r="A79" s="283">
        <v>44598</v>
      </c>
      <c r="B79" s="178" t="s">
        <v>400</v>
      </c>
      <c r="C79" s="178" t="s">
        <v>159</v>
      </c>
      <c r="D79" s="178" t="s">
        <v>167</v>
      </c>
      <c r="E79" s="220"/>
      <c r="F79" s="220">
        <v>70000</v>
      </c>
      <c r="G79" s="237">
        <f t="shared" si="1"/>
        <v>16007727</v>
      </c>
      <c r="H79" s="178" t="s">
        <v>31</v>
      </c>
      <c r="I79" s="183" t="s">
        <v>249</v>
      </c>
      <c r="J79" s="178" t="s">
        <v>103</v>
      </c>
      <c r="K79" s="178" t="s">
        <v>481</v>
      </c>
      <c r="L79" s="227" t="s">
        <v>188</v>
      </c>
      <c r="M79" s="178" t="s">
        <v>546</v>
      </c>
      <c r="N79" s="177" t="s">
        <v>217</v>
      </c>
      <c r="O79" s="178"/>
    </row>
    <row r="80" spans="1:16" ht="15" customHeight="1">
      <c r="A80" s="283">
        <v>44598</v>
      </c>
      <c r="B80" s="178" t="s">
        <v>459</v>
      </c>
      <c r="C80" s="227" t="s">
        <v>35</v>
      </c>
      <c r="D80" s="226" t="s">
        <v>260</v>
      </c>
      <c r="F80" s="195">
        <v>11300</v>
      </c>
      <c r="G80" s="237">
        <f t="shared" si="1"/>
        <v>15996427</v>
      </c>
      <c r="H80" s="178" t="s">
        <v>29</v>
      </c>
      <c r="I80" s="183" t="s">
        <v>230</v>
      </c>
      <c r="J80" s="227" t="s">
        <v>168</v>
      </c>
      <c r="K80" s="227" t="s">
        <v>482</v>
      </c>
      <c r="L80" s="227" t="s">
        <v>188</v>
      </c>
      <c r="O80" s="178"/>
      <c r="P80" s="228"/>
    </row>
    <row r="81" spans="1:15" ht="15" customHeight="1">
      <c r="A81" s="283">
        <v>44598</v>
      </c>
      <c r="B81" s="178" t="s">
        <v>417</v>
      </c>
      <c r="C81" s="178" t="s">
        <v>159</v>
      </c>
      <c r="D81" s="227" t="s">
        <v>166</v>
      </c>
      <c r="F81" s="195">
        <v>60000</v>
      </c>
      <c r="G81" s="237">
        <f t="shared" si="1"/>
        <v>15936427</v>
      </c>
      <c r="H81" s="178" t="s">
        <v>155</v>
      </c>
      <c r="I81" s="183" t="s">
        <v>249</v>
      </c>
      <c r="J81" s="183" t="s">
        <v>103</v>
      </c>
      <c r="K81" s="178" t="s">
        <v>481</v>
      </c>
      <c r="L81" s="227" t="s">
        <v>188</v>
      </c>
      <c r="M81" s="178" t="s">
        <v>547</v>
      </c>
      <c r="N81" s="177" t="s">
        <v>217</v>
      </c>
      <c r="O81" s="178"/>
    </row>
    <row r="82" spans="1:15" ht="15" customHeight="1">
      <c r="A82" s="283">
        <v>44598</v>
      </c>
      <c r="B82" s="227" t="s">
        <v>508</v>
      </c>
      <c r="C82" s="178" t="s">
        <v>159</v>
      </c>
      <c r="D82" s="226" t="s">
        <v>260</v>
      </c>
      <c r="E82" s="214"/>
      <c r="F82" s="222">
        <v>40000</v>
      </c>
      <c r="G82" s="237">
        <f t="shared" si="1"/>
        <v>15896427</v>
      </c>
      <c r="H82" s="227" t="s">
        <v>154</v>
      </c>
      <c r="I82" s="227" t="s">
        <v>249</v>
      </c>
      <c r="J82" s="227" t="s">
        <v>103</v>
      </c>
      <c r="K82" s="227" t="s">
        <v>481</v>
      </c>
      <c r="L82" s="227" t="s">
        <v>188</v>
      </c>
      <c r="M82" s="178" t="s">
        <v>548</v>
      </c>
      <c r="N82" s="328" t="s">
        <v>217</v>
      </c>
      <c r="O82" s="227"/>
    </row>
    <row r="83" spans="1:15" ht="15" customHeight="1">
      <c r="A83" s="283">
        <v>44599</v>
      </c>
      <c r="B83" s="227" t="s">
        <v>252</v>
      </c>
      <c r="C83" s="227" t="s">
        <v>76</v>
      </c>
      <c r="D83" s="227"/>
      <c r="E83" s="211">
        <v>2000000</v>
      </c>
      <c r="F83" s="220"/>
      <c r="G83" s="237">
        <f t="shared" si="1"/>
        <v>17896427</v>
      </c>
      <c r="H83" s="227" t="s">
        <v>25</v>
      </c>
      <c r="I83" s="227"/>
      <c r="J83" s="227"/>
      <c r="K83" s="227"/>
      <c r="L83" s="227" t="s">
        <v>188</v>
      </c>
      <c r="M83" s="227"/>
      <c r="N83" s="227"/>
      <c r="O83" s="227"/>
    </row>
    <row r="84" spans="1:15" ht="15" customHeight="1">
      <c r="A84" s="283">
        <v>44599</v>
      </c>
      <c r="B84" s="227" t="s">
        <v>253</v>
      </c>
      <c r="C84" s="237" t="s">
        <v>76</v>
      </c>
      <c r="D84" s="237"/>
      <c r="E84" s="211">
        <v>2000000</v>
      </c>
      <c r="F84" s="222"/>
      <c r="G84" s="237">
        <f t="shared" si="1"/>
        <v>19896427</v>
      </c>
      <c r="H84" s="227" t="s">
        <v>25</v>
      </c>
      <c r="I84" s="227"/>
      <c r="J84" s="227"/>
      <c r="K84" s="227"/>
      <c r="L84" s="227" t="s">
        <v>188</v>
      </c>
      <c r="M84" s="227"/>
      <c r="N84" s="227"/>
      <c r="O84" s="227"/>
    </row>
    <row r="85" spans="1:15" ht="15" customHeight="1">
      <c r="A85" s="283">
        <v>44599</v>
      </c>
      <c r="B85" s="227" t="s">
        <v>48</v>
      </c>
      <c r="C85" s="227" t="s">
        <v>76</v>
      </c>
      <c r="D85" s="227"/>
      <c r="E85" s="213"/>
      <c r="F85" s="320">
        <v>154000</v>
      </c>
      <c r="G85" s="237">
        <f t="shared" si="1"/>
        <v>19742427</v>
      </c>
      <c r="H85" s="227" t="s">
        <v>25</v>
      </c>
      <c r="I85" s="178"/>
      <c r="J85" s="227"/>
      <c r="K85" s="227"/>
      <c r="L85" s="227" t="s">
        <v>188</v>
      </c>
      <c r="N85" s="227"/>
      <c r="O85" s="227"/>
    </row>
    <row r="86" spans="1:15" ht="15" customHeight="1">
      <c r="A86" s="283">
        <v>44599</v>
      </c>
      <c r="B86" s="227" t="s">
        <v>31</v>
      </c>
      <c r="C86" s="227" t="s">
        <v>76</v>
      </c>
      <c r="D86" s="226"/>
      <c r="E86" s="211"/>
      <c r="F86" s="320">
        <v>154000</v>
      </c>
      <c r="G86" s="237">
        <f t="shared" si="1"/>
        <v>19588427</v>
      </c>
      <c r="H86" s="227" t="s">
        <v>25</v>
      </c>
      <c r="I86" s="178"/>
      <c r="J86" s="227"/>
      <c r="K86" s="227"/>
      <c r="L86" s="227" t="s">
        <v>188</v>
      </c>
      <c r="N86" s="227"/>
      <c r="O86" s="227"/>
    </row>
    <row r="87" spans="1:15" ht="17.25" customHeight="1">
      <c r="A87" s="285">
        <v>44599</v>
      </c>
      <c r="B87" s="287" t="s">
        <v>154</v>
      </c>
      <c r="C87" s="227" t="s">
        <v>76</v>
      </c>
      <c r="D87" s="227"/>
      <c r="E87" s="212"/>
      <c r="F87" s="324">
        <v>1347000</v>
      </c>
      <c r="G87" s="237">
        <f t="shared" si="1"/>
        <v>18241427</v>
      </c>
      <c r="H87" s="287" t="s">
        <v>25</v>
      </c>
      <c r="I87" s="178"/>
      <c r="J87" s="227"/>
      <c r="K87" s="227"/>
      <c r="L87" s="227" t="s">
        <v>188</v>
      </c>
      <c r="N87" s="227"/>
      <c r="O87" s="235"/>
    </row>
    <row r="88" spans="1:15" ht="17.25" customHeight="1">
      <c r="A88" s="283">
        <v>44599</v>
      </c>
      <c r="B88" s="227" t="s">
        <v>245</v>
      </c>
      <c r="C88" s="227" t="s">
        <v>76</v>
      </c>
      <c r="D88" s="227"/>
      <c r="E88" s="213"/>
      <c r="F88" s="222">
        <v>20000</v>
      </c>
      <c r="G88" s="237">
        <f t="shared" si="1"/>
        <v>18221427</v>
      </c>
      <c r="H88" s="227" t="s">
        <v>25</v>
      </c>
      <c r="I88" s="227"/>
      <c r="J88" s="227"/>
      <c r="K88" s="227"/>
      <c r="L88" s="227" t="s">
        <v>188</v>
      </c>
      <c r="M88" s="227"/>
      <c r="N88" s="227" t="s">
        <v>254</v>
      </c>
      <c r="O88" s="227"/>
    </row>
    <row r="89" spans="1:15" ht="13.5" customHeight="1">
      <c r="A89" s="283">
        <v>44599</v>
      </c>
      <c r="B89" s="227" t="s">
        <v>255</v>
      </c>
      <c r="C89" s="227" t="s">
        <v>187</v>
      </c>
      <c r="D89" s="227" t="s">
        <v>239</v>
      </c>
      <c r="E89" s="211"/>
      <c r="F89" s="220">
        <v>50250</v>
      </c>
      <c r="G89" s="237">
        <f t="shared" si="1"/>
        <v>18171177</v>
      </c>
      <c r="H89" s="227" t="s">
        <v>25</v>
      </c>
      <c r="I89" s="227" t="s">
        <v>230</v>
      </c>
      <c r="J89" s="227" t="s">
        <v>103</v>
      </c>
      <c r="K89" s="227" t="s">
        <v>481</v>
      </c>
      <c r="L89" s="227" t="s">
        <v>188</v>
      </c>
      <c r="M89" s="178" t="s">
        <v>549</v>
      </c>
      <c r="N89" s="328" t="s">
        <v>204</v>
      </c>
      <c r="O89" s="227"/>
    </row>
    <row r="90" spans="1:15" ht="15" customHeight="1">
      <c r="A90" s="283">
        <v>44599</v>
      </c>
      <c r="B90" s="227" t="s">
        <v>658</v>
      </c>
      <c r="C90" s="227" t="s">
        <v>185</v>
      </c>
      <c r="D90" s="226" t="s">
        <v>2</v>
      </c>
      <c r="E90" s="213"/>
      <c r="F90" s="320">
        <v>471149</v>
      </c>
      <c r="G90" s="237">
        <f t="shared" si="1"/>
        <v>17700028</v>
      </c>
      <c r="H90" s="227" t="s">
        <v>25</v>
      </c>
      <c r="I90" s="178" t="s">
        <v>230</v>
      </c>
      <c r="J90" s="227" t="s">
        <v>168</v>
      </c>
      <c r="K90" s="227" t="s">
        <v>482</v>
      </c>
      <c r="L90" s="227" t="s">
        <v>188</v>
      </c>
      <c r="N90" s="280"/>
      <c r="O90" s="227"/>
    </row>
    <row r="91" spans="1:15" ht="15" customHeight="1">
      <c r="A91" s="283">
        <v>44599</v>
      </c>
      <c r="B91" s="227" t="s">
        <v>295</v>
      </c>
      <c r="C91" s="227" t="s">
        <v>76</v>
      </c>
      <c r="D91" s="227"/>
      <c r="E91" s="213"/>
      <c r="F91" s="222">
        <v>2000000</v>
      </c>
      <c r="G91" s="237">
        <f t="shared" si="1"/>
        <v>15700028</v>
      </c>
      <c r="H91" s="227" t="s">
        <v>160</v>
      </c>
      <c r="I91" s="227"/>
      <c r="J91" s="227"/>
      <c r="K91" s="227"/>
      <c r="L91" s="227" t="s">
        <v>188</v>
      </c>
      <c r="M91" s="227"/>
      <c r="N91" s="227"/>
      <c r="O91" s="227"/>
    </row>
    <row r="92" spans="1:15" ht="15" customHeight="1">
      <c r="A92" s="283">
        <v>44599</v>
      </c>
      <c r="B92" s="226" t="s">
        <v>296</v>
      </c>
      <c r="C92" s="227" t="s">
        <v>76</v>
      </c>
      <c r="D92" s="300"/>
      <c r="E92" s="213"/>
      <c r="F92" s="222">
        <v>2000000</v>
      </c>
      <c r="G92" s="237">
        <f t="shared" si="1"/>
        <v>13700028</v>
      </c>
      <c r="H92" s="227" t="s">
        <v>160</v>
      </c>
      <c r="I92" s="227"/>
      <c r="J92" s="227"/>
      <c r="K92" s="227"/>
      <c r="L92" s="227" t="s">
        <v>188</v>
      </c>
      <c r="N92" s="227"/>
      <c r="O92" s="227"/>
    </row>
    <row r="93" spans="1:15" ht="15" customHeight="1">
      <c r="A93" s="283">
        <v>44599</v>
      </c>
      <c r="B93" s="227" t="s">
        <v>480</v>
      </c>
      <c r="C93" s="237" t="s">
        <v>203</v>
      </c>
      <c r="D93" s="237" t="s">
        <v>239</v>
      </c>
      <c r="F93" s="320">
        <f>14701+8644</f>
        <v>23345</v>
      </c>
      <c r="G93" s="237">
        <f t="shared" si="1"/>
        <v>13676683</v>
      </c>
      <c r="H93" s="227" t="s">
        <v>24</v>
      </c>
      <c r="I93" s="227" t="s">
        <v>311</v>
      </c>
      <c r="J93" s="183" t="s">
        <v>168</v>
      </c>
      <c r="K93" s="178" t="s">
        <v>482</v>
      </c>
      <c r="L93" s="227" t="s">
        <v>188</v>
      </c>
      <c r="M93" s="227"/>
      <c r="N93" s="227"/>
      <c r="O93" s="227"/>
    </row>
    <row r="94" spans="1:15" ht="15" customHeight="1">
      <c r="A94" s="283">
        <v>44599</v>
      </c>
      <c r="B94" s="227" t="s">
        <v>318</v>
      </c>
      <c r="C94" s="227" t="s">
        <v>76</v>
      </c>
      <c r="D94" s="226"/>
      <c r="E94" s="212">
        <v>1347000</v>
      </c>
      <c r="F94" s="222"/>
      <c r="G94" s="237">
        <f t="shared" si="1"/>
        <v>15023683</v>
      </c>
      <c r="H94" s="227" t="s">
        <v>154</v>
      </c>
      <c r="I94" s="227"/>
      <c r="J94" s="227"/>
      <c r="K94" s="227"/>
      <c r="L94" s="227" t="s">
        <v>188</v>
      </c>
      <c r="M94" s="227"/>
      <c r="N94" s="227"/>
      <c r="O94" s="227"/>
    </row>
    <row r="95" spans="1:15" ht="15" customHeight="1">
      <c r="A95" s="291">
        <v>44599</v>
      </c>
      <c r="B95" s="292" t="s">
        <v>319</v>
      </c>
      <c r="C95" s="227" t="s">
        <v>76</v>
      </c>
      <c r="D95" s="292"/>
      <c r="E95" s="214"/>
      <c r="F95" s="224">
        <v>245000</v>
      </c>
      <c r="G95" s="237">
        <f t="shared" si="1"/>
        <v>14778683</v>
      </c>
      <c r="H95" s="293" t="s">
        <v>154</v>
      </c>
      <c r="I95" s="280"/>
      <c r="J95" s="226"/>
      <c r="K95" s="293"/>
      <c r="L95" s="227" t="s">
        <v>188</v>
      </c>
      <c r="M95" s="227"/>
      <c r="N95" s="227"/>
      <c r="O95" s="227"/>
    </row>
    <row r="96" spans="1:15" ht="15" customHeight="1">
      <c r="A96" s="283">
        <v>44599</v>
      </c>
      <c r="B96" s="227" t="s">
        <v>320</v>
      </c>
      <c r="C96" s="227" t="s">
        <v>76</v>
      </c>
      <c r="D96" s="227"/>
      <c r="E96" s="211"/>
      <c r="F96" s="220">
        <v>400000</v>
      </c>
      <c r="G96" s="237">
        <f t="shared" si="1"/>
        <v>14378683</v>
      </c>
      <c r="H96" s="227" t="s">
        <v>154</v>
      </c>
      <c r="I96" s="280"/>
      <c r="J96" s="227"/>
      <c r="K96" s="227"/>
      <c r="L96" s="227" t="s">
        <v>188</v>
      </c>
      <c r="M96" s="227"/>
      <c r="N96" s="227"/>
      <c r="O96" s="227"/>
    </row>
    <row r="97" spans="1:16" ht="15" customHeight="1">
      <c r="A97" s="283">
        <v>44599</v>
      </c>
      <c r="B97" s="227" t="s">
        <v>360</v>
      </c>
      <c r="C97" s="227" t="s">
        <v>76</v>
      </c>
      <c r="D97" s="227"/>
      <c r="E97" s="211">
        <v>154000</v>
      </c>
      <c r="F97" s="220"/>
      <c r="G97" s="237">
        <f t="shared" si="1"/>
        <v>14532683</v>
      </c>
      <c r="H97" s="227" t="s">
        <v>48</v>
      </c>
      <c r="I97" s="280"/>
      <c r="J97" s="227"/>
      <c r="K97" s="227"/>
      <c r="L97" s="227" t="s">
        <v>188</v>
      </c>
      <c r="M97" s="227"/>
      <c r="N97" s="227"/>
      <c r="O97" s="227"/>
    </row>
    <row r="98" spans="1:16" ht="15" customHeight="1">
      <c r="A98" s="291">
        <v>44599</v>
      </c>
      <c r="B98" s="208" t="s">
        <v>398</v>
      </c>
      <c r="C98" s="178" t="s">
        <v>76</v>
      </c>
      <c r="D98" s="208"/>
      <c r="E98" s="224">
        <v>154000</v>
      </c>
      <c r="F98" s="224"/>
      <c r="G98" s="237">
        <f t="shared" si="1"/>
        <v>14686683</v>
      </c>
      <c r="H98" s="209" t="s">
        <v>31</v>
      </c>
      <c r="J98" s="216"/>
      <c r="K98" s="209"/>
      <c r="L98" s="227" t="s">
        <v>188</v>
      </c>
      <c r="N98" s="178"/>
      <c r="O98" s="178"/>
    </row>
    <row r="99" spans="1:16" ht="15" customHeight="1">
      <c r="A99" s="286">
        <v>44599</v>
      </c>
      <c r="B99" s="184" t="s">
        <v>352</v>
      </c>
      <c r="C99" s="178" t="s">
        <v>76</v>
      </c>
      <c r="E99" s="223">
        <v>20000</v>
      </c>
      <c r="F99" s="223"/>
      <c r="G99" s="237">
        <f t="shared" si="1"/>
        <v>14706683</v>
      </c>
      <c r="H99" s="206" t="s">
        <v>155</v>
      </c>
      <c r="K99" s="183"/>
      <c r="L99" s="227" t="s">
        <v>188</v>
      </c>
      <c r="O99" s="178"/>
    </row>
    <row r="100" spans="1:16" ht="15" customHeight="1">
      <c r="A100" s="286">
        <v>44599</v>
      </c>
      <c r="B100" s="184" t="s">
        <v>418</v>
      </c>
      <c r="C100" s="296" t="s">
        <v>201</v>
      </c>
      <c r="D100" s="227" t="s">
        <v>166</v>
      </c>
      <c r="E100" s="223"/>
      <c r="F100" s="223">
        <v>20000</v>
      </c>
      <c r="G100" s="237">
        <f t="shared" si="1"/>
        <v>14686683</v>
      </c>
      <c r="H100" s="206" t="s">
        <v>155</v>
      </c>
      <c r="I100" s="183" t="s">
        <v>230</v>
      </c>
      <c r="J100" s="297" t="s">
        <v>168</v>
      </c>
      <c r="K100" s="297" t="s">
        <v>482</v>
      </c>
      <c r="L100" s="227" t="s">
        <v>188</v>
      </c>
      <c r="O100" s="178"/>
    </row>
    <row r="101" spans="1:16" ht="15" customHeight="1">
      <c r="A101" s="286">
        <v>44599</v>
      </c>
      <c r="B101" s="184" t="s">
        <v>419</v>
      </c>
      <c r="C101" s="227" t="s">
        <v>35</v>
      </c>
      <c r="D101" s="226" t="s">
        <v>260</v>
      </c>
      <c r="E101" s="223"/>
      <c r="F101" s="223">
        <v>4900</v>
      </c>
      <c r="G101" s="237">
        <f t="shared" si="1"/>
        <v>14681783</v>
      </c>
      <c r="H101" s="206" t="s">
        <v>155</v>
      </c>
      <c r="I101" s="183" t="s">
        <v>230</v>
      </c>
      <c r="J101" s="227" t="s">
        <v>168</v>
      </c>
      <c r="K101" s="227" t="s">
        <v>482</v>
      </c>
      <c r="L101" s="227" t="s">
        <v>188</v>
      </c>
      <c r="M101" s="177"/>
      <c r="O101" s="178"/>
    </row>
    <row r="102" spans="1:16" ht="15" customHeight="1">
      <c r="A102" s="286">
        <v>44599</v>
      </c>
      <c r="B102" s="184" t="s">
        <v>433</v>
      </c>
      <c r="C102" s="178" t="s">
        <v>76</v>
      </c>
      <c r="D102" s="226"/>
      <c r="E102" s="223">
        <v>245000</v>
      </c>
      <c r="F102" s="223"/>
      <c r="G102" s="237">
        <f t="shared" si="1"/>
        <v>14926783</v>
      </c>
      <c r="H102" s="206" t="s">
        <v>49</v>
      </c>
      <c r="K102" s="183"/>
      <c r="L102" s="227" t="s">
        <v>188</v>
      </c>
      <c r="O102" s="178"/>
    </row>
    <row r="103" spans="1:16" ht="15" customHeight="1">
      <c r="A103" s="283">
        <v>44599</v>
      </c>
      <c r="B103" s="178" t="s">
        <v>437</v>
      </c>
      <c r="C103" s="178" t="s">
        <v>159</v>
      </c>
      <c r="D103" s="226" t="s">
        <v>260</v>
      </c>
      <c r="E103" s="220"/>
      <c r="F103" s="220">
        <v>210000</v>
      </c>
      <c r="G103" s="237">
        <f t="shared" si="1"/>
        <v>14716783</v>
      </c>
      <c r="H103" s="178" t="s">
        <v>49</v>
      </c>
      <c r="I103" s="183" t="s">
        <v>349</v>
      </c>
      <c r="J103" s="183" t="s">
        <v>168</v>
      </c>
      <c r="K103" s="178" t="s">
        <v>482</v>
      </c>
      <c r="L103" s="227" t="s">
        <v>188</v>
      </c>
      <c r="O103" s="178"/>
    </row>
    <row r="104" spans="1:16" ht="15" customHeight="1">
      <c r="A104" s="283">
        <v>44599</v>
      </c>
      <c r="B104" s="178" t="s">
        <v>504</v>
      </c>
      <c r="C104" s="178" t="s">
        <v>34</v>
      </c>
      <c r="D104" s="226" t="s">
        <v>260</v>
      </c>
      <c r="E104" s="220"/>
      <c r="F104" s="220">
        <v>35000</v>
      </c>
      <c r="G104" s="237">
        <f t="shared" si="1"/>
        <v>14681783</v>
      </c>
      <c r="H104" s="178" t="s">
        <v>49</v>
      </c>
      <c r="I104" s="183" t="s">
        <v>349</v>
      </c>
      <c r="J104" s="183" t="s">
        <v>168</v>
      </c>
      <c r="K104" s="178" t="s">
        <v>482</v>
      </c>
      <c r="L104" s="227" t="s">
        <v>188</v>
      </c>
      <c r="O104" s="178"/>
    </row>
    <row r="105" spans="1:16" ht="15" customHeight="1">
      <c r="A105" s="283">
        <v>44599</v>
      </c>
      <c r="B105" s="178" t="s">
        <v>459</v>
      </c>
      <c r="C105" s="227" t="s">
        <v>35</v>
      </c>
      <c r="D105" s="226" t="s">
        <v>260</v>
      </c>
      <c r="F105" s="195">
        <v>10000</v>
      </c>
      <c r="G105" s="237">
        <f t="shared" si="1"/>
        <v>14671783</v>
      </c>
      <c r="H105" s="178" t="s">
        <v>29</v>
      </c>
      <c r="I105" s="183" t="s">
        <v>230</v>
      </c>
      <c r="J105" s="227" t="s">
        <v>168</v>
      </c>
      <c r="K105" s="227" t="s">
        <v>482</v>
      </c>
      <c r="L105" s="227" t="s">
        <v>188</v>
      </c>
      <c r="O105" s="178"/>
      <c r="P105" s="228"/>
    </row>
    <row r="106" spans="1:16" ht="15" customHeight="1">
      <c r="A106" s="283">
        <v>44599</v>
      </c>
      <c r="B106" s="178" t="s">
        <v>473</v>
      </c>
      <c r="C106" s="178" t="s">
        <v>76</v>
      </c>
      <c r="E106" s="220">
        <v>400000</v>
      </c>
      <c r="F106" s="220"/>
      <c r="G106" s="237">
        <f t="shared" si="1"/>
        <v>15071783</v>
      </c>
      <c r="H106" s="178" t="s">
        <v>29</v>
      </c>
      <c r="J106" s="178"/>
      <c r="L106" s="227" t="s">
        <v>188</v>
      </c>
      <c r="O106" s="178"/>
    </row>
    <row r="107" spans="1:16" ht="15" customHeight="1">
      <c r="A107" s="283">
        <v>44599</v>
      </c>
      <c r="B107" s="178" t="s">
        <v>476</v>
      </c>
      <c r="C107" s="178" t="s">
        <v>202</v>
      </c>
      <c r="D107" s="227" t="s">
        <v>4</v>
      </c>
      <c r="E107" s="222"/>
      <c r="F107" s="221">
        <v>2000</v>
      </c>
      <c r="G107" s="237">
        <f t="shared" si="1"/>
        <v>15069783</v>
      </c>
      <c r="H107" s="178" t="s">
        <v>175</v>
      </c>
      <c r="I107" s="183" t="s">
        <v>249</v>
      </c>
      <c r="J107" s="183" t="s">
        <v>168</v>
      </c>
      <c r="K107" s="178" t="s">
        <v>482</v>
      </c>
      <c r="L107" s="227" t="s">
        <v>188</v>
      </c>
      <c r="N107" s="231"/>
      <c r="O107" s="228"/>
      <c r="P107" s="229"/>
    </row>
    <row r="108" spans="1:16" ht="15" customHeight="1">
      <c r="A108" s="283">
        <v>44600</v>
      </c>
      <c r="B108" s="227" t="s">
        <v>245</v>
      </c>
      <c r="C108" s="227" t="s">
        <v>76</v>
      </c>
      <c r="D108" s="226"/>
      <c r="E108" s="213"/>
      <c r="F108" s="221">
        <v>29000</v>
      </c>
      <c r="G108" s="237">
        <f t="shared" si="1"/>
        <v>15040783</v>
      </c>
      <c r="H108" s="227" t="s">
        <v>25</v>
      </c>
      <c r="I108" s="227"/>
      <c r="J108" s="227"/>
      <c r="K108" s="227"/>
      <c r="L108" s="227" t="s">
        <v>188</v>
      </c>
      <c r="M108" s="227"/>
      <c r="N108" s="227"/>
      <c r="O108" s="227"/>
    </row>
    <row r="109" spans="1:16" ht="15" customHeight="1">
      <c r="A109" s="283">
        <v>44600</v>
      </c>
      <c r="B109" s="227" t="s">
        <v>256</v>
      </c>
      <c r="C109" s="227" t="s">
        <v>187</v>
      </c>
      <c r="D109" s="226" t="s">
        <v>239</v>
      </c>
      <c r="E109" s="213"/>
      <c r="F109" s="320">
        <v>870</v>
      </c>
      <c r="G109" s="237">
        <f t="shared" si="1"/>
        <v>15039913</v>
      </c>
      <c r="H109" s="227" t="s">
        <v>25</v>
      </c>
      <c r="I109" s="178" t="s">
        <v>230</v>
      </c>
      <c r="J109" s="227" t="s">
        <v>103</v>
      </c>
      <c r="K109" s="227" t="s">
        <v>481</v>
      </c>
      <c r="L109" s="227" t="s">
        <v>188</v>
      </c>
      <c r="M109" s="178" t="s">
        <v>550</v>
      </c>
      <c r="N109" s="328" t="s">
        <v>204</v>
      </c>
      <c r="O109" s="227"/>
    </row>
    <row r="110" spans="1:16" ht="15" customHeight="1">
      <c r="A110" s="283">
        <v>44600</v>
      </c>
      <c r="B110" s="227" t="s">
        <v>175</v>
      </c>
      <c r="C110" s="227" t="s">
        <v>76</v>
      </c>
      <c r="D110" s="226"/>
      <c r="E110" s="213"/>
      <c r="F110" s="222">
        <v>10000</v>
      </c>
      <c r="G110" s="237">
        <f t="shared" si="1"/>
        <v>15029913</v>
      </c>
      <c r="H110" s="227" t="s">
        <v>25</v>
      </c>
      <c r="I110" s="231"/>
      <c r="J110" s="227"/>
      <c r="K110" s="227"/>
      <c r="L110" s="227" t="s">
        <v>188</v>
      </c>
      <c r="M110" s="231"/>
      <c r="N110" s="231"/>
      <c r="O110" s="231"/>
    </row>
    <row r="111" spans="1:16" ht="15" customHeight="1">
      <c r="A111" s="286">
        <v>44600</v>
      </c>
      <c r="B111" s="287" t="s">
        <v>321</v>
      </c>
      <c r="C111" s="227" t="s">
        <v>76</v>
      </c>
      <c r="D111" s="227"/>
      <c r="E111" s="212"/>
      <c r="F111" s="324">
        <v>60000</v>
      </c>
      <c r="G111" s="237">
        <f t="shared" si="1"/>
        <v>14969913</v>
      </c>
      <c r="H111" s="242" t="s">
        <v>154</v>
      </c>
      <c r="I111" s="280"/>
      <c r="J111" s="227"/>
      <c r="K111" s="227"/>
      <c r="L111" s="227" t="s">
        <v>188</v>
      </c>
      <c r="N111" s="227"/>
      <c r="O111" s="227"/>
    </row>
    <row r="112" spans="1:16" ht="18.75" customHeight="1">
      <c r="A112" s="283">
        <v>44600</v>
      </c>
      <c r="B112" s="227" t="s">
        <v>322</v>
      </c>
      <c r="C112" s="227" t="s">
        <v>76</v>
      </c>
      <c r="D112" s="227"/>
      <c r="E112" s="211"/>
      <c r="F112" s="320">
        <v>105000</v>
      </c>
      <c r="G112" s="237">
        <f t="shared" si="1"/>
        <v>14864913</v>
      </c>
      <c r="H112" s="227" t="s">
        <v>154</v>
      </c>
      <c r="I112" s="280"/>
      <c r="J112" s="227"/>
      <c r="K112" s="227"/>
      <c r="L112" s="227" t="s">
        <v>188</v>
      </c>
      <c r="N112" s="227"/>
      <c r="O112" s="227"/>
    </row>
    <row r="113" spans="1:16" ht="18.75" customHeight="1">
      <c r="A113" s="286">
        <v>44600</v>
      </c>
      <c r="B113" s="208" t="s">
        <v>352</v>
      </c>
      <c r="C113" s="178" t="s">
        <v>76</v>
      </c>
      <c r="D113" s="208"/>
      <c r="E113" s="224">
        <v>29000</v>
      </c>
      <c r="F113" s="222"/>
      <c r="G113" s="237">
        <f t="shared" si="1"/>
        <v>14893913</v>
      </c>
      <c r="H113" s="209" t="s">
        <v>155</v>
      </c>
      <c r="J113" s="216"/>
      <c r="K113" s="209"/>
      <c r="L113" s="227" t="s">
        <v>188</v>
      </c>
      <c r="N113" s="178"/>
      <c r="O113" s="178"/>
    </row>
    <row r="114" spans="1:16" ht="18.75" customHeight="1">
      <c r="A114" s="283">
        <v>44600</v>
      </c>
      <c r="B114" s="178" t="s">
        <v>433</v>
      </c>
      <c r="C114" s="178" t="s">
        <v>76</v>
      </c>
      <c r="D114" s="184"/>
      <c r="E114" s="222">
        <v>105000</v>
      </c>
      <c r="F114" s="222"/>
      <c r="G114" s="237">
        <f t="shared" si="1"/>
        <v>14998913</v>
      </c>
      <c r="H114" s="178" t="s">
        <v>49</v>
      </c>
      <c r="L114" s="227" t="s">
        <v>188</v>
      </c>
      <c r="O114" s="178"/>
    </row>
    <row r="115" spans="1:16" ht="16.5" customHeight="1">
      <c r="A115" s="285">
        <v>44600</v>
      </c>
      <c r="B115" s="178" t="s">
        <v>438</v>
      </c>
      <c r="C115" s="200" t="s">
        <v>191</v>
      </c>
      <c r="D115" s="226" t="s">
        <v>260</v>
      </c>
      <c r="E115" s="221"/>
      <c r="F115" s="320">
        <v>105000</v>
      </c>
      <c r="G115" s="237">
        <f t="shared" si="1"/>
        <v>14893913</v>
      </c>
      <c r="H115" s="178" t="s">
        <v>49</v>
      </c>
      <c r="I115" s="183" t="s">
        <v>349</v>
      </c>
      <c r="J115" s="178" t="s">
        <v>168</v>
      </c>
      <c r="K115" s="178" t="s">
        <v>482</v>
      </c>
      <c r="L115" s="227" t="s">
        <v>188</v>
      </c>
      <c r="O115" s="178"/>
    </row>
    <row r="116" spans="1:16" ht="15" customHeight="1">
      <c r="A116" s="283">
        <v>44600</v>
      </c>
      <c r="B116" s="178" t="s">
        <v>439</v>
      </c>
      <c r="C116" s="178" t="s">
        <v>76</v>
      </c>
      <c r="E116" s="220">
        <v>60000</v>
      </c>
      <c r="F116" s="220"/>
      <c r="G116" s="237">
        <f t="shared" si="1"/>
        <v>14953913</v>
      </c>
      <c r="H116" s="178" t="s">
        <v>49</v>
      </c>
      <c r="L116" s="227" t="s">
        <v>188</v>
      </c>
      <c r="O116" s="178"/>
    </row>
    <row r="117" spans="1:16" ht="15" customHeight="1">
      <c r="A117" s="283">
        <v>44600</v>
      </c>
      <c r="B117" s="178" t="s">
        <v>459</v>
      </c>
      <c r="C117" s="227" t="s">
        <v>35</v>
      </c>
      <c r="D117" s="226" t="s">
        <v>260</v>
      </c>
      <c r="E117" s="220"/>
      <c r="F117" s="220">
        <v>18000</v>
      </c>
      <c r="G117" s="237">
        <f t="shared" si="1"/>
        <v>14935913</v>
      </c>
      <c r="H117" s="178" t="s">
        <v>29</v>
      </c>
      <c r="I117" s="183" t="s">
        <v>230</v>
      </c>
      <c r="J117" s="227" t="s">
        <v>168</v>
      </c>
      <c r="K117" s="227" t="s">
        <v>482</v>
      </c>
      <c r="L117" s="227" t="s">
        <v>188</v>
      </c>
      <c r="O117" s="178"/>
      <c r="P117" s="228"/>
    </row>
    <row r="118" spans="1:16" ht="15" customHeight="1">
      <c r="A118" s="283">
        <v>44600</v>
      </c>
      <c r="B118" s="178" t="s">
        <v>474</v>
      </c>
      <c r="C118" s="178" t="s">
        <v>475</v>
      </c>
      <c r="E118" s="195">
        <v>10000</v>
      </c>
      <c r="F118" s="195"/>
      <c r="G118" s="237">
        <f t="shared" si="1"/>
        <v>14945913</v>
      </c>
      <c r="H118" s="178" t="s">
        <v>175</v>
      </c>
      <c r="L118" s="227" t="s">
        <v>188</v>
      </c>
      <c r="O118" s="178"/>
      <c r="P118" s="229"/>
    </row>
    <row r="119" spans="1:16" ht="15" customHeight="1">
      <c r="A119" s="291">
        <v>44600</v>
      </c>
      <c r="B119" s="208" t="s">
        <v>520</v>
      </c>
      <c r="C119" s="178" t="s">
        <v>159</v>
      </c>
      <c r="D119" s="227" t="s">
        <v>4</v>
      </c>
      <c r="E119" s="222"/>
      <c r="F119" s="224">
        <v>60000</v>
      </c>
      <c r="G119" s="237">
        <f t="shared" si="1"/>
        <v>14885913</v>
      </c>
      <c r="H119" s="209" t="s">
        <v>29</v>
      </c>
      <c r="I119" s="183" t="s">
        <v>230</v>
      </c>
      <c r="J119" s="178" t="s">
        <v>103</v>
      </c>
      <c r="K119" s="178" t="s">
        <v>481</v>
      </c>
      <c r="L119" s="227" t="s">
        <v>188</v>
      </c>
      <c r="M119" s="178" t="s">
        <v>551</v>
      </c>
      <c r="N119" s="177" t="s">
        <v>217</v>
      </c>
      <c r="O119" s="178"/>
    </row>
    <row r="120" spans="1:16" ht="15" customHeight="1">
      <c r="A120" s="283">
        <v>44601</v>
      </c>
      <c r="B120" s="227" t="s">
        <v>257</v>
      </c>
      <c r="C120" s="227" t="s">
        <v>145</v>
      </c>
      <c r="D120" s="227" t="s">
        <v>166</v>
      </c>
      <c r="E120" s="213"/>
      <c r="F120" s="320">
        <v>76000</v>
      </c>
      <c r="G120" s="237">
        <f t="shared" si="1"/>
        <v>14809913</v>
      </c>
      <c r="H120" s="227" t="s">
        <v>25</v>
      </c>
      <c r="I120" s="227" t="s">
        <v>230</v>
      </c>
      <c r="J120" s="227" t="s">
        <v>103</v>
      </c>
      <c r="K120" s="227" t="s">
        <v>481</v>
      </c>
      <c r="L120" s="227" t="s">
        <v>188</v>
      </c>
      <c r="M120" s="178" t="s">
        <v>552</v>
      </c>
      <c r="N120" s="328" t="s">
        <v>206</v>
      </c>
      <c r="O120" s="227"/>
    </row>
    <row r="121" spans="1:16" ht="15" customHeight="1">
      <c r="A121" s="283">
        <v>44601</v>
      </c>
      <c r="B121" s="227" t="s">
        <v>155</v>
      </c>
      <c r="C121" s="287" t="s">
        <v>76</v>
      </c>
      <c r="D121" s="226"/>
      <c r="E121" s="213"/>
      <c r="F121" s="221">
        <v>96000</v>
      </c>
      <c r="G121" s="237">
        <f t="shared" si="1"/>
        <v>14713913</v>
      </c>
      <c r="H121" s="227" t="s">
        <v>25</v>
      </c>
      <c r="I121" s="227"/>
      <c r="J121" s="227"/>
      <c r="K121" s="227"/>
      <c r="L121" s="227" t="s">
        <v>188</v>
      </c>
      <c r="M121" s="227"/>
      <c r="N121" s="227"/>
      <c r="O121" s="227"/>
    </row>
    <row r="122" spans="1:16" ht="15" customHeight="1">
      <c r="A122" s="283">
        <v>44601</v>
      </c>
      <c r="B122" s="227" t="s">
        <v>154</v>
      </c>
      <c r="C122" s="227" t="s">
        <v>76</v>
      </c>
      <c r="D122" s="227"/>
      <c r="E122" s="211"/>
      <c r="F122" s="220">
        <v>550000</v>
      </c>
      <c r="G122" s="237">
        <f t="shared" si="1"/>
        <v>14163913</v>
      </c>
      <c r="H122" s="227" t="s">
        <v>25</v>
      </c>
      <c r="I122" s="227"/>
      <c r="J122" s="227"/>
      <c r="K122" s="227"/>
      <c r="L122" s="227" t="s">
        <v>188</v>
      </c>
      <c r="M122" s="227"/>
      <c r="N122" s="227"/>
      <c r="O122" s="227"/>
    </row>
    <row r="123" spans="1:16" ht="15" customHeight="1">
      <c r="A123" s="283">
        <v>44601</v>
      </c>
      <c r="B123" s="227" t="s">
        <v>258</v>
      </c>
      <c r="C123" s="227" t="s">
        <v>187</v>
      </c>
      <c r="D123" s="227" t="s">
        <v>239</v>
      </c>
      <c r="E123" s="211"/>
      <c r="F123" s="220">
        <f>16500+4080</f>
        <v>20580</v>
      </c>
      <c r="G123" s="237">
        <f t="shared" si="1"/>
        <v>14143333</v>
      </c>
      <c r="H123" s="227" t="s">
        <v>25</v>
      </c>
      <c r="I123" s="231" t="s">
        <v>230</v>
      </c>
      <c r="J123" s="227" t="s">
        <v>103</v>
      </c>
      <c r="K123" s="227" t="s">
        <v>481</v>
      </c>
      <c r="L123" s="227" t="s">
        <v>188</v>
      </c>
      <c r="M123" s="178" t="s">
        <v>553</v>
      </c>
      <c r="N123" s="328" t="s">
        <v>204</v>
      </c>
      <c r="O123" s="227"/>
    </row>
    <row r="124" spans="1:16" ht="15" customHeight="1">
      <c r="A124" s="283">
        <v>44601</v>
      </c>
      <c r="B124" s="227" t="s">
        <v>259</v>
      </c>
      <c r="C124" s="227" t="s">
        <v>35</v>
      </c>
      <c r="D124" s="226" t="s">
        <v>260</v>
      </c>
      <c r="E124" s="211"/>
      <c r="F124" s="320">
        <v>17000</v>
      </c>
      <c r="G124" s="237">
        <f t="shared" si="1"/>
        <v>14126333</v>
      </c>
      <c r="H124" s="227" t="s">
        <v>25</v>
      </c>
      <c r="I124" s="178" t="s">
        <v>230</v>
      </c>
      <c r="J124" s="227" t="s">
        <v>168</v>
      </c>
      <c r="K124" s="227" t="s">
        <v>482</v>
      </c>
      <c r="L124" s="227" t="s">
        <v>188</v>
      </c>
      <c r="N124" s="227"/>
      <c r="O124" s="227"/>
    </row>
    <row r="125" spans="1:16" ht="15" customHeight="1">
      <c r="A125" s="283">
        <v>44601</v>
      </c>
      <c r="B125" s="227" t="s">
        <v>175</v>
      </c>
      <c r="C125" s="227" t="s">
        <v>76</v>
      </c>
      <c r="D125" s="227"/>
      <c r="E125" s="211"/>
      <c r="F125" s="320">
        <v>10000</v>
      </c>
      <c r="G125" s="237">
        <f t="shared" si="1"/>
        <v>14116333</v>
      </c>
      <c r="H125" s="227" t="s">
        <v>25</v>
      </c>
      <c r="I125" s="178"/>
      <c r="J125" s="227"/>
      <c r="K125" s="227"/>
      <c r="L125" s="227" t="s">
        <v>188</v>
      </c>
      <c r="N125" s="231"/>
      <c r="O125" s="227"/>
    </row>
    <row r="126" spans="1:16" ht="15.75" customHeight="1">
      <c r="A126" s="285">
        <v>44601</v>
      </c>
      <c r="B126" s="287" t="s">
        <v>323</v>
      </c>
      <c r="C126" s="227" t="s">
        <v>34</v>
      </c>
      <c r="D126" s="226" t="s">
        <v>260</v>
      </c>
      <c r="E126" s="212"/>
      <c r="F126" s="320">
        <v>12000</v>
      </c>
      <c r="G126" s="237">
        <f t="shared" si="1"/>
        <v>14104333</v>
      </c>
      <c r="H126" s="287" t="s">
        <v>154</v>
      </c>
      <c r="I126" s="280" t="s">
        <v>230</v>
      </c>
      <c r="J126" s="288" t="s">
        <v>168</v>
      </c>
      <c r="K126" s="242" t="s">
        <v>482</v>
      </c>
      <c r="L126" s="227" t="s">
        <v>188</v>
      </c>
      <c r="N126" s="227"/>
      <c r="O126" s="235"/>
    </row>
    <row r="127" spans="1:16" ht="15" customHeight="1">
      <c r="A127" s="283">
        <v>44601</v>
      </c>
      <c r="B127" s="227" t="s">
        <v>324</v>
      </c>
      <c r="C127" s="227" t="s">
        <v>34</v>
      </c>
      <c r="D127" s="226" t="s">
        <v>260</v>
      </c>
      <c r="E127" s="213"/>
      <c r="F127" s="320">
        <v>12000</v>
      </c>
      <c r="G127" s="237">
        <f t="shared" si="1"/>
        <v>14092333</v>
      </c>
      <c r="H127" s="227" t="s">
        <v>154</v>
      </c>
      <c r="I127" s="280" t="s">
        <v>230</v>
      </c>
      <c r="J127" s="288" t="s">
        <v>168</v>
      </c>
      <c r="K127" s="242" t="s">
        <v>482</v>
      </c>
      <c r="L127" s="227" t="s">
        <v>188</v>
      </c>
      <c r="N127" s="227"/>
      <c r="O127" s="227"/>
    </row>
    <row r="128" spans="1:16" ht="15" customHeight="1">
      <c r="A128" s="283">
        <v>44601</v>
      </c>
      <c r="B128" s="227" t="s">
        <v>325</v>
      </c>
      <c r="C128" s="227" t="s">
        <v>271</v>
      </c>
      <c r="D128" s="226" t="s">
        <v>260</v>
      </c>
      <c r="E128" s="211"/>
      <c r="F128" s="320">
        <v>140000</v>
      </c>
      <c r="G128" s="237">
        <f t="shared" si="1"/>
        <v>13952333</v>
      </c>
      <c r="H128" s="227" t="s">
        <v>154</v>
      </c>
      <c r="I128" s="280" t="s">
        <v>249</v>
      </c>
      <c r="J128" s="227" t="s">
        <v>168</v>
      </c>
      <c r="K128" s="227" t="s">
        <v>482</v>
      </c>
      <c r="L128" s="227" t="s">
        <v>188</v>
      </c>
      <c r="N128" s="227"/>
      <c r="O128" s="227"/>
    </row>
    <row r="129" spans="1:16" ht="15" customHeight="1">
      <c r="A129" s="286">
        <v>44601</v>
      </c>
      <c r="B129" s="227" t="s">
        <v>326</v>
      </c>
      <c r="C129" s="227" t="s">
        <v>271</v>
      </c>
      <c r="D129" s="226" t="s">
        <v>260</v>
      </c>
      <c r="E129" s="318"/>
      <c r="F129" s="222">
        <v>10000</v>
      </c>
      <c r="G129" s="237">
        <f t="shared" si="1"/>
        <v>13942333</v>
      </c>
      <c r="H129" s="227" t="s">
        <v>154</v>
      </c>
      <c r="I129" s="282" t="s">
        <v>249</v>
      </c>
      <c r="J129" s="227" t="s">
        <v>168</v>
      </c>
      <c r="K129" s="227" t="s">
        <v>482</v>
      </c>
      <c r="L129" s="227" t="s">
        <v>188</v>
      </c>
      <c r="M129" s="235"/>
      <c r="N129" s="235"/>
      <c r="O129" s="235"/>
    </row>
    <row r="130" spans="1:16" ht="15" customHeight="1">
      <c r="A130" s="286">
        <v>44601</v>
      </c>
      <c r="B130" s="227" t="s">
        <v>327</v>
      </c>
      <c r="C130" s="178" t="s">
        <v>159</v>
      </c>
      <c r="D130" s="226" t="s">
        <v>260</v>
      </c>
      <c r="E130" s="318"/>
      <c r="F130" s="320">
        <v>7000</v>
      </c>
      <c r="G130" s="237">
        <f t="shared" si="1"/>
        <v>13935333</v>
      </c>
      <c r="H130" s="227" t="s">
        <v>154</v>
      </c>
      <c r="I130" s="282" t="s">
        <v>249</v>
      </c>
      <c r="J130" s="227" t="s">
        <v>168</v>
      </c>
      <c r="K130" s="227" t="s">
        <v>482</v>
      </c>
      <c r="L130" s="227" t="s">
        <v>188</v>
      </c>
      <c r="N130" s="235"/>
      <c r="O130" s="235"/>
    </row>
    <row r="131" spans="1:16" ht="15" customHeight="1">
      <c r="A131" s="283">
        <v>44601</v>
      </c>
      <c r="B131" s="226" t="s">
        <v>328</v>
      </c>
      <c r="C131" s="227" t="s">
        <v>35</v>
      </c>
      <c r="D131" s="226" t="s">
        <v>260</v>
      </c>
      <c r="E131" s="213"/>
      <c r="F131" s="320">
        <v>23700</v>
      </c>
      <c r="G131" s="237">
        <f t="shared" si="1"/>
        <v>13911633</v>
      </c>
      <c r="H131" s="227" t="s">
        <v>154</v>
      </c>
      <c r="I131" s="280" t="s">
        <v>249</v>
      </c>
      <c r="J131" s="227" t="s">
        <v>168</v>
      </c>
      <c r="K131" s="227" t="s">
        <v>482</v>
      </c>
      <c r="L131" s="227" t="s">
        <v>188</v>
      </c>
      <c r="N131" s="235"/>
      <c r="O131" s="227"/>
    </row>
    <row r="132" spans="1:16" ht="15" customHeight="1">
      <c r="A132" s="283">
        <v>44601</v>
      </c>
      <c r="B132" s="226" t="s">
        <v>329</v>
      </c>
      <c r="C132" s="227" t="s">
        <v>76</v>
      </c>
      <c r="D132" s="227"/>
      <c r="E132" s="213">
        <v>550000</v>
      </c>
      <c r="F132" s="320"/>
      <c r="G132" s="237">
        <f t="shared" si="1"/>
        <v>14461633</v>
      </c>
      <c r="H132" s="227" t="s">
        <v>154</v>
      </c>
      <c r="I132" s="280"/>
      <c r="J132" s="227"/>
      <c r="K132" s="227"/>
      <c r="L132" s="227" t="s">
        <v>188</v>
      </c>
      <c r="N132" s="227"/>
      <c r="O132" s="227"/>
    </row>
    <row r="133" spans="1:16" ht="15" customHeight="1">
      <c r="A133" s="286">
        <v>44601</v>
      </c>
      <c r="B133" s="287" t="s">
        <v>361</v>
      </c>
      <c r="C133" s="178" t="s">
        <v>159</v>
      </c>
      <c r="D133" s="226" t="s">
        <v>260</v>
      </c>
      <c r="E133" s="212"/>
      <c r="F133" s="223">
        <v>8500</v>
      </c>
      <c r="G133" s="237">
        <f t="shared" si="1"/>
        <v>14453133</v>
      </c>
      <c r="H133" s="242" t="s">
        <v>48</v>
      </c>
      <c r="I133" s="280" t="s">
        <v>249</v>
      </c>
      <c r="J133" s="227" t="s">
        <v>168</v>
      </c>
      <c r="K133" s="227" t="s">
        <v>482</v>
      </c>
      <c r="L133" s="227" t="s">
        <v>188</v>
      </c>
      <c r="M133" s="227"/>
      <c r="N133" s="227"/>
      <c r="O133" s="227"/>
    </row>
    <row r="134" spans="1:16" ht="15" customHeight="1">
      <c r="A134" s="283">
        <v>44601</v>
      </c>
      <c r="B134" s="178" t="s">
        <v>401</v>
      </c>
      <c r="C134" s="178" t="s">
        <v>159</v>
      </c>
      <c r="D134" s="226" t="s">
        <v>260</v>
      </c>
      <c r="E134" s="220"/>
      <c r="F134" s="220">
        <v>10000</v>
      </c>
      <c r="G134" s="237">
        <f t="shared" si="1"/>
        <v>14443133</v>
      </c>
      <c r="H134" s="178" t="s">
        <v>31</v>
      </c>
      <c r="I134" s="183" t="s">
        <v>230</v>
      </c>
      <c r="J134" s="183" t="s">
        <v>168</v>
      </c>
      <c r="K134" s="178" t="s">
        <v>482</v>
      </c>
      <c r="L134" s="227" t="s">
        <v>188</v>
      </c>
      <c r="O134" s="178"/>
    </row>
    <row r="135" spans="1:16" ht="15" customHeight="1">
      <c r="A135" s="283">
        <v>44601</v>
      </c>
      <c r="B135" s="178" t="s">
        <v>402</v>
      </c>
      <c r="C135" s="227" t="s">
        <v>35</v>
      </c>
      <c r="D135" s="226" t="s">
        <v>260</v>
      </c>
      <c r="E135" s="220"/>
      <c r="F135" s="220">
        <v>11000</v>
      </c>
      <c r="G135" s="237">
        <f t="shared" si="1"/>
        <v>14432133</v>
      </c>
      <c r="H135" s="178" t="s">
        <v>31</v>
      </c>
      <c r="I135" s="183" t="s">
        <v>230</v>
      </c>
      <c r="J135" s="227" t="s">
        <v>168</v>
      </c>
      <c r="K135" s="227" t="s">
        <v>482</v>
      </c>
      <c r="L135" s="227" t="s">
        <v>188</v>
      </c>
      <c r="M135" s="249"/>
      <c r="N135" s="257"/>
      <c r="P135" s="249"/>
    </row>
    <row r="136" spans="1:16" ht="15" customHeight="1">
      <c r="A136" s="286">
        <v>44601</v>
      </c>
      <c r="B136" s="184" t="s">
        <v>403</v>
      </c>
      <c r="C136" s="178" t="s">
        <v>3</v>
      </c>
      <c r="D136" s="226" t="s">
        <v>239</v>
      </c>
      <c r="E136" s="223"/>
      <c r="F136" s="223">
        <v>14000</v>
      </c>
      <c r="G136" s="237">
        <f t="shared" si="1"/>
        <v>14418133</v>
      </c>
      <c r="H136" s="205" t="s">
        <v>31</v>
      </c>
      <c r="I136" s="183" t="s">
        <v>230</v>
      </c>
      <c r="J136" s="183" t="s">
        <v>168</v>
      </c>
      <c r="K136" s="178" t="s">
        <v>482</v>
      </c>
      <c r="L136" s="227" t="s">
        <v>188</v>
      </c>
      <c r="O136" s="178"/>
    </row>
    <row r="137" spans="1:16" ht="15" customHeight="1">
      <c r="A137" s="286">
        <v>44601</v>
      </c>
      <c r="B137" s="178" t="s">
        <v>421</v>
      </c>
      <c r="C137" s="178" t="s">
        <v>34</v>
      </c>
      <c r="D137" s="227" t="s">
        <v>166</v>
      </c>
      <c r="E137" s="220"/>
      <c r="F137" s="320">
        <v>5000</v>
      </c>
      <c r="G137" s="237">
        <f t="shared" si="1"/>
        <v>14413133</v>
      </c>
      <c r="H137" s="178" t="s">
        <v>155</v>
      </c>
      <c r="I137" s="183" t="s">
        <v>230</v>
      </c>
      <c r="J137" s="228" t="s">
        <v>103</v>
      </c>
      <c r="K137" s="228" t="s">
        <v>481</v>
      </c>
      <c r="L137" s="227" t="s">
        <v>188</v>
      </c>
      <c r="M137" s="178" t="s">
        <v>554</v>
      </c>
      <c r="N137" s="243" t="s">
        <v>215</v>
      </c>
      <c r="O137" s="178"/>
    </row>
    <row r="138" spans="1:16" ht="15" customHeight="1">
      <c r="A138" s="286">
        <v>44601</v>
      </c>
      <c r="B138" s="178" t="s">
        <v>352</v>
      </c>
      <c r="C138" s="178" t="s">
        <v>76</v>
      </c>
      <c r="E138" s="220">
        <v>96000</v>
      </c>
      <c r="F138" s="220"/>
      <c r="G138" s="237">
        <f t="shared" si="1"/>
        <v>14509133</v>
      </c>
      <c r="H138" s="178" t="s">
        <v>155</v>
      </c>
      <c r="L138" s="227" t="s">
        <v>188</v>
      </c>
      <c r="O138" s="178"/>
    </row>
    <row r="139" spans="1:16" ht="15" customHeight="1">
      <c r="A139" s="283">
        <v>44601</v>
      </c>
      <c r="B139" s="178" t="s">
        <v>440</v>
      </c>
      <c r="C139" s="178" t="s">
        <v>76</v>
      </c>
      <c r="E139" s="220">
        <v>300000</v>
      </c>
      <c r="F139" s="220"/>
      <c r="G139" s="237">
        <f t="shared" si="1"/>
        <v>14809133</v>
      </c>
      <c r="H139" s="178" t="s">
        <v>49</v>
      </c>
      <c r="L139" s="227" t="s">
        <v>188</v>
      </c>
      <c r="O139" s="178"/>
    </row>
    <row r="140" spans="1:16" ht="15" customHeight="1">
      <c r="A140" s="283">
        <v>44601</v>
      </c>
      <c r="B140" s="178" t="s">
        <v>441</v>
      </c>
      <c r="C140" s="178" t="s">
        <v>34</v>
      </c>
      <c r="D140" s="226" t="s">
        <v>260</v>
      </c>
      <c r="E140" s="222"/>
      <c r="F140" s="222">
        <v>50000</v>
      </c>
      <c r="G140" s="237">
        <f t="shared" si="1"/>
        <v>14759133</v>
      </c>
      <c r="H140" s="227" t="s">
        <v>49</v>
      </c>
      <c r="I140" s="183" t="s">
        <v>349</v>
      </c>
      <c r="J140" s="216" t="s">
        <v>168</v>
      </c>
      <c r="K140" s="209" t="s">
        <v>482</v>
      </c>
      <c r="L140" s="227" t="s">
        <v>188</v>
      </c>
      <c r="N140" s="243"/>
      <c r="O140" s="228"/>
      <c r="P140" s="235"/>
    </row>
    <row r="141" spans="1:16" ht="15" customHeight="1">
      <c r="A141" s="283">
        <v>44601</v>
      </c>
      <c r="B141" s="178" t="s">
        <v>442</v>
      </c>
      <c r="C141" s="178" t="s">
        <v>76</v>
      </c>
      <c r="D141" s="226"/>
      <c r="E141" s="222"/>
      <c r="F141" s="222">
        <v>30000</v>
      </c>
      <c r="G141" s="237">
        <f t="shared" ref="G141:G204" si="2">+G140+E141-F141</f>
        <v>14729133</v>
      </c>
      <c r="H141" s="227" t="s">
        <v>49</v>
      </c>
      <c r="J141" s="228"/>
      <c r="K141" s="228"/>
      <c r="L141" s="227" t="s">
        <v>188</v>
      </c>
      <c r="N141" s="243"/>
      <c r="O141" s="228"/>
      <c r="P141" s="235"/>
    </row>
    <row r="142" spans="1:16" ht="15" customHeight="1">
      <c r="A142" s="283">
        <v>44601</v>
      </c>
      <c r="B142" s="178" t="s">
        <v>460</v>
      </c>
      <c r="C142" s="178" t="s">
        <v>76</v>
      </c>
      <c r="D142" s="226"/>
      <c r="E142" s="222"/>
      <c r="F142" s="222">
        <v>300000</v>
      </c>
      <c r="G142" s="237">
        <f t="shared" si="2"/>
        <v>14429133</v>
      </c>
      <c r="H142" s="227" t="s">
        <v>29</v>
      </c>
      <c r="J142" s="228"/>
      <c r="K142" s="228"/>
      <c r="L142" s="227" t="s">
        <v>188</v>
      </c>
      <c r="M142" s="228"/>
      <c r="N142" s="228"/>
      <c r="O142" s="228"/>
      <c r="P142" s="228"/>
    </row>
    <row r="143" spans="1:16" ht="15" customHeight="1">
      <c r="A143" s="283">
        <v>44601</v>
      </c>
      <c r="B143" s="178" t="s">
        <v>461</v>
      </c>
      <c r="C143" s="178" t="s">
        <v>76</v>
      </c>
      <c r="D143" s="226"/>
      <c r="E143" s="222">
        <v>30000</v>
      </c>
      <c r="F143" s="222"/>
      <c r="G143" s="237">
        <f t="shared" si="2"/>
        <v>14459133</v>
      </c>
      <c r="H143" s="227" t="s">
        <v>29</v>
      </c>
      <c r="J143" s="228"/>
      <c r="K143" s="228"/>
      <c r="L143" s="227" t="s">
        <v>188</v>
      </c>
      <c r="M143" s="228"/>
      <c r="N143" s="228"/>
      <c r="O143" s="228"/>
      <c r="P143" s="228"/>
    </row>
    <row r="144" spans="1:16" ht="15" customHeight="1">
      <c r="A144" s="283">
        <v>44601</v>
      </c>
      <c r="B144" s="178" t="s">
        <v>474</v>
      </c>
      <c r="C144" s="178" t="s">
        <v>475</v>
      </c>
      <c r="E144" s="195">
        <v>10000</v>
      </c>
      <c r="F144" s="195"/>
      <c r="G144" s="237">
        <f t="shared" si="2"/>
        <v>14469133</v>
      </c>
      <c r="H144" s="178" t="s">
        <v>175</v>
      </c>
      <c r="L144" s="227" t="s">
        <v>188</v>
      </c>
      <c r="O144" s="178"/>
      <c r="P144" s="229"/>
    </row>
    <row r="145" spans="1:16" ht="15" customHeight="1">
      <c r="A145" s="286">
        <v>44601</v>
      </c>
      <c r="B145" s="178" t="s">
        <v>420</v>
      </c>
      <c r="C145" s="178" t="s">
        <v>159</v>
      </c>
      <c r="D145" s="227" t="s">
        <v>166</v>
      </c>
      <c r="E145" s="222"/>
      <c r="F145" s="224">
        <v>45000</v>
      </c>
      <c r="G145" s="237">
        <f t="shared" si="2"/>
        <v>14424133</v>
      </c>
      <c r="H145" s="209" t="s">
        <v>155</v>
      </c>
      <c r="I145" s="183" t="s">
        <v>230</v>
      </c>
      <c r="J145" s="183" t="s">
        <v>103</v>
      </c>
      <c r="K145" s="178" t="s">
        <v>481</v>
      </c>
      <c r="L145" s="227" t="s">
        <v>188</v>
      </c>
      <c r="M145" s="178" t="s">
        <v>555</v>
      </c>
      <c r="N145" s="177" t="s">
        <v>217</v>
      </c>
      <c r="O145" s="178"/>
    </row>
    <row r="146" spans="1:16" ht="15" customHeight="1">
      <c r="A146" s="283">
        <v>44601</v>
      </c>
      <c r="B146" s="178" t="s">
        <v>517</v>
      </c>
      <c r="C146" s="178" t="s">
        <v>159</v>
      </c>
      <c r="D146" s="226" t="s">
        <v>260</v>
      </c>
      <c r="E146" s="222"/>
      <c r="F146" s="320">
        <v>75000</v>
      </c>
      <c r="G146" s="237">
        <f t="shared" si="2"/>
        <v>14349133</v>
      </c>
      <c r="H146" s="227" t="s">
        <v>49</v>
      </c>
      <c r="I146" s="183" t="s">
        <v>349</v>
      </c>
      <c r="J146" s="178" t="s">
        <v>103</v>
      </c>
      <c r="K146" s="178" t="s">
        <v>481</v>
      </c>
      <c r="L146" s="227" t="s">
        <v>188</v>
      </c>
      <c r="M146" s="178" t="s">
        <v>556</v>
      </c>
      <c r="N146" s="177" t="s">
        <v>217</v>
      </c>
      <c r="O146" s="178"/>
    </row>
    <row r="147" spans="1:16" ht="15" customHeight="1">
      <c r="A147" s="284">
        <v>44602</v>
      </c>
      <c r="B147" s="227" t="s">
        <v>261</v>
      </c>
      <c r="C147" s="227" t="s">
        <v>176</v>
      </c>
      <c r="D147" s="227" t="s">
        <v>2</v>
      </c>
      <c r="E147" s="315"/>
      <c r="F147" s="321">
        <v>40000</v>
      </c>
      <c r="G147" s="237">
        <f t="shared" si="2"/>
        <v>14309133</v>
      </c>
      <c r="H147" s="231" t="s">
        <v>25</v>
      </c>
      <c r="I147" s="178" t="s">
        <v>230</v>
      </c>
      <c r="J147" s="227" t="s">
        <v>103</v>
      </c>
      <c r="K147" s="227" t="s">
        <v>481</v>
      </c>
      <c r="L147" s="227" t="s">
        <v>188</v>
      </c>
      <c r="M147" s="178" t="s">
        <v>557</v>
      </c>
      <c r="N147" s="245" t="s">
        <v>216</v>
      </c>
      <c r="O147" s="231"/>
    </row>
    <row r="148" spans="1:16" ht="15" customHeight="1">
      <c r="A148" s="283">
        <v>44602</v>
      </c>
      <c r="B148" s="227" t="s">
        <v>114</v>
      </c>
      <c r="C148" s="227" t="s">
        <v>76</v>
      </c>
      <c r="D148" s="226"/>
      <c r="E148" s="213"/>
      <c r="F148" s="320">
        <v>150000</v>
      </c>
      <c r="G148" s="237">
        <f t="shared" si="2"/>
        <v>14159133</v>
      </c>
      <c r="H148" s="227" t="s">
        <v>25</v>
      </c>
      <c r="I148" s="178"/>
      <c r="J148" s="227"/>
      <c r="K148" s="227"/>
      <c r="L148" s="227" t="s">
        <v>188</v>
      </c>
      <c r="N148" s="227"/>
      <c r="O148" s="231"/>
    </row>
    <row r="149" spans="1:16" ht="15" customHeight="1">
      <c r="A149" s="283">
        <v>44602</v>
      </c>
      <c r="B149" s="226" t="s">
        <v>330</v>
      </c>
      <c r="C149" s="227" t="s">
        <v>34</v>
      </c>
      <c r="D149" s="226" t="s">
        <v>260</v>
      </c>
      <c r="E149" s="213"/>
      <c r="F149" s="320">
        <v>370000</v>
      </c>
      <c r="G149" s="237">
        <f t="shared" si="2"/>
        <v>13789133</v>
      </c>
      <c r="H149" s="227" t="s">
        <v>154</v>
      </c>
      <c r="I149" s="280" t="s">
        <v>230</v>
      </c>
      <c r="J149" s="288" t="s">
        <v>168</v>
      </c>
      <c r="K149" s="242" t="s">
        <v>482</v>
      </c>
      <c r="L149" s="227" t="s">
        <v>188</v>
      </c>
      <c r="N149" s="227"/>
      <c r="O149" s="227"/>
    </row>
    <row r="150" spans="1:16" ht="15" customHeight="1">
      <c r="A150" s="283">
        <v>44602</v>
      </c>
      <c r="B150" s="226" t="s">
        <v>331</v>
      </c>
      <c r="C150" s="227" t="s">
        <v>76</v>
      </c>
      <c r="D150" s="227"/>
      <c r="E150" s="213"/>
      <c r="F150" s="320">
        <v>300000</v>
      </c>
      <c r="G150" s="237">
        <f t="shared" si="2"/>
        <v>13489133</v>
      </c>
      <c r="H150" s="227" t="s">
        <v>154</v>
      </c>
      <c r="I150" s="280"/>
      <c r="J150" s="227"/>
      <c r="K150" s="227"/>
      <c r="L150" s="227" t="s">
        <v>188</v>
      </c>
      <c r="N150" s="227"/>
      <c r="O150" s="227"/>
    </row>
    <row r="151" spans="1:16" ht="15" customHeight="1">
      <c r="A151" s="286">
        <v>44602</v>
      </c>
      <c r="B151" s="227" t="s">
        <v>348</v>
      </c>
      <c r="C151" s="227" t="s">
        <v>189</v>
      </c>
      <c r="D151" s="227"/>
      <c r="E151" s="213">
        <v>150000</v>
      </c>
      <c r="F151" s="222"/>
      <c r="G151" s="237">
        <f t="shared" si="2"/>
        <v>13639133</v>
      </c>
      <c r="H151" s="227" t="s">
        <v>114</v>
      </c>
      <c r="I151" s="280"/>
      <c r="J151" s="227"/>
      <c r="K151" s="227"/>
      <c r="L151" s="227" t="s">
        <v>188</v>
      </c>
      <c r="M151" s="227"/>
      <c r="N151" s="227"/>
      <c r="O151" s="227"/>
    </row>
    <row r="152" spans="1:16" ht="15" customHeight="1">
      <c r="A152" s="283">
        <v>44602</v>
      </c>
      <c r="B152" s="227" t="s">
        <v>494</v>
      </c>
      <c r="C152" s="227" t="s">
        <v>176</v>
      </c>
      <c r="D152" s="226" t="s">
        <v>260</v>
      </c>
      <c r="E152" s="211"/>
      <c r="F152" s="220">
        <v>60000</v>
      </c>
      <c r="G152" s="237">
        <f t="shared" si="2"/>
        <v>13579133</v>
      </c>
      <c r="H152" s="227" t="s">
        <v>114</v>
      </c>
      <c r="I152" s="178" t="s">
        <v>230</v>
      </c>
      <c r="J152" s="227" t="s">
        <v>168</v>
      </c>
      <c r="K152" s="227" t="s">
        <v>482</v>
      </c>
      <c r="L152" s="227" t="s">
        <v>188</v>
      </c>
      <c r="M152" s="227"/>
      <c r="N152" s="227"/>
      <c r="O152" s="227"/>
    </row>
    <row r="153" spans="1:16" ht="15" customHeight="1">
      <c r="A153" s="283">
        <v>44602</v>
      </c>
      <c r="B153" s="227" t="s">
        <v>495</v>
      </c>
      <c r="C153" s="227" t="s">
        <v>176</v>
      </c>
      <c r="D153" s="226" t="s">
        <v>260</v>
      </c>
      <c r="E153" s="211"/>
      <c r="F153" s="220">
        <v>76000</v>
      </c>
      <c r="G153" s="237">
        <f t="shared" si="2"/>
        <v>13503133</v>
      </c>
      <c r="H153" s="227" t="s">
        <v>114</v>
      </c>
      <c r="I153" s="178" t="s">
        <v>230</v>
      </c>
      <c r="J153" s="227" t="s">
        <v>168</v>
      </c>
      <c r="K153" s="227" t="s">
        <v>482</v>
      </c>
      <c r="L153" s="227" t="s">
        <v>188</v>
      </c>
      <c r="M153" s="231"/>
      <c r="N153" s="231"/>
      <c r="O153" s="227"/>
    </row>
    <row r="154" spans="1:16" ht="15" customHeight="1">
      <c r="A154" s="283">
        <v>44602</v>
      </c>
      <c r="B154" s="226" t="s">
        <v>511</v>
      </c>
      <c r="C154" s="178" t="s">
        <v>159</v>
      </c>
      <c r="D154" s="226" t="s">
        <v>260</v>
      </c>
      <c r="E154" s="213"/>
      <c r="F154" s="320">
        <v>60000</v>
      </c>
      <c r="G154" s="237">
        <f t="shared" si="2"/>
        <v>13443133</v>
      </c>
      <c r="H154" s="227" t="s">
        <v>154</v>
      </c>
      <c r="I154" s="280" t="s">
        <v>249</v>
      </c>
      <c r="J154" s="227" t="s">
        <v>103</v>
      </c>
      <c r="K154" s="227" t="s">
        <v>481</v>
      </c>
      <c r="L154" s="227" t="s">
        <v>188</v>
      </c>
      <c r="M154" s="178" t="s">
        <v>558</v>
      </c>
      <c r="N154" s="328" t="s">
        <v>217</v>
      </c>
      <c r="O154" s="227"/>
    </row>
    <row r="155" spans="1:16" ht="15" customHeight="1">
      <c r="A155" s="283">
        <v>44602</v>
      </c>
      <c r="B155" s="227" t="s">
        <v>360</v>
      </c>
      <c r="C155" s="227" t="s">
        <v>76</v>
      </c>
      <c r="D155" s="287"/>
      <c r="E155" s="211">
        <v>300000</v>
      </c>
      <c r="F155" s="320"/>
      <c r="G155" s="237">
        <f t="shared" si="2"/>
        <v>13743133</v>
      </c>
      <c r="H155" s="227" t="s">
        <v>48</v>
      </c>
      <c r="I155" s="280"/>
      <c r="J155" s="227"/>
      <c r="K155" s="227"/>
      <c r="L155" s="227" t="s">
        <v>188</v>
      </c>
      <c r="N155" s="227"/>
      <c r="O155" s="227"/>
    </row>
    <row r="156" spans="1:16" ht="15" customHeight="1">
      <c r="A156" s="285">
        <v>44602</v>
      </c>
      <c r="B156" s="287" t="s">
        <v>362</v>
      </c>
      <c r="C156" s="178" t="s">
        <v>159</v>
      </c>
      <c r="D156" s="226" t="s">
        <v>260</v>
      </c>
      <c r="E156" s="319"/>
      <c r="F156" s="223">
        <v>27000</v>
      </c>
      <c r="G156" s="237">
        <f t="shared" si="2"/>
        <v>13716133</v>
      </c>
      <c r="H156" s="287" t="s">
        <v>48</v>
      </c>
      <c r="I156" s="280" t="s">
        <v>230</v>
      </c>
      <c r="J156" s="227" t="s">
        <v>168</v>
      </c>
      <c r="K156" s="227" t="s">
        <v>482</v>
      </c>
      <c r="L156" s="227" t="s">
        <v>188</v>
      </c>
      <c r="M156" s="227"/>
      <c r="N156" s="227"/>
      <c r="O156" s="227"/>
    </row>
    <row r="157" spans="1:16" ht="15" customHeight="1">
      <c r="A157" s="283">
        <v>44602</v>
      </c>
      <c r="B157" s="178" t="s">
        <v>443</v>
      </c>
      <c r="C157" s="178" t="s">
        <v>34</v>
      </c>
      <c r="D157" s="227" t="s">
        <v>4</v>
      </c>
      <c r="E157" s="222"/>
      <c r="F157" s="320">
        <v>8000</v>
      </c>
      <c r="G157" s="237">
        <f t="shared" si="2"/>
        <v>13708133</v>
      </c>
      <c r="H157" s="178" t="s">
        <v>49</v>
      </c>
      <c r="I157" s="183" t="s">
        <v>349</v>
      </c>
      <c r="J157" s="228" t="s">
        <v>103</v>
      </c>
      <c r="K157" s="228" t="s">
        <v>481</v>
      </c>
      <c r="L157" s="227" t="s">
        <v>188</v>
      </c>
      <c r="M157" s="178" t="s">
        <v>559</v>
      </c>
      <c r="N157" s="243" t="s">
        <v>215</v>
      </c>
      <c r="O157" s="228"/>
      <c r="P157" s="235"/>
    </row>
    <row r="158" spans="1:16" ht="17.25" customHeight="1">
      <c r="A158" s="283">
        <v>44602</v>
      </c>
      <c r="B158" s="178" t="s">
        <v>462</v>
      </c>
      <c r="C158" s="178" t="s">
        <v>34</v>
      </c>
      <c r="D158" s="226" t="s">
        <v>260</v>
      </c>
      <c r="E158" s="222"/>
      <c r="F158" s="320">
        <v>8000</v>
      </c>
      <c r="G158" s="237">
        <f t="shared" si="2"/>
        <v>13700133</v>
      </c>
      <c r="H158" s="178" t="s">
        <v>29</v>
      </c>
      <c r="I158" s="183" t="s">
        <v>230</v>
      </c>
      <c r="J158" s="183" t="s">
        <v>103</v>
      </c>
      <c r="K158" s="183" t="s">
        <v>481</v>
      </c>
      <c r="L158" s="227" t="s">
        <v>188</v>
      </c>
      <c r="M158" s="178" t="s">
        <v>560</v>
      </c>
      <c r="N158" s="177" t="s">
        <v>215</v>
      </c>
      <c r="O158" s="178"/>
    </row>
    <row r="159" spans="1:16" ht="15" customHeight="1">
      <c r="A159" s="283">
        <v>44602</v>
      </c>
      <c r="B159" s="178" t="s">
        <v>477</v>
      </c>
      <c r="C159" s="178" t="s">
        <v>159</v>
      </c>
      <c r="D159" s="227" t="s">
        <v>4</v>
      </c>
      <c r="F159" s="195">
        <v>8000</v>
      </c>
      <c r="G159" s="237">
        <f t="shared" si="2"/>
        <v>13692133</v>
      </c>
      <c r="H159" s="178" t="s">
        <v>175</v>
      </c>
      <c r="I159" s="183" t="s">
        <v>249</v>
      </c>
      <c r="J159" s="183" t="s">
        <v>168</v>
      </c>
      <c r="K159" s="178" t="s">
        <v>482</v>
      </c>
      <c r="L159" s="227" t="s">
        <v>188</v>
      </c>
      <c r="O159" s="178"/>
      <c r="P159" s="229"/>
    </row>
    <row r="160" spans="1:16" ht="18.75" customHeight="1">
      <c r="A160" s="283">
        <v>44602</v>
      </c>
      <c r="B160" s="178" t="s">
        <v>478</v>
      </c>
      <c r="C160" s="178" t="s">
        <v>34</v>
      </c>
      <c r="D160" s="227" t="s">
        <v>4</v>
      </c>
      <c r="F160" s="195">
        <v>40500</v>
      </c>
      <c r="G160" s="237">
        <f t="shared" si="2"/>
        <v>13651633</v>
      </c>
      <c r="H160" s="178" t="s">
        <v>175</v>
      </c>
      <c r="I160" s="183" t="s">
        <v>249</v>
      </c>
      <c r="J160" s="183" t="s">
        <v>168</v>
      </c>
      <c r="K160" s="178" t="s">
        <v>482</v>
      </c>
      <c r="L160" s="227" t="s">
        <v>188</v>
      </c>
      <c r="O160" s="178"/>
      <c r="P160" s="229"/>
    </row>
    <row r="161" spans="1:16" ht="15" customHeight="1">
      <c r="A161" s="284">
        <v>44602</v>
      </c>
      <c r="B161" s="219" t="s">
        <v>514</v>
      </c>
      <c r="C161" s="178" t="s">
        <v>159</v>
      </c>
      <c r="D161" s="226" t="s">
        <v>260</v>
      </c>
      <c r="E161" s="315"/>
      <c r="F161" s="321">
        <v>15000</v>
      </c>
      <c r="G161" s="237">
        <f t="shared" si="2"/>
        <v>13636633</v>
      </c>
      <c r="H161" s="229" t="s">
        <v>49</v>
      </c>
      <c r="I161" s="183" t="s">
        <v>349</v>
      </c>
      <c r="J161" s="178" t="s">
        <v>103</v>
      </c>
      <c r="K161" s="178" t="s">
        <v>481</v>
      </c>
      <c r="L161" s="227" t="s">
        <v>188</v>
      </c>
      <c r="M161" s="178" t="s">
        <v>561</v>
      </c>
      <c r="N161" s="177" t="s">
        <v>217</v>
      </c>
      <c r="O161" s="229"/>
      <c r="P161" s="235"/>
    </row>
    <row r="162" spans="1:16" ht="15" customHeight="1">
      <c r="A162" s="283">
        <v>44602</v>
      </c>
      <c r="B162" s="178" t="s">
        <v>518</v>
      </c>
      <c r="C162" s="178" t="s">
        <v>159</v>
      </c>
      <c r="D162" s="227" t="s">
        <v>4</v>
      </c>
      <c r="E162" s="222"/>
      <c r="F162" s="221">
        <v>15000</v>
      </c>
      <c r="G162" s="237">
        <f t="shared" si="2"/>
        <v>13621633</v>
      </c>
      <c r="H162" s="178" t="s">
        <v>29</v>
      </c>
      <c r="I162" s="183" t="s">
        <v>230</v>
      </c>
      <c r="J162" s="178" t="s">
        <v>103</v>
      </c>
      <c r="K162" s="178" t="s">
        <v>481</v>
      </c>
      <c r="L162" s="227" t="s">
        <v>188</v>
      </c>
      <c r="M162" s="178" t="s">
        <v>562</v>
      </c>
      <c r="N162" s="177" t="s">
        <v>217</v>
      </c>
      <c r="O162" s="228"/>
      <c r="P162" s="228"/>
    </row>
    <row r="163" spans="1:16" ht="15" customHeight="1">
      <c r="A163" s="283">
        <v>44602</v>
      </c>
      <c r="B163" s="227" t="s">
        <v>350</v>
      </c>
      <c r="C163" s="178" t="s">
        <v>159</v>
      </c>
      <c r="D163" s="227" t="s">
        <v>2</v>
      </c>
      <c r="E163" s="213"/>
      <c r="F163" s="325">
        <v>40000</v>
      </c>
      <c r="G163" s="237">
        <f t="shared" si="2"/>
        <v>13581633</v>
      </c>
      <c r="H163" s="227" t="s">
        <v>114</v>
      </c>
      <c r="I163" s="280" t="s">
        <v>249</v>
      </c>
      <c r="J163" s="178" t="s">
        <v>103</v>
      </c>
      <c r="K163" s="178" t="s">
        <v>481</v>
      </c>
      <c r="L163" s="227" t="s">
        <v>188</v>
      </c>
      <c r="M163" s="178" t="s">
        <v>563</v>
      </c>
      <c r="N163" s="177" t="s">
        <v>217</v>
      </c>
      <c r="O163" s="227"/>
    </row>
    <row r="164" spans="1:16" ht="15" customHeight="1">
      <c r="A164" s="283">
        <v>44603</v>
      </c>
      <c r="B164" s="227" t="s">
        <v>30</v>
      </c>
      <c r="C164" s="227" t="s">
        <v>76</v>
      </c>
      <c r="D164" s="227"/>
      <c r="E164" s="211">
        <v>240000</v>
      </c>
      <c r="F164" s="320"/>
      <c r="G164" s="237">
        <f t="shared" si="2"/>
        <v>13821633</v>
      </c>
      <c r="H164" s="227" t="s">
        <v>25</v>
      </c>
      <c r="I164" s="178"/>
      <c r="J164" s="227"/>
      <c r="K164" s="227"/>
      <c r="L164" s="227" t="s">
        <v>188</v>
      </c>
      <c r="N164" s="231"/>
      <c r="O164" s="227"/>
    </row>
    <row r="165" spans="1:16" ht="15" customHeight="1">
      <c r="A165" s="283">
        <v>44603</v>
      </c>
      <c r="B165" s="227" t="s">
        <v>262</v>
      </c>
      <c r="C165" s="227" t="s">
        <v>35</v>
      </c>
      <c r="D165" s="226" t="s">
        <v>260</v>
      </c>
      <c r="E165" s="211"/>
      <c r="F165" s="320">
        <v>6050</v>
      </c>
      <c r="G165" s="237">
        <f t="shared" si="2"/>
        <v>13815583</v>
      </c>
      <c r="H165" s="227" t="s">
        <v>25</v>
      </c>
      <c r="I165" s="178" t="s">
        <v>230</v>
      </c>
      <c r="J165" s="227" t="s">
        <v>168</v>
      </c>
      <c r="K165" s="227" t="s">
        <v>482</v>
      </c>
      <c r="L165" s="227" t="s">
        <v>188</v>
      </c>
      <c r="N165" s="231"/>
      <c r="O165" s="227"/>
    </row>
    <row r="166" spans="1:16" ht="16.5" customHeight="1">
      <c r="A166" s="286">
        <v>44603</v>
      </c>
      <c r="B166" s="287" t="s">
        <v>363</v>
      </c>
      <c r="C166" s="178" t="s">
        <v>159</v>
      </c>
      <c r="D166" s="226" t="s">
        <v>260</v>
      </c>
      <c r="E166" s="212"/>
      <c r="F166" s="223">
        <v>26000</v>
      </c>
      <c r="G166" s="237">
        <f t="shared" si="2"/>
        <v>13789583</v>
      </c>
      <c r="H166" s="242" t="s">
        <v>48</v>
      </c>
      <c r="I166" s="280" t="s">
        <v>230</v>
      </c>
      <c r="J166" s="227" t="s">
        <v>168</v>
      </c>
      <c r="K166" s="227" t="s">
        <v>482</v>
      </c>
      <c r="L166" s="227" t="s">
        <v>188</v>
      </c>
      <c r="M166" s="227"/>
      <c r="N166" s="227"/>
      <c r="O166" s="227"/>
    </row>
    <row r="167" spans="1:16" ht="15" customHeight="1">
      <c r="A167" s="283">
        <v>44603</v>
      </c>
      <c r="B167" s="178" t="s">
        <v>415</v>
      </c>
      <c r="C167" s="178" t="s">
        <v>76</v>
      </c>
      <c r="D167" s="226"/>
      <c r="E167" s="222"/>
      <c r="F167" s="221">
        <v>240000</v>
      </c>
      <c r="G167" s="237">
        <f t="shared" si="2"/>
        <v>13549583</v>
      </c>
      <c r="H167" s="178" t="s">
        <v>49</v>
      </c>
      <c r="J167" s="178"/>
      <c r="L167" s="227" t="s">
        <v>188</v>
      </c>
      <c r="O167" s="178"/>
    </row>
    <row r="168" spans="1:16" ht="15" customHeight="1">
      <c r="A168" s="283">
        <v>44604</v>
      </c>
      <c r="B168" s="227" t="s">
        <v>94</v>
      </c>
      <c r="C168" s="227" t="s">
        <v>76</v>
      </c>
      <c r="D168" s="227"/>
      <c r="E168" s="211"/>
      <c r="F168" s="220">
        <v>15000</v>
      </c>
      <c r="G168" s="237">
        <f t="shared" si="2"/>
        <v>13534583</v>
      </c>
      <c r="H168" s="227" t="s">
        <v>25</v>
      </c>
      <c r="I168" s="227"/>
      <c r="J168" s="227"/>
      <c r="K168" s="227"/>
      <c r="L168" s="227" t="s">
        <v>188</v>
      </c>
      <c r="M168" s="227"/>
      <c r="N168" s="227"/>
      <c r="O168" s="227"/>
    </row>
    <row r="169" spans="1:16" ht="15" customHeight="1">
      <c r="A169" s="283">
        <v>44604</v>
      </c>
      <c r="B169" s="227" t="s">
        <v>483</v>
      </c>
      <c r="C169" s="227" t="s">
        <v>145</v>
      </c>
      <c r="D169" s="227" t="s">
        <v>166</v>
      </c>
      <c r="E169" s="211"/>
      <c r="F169" s="320">
        <v>76000</v>
      </c>
      <c r="G169" s="237">
        <f t="shared" si="2"/>
        <v>13458583</v>
      </c>
      <c r="H169" s="227" t="s">
        <v>25</v>
      </c>
      <c r="I169" s="231" t="s">
        <v>230</v>
      </c>
      <c r="J169" s="227" t="s">
        <v>103</v>
      </c>
      <c r="K169" s="227" t="s">
        <v>481</v>
      </c>
      <c r="L169" s="227" t="s">
        <v>188</v>
      </c>
      <c r="M169" s="178" t="s">
        <v>564</v>
      </c>
      <c r="N169" s="328" t="s">
        <v>206</v>
      </c>
      <c r="O169" s="227"/>
    </row>
    <row r="170" spans="1:16" ht="15" customHeight="1">
      <c r="A170" s="283">
        <v>44604</v>
      </c>
      <c r="B170" s="227" t="s">
        <v>31</v>
      </c>
      <c r="C170" s="227" t="s">
        <v>76</v>
      </c>
      <c r="D170" s="227"/>
      <c r="E170" s="211"/>
      <c r="F170" s="220">
        <v>112000</v>
      </c>
      <c r="G170" s="237">
        <f t="shared" si="2"/>
        <v>13346583</v>
      </c>
      <c r="H170" s="227" t="s">
        <v>25</v>
      </c>
      <c r="I170" s="227"/>
      <c r="J170" s="227"/>
      <c r="K170" s="227"/>
      <c r="L170" s="227" t="s">
        <v>188</v>
      </c>
      <c r="M170" s="227"/>
      <c r="N170" s="227"/>
      <c r="O170" s="227"/>
    </row>
    <row r="171" spans="1:16" ht="15" customHeight="1">
      <c r="A171" s="283">
        <v>44604</v>
      </c>
      <c r="B171" s="227" t="s">
        <v>263</v>
      </c>
      <c r="C171" s="227" t="s">
        <v>76</v>
      </c>
      <c r="D171" s="227"/>
      <c r="E171" s="211"/>
      <c r="F171" s="320">
        <f>300000+112000</f>
        <v>412000</v>
      </c>
      <c r="G171" s="237">
        <f t="shared" si="2"/>
        <v>12934583</v>
      </c>
      <c r="H171" s="227" t="s">
        <v>25</v>
      </c>
      <c r="I171" s="178"/>
      <c r="J171" s="227"/>
      <c r="K171" s="227"/>
      <c r="L171" s="227" t="s">
        <v>188</v>
      </c>
      <c r="N171" s="227"/>
      <c r="O171" s="227"/>
    </row>
    <row r="172" spans="1:16" ht="16.5" customHeight="1">
      <c r="A172" s="283">
        <v>44604</v>
      </c>
      <c r="B172" s="227" t="s">
        <v>264</v>
      </c>
      <c r="C172" s="227" t="s">
        <v>187</v>
      </c>
      <c r="D172" s="227" t="s">
        <v>239</v>
      </c>
      <c r="E172" s="213"/>
      <c r="F172" s="320">
        <v>16920</v>
      </c>
      <c r="G172" s="237">
        <f t="shared" si="2"/>
        <v>12917663</v>
      </c>
      <c r="H172" s="227" t="s">
        <v>25</v>
      </c>
      <c r="I172" s="178" t="s">
        <v>230</v>
      </c>
      <c r="J172" s="227" t="s">
        <v>103</v>
      </c>
      <c r="K172" s="227" t="s">
        <v>481</v>
      </c>
      <c r="L172" s="227" t="s">
        <v>188</v>
      </c>
      <c r="M172" s="178" t="s">
        <v>565</v>
      </c>
      <c r="N172" s="328" t="s">
        <v>204</v>
      </c>
      <c r="O172" s="227"/>
    </row>
    <row r="173" spans="1:16" ht="15" customHeight="1">
      <c r="A173" s="283">
        <v>44604</v>
      </c>
      <c r="B173" s="227" t="s">
        <v>30</v>
      </c>
      <c r="C173" s="227" t="s">
        <v>76</v>
      </c>
      <c r="D173" s="227"/>
      <c r="E173" s="213"/>
      <c r="F173" s="320">
        <v>101000</v>
      </c>
      <c r="G173" s="237">
        <f t="shared" si="2"/>
        <v>12816663</v>
      </c>
      <c r="H173" s="227" t="s">
        <v>25</v>
      </c>
      <c r="I173" s="178"/>
      <c r="J173" s="227"/>
      <c r="K173" s="227"/>
      <c r="L173" s="227" t="s">
        <v>188</v>
      </c>
      <c r="N173" s="231"/>
      <c r="O173" s="227"/>
    </row>
    <row r="174" spans="1:16" ht="15" customHeight="1">
      <c r="A174" s="285">
        <v>44604</v>
      </c>
      <c r="B174" s="287" t="s">
        <v>332</v>
      </c>
      <c r="C174" s="227" t="s">
        <v>34</v>
      </c>
      <c r="D174" s="226" t="s">
        <v>260</v>
      </c>
      <c r="E174" s="212"/>
      <c r="F174" s="223">
        <v>10000</v>
      </c>
      <c r="G174" s="237">
        <f t="shared" si="2"/>
        <v>12806663</v>
      </c>
      <c r="H174" s="287" t="s">
        <v>154</v>
      </c>
      <c r="I174" s="280" t="s">
        <v>230</v>
      </c>
      <c r="J174" s="288" t="s">
        <v>168</v>
      </c>
      <c r="K174" s="242" t="s">
        <v>482</v>
      </c>
      <c r="L174" s="227" t="s">
        <v>188</v>
      </c>
      <c r="M174" s="235"/>
      <c r="N174" s="235"/>
      <c r="O174" s="235"/>
    </row>
    <row r="175" spans="1:16" ht="15" customHeight="1">
      <c r="A175" s="283">
        <v>44604</v>
      </c>
      <c r="B175" s="227" t="s">
        <v>352</v>
      </c>
      <c r="C175" s="227" t="s">
        <v>76</v>
      </c>
      <c r="D175" s="227"/>
      <c r="E175" s="213">
        <v>15000</v>
      </c>
      <c r="F175" s="323"/>
      <c r="G175" s="237">
        <f t="shared" si="2"/>
        <v>12821663</v>
      </c>
      <c r="H175" s="227" t="s">
        <v>94</v>
      </c>
      <c r="I175" s="280"/>
      <c r="J175" s="227"/>
      <c r="K175" s="227"/>
      <c r="L175" s="227" t="s">
        <v>188</v>
      </c>
      <c r="N175" s="231"/>
      <c r="O175" s="227"/>
    </row>
    <row r="176" spans="1:16" ht="15" customHeight="1">
      <c r="A176" s="286">
        <v>44604</v>
      </c>
      <c r="B176" s="287" t="s">
        <v>364</v>
      </c>
      <c r="C176" s="227" t="s">
        <v>76</v>
      </c>
      <c r="D176" s="227"/>
      <c r="E176" s="212">
        <v>412000</v>
      </c>
      <c r="F176" s="223"/>
      <c r="G176" s="237">
        <f t="shared" si="2"/>
        <v>13233663</v>
      </c>
      <c r="H176" s="242" t="s">
        <v>48</v>
      </c>
      <c r="I176" s="280"/>
      <c r="J176" s="227"/>
      <c r="K176" s="227"/>
      <c r="L176" s="227" t="s">
        <v>188</v>
      </c>
      <c r="M176" s="231"/>
      <c r="N176" s="231"/>
      <c r="O176" s="227"/>
    </row>
    <row r="177" spans="1:16" ht="15" customHeight="1">
      <c r="A177" s="283">
        <v>44604</v>
      </c>
      <c r="B177" s="227" t="s">
        <v>365</v>
      </c>
      <c r="C177" s="178" t="s">
        <v>159</v>
      </c>
      <c r="D177" s="226" t="s">
        <v>260</v>
      </c>
      <c r="E177" s="211"/>
      <c r="F177" s="220">
        <v>25500</v>
      </c>
      <c r="G177" s="237">
        <f t="shared" si="2"/>
        <v>13208163</v>
      </c>
      <c r="H177" s="227" t="s">
        <v>48</v>
      </c>
      <c r="I177" s="280" t="s">
        <v>230</v>
      </c>
      <c r="J177" s="227" t="s">
        <v>168</v>
      </c>
      <c r="K177" s="227" t="s">
        <v>482</v>
      </c>
      <c r="L177" s="227" t="s">
        <v>188</v>
      </c>
      <c r="M177" s="227"/>
      <c r="N177" s="227"/>
      <c r="O177" s="227"/>
    </row>
    <row r="178" spans="1:16" ht="15" customHeight="1">
      <c r="A178" s="283">
        <v>44604</v>
      </c>
      <c r="B178" s="178" t="s">
        <v>404</v>
      </c>
      <c r="C178" s="178" t="s">
        <v>76</v>
      </c>
      <c r="E178" s="222">
        <v>112000</v>
      </c>
      <c r="F178" s="221"/>
      <c r="G178" s="237">
        <f t="shared" si="2"/>
        <v>13320163</v>
      </c>
      <c r="H178" s="178" t="s">
        <v>31</v>
      </c>
      <c r="K178" s="183"/>
      <c r="L178" s="227" t="s">
        <v>188</v>
      </c>
      <c r="O178" s="178"/>
    </row>
    <row r="179" spans="1:16" ht="15" customHeight="1">
      <c r="A179" s="283">
        <v>44604</v>
      </c>
      <c r="B179" s="178" t="s">
        <v>422</v>
      </c>
      <c r="C179" s="178" t="s">
        <v>34</v>
      </c>
      <c r="D179" s="227" t="s">
        <v>166</v>
      </c>
      <c r="E179" s="220"/>
      <c r="F179" s="320">
        <v>10000</v>
      </c>
      <c r="G179" s="237">
        <f t="shared" si="2"/>
        <v>13310163</v>
      </c>
      <c r="H179" s="178" t="s">
        <v>155</v>
      </c>
      <c r="I179" s="183" t="s">
        <v>230</v>
      </c>
      <c r="J179" s="228" t="s">
        <v>103</v>
      </c>
      <c r="K179" s="228" t="s">
        <v>481</v>
      </c>
      <c r="L179" s="227" t="s">
        <v>188</v>
      </c>
      <c r="M179" s="178" t="s">
        <v>566</v>
      </c>
      <c r="N179" s="243" t="s">
        <v>215</v>
      </c>
      <c r="O179" s="178"/>
    </row>
    <row r="180" spans="1:16" ht="15" customHeight="1">
      <c r="A180" s="286">
        <v>44604</v>
      </c>
      <c r="B180" s="178" t="s">
        <v>444</v>
      </c>
      <c r="C180" s="178" t="s">
        <v>76</v>
      </c>
      <c r="E180" s="220">
        <v>101000</v>
      </c>
      <c r="F180" s="220"/>
      <c r="G180" s="237">
        <f t="shared" si="2"/>
        <v>13411163</v>
      </c>
      <c r="H180" s="178" t="s">
        <v>49</v>
      </c>
      <c r="K180" s="183"/>
      <c r="L180" s="227" t="s">
        <v>188</v>
      </c>
      <c r="O180" s="178"/>
      <c r="P180" s="235"/>
    </row>
    <row r="181" spans="1:16" ht="14.25" customHeight="1">
      <c r="A181" s="283">
        <v>44604</v>
      </c>
      <c r="B181" s="178" t="s">
        <v>512</v>
      </c>
      <c r="C181" s="178" t="s">
        <v>159</v>
      </c>
      <c r="D181" s="227" t="s">
        <v>166</v>
      </c>
      <c r="E181" s="220"/>
      <c r="F181" s="220">
        <v>45000</v>
      </c>
      <c r="G181" s="237">
        <f t="shared" si="2"/>
        <v>13366163</v>
      </c>
      <c r="H181" s="178" t="s">
        <v>155</v>
      </c>
      <c r="I181" s="183" t="s">
        <v>230</v>
      </c>
      <c r="J181" s="183" t="s">
        <v>103</v>
      </c>
      <c r="K181" s="178" t="s">
        <v>481</v>
      </c>
      <c r="L181" s="227" t="s">
        <v>188</v>
      </c>
      <c r="M181" s="178" t="s">
        <v>567</v>
      </c>
      <c r="N181" s="177" t="s">
        <v>217</v>
      </c>
      <c r="O181" s="178"/>
    </row>
    <row r="182" spans="1:16" ht="15" customHeight="1">
      <c r="A182" s="283">
        <v>44605</v>
      </c>
      <c r="B182" s="178" t="s">
        <v>405</v>
      </c>
      <c r="C182" s="178" t="s">
        <v>159</v>
      </c>
      <c r="D182" s="178" t="s">
        <v>167</v>
      </c>
      <c r="E182" s="222"/>
      <c r="F182" s="221">
        <v>105000</v>
      </c>
      <c r="G182" s="237">
        <f t="shared" si="2"/>
        <v>13261163</v>
      </c>
      <c r="H182" s="178" t="s">
        <v>31</v>
      </c>
      <c r="I182" s="183" t="s">
        <v>230</v>
      </c>
      <c r="J182" s="178" t="s">
        <v>103</v>
      </c>
      <c r="K182" s="178" t="s">
        <v>481</v>
      </c>
      <c r="L182" s="227" t="s">
        <v>188</v>
      </c>
      <c r="M182" s="178" t="s">
        <v>568</v>
      </c>
      <c r="N182" s="177" t="s">
        <v>217</v>
      </c>
      <c r="P182" s="249"/>
    </row>
    <row r="183" spans="1:16" ht="15" customHeight="1">
      <c r="A183" s="283">
        <v>44605</v>
      </c>
      <c r="B183" s="227" t="s">
        <v>366</v>
      </c>
      <c r="C183" s="178" t="s">
        <v>159</v>
      </c>
      <c r="D183" s="226" t="s">
        <v>260</v>
      </c>
      <c r="E183" s="211"/>
      <c r="F183" s="320">
        <v>26000</v>
      </c>
      <c r="G183" s="237">
        <f t="shared" si="2"/>
        <v>13235163</v>
      </c>
      <c r="H183" s="227" t="s">
        <v>48</v>
      </c>
      <c r="I183" s="280" t="s">
        <v>230</v>
      </c>
      <c r="J183" s="227" t="s">
        <v>168</v>
      </c>
      <c r="K183" s="227" t="s">
        <v>482</v>
      </c>
      <c r="L183" s="227" t="s">
        <v>188</v>
      </c>
      <c r="N183" s="231"/>
      <c r="O183" s="227"/>
    </row>
    <row r="184" spans="1:16" ht="15" customHeight="1">
      <c r="A184" s="283">
        <v>44605</v>
      </c>
      <c r="B184" s="178" t="s">
        <v>406</v>
      </c>
      <c r="C184" s="178" t="s">
        <v>34</v>
      </c>
      <c r="D184" s="226" t="s">
        <v>167</v>
      </c>
      <c r="E184" s="222"/>
      <c r="F184" s="320">
        <v>10000</v>
      </c>
      <c r="G184" s="237">
        <f t="shared" si="2"/>
        <v>13225163</v>
      </c>
      <c r="H184" s="227" t="s">
        <v>31</v>
      </c>
      <c r="I184" s="183" t="s">
        <v>230</v>
      </c>
      <c r="J184" s="183" t="s">
        <v>103</v>
      </c>
      <c r="K184" s="178" t="s">
        <v>481</v>
      </c>
      <c r="L184" s="227" t="s">
        <v>188</v>
      </c>
      <c r="M184" s="178" t="s">
        <v>569</v>
      </c>
      <c r="N184" s="177" t="s">
        <v>215</v>
      </c>
      <c r="P184" s="249"/>
    </row>
    <row r="185" spans="1:16" ht="15" customHeight="1">
      <c r="A185" s="286">
        <v>44605</v>
      </c>
      <c r="B185" s="178" t="s">
        <v>434</v>
      </c>
      <c r="C185" s="178" t="s">
        <v>34</v>
      </c>
      <c r="D185" s="227" t="s">
        <v>4</v>
      </c>
      <c r="E185" s="220"/>
      <c r="F185" s="320">
        <v>10000</v>
      </c>
      <c r="G185" s="237">
        <f t="shared" si="2"/>
        <v>13215163</v>
      </c>
      <c r="H185" s="178" t="s">
        <v>49</v>
      </c>
      <c r="I185" s="183" t="s">
        <v>349</v>
      </c>
      <c r="J185" s="228" t="s">
        <v>103</v>
      </c>
      <c r="K185" s="228" t="s">
        <v>481</v>
      </c>
      <c r="L185" s="227" t="s">
        <v>188</v>
      </c>
      <c r="M185" s="178" t="s">
        <v>570</v>
      </c>
      <c r="N185" s="243" t="s">
        <v>215</v>
      </c>
      <c r="O185" s="178"/>
      <c r="P185" s="235"/>
    </row>
    <row r="186" spans="1:16" ht="15" customHeight="1">
      <c r="A186" s="283">
        <v>44605</v>
      </c>
      <c r="B186" s="178" t="s">
        <v>463</v>
      </c>
      <c r="C186" s="178" t="s">
        <v>34</v>
      </c>
      <c r="D186" s="227" t="s">
        <v>4</v>
      </c>
      <c r="E186" s="222"/>
      <c r="F186" s="320">
        <v>10000</v>
      </c>
      <c r="G186" s="237">
        <f t="shared" si="2"/>
        <v>13205163</v>
      </c>
      <c r="H186" s="178" t="s">
        <v>29</v>
      </c>
      <c r="I186" s="183" t="s">
        <v>230</v>
      </c>
      <c r="J186" s="183" t="s">
        <v>103</v>
      </c>
      <c r="K186" s="183" t="s">
        <v>481</v>
      </c>
      <c r="L186" s="227" t="s">
        <v>188</v>
      </c>
      <c r="M186" s="178" t="s">
        <v>571</v>
      </c>
      <c r="N186" s="177" t="s">
        <v>215</v>
      </c>
      <c r="O186" s="228"/>
      <c r="P186" s="228"/>
    </row>
    <row r="187" spans="1:16" ht="15" customHeight="1">
      <c r="A187" s="283">
        <v>44606</v>
      </c>
      <c r="B187" s="227" t="s">
        <v>265</v>
      </c>
      <c r="C187" s="227" t="s">
        <v>176</v>
      </c>
      <c r="D187" s="227" t="s">
        <v>2</v>
      </c>
      <c r="E187" s="211"/>
      <c r="F187" s="320">
        <v>40000</v>
      </c>
      <c r="G187" s="237">
        <f t="shared" si="2"/>
        <v>13165163</v>
      </c>
      <c r="H187" s="227" t="s">
        <v>25</v>
      </c>
      <c r="I187" s="178" t="s">
        <v>230</v>
      </c>
      <c r="J187" s="227" t="s">
        <v>103</v>
      </c>
      <c r="K187" s="227" t="s">
        <v>481</v>
      </c>
      <c r="L187" s="227" t="s">
        <v>188</v>
      </c>
      <c r="M187" s="178" t="s">
        <v>572</v>
      </c>
      <c r="N187" s="328" t="s">
        <v>216</v>
      </c>
      <c r="O187" s="227"/>
    </row>
    <row r="188" spans="1:16" ht="15" customHeight="1">
      <c r="A188" s="283">
        <v>44606</v>
      </c>
      <c r="B188" s="227" t="s">
        <v>154</v>
      </c>
      <c r="C188" s="227" t="s">
        <v>76</v>
      </c>
      <c r="D188" s="227"/>
      <c r="E188" s="211">
        <v>111000</v>
      </c>
      <c r="F188" s="320"/>
      <c r="G188" s="237">
        <f t="shared" si="2"/>
        <v>13276163</v>
      </c>
      <c r="H188" s="227" t="s">
        <v>25</v>
      </c>
      <c r="I188" s="178"/>
      <c r="J188" s="227"/>
      <c r="K188" s="227"/>
      <c r="L188" s="227" t="s">
        <v>188</v>
      </c>
      <c r="N188" s="231"/>
      <c r="O188" s="227"/>
    </row>
    <row r="189" spans="1:16" ht="15" customHeight="1">
      <c r="A189" s="285">
        <v>44606</v>
      </c>
      <c r="B189" s="227" t="s">
        <v>29</v>
      </c>
      <c r="C189" s="227" t="s">
        <v>76</v>
      </c>
      <c r="D189" s="227"/>
      <c r="E189" s="305"/>
      <c r="F189" s="220">
        <v>195000</v>
      </c>
      <c r="G189" s="237">
        <f t="shared" si="2"/>
        <v>13081163</v>
      </c>
      <c r="H189" s="227" t="s">
        <v>25</v>
      </c>
      <c r="I189" s="227"/>
      <c r="J189" s="289"/>
      <c r="K189" s="227"/>
      <c r="L189" s="227" t="s">
        <v>188</v>
      </c>
      <c r="M189" s="227"/>
      <c r="N189" s="227"/>
      <c r="O189" s="227"/>
    </row>
    <row r="190" spans="1:16" ht="15" customHeight="1">
      <c r="A190" s="283">
        <v>44606</v>
      </c>
      <c r="B190" s="227" t="s">
        <v>266</v>
      </c>
      <c r="C190" s="227" t="s">
        <v>187</v>
      </c>
      <c r="D190" s="226" t="s">
        <v>239</v>
      </c>
      <c r="E190" s="213"/>
      <c r="F190" s="221">
        <f>+F189*0.03</f>
        <v>5850</v>
      </c>
      <c r="G190" s="237">
        <f t="shared" si="2"/>
        <v>13075313</v>
      </c>
      <c r="H190" s="227" t="s">
        <v>25</v>
      </c>
      <c r="I190" s="227" t="s">
        <v>230</v>
      </c>
      <c r="J190" s="227" t="s">
        <v>103</v>
      </c>
      <c r="K190" s="227" t="s">
        <v>481</v>
      </c>
      <c r="L190" s="227" t="s">
        <v>188</v>
      </c>
      <c r="M190" s="178" t="s">
        <v>573</v>
      </c>
      <c r="N190" s="328" t="s">
        <v>204</v>
      </c>
      <c r="O190" s="227"/>
    </row>
    <row r="191" spans="1:16" ht="15" customHeight="1">
      <c r="A191" s="283">
        <v>44606</v>
      </c>
      <c r="B191" s="227" t="s">
        <v>267</v>
      </c>
      <c r="C191" s="227" t="s">
        <v>76</v>
      </c>
      <c r="D191" s="227"/>
      <c r="E191" s="211">
        <v>3000000</v>
      </c>
      <c r="F191" s="220"/>
      <c r="G191" s="237">
        <f t="shared" si="2"/>
        <v>16075313</v>
      </c>
      <c r="H191" s="227" t="s">
        <v>25</v>
      </c>
      <c r="I191" s="227"/>
      <c r="J191" s="227"/>
      <c r="K191" s="227"/>
      <c r="L191" s="227" t="s">
        <v>188</v>
      </c>
      <c r="M191" s="227"/>
      <c r="N191" s="227"/>
      <c r="O191" s="227"/>
    </row>
    <row r="192" spans="1:16" ht="15" customHeight="1">
      <c r="A192" s="286">
        <v>44606</v>
      </c>
      <c r="B192" s="240" t="s">
        <v>297</v>
      </c>
      <c r="C192" s="287" t="s">
        <v>76</v>
      </c>
      <c r="D192" s="300"/>
      <c r="E192" s="318"/>
      <c r="F192" s="222">
        <v>3000000</v>
      </c>
      <c r="G192" s="237">
        <f t="shared" si="2"/>
        <v>13075313</v>
      </c>
      <c r="H192" s="227" t="s">
        <v>160</v>
      </c>
      <c r="I192" s="240"/>
      <c r="J192" s="227"/>
      <c r="K192" s="227"/>
      <c r="L192" s="227" t="s">
        <v>188</v>
      </c>
      <c r="N192" s="235"/>
      <c r="O192" s="235"/>
    </row>
    <row r="193" spans="1:16" ht="15" customHeight="1">
      <c r="A193" s="283">
        <v>44606</v>
      </c>
      <c r="B193" s="227" t="s">
        <v>333</v>
      </c>
      <c r="C193" s="227" t="s">
        <v>76</v>
      </c>
      <c r="D193" s="226"/>
      <c r="E193" s="213"/>
      <c r="F193" s="222">
        <v>111000</v>
      </c>
      <c r="G193" s="237">
        <f t="shared" si="2"/>
        <v>12964313</v>
      </c>
      <c r="H193" s="227" t="s">
        <v>154</v>
      </c>
      <c r="I193" s="280"/>
      <c r="J193" s="227"/>
      <c r="K193" s="227"/>
      <c r="L193" s="227" t="s">
        <v>188</v>
      </c>
      <c r="M193" s="227"/>
      <c r="N193" s="227"/>
      <c r="O193" s="227"/>
    </row>
    <row r="194" spans="1:16" ht="15" customHeight="1">
      <c r="A194" s="285">
        <v>44606</v>
      </c>
      <c r="B194" s="287" t="s">
        <v>367</v>
      </c>
      <c r="C194" s="178" t="s">
        <v>159</v>
      </c>
      <c r="D194" s="226" t="s">
        <v>260</v>
      </c>
      <c r="E194" s="319"/>
      <c r="F194" s="223">
        <v>300000</v>
      </c>
      <c r="G194" s="237">
        <f t="shared" si="2"/>
        <v>12664313</v>
      </c>
      <c r="H194" s="287" t="s">
        <v>48</v>
      </c>
      <c r="I194" s="280" t="s">
        <v>230</v>
      </c>
      <c r="J194" s="227" t="s">
        <v>168</v>
      </c>
      <c r="K194" s="227" t="s">
        <v>482</v>
      </c>
      <c r="L194" s="227" t="s">
        <v>188</v>
      </c>
      <c r="M194" s="231"/>
      <c r="N194" s="231"/>
      <c r="O194" s="235"/>
    </row>
    <row r="195" spans="1:16" ht="15" customHeight="1">
      <c r="A195" s="283">
        <v>44606</v>
      </c>
      <c r="B195" s="227" t="s">
        <v>368</v>
      </c>
      <c r="C195" s="227" t="s">
        <v>35</v>
      </c>
      <c r="D195" s="226" t="s">
        <v>166</v>
      </c>
      <c r="E195" s="213"/>
      <c r="F195" s="222">
        <v>19800</v>
      </c>
      <c r="G195" s="237">
        <f t="shared" si="2"/>
        <v>12644513</v>
      </c>
      <c r="H195" s="227" t="s">
        <v>48</v>
      </c>
      <c r="I195" s="280" t="s">
        <v>230</v>
      </c>
      <c r="J195" s="227" t="s">
        <v>168</v>
      </c>
      <c r="K195" s="227" t="s">
        <v>482</v>
      </c>
      <c r="L195" s="227" t="s">
        <v>188</v>
      </c>
      <c r="M195" s="231"/>
      <c r="N195" s="231"/>
      <c r="O195" s="231"/>
    </row>
    <row r="196" spans="1:16" ht="15" customHeight="1">
      <c r="A196" s="283">
        <v>44606</v>
      </c>
      <c r="B196" s="227" t="s">
        <v>369</v>
      </c>
      <c r="C196" s="178" t="s">
        <v>159</v>
      </c>
      <c r="D196" s="226" t="s">
        <v>260</v>
      </c>
      <c r="E196" s="211"/>
      <c r="F196" s="320">
        <v>20000</v>
      </c>
      <c r="G196" s="237">
        <f t="shared" si="2"/>
        <v>12624513</v>
      </c>
      <c r="H196" s="227" t="s">
        <v>48</v>
      </c>
      <c r="I196" s="280" t="s">
        <v>230</v>
      </c>
      <c r="J196" s="227" t="s">
        <v>168</v>
      </c>
      <c r="K196" s="227" t="s">
        <v>482</v>
      </c>
      <c r="L196" s="227" t="s">
        <v>188</v>
      </c>
      <c r="N196" s="227"/>
      <c r="O196" s="227"/>
    </row>
    <row r="197" spans="1:16" ht="15.75" customHeight="1">
      <c r="A197" s="283">
        <v>44606</v>
      </c>
      <c r="B197" s="178" t="s">
        <v>456</v>
      </c>
      <c r="C197" s="178" t="s">
        <v>76</v>
      </c>
      <c r="E197" s="195">
        <v>195000</v>
      </c>
      <c r="F197" s="195"/>
      <c r="G197" s="237">
        <f t="shared" si="2"/>
        <v>12819513</v>
      </c>
      <c r="H197" s="178" t="s">
        <v>29</v>
      </c>
      <c r="L197" s="227" t="s">
        <v>188</v>
      </c>
      <c r="O197" s="178"/>
      <c r="P197" s="228"/>
    </row>
    <row r="198" spans="1:16" ht="15.75" customHeight="1">
      <c r="A198" s="283">
        <v>44606</v>
      </c>
      <c r="B198" s="178" t="s">
        <v>464</v>
      </c>
      <c r="C198" s="178" t="s">
        <v>34</v>
      </c>
      <c r="D198" s="227" t="s">
        <v>4</v>
      </c>
      <c r="F198" s="303">
        <v>4000</v>
      </c>
      <c r="G198" s="237">
        <f t="shared" si="2"/>
        <v>12815513</v>
      </c>
      <c r="H198" s="178" t="s">
        <v>29</v>
      </c>
      <c r="I198" s="183" t="s">
        <v>230</v>
      </c>
      <c r="J198" s="183" t="s">
        <v>103</v>
      </c>
      <c r="K198" s="183" t="s">
        <v>481</v>
      </c>
      <c r="L198" s="227" t="s">
        <v>188</v>
      </c>
      <c r="M198" s="178" t="s">
        <v>574</v>
      </c>
      <c r="N198" s="177" t="s">
        <v>215</v>
      </c>
      <c r="O198" s="178"/>
      <c r="P198" s="228"/>
    </row>
    <row r="199" spans="1:16" ht="15" customHeight="1">
      <c r="A199" s="283">
        <v>44606</v>
      </c>
      <c r="B199" s="178" t="s">
        <v>445</v>
      </c>
      <c r="C199" s="178" t="s">
        <v>159</v>
      </c>
      <c r="D199" s="226" t="s">
        <v>260</v>
      </c>
      <c r="E199" s="222"/>
      <c r="F199" s="320">
        <v>60000</v>
      </c>
      <c r="G199" s="237">
        <f t="shared" si="2"/>
        <v>12755513</v>
      </c>
      <c r="H199" s="178" t="s">
        <v>49</v>
      </c>
      <c r="I199" s="183" t="s">
        <v>249</v>
      </c>
      <c r="J199" s="178" t="s">
        <v>103</v>
      </c>
      <c r="K199" s="178" t="s">
        <v>481</v>
      </c>
      <c r="L199" s="227" t="s">
        <v>188</v>
      </c>
      <c r="M199" s="178" t="s">
        <v>575</v>
      </c>
      <c r="N199" s="177" t="s">
        <v>217</v>
      </c>
      <c r="O199" s="178"/>
      <c r="P199" s="235"/>
    </row>
    <row r="200" spans="1:16" ht="15" customHeight="1">
      <c r="A200" s="283">
        <v>44606</v>
      </c>
      <c r="B200" s="178" t="s">
        <v>507</v>
      </c>
      <c r="C200" s="178" t="s">
        <v>159</v>
      </c>
      <c r="D200" s="227" t="s">
        <v>4</v>
      </c>
      <c r="F200" s="195">
        <v>50000</v>
      </c>
      <c r="G200" s="237">
        <f t="shared" si="2"/>
        <v>12705513</v>
      </c>
      <c r="H200" s="178" t="s">
        <v>29</v>
      </c>
      <c r="I200" s="183" t="s">
        <v>457</v>
      </c>
      <c r="J200" s="178" t="s">
        <v>103</v>
      </c>
      <c r="K200" s="178" t="s">
        <v>481</v>
      </c>
      <c r="L200" s="227" t="s">
        <v>188</v>
      </c>
      <c r="M200" s="178" t="s">
        <v>576</v>
      </c>
      <c r="N200" s="177" t="s">
        <v>217</v>
      </c>
      <c r="O200" s="178"/>
      <c r="P200" s="228"/>
    </row>
    <row r="201" spans="1:16" ht="15" customHeight="1">
      <c r="A201" s="283">
        <v>44607</v>
      </c>
      <c r="B201" s="227" t="s">
        <v>370</v>
      </c>
      <c r="C201" s="227" t="s">
        <v>34</v>
      </c>
      <c r="D201" s="226" t="s">
        <v>260</v>
      </c>
      <c r="E201" s="211"/>
      <c r="F201" s="320">
        <v>20000</v>
      </c>
      <c r="G201" s="237">
        <f t="shared" si="2"/>
        <v>12685513</v>
      </c>
      <c r="H201" s="227" t="s">
        <v>48</v>
      </c>
      <c r="I201" s="280" t="s">
        <v>230</v>
      </c>
      <c r="J201" s="227" t="s">
        <v>168</v>
      </c>
      <c r="K201" s="227" t="s">
        <v>482</v>
      </c>
      <c r="L201" s="227" t="s">
        <v>188</v>
      </c>
      <c r="N201" s="231"/>
      <c r="O201" s="227"/>
    </row>
    <row r="202" spans="1:16" ht="15" customHeight="1">
      <c r="A202" s="283">
        <v>44607</v>
      </c>
      <c r="B202" s="227" t="s">
        <v>371</v>
      </c>
      <c r="C202" s="178" t="s">
        <v>159</v>
      </c>
      <c r="D202" s="226" t="s">
        <v>260</v>
      </c>
      <c r="E202" s="213"/>
      <c r="F202" s="222">
        <v>60000</v>
      </c>
      <c r="G202" s="237">
        <f t="shared" si="2"/>
        <v>12625513</v>
      </c>
      <c r="H202" s="227" t="s">
        <v>48</v>
      </c>
      <c r="I202" s="280" t="s">
        <v>230</v>
      </c>
      <c r="J202" s="227" t="s">
        <v>168</v>
      </c>
      <c r="K202" s="227" t="s">
        <v>482</v>
      </c>
      <c r="L202" s="227" t="s">
        <v>188</v>
      </c>
      <c r="M202" s="227"/>
      <c r="N202" s="227"/>
      <c r="O202" s="227"/>
    </row>
    <row r="203" spans="1:16" ht="15" customHeight="1">
      <c r="A203" s="283">
        <v>44607</v>
      </c>
      <c r="B203" s="227" t="s">
        <v>372</v>
      </c>
      <c r="C203" s="227" t="s">
        <v>34</v>
      </c>
      <c r="D203" s="227" t="s">
        <v>2</v>
      </c>
      <c r="E203" s="213"/>
      <c r="F203" s="320">
        <v>10000</v>
      </c>
      <c r="G203" s="237">
        <f t="shared" si="2"/>
        <v>12615513</v>
      </c>
      <c r="H203" s="227" t="s">
        <v>48</v>
      </c>
      <c r="I203" s="280" t="s">
        <v>230</v>
      </c>
      <c r="J203" s="227" t="s">
        <v>103</v>
      </c>
      <c r="K203" s="227" t="s">
        <v>481</v>
      </c>
      <c r="L203" s="227" t="s">
        <v>188</v>
      </c>
      <c r="M203" s="178" t="s">
        <v>577</v>
      </c>
      <c r="N203" s="245" t="s">
        <v>215</v>
      </c>
      <c r="O203" s="227"/>
    </row>
    <row r="204" spans="1:16" ht="15" customHeight="1">
      <c r="A204" s="283">
        <v>44607</v>
      </c>
      <c r="B204" s="178" t="s">
        <v>465</v>
      </c>
      <c r="C204" s="178" t="s">
        <v>34</v>
      </c>
      <c r="D204" s="227" t="s">
        <v>4</v>
      </c>
      <c r="F204" s="195">
        <v>7000</v>
      </c>
      <c r="G204" s="237">
        <f t="shared" si="2"/>
        <v>12608513</v>
      </c>
      <c r="H204" s="178" t="s">
        <v>29</v>
      </c>
      <c r="I204" s="183" t="s">
        <v>230</v>
      </c>
      <c r="J204" s="183" t="s">
        <v>168</v>
      </c>
      <c r="K204" s="178" t="s">
        <v>482</v>
      </c>
      <c r="L204" s="227" t="s">
        <v>188</v>
      </c>
      <c r="O204" s="178"/>
      <c r="P204" s="228"/>
    </row>
    <row r="205" spans="1:16" ht="15" customHeight="1">
      <c r="A205" s="283">
        <v>44608</v>
      </c>
      <c r="B205" s="227" t="s">
        <v>373</v>
      </c>
      <c r="C205" s="178" t="s">
        <v>159</v>
      </c>
      <c r="D205" s="226" t="s">
        <v>260</v>
      </c>
      <c r="E205" s="213"/>
      <c r="F205" s="320">
        <v>150000</v>
      </c>
      <c r="G205" s="237">
        <f t="shared" ref="G205:G268" si="3">+G204+E205-F205</f>
        <v>12458513</v>
      </c>
      <c r="H205" s="227" t="s">
        <v>48</v>
      </c>
      <c r="I205" s="280" t="s">
        <v>230</v>
      </c>
      <c r="J205" s="235" t="s">
        <v>103</v>
      </c>
      <c r="K205" s="287" t="s">
        <v>481</v>
      </c>
      <c r="L205" s="227" t="s">
        <v>188</v>
      </c>
      <c r="M205" s="178" t="s">
        <v>578</v>
      </c>
      <c r="N205" s="308" t="s">
        <v>217</v>
      </c>
      <c r="O205" s="231"/>
    </row>
    <row r="206" spans="1:16" ht="15" customHeight="1">
      <c r="A206" s="283">
        <v>44608</v>
      </c>
      <c r="B206" s="227" t="s">
        <v>30</v>
      </c>
      <c r="C206" s="227" t="s">
        <v>76</v>
      </c>
      <c r="D206" s="226"/>
      <c r="E206" s="213"/>
      <c r="F206" s="222">
        <v>110000</v>
      </c>
      <c r="G206" s="237">
        <f t="shared" si="3"/>
        <v>12348513</v>
      </c>
      <c r="H206" s="227" t="s">
        <v>25</v>
      </c>
      <c r="I206" s="227"/>
      <c r="J206" s="227"/>
      <c r="K206" s="227"/>
      <c r="L206" s="227" t="s">
        <v>188</v>
      </c>
      <c r="M206" s="227"/>
      <c r="N206" s="227"/>
      <c r="O206" s="227"/>
    </row>
    <row r="207" spans="1:16" ht="15" customHeight="1">
      <c r="A207" s="283">
        <v>44608</v>
      </c>
      <c r="B207" s="227" t="s">
        <v>268</v>
      </c>
      <c r="C207" s="227" t="s">
        <v>187</v>
      </c>
      <c r="D207" s="227" t="s">
        <v>239</v>
      </c>
      <c r="E207" s="213"/>
      <c r="F207" s="222">
        <v>3300</v>
      </c>
      <c r="G207" s="237">
        <f t="shared" si="3"/>
        <v>12345213</v>
      </c>
      <c r="H207" s="227" t="s">
        <v>25</v>
      </c>
      <c r="I207" s="227" t="s">
        <v>230</v>
      </c>
      <c r="J207" s="227" t="s">
        <v>103</v>
      </c>
      <c r="K207" s="227" t="s">
        <v>481</v>
      </c>
      <c r="L207" s="227" t="s">
        <v>188</v>
      </c>
      <c r="M207" s="178" t="s">
        <v>579</v>
      </c>
      <c r="N207" s="328" t="s">
        <v>204</v>
      </c>
      <c r="O207" s="227"/>
    </row>
    <row r="208" spans="1:16" ht="15" customHeight="1">
      <c r="A208" s="285">
        <v>44608</v>
      </c>
      <c r="B208" s="287" t="s">
        <v>269</v>
      </c>
      <c r="C208" s="227" t="s">
        <v>193</v>
      </c>
      <c r="D208" s="227" t="s">
        <v>239</v>
      </c>
      <c r="E208" s="212"/>
      <c r="F208" s="225">
        <v>12750</v>
      </c>
      <c r="G208" s="237">
        <f t="shared" si="3"/>
        <v>12332463</v>
      </c>
      <c r="H208" s="287" t="s">
        <v>25</v>
      </c>
      <c r="I208" s="231" t="s">
        <v>230</v>
      </c>
      <c r="J208" s="227" t="s">
        <v>103</v>
      </c>
      <c r="K208" s="227" t="s">
        <v>481</v>
      </c>
      <c r="L208" s="227" t="s">
        <v>188</v>
      </c>
      <c r="M208" s="178" t="s">
        <v>580</v>
      </c>
      <c r="N208" s="245" t="s">
        <v>213</v>
      </c>
      <c r="O208" s="235"/>
    </row>
    <row r="209" spans="1:16" ht="15" customHeight="1">
      <c r="A209" s="283">
        <v>44608</v>
      </c>
      <c r="B209" s="227" t="s">
        <v>270</v>
      </c>
      <c r="C209" s="227" t="s">
        <v>271</v>
      </c>
      <c r="D209" s="227" t="s">
        <v>167</v>
      </c>
      <c r="E209" s="213"/>
      <c r="F209" s="320">
        <v>150000</v>
      </c>
      <c r="G209" s="237">
        <f t="shared" si="3"/>
        <v>12182463</v>
      </c>
      <c r="H209" s="227" t="s">
        <v>25</v>
      </c>
      <c r="I209" s="178" t="s">
        <v>249</v>
      </c>
      <c r="J209" s="227" t="s">
        <v>168</v>
      </c>
      <c r="K209" s="227" t="s">
        <v>482</v>
      </c>
      <c r="L209" s="227" t="s">
        <v>188</v>
      </c>
      <c r="N209" s="231"/>
      <c r="O209" s="227"/>
    </row>
    <row r="210" spans="1:16" ht="15" customHeight="1">
      <c r="A210" s="285">
        <v>44608</v>
      </c>
      <c r="B210" s="287" t="s">
        <v>272</v>
      </c>
      <c r="C210" s="227" t="s">
        <v>274</v>
      </c>
      <c r="D210" s="227" t="s">
        <v>4</v>
      </c>
      <c r="E210" s="212"/>
      <c r="F210" s="223">
        <v>10000</v>
      </c>
      <c r="G210" s="237">
        <f t="shared" si="3"/>
        <v>12172463</v>
      </c>
      <c r="H210" s="287" t="s">
        <v>25</v>
      </c>
      <c r="I210" s="235" t="s">
        <v>230</v>
      </c>
      <c r="J210" s="227" t="s">
        <v>168</v>
      </c>
      <c r="K210" s="227" t="s">
        <v>482</v>
      </c>
      <c r="L210" s="227" t="s">
        <v>188</v>
      </c>
      <c r="M210" s="235"/>
      <c r="N210" s="235"/>
      <c r="O210" s="235"/>
    </row>
    <row r="211" spans="1:16" ht="15" customHeight="1">
      <c r="A211" s="283">
        <v>44608</v>
      </c>
      <c r="B211" s="227" t="s">
        <v>273</v>
      </c>
      <c r="C211" s="227" t="s">
        <v>274</v>
      </c>
      <c r="D211" s="227" t="s">
        <v>4</v>
      </c>
      <c r="E211" s="211"/>
      <c r="F211" s="220">
        <v>20000</v>
      </c>
      <c r="G211" s="237">
        <f t="shared" si="3"/>
        <v>12152463</v>
      </c>
      <c r="H211" s="227" t="s">
        <v>25</v>
      </c>
      <c r="I211" s="227" t="s">
        <v>249</v>
      </c>
      <c r="J211" s="227" t="s">
        <v>168</v>
      </c>
      <c r="K211" s="227" t="s">
        <v>482</v>
      </c>
      <c r="L211" s="227" t="s">
        <v>188</v>
      </c>
      <c r="M211" s="227"/>
      <c r="N211" s="227"/>
      <c r="O211" s="227"/>
    </row>
    <row r="212" spans="1:16" ht="15" customHeight="1">
      <c r="A212" s="283">
        <v>44608</v>
      </c>
      <c r="B212" s="227" t="s">
        <v>275</v>
      </c>
      <c r="C212" s="227" t="s">
        <v>186</v>
      </c>
      <c r="D212" s="227" t="s">
        <v>4</v>
      </c>
      <c r="E212" s="213"/>
      <c r="F212" s="320">
        <v>10000</v>
      </c>
      <c r="G212" s="237">
        <f t="shared" si="3"/>
        <v>12142463</v>
      </c>
      <c r="H212" s="227" t="s">
        <v>25</v>
      </c>
      <c r="I212" s="178" t="s">
        <v>230</v>
      </c>
      <c r="J212" s="227" t="s">
        <v>103</v>
      </c>
      <c r="K212" s="227" t="s">
        <v>481</v>
      </c>
      <c r="L212" s="227" t="s">
        <v>188</v>
      </c>
      <c r="M212" s="178" t="s">
        <v>581</v>
      </c>
      <c r="N212" s="328" t="s">
        <v>214</v>
      </c>
      <c r="O212" s="227"/>
    </row>
    <row r="213" spans="1:16" ht="15" customHeight="1">
      <c r="A213" s="286">
        <v>44608</v>
      </c>
      <c r="B213" s="227" t="s">
        <v>276</v>
      </c>
      <c r="C213" s="227" t="s">
        <v>186</v>
      </c>
      <c r="D213" s="227" t="s">
        <v>166</v>
      </c>
      <c r="E213" s="313"/>
      <c r="F213" s="320">
        <v>5000</v>
      </c>
      <c r="G213" s="237">
        <f t="shared" si="3"/>
        <v>12137463</v>
      </c>
      <c r="H213" s="227" t="s">
        <v>25</v>
      </c>
      <c r="I213" s="178" t="s">
        <v>230</v>
      </c>
      <c r="J213" s="227" t="s">
        <v>103</v>
      </c>
      <c r="K213" s="227" t="s">
        <v>481</v>
      </c>
      <c r="L213" s="227" t="s">
        <v>188</v>
      </c>
      <c r="M213" s="178" t="s">
        <v>582</v>
      </c>
      <c r="N213" s="328" t="s">
        <v>214</v>
      </c>
      <c r="O213" s="227"/>
    </row>
    <row r="214" spans="1:16" ht="15" customHeight="1">
      <c r="A214" s="283">
        <v>44608</v>
      </c>
      <c r="B214" s="227" t="s">
        <v>277</v>
      </c>
      <c r="C214" s="227" t="s">
        <v>186</v>
      </c>
      <c r="D214" s="237" t="s">
        <v>229</v>
      </c>
      <c r="E214" s="213"/>
      <c r="F214" s="320">
        <v>20000</v>
      </c>
      <c r="G214" s="237">
        <f t="shared" si="3"/>
        <v>12117463</v>
      </c>
      <c r="H214" s="227" t="s">
        <v>25</v>
      </c>
      <c r="I214" s="178" t="s">
        <v>230</v>
      </c>
      <c r="J214" s="227" t="s">
        <v>103</v>
      </c>
      <c r="K214" s="227" t="s">
        <v>481</v>
      </c>
      <c r="L214" s="227" t="s">
        <v>188</v>
      </c>
      <c r="M214" s="178" t="s">
        <v>583</v>
      </c>
      <c r="N214" s="328" t="s">
        <v>214</v>
      </c>
      <c r="O214" s="227"/>
    </row>
    <row r="215" spans="1:16" ht="15" customHeight="1">
      <c r="A215" s="283">
        <v>44608</v>
      </c>
      <c r="B215" s="227" t="s">
        <v>278</v>
      </c>
      <c r="C215" s="227" t="s">
        <v>186</v>
      </c>
      <c r="D215" s="227" t="s">
        <v>4</v>
      </c>
      <c r="E215" s="213"/>
      <c r="F215" s="320">
        <v>20000</v>
      </c>
      <c r="G215" s="237">
        <f t="shared" si="3"/>
        <v>12097463</v>
      </c>
      <c r="H215" s="227" t="s">
        <v>25</v>
      </c>
      <c r="I215" s="178" t="s">
        <v>230</v>
      </c>
      <c r="J215" s="227" t="s">
        <v>103</v>
      </c>
      <c r="K215" s="227" t="s">
        <v>481</v>
      </c>
      <c r="L215" s="227" t="s">
        <v>188</v>
      </c>
      <c r="M215" s="178" t="s">
        <v>584</v>
      </c>
      <c r="N215" s="328" t="s">
        <v>214</v>
      </c>
      <c r="O215" s="227"/>
    </row>
    <row r="216" spans="1:16" ht="15" customHeight="1">
      <c r="A216" s="283">
        <v>44608</v>
      </c>
      <c r="B216" s="287" t="s">
        <v>279</v>
      </c>
      <c r="C216" s="227" t="s">
        <v>186</v>
      </c>
      <c r="D216" s="227" t="s">
        <v>166</v>
      </c>
      <c r="E216" s="213"/>
      <c r="F216" s="320">
        <v>15000</v>
      </c>
      <c r="G216" s="237">
        <f t="shared" si="3"/>
        <v>12082463</v>
      </c>
      <c r="H216" s="227" t="s">
        <v>25</v>
      </c>
      <c r="I216" s="178" t="s">
        <v>230</v>
      </c>
      <c r="J216" s="227" t="s">
        <v>103</v>
      </c>
      <c r="K216" s="227" t="s">
        <v>481</v>
      </c>
      <c r="L216" s="227" t="s">
        <v>188</v>
      </c>
      <c r="M216" s="178" t="s">
        <v>585</v>
      </c>
      <c r="N216" s="328" t="s">
        <v>214</v>
      </c>
      <c r="O216" s="227"/>
    </row>
    <row r="217" spans="1:16" ht="15" customHeight="1">
      <c r="A217" s="283">
        <v>44608</v>
      </c>
      <c r="B217" s="227" t="s">
        <v>280</v>
      </c>
      <c r="C217" s="227" t="s">
        <v>186</v>
      </c>
      <c r="D217" s="227" t="s">
        <v>167</v>
      </c>
      <c r="E217" s="211"/>
      <c r="F217" s="220">
        <v>10000</v>
      </c>
      <c r="G217" s="237">
        <f t="shared" si="3"/>
        <v>12072463</v>
      </c>
      <c r="H217" s="227" t="s">
        <v>25</v>
      </c>
      <c r="I217" s="227" t="s">
        <v>230</v>
      </c>
      <c r="J217" s="227" t="s">
        <v>103</v>
      </c>
      <c r="K217" s="227" t="s">
        <v>481</v>
      </c>
      <c r="L217" s="227" t="s">
        <v>188</v>
      </c>
      <c r="M217" s="178" t="s">
        <v>586</v>
      </c>
      <c r="N217" s="328" t="s">
        <v>214</v>
      </c>
      <c r="O217" s="227"/>
    </row>
    <row r="218" spans="1:16" ht="15" customHeight="1">
      <c r="A218" s="283">
        <v>44608</v>
      </c>
      <c r="B218" s="227" t="s">
        <v>484</v>
      </c>
      <c r="C218" s="227" t="s">
        <v>145</v>
      </c>
      <c r="D218" s="227" t="s">
        <v>166</v>
      </c>
      <c r="E218" s="211"/>
      <c r="F218" s="320">
        <v>200000</v>
      </c>
      <c r="G218" s="237">
        <f t="shared" si="3"/>
        <v>11872463</v>
      </c>
      <c r="H218" s="227" t="s">
        <v>160</v>
      </c>
      <c r="I218" s="280">
        <v>3643614</v>
      </c>
      <c r="J218" s="227" t="s">
        <v>103</v>
      </c>
      <c r="K218" s="227" t="s">
        <v>481</v>
      </c>
      <c r="L218" s="227" t="s">
        <v>188</v>
      </c>
      <c r="M218" s="178" t="s">
        <v>587</v>
      </c>
      <c r="N218" s="328" t="s">
        <v>206</v>
      </c>
      <c r="O218" s="227"/>
    </row>
    <row r="219" spans="1:16" ht="15" customHeight="1">
      <c r="A219" s="286">
        <v>44608</v>
      </c>
      <c r="B219" s="227" t="s">
        <v>298</v>
      </c>
      <c r="C219" s="227" t="s">
        <v>145</v>
      </c>
      <c r="D219" s="227" t="s">
        <v>166</v>
      </c>
      <c r="E219" s="212"/>
      <c r="F219" s="320">
        <v>300000</v>
      </c>
      <c r="G219" s="237">
        <f t="shared" si="3"/>
        <v>11572463</v>
      </c>
      <c r="H219" s="227" t="s">
        <v>160</v>
      </c>
      <c r="I219" s="290">
        <v>3643615</v>
      </c>
      <c r="J219" s="227" t="s">
        <v>103</v>
      </c>
      <c r="K219" s="227" t="s">
        <v>481</v>
      </c>
      <c r="L219" s="227" t="s">
        <v>188</v>
      </c>
      <c r="M219" s="178" t="s">
        <v>588</v>
      </c>
      <c r="N219" s="328" t="s">
        <v>206</v>
      </c>
      <c r="O219" s="227"/>
    </row>
    <row r="220" spans="1:16" ht="16.5" customHeight="1">
      <c r="A220" s="283">
        <v>44608</v>
      </c>
      <c r="B220" s="227" t="s">
        <v>299</v>
      </c>
      <c r="C220" s="227" t="s">
        <v>145</v>
      </c>
      <c r="D220" s="227" t="s">
        <v>166</v>
      </c>
      <c r="E220" s="211"/>
      <c r="F220" s="320">
        <v>300000</v>
      </c>
      <c r="G220" s="237">
        <f t="shared" si="3"/>
        <v>11272463</v>
      </c>
      <c r="H220" s="227" t="s">
        <v>160</v>
      </c>
      <c r="I220" s="280">
        <v>3643616</v>
      </c>
      <c r="J220" s="227" t="s">
        <v>103</v>
      </c>
      <c r="K220" s="227" t="s">
        <v>481</v>
      </c>
      <c r="L220" s="227" t="s">
        <v>188</v>
      </c>
      <c r="M220" s="178" t="s">
        <v>589</v>
      </c>
      <c r="N220" s="328" t="s">
        <v>206</v>
      </c>
      <c r="O220" s="227"/>
    </row>
    <row r="221" spans="1:16" ht="15" customHeight="1">
      <c r="A221" s="283">
        <v>44608</v>
      </c>
      <c r="B221" s="178" t="s">
        <v>444</v>
      </c>
      <c r="C221" s="178" t="s">
        <v>76</v>
      </c>
      <c r="E221" s="222">
        <v>110000</v>
      </c>
      <c r="F221" s="222"/>
      <c r="G221" s="237">
        <f t="shared" si="3"/>
        <v>11382463</v>
      </c>
      <c r="H221" s="178" t="s">
        <v>49</v>
      </c>
      <c r="L221" s="227" t="s">
        <v>188</v>
      </c>
      <c r="O221" s="178"/>
      <c r="P221" s="235"/>
    </row>
    <row r="222" spans="1:16" ht="15" customHeight="1">
      <c r="A222" s="283">
        <v>44609</v>
      </c>
      <c r="B222" s="227" t="s">
        <v>281</v>
      </c>
      <c r="C222" s="227" t="s">
        <v>271</v>
      </c>
      <c r="D222" s="227" t="s">
        <v>167</v>
      </c>
      <c r="E222" s="211"/>
      <c r="F222" s="320">
        <v>45000</v>
      </c>
      <c r="G222" s="237">
        <f t="shared" si="3"/>
        <v>11337463</v>
      </c>
      <c r="H222" s="227" t="s">
        <v>25</v>
      </c>
      <c r="I222" s="178" t="s">
        <v>249</v>
      </c>
      <c r="J222" s="227" t="s">
        <v>168</v>
      </c>
      <c r="K222" s="227" t="s">
        <v>482</v>
      </c>
      <c r="L222" s="227" t="s">
        <v>188</v>
      </c>
      <c r="N222" s="231"/>
      <c r="O222" s="227"/>
    </row>
    <row r="223" spans="1:16" ht="15" customHeight="1">
      <c r="A223" s="283">
        <v>44609</v>
      </c>
      <c r="B223" s="227" t="s">
        <v>282</v>
      </c>
      <c r="C223" s="227" t="s">
        <v>271</v>
      </c>
      <c r="D223" s="227" t="s">
        <v>167</v>
      </c>
      <c r="E223" s="213"/>
      <c r="F223" s="222">
        <v>35000</v>
      </c>
      <c r="G223" s="237">
        <f t="shared" si="3"/>
        <v>11302463</v>
      </c>
      <c r="H223" s="227" t="s">
        <v>25</v>
      </c>
      <c r="I223" s="231" t="s">
        <v>249</v>
      </c>
      <c r="J223" s="227" t="s">
        <v>168</v>
      </c>
      <c r="K223" s="227" t="s">
        <v>482</v>
      </c>
      <c r="L223" s="227" t="s">
        <v>188</v>
      </c>
      <c r="M223" s="231"/>
      <c r="N223" s="231"/>
      <c r="O223" s="227"/>
    </row>
    <row r="224" spans="1:16" ht="15" customHeight="1">
      <c r="A224" s="283">
        <v>44609</v>
      </c>
      <c r="B224" s="227" t="s">
        <v>283</v>
      </c>
      <c r="C224" s="227" t="s">
        <v>271</v>
      </c>
      <c r="D224" s="227" t="s">
        <v>167</v>
      </c>
      <c r="E224" s="213"/>
      <c r="F224" s="222">
        <v>35000</v>
      </c>
      <c r="G224" s="237">
        <f t="shared" si="3"/>
        <v>11267463</v>
      </c>
      <c r="H224" s="227" t="s">
        <v>25</v>
      </c>
      <c r="I224" s="231" t="s">
        <v>249</v>
      </c>
      <c r="J224" s="227" t="s">
        <v>168</v>
      </c>
      <c r="K224" s="227" t="s">
        <v>482</v>
      </c>
      <c r="L224" s="227" t="s">
        <v>188</v>
      </c>
      <c r="M224" s="231"/>
      <c r="N224" s="231"/>
      <c r="O224" s="231"/>
    </row>
    <row r="225" spans="1:16" ht="15" customHeight="1">
      <c r="A225" s="283">
        <v>44609</v>
      </c>
      <c r="B225" s="227" t="s">
        <v>284</v>
      </c>
      <c r="C225" s="227" t="s">
        <v>35</v>
      </c>
      <c r="D225" s="227" t="s">
        <v>239</v>
      </c>
      <c r="E225" s="213"/>
      <c r="F225" s="320">
        <v>5750</v>
      </c>
      <c r="G225" s="237">
        <f t="shared" si="3"/>
        <v>11261713</v>
      </c>
      <c r="H225" s="227" t="s">
        <v>25</v>
      </c>
      <c r="I225" s="178" t="s">
        <v>230</v>
      </c>
      <c r="J225" s="227" t="s">
        <v>103</v>
      </c>
      <c r="K225" s="227" t="s">
        <v>481</v>
      </c>
      <c r="L225" s="227" t="s">
        <v>188</v>
      </c>
      <c r="M225" s="178" t="s">
        <v>590</v>
      </c>
      <c r="N225" s="328" t="s">
        <v>207</v>
      </c>
      <c r="O225" s="227"/>
    </row>
    <row r="226" spans="1:16" ht="15" customHeight="1">
      <c r="A226" s="283">
        <v>44609</v>
      </c>
      <c r="B226" s="227" t="s">
        <v>31</v>
      </c>
      <c r="C226" s="227" t="s">
        <v>76</v>
      </c>
      <c r="D226" s="227"/>
      <c r="E226" s="211"/>
      <c r="F226" s="320">
        <v>191000</v>
      </c>
      <c r="G226" s="237">
        <f t="shared" si="3"/>
        <v>11070713</v>
      </c>
      <c r="H226" s="227" t="s">
        <v>25</v>
      </c>
      <c r="I226" s="178"/>
      <c r="J226" s="227"/>
      <c r="K226" s="227"/>
      <c r="L226" s="227" t="s">
        <v>188</v>
      </c>
      <c r="N226" s="231"/>
      <c r="O226" s="227"/>
    </row>
    <row r="227" spans="1:16" ht="15" customHeight="1">
      <c r="A227" s="283">
        <v>44609</v>
      </c>
      <c r="B227" s="227" t="s">
        <v>263</v>
      </c>
      <c r="C227" s="227" t="s">
        <v>76</v>
      </c>
      <c r="D227" s="227"/>
      <c r="E227" s="211"/>
      <c r="F227" s="320">
        <v>172000</v>
      </c>
      <c r="G227" s="237">
        <f t="shared" si="3"/>
        <v>10898713</v>
      </c>
      <c r="H227" s="227" t="s">
        <v>25</v>
      </c>
      <c r="I227" s="178"/>
      <c r="J227" s="227"/>
      <c r="K227" s="227"/>
      <c r="L227" s="227" t="s">
        <v>188</v>
      </c>
      <c r="N227" s="227"/>
      <c r="O227" s="227"/>
    </row>
    <row r="228" spans="1:16" ht="15" customHeight="1">
      <c r="A228" s="283">
        <v>44609</v>
      </c>
      <c r="B228" s="227" t="s">
        <v>154</v>
      </c>
      <c r="C228" s="227" t="s">
        <v>76</v>
      </c>
      <c r="D228" s="227"/>
      <c r="E228" s="211"/>
      <c r="F228" s="220">
        <v>495000</v>
      </c>
      <c r="G228" s="237">
        <f t="shared" si="3"/>
        <v>10403713</v>
      </c>
      <c r="H228" s="227" t="s">
        <v>25</v>
      </c>
      <c r="I228" s="227"/>
      <c r="J228" s="227"/>
      <c r="K228" s="227"/>
      <c r="L228" s="227" t="s">
        <v>188</v>
      </c>
      <c r="M228" s="227"/>
      <c r="N228" s="227"/>
      <c r="O228" s="227"/>
    </row>
    <row r="229" spans="1:16" ht="15" customHeight="1">
      <c r="A229" s="285">
        <v>44609</v>
      </c>
      <c r="B229" s="227" t="s">
        <v>245</v>
      </c>
      <c r="C229" s="227" t="s">
        <v>76</v>
      </c>
      <c r="D229" s="287"/>
      <c r="E229" s="305"/>
      <c r="F229" s="220">
        <v>94000</v>
      </c>
      <c r="G229" s="237">
        <f t="shared" si="3"/>
        <v>10309713</v>
      </c>
      <c r="H229" s="227" t="s">
        <v>25</v>
      </c>
      <c r="I229" s="227"/>
      <c r="J229" s="227"/>
      <c r="K229" s="227"/>
      <c r="L229" s="227" t="s">
        <v>188</v>
      </c>
      <c r="M229" s="227"/>
      <c r="N229" s="227"/>
      <c r="O229" s="227"/>
    </row>
    <row r="230" spans="1:16" ht="15" customHeight="1">
      <c r="A230" s="283">
        <v>44609</v>
      </c>
      <c r="B230" s="227" t="s">
        <v>94</v>
      </c>
      <c r="C230" s="227" t="s">
        <v>76</v>
      </c>
      <c r="D230" s="227"/>
      <c r="E230" s="211"/>
      <c r="F230" s="320">
        <v>15000</v>
      </c>
      <c r="G230" s="237">
        <f t="shared" si="3"/>
        <v>10294713</v>
      </c>
      <c r="H230" s="227" t="s">
        <v>25</v>
      </c>
      <c r="I230" s="178"/>
      <c r="J230" s="227"/>
      <c r="K230" s="227"/>
      <c r="L230" s="227" t="s">
        <v>188</v>
      </c>
      <c r="N230" s="227"/>
      <c r="O230" s="227"/>
    </row>
    <row r="231" spans="1:16" ht="15" customHeight="1">
      <c r="A231" s="285">
        <v>44609</v>
      </c>
      <c r="B231" s="227" t="s">
        <v>300</v>
      </c>
      <c r="C231" s="227" t="s">
        <v>193</v>
      </c>
      <c r="D231" s="300" t="s">
        <v>239</v>
      </c>
      <c r="E231" s="213"/>
      <c r="F231" s="222">
        <v>500000</v>
      </c>
      <c r="G231" s="237">
        <f t="shared" si="3"/>
        <v>9794713</v>
      </c>
      <c r="H231" s="227" t="s">
        <v>160</v>
      </c>
      <c r="I231" s="280">
        <v>3643618</v>
      </c>
      <c r="J231" s="227" t="s">
        <v>103</v>
      </c>
      <c r="K231" s="227" t="s">
        <v>481</v>
      </c>
      <c r="L231" s="227" t="s">
        <v>188</v>
      </c>
      <c r="M231" s="178" t="s">
        <v>591</v>
      </c>
      <c r="N231" s="328" t="s">
        <v>212</v>
      </c>
      <c r="O231" s="227"/>
    </row>
    <row r="232" spans="1:16" ht="15" customHeight="1">
      <c r="A232" s="286">
        <v>44609</v>
      </c>
      <c r="B232" s="287" t="s">
        <v>334</v>
      </c>
      <c r="C232" s="287" t="s">
        <v>76</v>
      </c>
      <c r="D232" s="287"/>
      <c r="E232" s="212">
        <v>495000</v>
      </c>
      <c r="F232" s="223"/>
      <c r="G232" s="237">
        <f t="shared" si="3"/>
        <v>10289713</v>
      </c>
      <c r="H232" s="242" t="s">
        <v>154</v>
      </c>
      <c r="I232" s="280"/>
      <c r="J232" s="227"/>
      <c r="K232" s="227"/>
      <c r="L232" s="227" t="s">
        <v>188</v>
      </c>
      <c r="M232" s="227"/>
      <c r="N232" s="227"/>
      <c r="O232" s="227"/>
    </row>
    <row r="233" spans="1:16" ht="15" customHeight="1">
      <c r="A233" s="283">
        <v>44609</v>
      </c>
      <c r="B233" s="227" t="s">
        <v>352</v>
      </c>
      <c r="C233" s="227" t="s">
        <v>76</v>
      </c>
      <c r="D233" s="287"/>
      <c r="E233" s="211">
        <v>15000</v>
      </c>
      <c r="F233" s="220"/>
      <c r="G233" s="237">
        <f t="shared" si="3"/>
        <v>10304713</v>
      </c>
      <c r="H233" s="227" t="s">
        <v>94</v>
      </c>
      <c r="I233" s="280"/>
      <c r="J233" s="227"/>
      <c r="K233" s="227"/>
      <c r="L233" s="227" t="s">
        <v>188</v>
      </c>
      <c r="M233" s="227"/>
      <c r="N233" s="227"/>
      <c r="O233" s="227"/>
    </row>
    <row r="234" spans="1:16" s="249" customFormat="1" ht="15" customHeight="1">
      <c r="A234" s="283">
        <v>44609</v>
      </c>
      <c r="B234" s="227" t="s">
        <v>354</v>
      </c>
      <c r="C234" s="227" t="s">
        <v>76</v>
      </c>
      <c r="D234" s="227"/>
      <c r="E234" s="213">
        <v>172000</v>
      </c>
      <c r="F234" s="320"/>
      <c r="G234" s="237">
        <f t="shared" si="3"/>
        <v>10476713</v>
      </c>
      <c r="H234" s="227" t="s">
        <v>48</v>
      </c>
      <c r="I234" s="280"/>
      <c r="J234" s="227"/>
      <c r="K234" s="227"/>
      <c r="L234" s="227" t="s">
        <v>188</v>
      </c>
      <c r="M234" s="178"/>
      <c r="N234" s="227"/>
      <c r="O234" s="231"/>
      <c r="P234" s="178"/>
    </row>
    <row r="235" spans="1:16" s="249" customFormat="1" ht="15" customHeight="1">
      <c r="A235" s="286">
        <v>44609</v>
      </c>
      <c r="B235" s="287" t="s">
        <v>374</v>
      </c>
      <c r="C235" s="235" t="s">
        <v>34</v>
      </c>
      <c r="D235" s="227" t="s">
        <v>2</v>
      </c>
      <c r="E235" s="212"/>
      <c r="F235" s="320">
        <v>10000</v>
      </c>
      <c r="G235" s="237">
        <f t="shared" si="3"/>
        <v>10466713</v>
      </c>
      <c r="H235" s="287" t="s">
        <v>48</v>
      </c>
      <c r="I235" s="280" t="s">
        <v>230</v>
      </c>
      <c r="J235" s="227" t="s">
        <v>103</v>
      </c>
      <c r="K235" s="227" t="s">
        <v>481</v>
      </c>
      <c r="L235" s="227" t="s">
        <v>188</v>
      </c>
      <c r="M235" s="178" t="s">
        <v>592</v>
      </c>
      <c r="N235" s="245" t="s">
        <v>215</v>
      </c>
      <c r="O235" s="235"/>
      <c r="P235" s="178"/>
    </row>
    <row r="236" spans="1:16" ht="15" customHeight="1">
      <c r="A236" s="283">
        <v>44609</v>
      </c>
      <c r="B236" s="178" t="s">
        <v>398</v>
      </c>
      <c r="C236" s="178" t="s">
        <v>76</v>
      </c>
      <c r="D236" s="226"/>
      <c r="E236" s="222">
        <v>191000</v>
      </c>
      <c r="F236" s="221"/>
      <c r="G236" s="237">
        <f t="shared" si="3"/>
        <v>10657713</v>
      </c>
      <c r="H236" s="178" t="s">
        <v>31</v>
      </c>
      <c r="J236" s="178"/>
      <c r="L236" s="227" t="s">
        <v>188</v>
      </c>
      <c r="N236" s="231"/>
      <c r="O236" s="228"/>
    </row>
    <row r="237" spans="1:16" ht="15" customHeight="1">
      <c r="A237" s="283">
        <v>44609</v>
      </c>
      <c r="B237" s="178" t="s">
        <v>407</v>
      </c>
      <c r="C237" s="178" t="s">
        <v>34</v>
      </c>
      <c r="D237" s="178" t="s">
        <v>167</v>
      </c>
      <c r="E237" s="220"/>
      <c r="F237" s="320">
        <v>10000</v>
      </c>
      <c r="G237" s="237">
        <f t="shared" si="3"/>
        <v>10647713</v>
      </c>
      <c r="H237" s="178" t="s">
        <v>31</v>
      </c>
      <c r="I237" s="183" t="s">
        <v>230</v>
      </c>
      <c r="J237" s="183" t="s">
        <v>103</v>
      </c>
      <c r="K237" s="178" t="s">
        <v>481</v>
      </c>
      <c r="L237" s="227" t="s">
        <v>188</v>
      </c>
      <c r="M237" s="178" t="s">
        <v>593</v>
      </c>
      <c r="N237" s="177" t="s">
        <v>215</v>
      </c>
      <c r="O237" s="178"/>
    </row>
    <row r="238" spans="1:16" ht="15" customHeight="1">
      <c r="A238" s="283">
        <v>44609</v>
      </c>
      <c r="B238" s="178" t="s">
        <v>423</v>
      </c>
      <c r="C238" s="178" t="s">
        <v>34</v>
      </c>
      <c r="D238" s="227" t="s">
        <v>166</v>
      </c>
      <c r="E238" s="222"/>
      <c r="F238" s="320">
        <v>10000</v>
      </c>
      <c r="G238" s="237">
        <f t="shared" si="3"/>
        <v>10637713</v>
      </c>
      <c r="H238" s="178" t="s">
        <v>155</v>
      </c>
      <c r="I238" s="183" t="s">
        <v>230</v>
      </c>
      <c r="J238" s="228" t="s">
        <v>103</v>
      </c>
      <c r="K238" s="228" t="s">
        <v>481</v>
      </c>
      <c r="L238" s="227" t="s">
        <v>188</v>
      </c>
      <c r="M238" s="178" t="s">
        <v>594</v>
      </c>
      <c r="N238" s="243" t="s">
        <v>215</v>
      </c>
      <c r="O238" s="178"/>
    </row>
    <row r="239" spans="1:16" ht="15" customHeight="1">
      <c r="A239" s="283">
        <v>44609</v>
      </c>
      <c r="B239" s="178" t="s">
        <v>314</v>
      </c>
      <c r="C239" s="178" t="s">
        <v>76</v>
      </c>
      <c r="E239" s="222">
        <v>94000</v>
      </c>
      <c r="F239" s="222"/>
      <c r="G239" s="237">
        <f t="shared" si="3"/>
        <v>10731713</v>
      </c>
      <c r="H239" s="178" t="s">
        <v>155</v>
      </c>
      <c r="L239" s="227" t="s">
        <v>188</v>
      </c>
      <c r="O239" s="178"/>
    </row>
    <row r="240" spans="1:16" ht="15" customHeight="1">
      <c r="A240" s="283">
        <v>44610</v>
      </c>
      <c r="B240" s="226" t="s">
        <v>505</v>
      </c>
      <c r="C240" s="178" t="s">
        <v>159</v>
      </c>
      <c r="D240" s="226" t="s">
        <v>260</v>
      </c>
      <c r="E240" s="213"/>
      <c r="F240" s="320">
        <v>80000</v>
      </c>
      <c r="G240" s="237">
        <f t="shared" si="3"/>
        <v>10651713</v>
      </c>
      <c r="H240" s="227" t="s">
        <v>48</v>
      </c>
      <c r="I240" s="280" t="s">
        <v>249</v>
      </c>
      <c r="J240" s="235" t="s">
        <v>103</v>
      </c>
      <c r="K240" s="287" t="s">
        <v>481</v>
      </c>
      <c r="L240" s="227" t="s">
        <v>188</v>
      </c>
      <c r="M240" s="178" t="s">
        <v>595</v>
      </c>
      <c r="N240" s="308" t="s">
        <v>217</v>
      </c>
      <c r="O240" s="231"/>
    </row>
    <row r="241" spans="1:16" ht="15" customHeight="1">
      <c r="A241" s="283">
        <v>44610</v>
      </c>
      <c r="B241" s="178" t="s">
        <v>408</v>
      </c>
      <c r="C241" s="178" t="s">
        <v>159</v>
      </c>
      <c r="D241" s="178" t="s">
        <v>167</v>
      </c>
      <c r="E241" s="220"/>
      <c r="F241" s="220">
        <v>80000</v>
      </c>
      <c r="G241" s="237">
        <f t="shared" si="3"/>
        <v>10571713</v>
      </c>
      <c r="H241" s="178" t="s">
        <v>31</v>
      </c>
      <c r="I241" s="183" t="s">
        <v>249</v>
      </c>
      <c r="J241" s="178" t="s">
        <v>103</v>
      </c>
      <c r="K241" s="178" t="s">
        <v>481</v>
      </c>
      <c r="L241" s="227" t="s">
        <v>188</v>
      </c>
      <c r="M241" s="178" t="s">
        <v>596</v>
      </c>
      <c r="N241" s="177" t="s">
        <v>217</v>
      </c>
      <c r="O241" s="178"/>
    </row>
    <row r="242" spans="1:16" ht="15" customHeight="1">
      <c r="A242" s="283">
        <v>44610</v>
      </c>
      <c r="B242" s="227" t="s">
        <v>509</v>
      </c>
      <c r="C242" s="178" t="s">
        <v>159</v>
      </c>
      <c r="D242" s="226" t="s">
        <v>260</v>
      </c>
      <c r="E242" s="213"/>
      <c r="F242" s="222">
        <v>20000</v>
      </c>
      <c r="G242" s="237">
        <f t="shared" si="3"/>
        <v>10551713</v>
      </c>
      <c r="H242" s="227" t="s">
        <v>154</v>
      </c>
      <c r="I242" s="280" t="s">
        <v>249</v>
      </c>
      <c r="J242" s="227" t="s">
        <v>103</v>
      </c>
      <c r="K242" s="227" t="s">
        <v>481</v>
      </c>
      <c r="L242" s="227" t="s">
        <v>188</v>
      </c>
      <c r="M242" s="178" t="s">
        <v>597</v>
      </c>
      <c r="N242" s="328" t="s">
        <v>217</v>
      </c>
      <c r="O242" s="227"/>
    </row>
    <row r="243" spans="1:16" ht="15" customHeight="1">
      <c r="A243" s="283">
        <v>44610</v>
      </c>
      <c r="B243" s="178" t="s">
        <v>424</v>
      </c>
      <c r="C243" s="178" t="s">
        <v>159</v>
      </c>
      <c r="D243" s="227" t="s">
        <v>166</v>
      </c>
      <c r="E243" s="222"/>
      <c r="F243" s="221">
        <v>50000</v>
      </c>
      <c r="G243" s="237">
        <f t="shared" si="3"/>
        <v>10501713</v>
      </c>
      <c r="H243" s="178" t="s">
        <v>155</v>
      </c>
      <c r="I243" s="183" t="s">
        <v>249</v>
      </c>
      <c r="J243" s="183" t="s">
        <v>103</v>
      </c>
      <c r="K243" s="178" t="s">
        <v>481</v>
      </c>
      <c r="L243" s="227" t="s">
        <v>188</v>
      </c>
      <c r="M243" s="178" t="s">
        <v>598</v>
      </c>
      <c r="N243" s="177" t="s">
        <v>217</v>
      </c>
      <c r="O243" s="178"/>
    </row>
    <row r="244" spans="1:16" ht="15" customHeight="1">
      <c r="A244" s="286">
        <v>44610</v>
      </c>
      <c r="B244" s="287" t="s">
        <v>154</v>
      </c>
      <c r="C244" s="227" t="s">
        <v>76</v>
      </c>
      <c r="D244" s="227"/>
      <c r="E244" s="212"/>
      <c r="F244" s="223">
        <v>700000</v>
      </c>
      <c r="G244" s="237">
        <f t="shared" si="3"/>
        <v>9801713</v>
      </c>
      <c r="H244" s="242" t="s">
        <v>25</v>
      </c>
      <c r="I244" s="227"/>
      <c r="J244" s="227"/>
      <c r="K244" s="227"/>
      <c r="L244" s="227" t="s">
        <v>188</v>
      </c>
      <c r="M244" s="227"/>
      <c r="N244" s="227"/>
      <c r="O244" s="227"/>
    </row>
    <row r="245" spans="1:16" ht="15" customHeight="1">
      <c r="A245" s="286">
        <v>44610</v>
      </c>
      <c r="B245" s="287" t="s">
        <v>285</v>
      </c>
      <c r="C245" s="227" t="s">
        <v>187</v>
      </c>
      <c r="D245" s="227" t="s">
        <v>239</v>
      </c>
      <c r="E245" s="212"/>
      <c r="F245" s="223">
        <v>21000</v>
      </c>
      <c r="G245" s="237">
        <f t="shared" si="3"/>
        <v>9780713</v>
      </c>
      <c r="H245" s="288" t="s">
        <v>25</v>
      </c>
      <c r="I245" s="227" t="s">
        <v>230</v>
      </c>
      <c r="J245" s="227" t="s">
        <v>103</v>
      </c>
      <c r="K245" s="227" t="s">
        <v>481</v>
      </c>
      <c r="L245" s="227" t="s">
        <v>188</v>
      </c>
      <c r="M245" s="178" t="s">
        <v>599</v>
      </c>
      <c r="N245" s="328" t="s">
        <v>204</v>
      </c>
      <c r="O245" s="227"/>
    </row>
    <row r="246" spans="1:16" ht="15" customHeight="1">
      <c r="A246" s="283">
        <v>44610</v>
      </c>
      <c r="B246" s="227" t="s">
        <v>301</v>
      </c>
      <c r="C246" s="227" t="s">
        <v>193</v>
      </c>
      <c r="D246" s="237" t="s">
        <v>239</v>
      </c>
      <c r="E246" s="211"/>
      <c r="F246" s="222">
        <v>500000</v>
      </c>
      <c r="G246" s="237">
        <f t="shared" si="3"/>
        <v>9280713</v>
      </c>
      <c r="H246" s="227" t="s">
        <v>160</v>
      </c>
      <c r="I246" s="280">
        <v>3643617</v>
      </c>
      <c r="J246" s="227" t="s">
        <v>103</v>
      </c>
      <c r="K246" s="227" t="s">
        <v>481</v>
      </c>
      <c r="L246" s="227" t="s">
        <v>188</v>
      </c>
      <c r="M246" s="178" t="s">
        <v>600</v>
      </c>
      <c r="N246" s="328" t="s">
        <v>212</v>
      </c>
      <c r="O246" s="227"/>
    </row>
    <row r="247" spans="1:16" ht="15" customHeight="1">
      <c r="A247" s="283">
        <v>44610</v>
      </c>
      <c r="B247" s="227" t="s">
        <v>316</v>
      </c>
      <c r="C247" s="227" t="s">
        <v>34</v>
      </c>
      <c r="D247" s="227" t="s">
        <v>2</v>
      </c>
      <c r="E247" s="211"/>
      <c r="F247" s="320">
        <v>10000</v>
      </c>
      <c r="G247" s="237">
        <f t="shared" si="3"/>
        <v>9270713</v>
      </c>
      <c r="H247" s="227" t="s">
        <v>154</v>
      </c>
      <c r="I247" s="280" t="s">
        <v>230</v>
      </c>
      <c r="J247" s="227" t="s">
        <v>103</v>
      </c>
      <c r="K247" s="227" t="s">
        <v>481</v>
      </c>
      <c r="L247" s="227" t="s">
        <v>188</v>
      </c>
      <c r="M247" s="178" t="s">
        <v>601</v>
      </c>
      <c r="N247" s="328" t="s">
        <v>215</v>
      </c>
      <c r="O247" s="227"/>
    </row>
    <row r="248" spans="1:16" ht="15" customHeight="1">
      <c r="A248" s="283">
        <v>44610</v>
      </c>
      <c r="B248" s="227" t="s">
        <v>335</v>
      </c>
      <c r="C248" s="227" t="s">
        <v>76</v>
      </c>
      <c r="D248" s="227"/>
      <c r="E248" s="213">
        <v>700000</v>
      </c>
      <c r="F248" s="221"/>
      <c r="G248" s="237">
        <f t="shared" si="3"/>
        <v>9970713</v>
      </c>
      <c r="H248" s="227" t="s">
        <v>154</v>
      </c>
      <c r="I248" s="280"/>
      <c r="J248" s="227"/>
      <c r="K248" s="227"/>
      <c r="L248" s="227" t="s">
        <v>188</v>
      </c>
      <c r="M248" s="227"/>
      <c r="N248" s="227"/>
      <c r="O248" s="227"/>
    </row>
    <row r="249" spans="1:16" s="249" customFormat="1" ht="15" customHeight="1">
      <c r="A249" s="284">
        <v>44610</v>
      </c>
      <c r="B249" s="227" t="s">
        <v>375</v>
      </c>
      <c r="C249" s="227" t="s">
        <v>76</v>
      </c>
      <c r="D249" s="231"/>
      <c r="E249" s="315">
        <v>140000</v>
      </c>
      <c r="F249" s="321"/>
      <c r="G249" s="237">
        <f t="shared" si="3"/>
        <v>10110713</v>
      </c>
      <c r="H249" s="227" t="s">
        <v>48</v>
      </c>
      <c r="I249" s="280"/>
      <c r="J249" s="231"/>
      <c r="K249" s="227"/>
      <c r="L249" s="227" t="s">
        <v>188</v>
      </c>
      <c r="M249" s="178"/>
      <c r="N249" s="227"/>
      <c r="O249" s="231"/>
      <c r="P249" s="178"/>
    </row>
    <row r="250" spans="1:16" s="249" customFormat="1" ht="15" customHeight="1">
      <c r="A250" s="283">
        <v>44610</v>
      </c>
      <c r="B250" s="178" t="s">
        <v>446</v>
      </c>
      <c r="C250" s="178" t="s">
        <v>76</v>
      </c>
      <c r="D250" s="178"/>
      <c r="E250" s="222">
        <v>140000</v>
      </c>
      <c r="F250" s="222"/>
      <c r="G250" s="237">
        <f t="shared" si="3"/>
        <v>10250713</v>
      </c>
      <c r="H250" s="178" t="s">
        <v>49</v>
      </c>
      <c r="I250" s="183"/>
      <c r="J250" s="183"/>
      <c r="K250" s="183"/>
      <c r="L250" s="227" t="s">
        <v>188</v>
      </c>
      <c r="M250" s="178"/>
      <c r="N250" s="177"/>
      <c r="O250" s="178"/>
      <c r="P250" s="235"/>
    </row>
    <row r="251" spans="1:16" ht="15" customHeight="1">
      <c r="A251" s="286">
        <v>44610</v>
      </c>
      <c r="B251" s="184" t="s">
        <v>515</v>
      </c>
      <c r="C251" s="178" t="s">
        <v>159</v>
      </c>
      <c r="D251" s="226" t="s">
        <v>260</v>
      </c>
      <c r="E251" s="223"/>
      <c r="F251" s="324">
        <v>60000</v>
      </c>
      <c r="G251" s="237">
        <f t="shared" si="3"/>
        <v>10190713</v>
      </c>
      <c r="H251" s="206" t="s">
        <v>49</v>
      </c>
      <c r="I251" s="183" t="s">
        <v>349</v>
      </c>
      <c r="J251" s="178" t="s">
        <v>103</v>
      </c>
      <c r="K251" s="178" t="s">
        <v>481</v>
      </c>
      <c r="L251" s="227" t="s">
        <v>188</v>
      </c>
      <c r="M251" s="178" t="s">
        <v>602</v>
      </c>
      <c r="N251" s="177" t="s">
        <v>217</v>
      </c>
      <c r="O251" s="178"/>
      <c r="P251" s="235"/>
    </row>
    <row r="252" spans="1:16" ht="15" customHeight="1">
      <c r="A252" s="291">
        <v>44611</v>
      </c>
      <c r="B252" s="207" t="s">
        <v>441</v>
      </c>
      <c r="C252" s="178" t="s">
        <v>34</v>
      </c>
      <c r="D252" s="226" t="s">
        <v>260</v>
      </c>
      <c r="E252" s="224"/>
      <c r="F252" s="224">
        <v>50000</v>
      </c>
      <c r="G252" s="237">
        <f t="shared" si="3"/>
        <v>10140713</v>
      </c>
      <c r="H252" s="209" t="s">
        <v>49</v>
      </c>
      <c r="I252" s="183" t="s">
        <v>349</v>
      </c>
      <c r="J252" s="216" t="s">
        <v>168</v>
      </c>
      <c r="K252" s="209" t="s">
        <v>482</v>
      </c>
      <c r="L252" s="227" t="s">
        <v>188</v>
      </c>
      <c r="N252" s="178"/>
      <c r="O252" s="178"/>
      <c r="P252" s="235"/>
    </row>
    <row r="253" spans="1:16" ht="15" customHeight="1">
      <c r="A253" s="283">
        <v>44611</v>
      </c>
      <c r="B253" s="227" t="s">
        <v>336</v>
      </c>
      <c r="C253" s="227" t="s">
        <v>35</v>
      </c>
      <c r="D253" s="226" t="s">
        <v>260</v>
      </c>
      <c r="E253" s="211"/>
      <c r="F253" s="220">
        <v>500</v>
      </c>
      <c r="G253" s="237">
        <f t="shared" si="3"/>
        <v>10140213</v>
      </c>
      <c r="H253" s="227" t="s">
        <v>154</v>
      </c>
      <c r="I253" s="280" t="s">
        <v>230</v>
      </c>
      <c r="J253" s="227" t="s">
        <v>168</v>
      </c>
      <c r="K253" s="227" t="s">
        <v>482</v>
      </c>
      <c r="L253" s="227" t="s">
        <v>188</v>
      </c>
      <c r="M253" s="227"/>
      <c r="N253" s="227"/>
      <c r="O253" s="227"/>
    </row>
    <row r="254" spans="1:16" s="249" customFormat="1" ht="15" customHeight="1">
      <c r="A254" s="291">
        <v>44611</v>
      </c>
      <c r="B254" s="292" t="s">
        <v>337</v>
      </c>
      <c r="C254" s="227" t="s">
        <v>76</v>
      </c>
      <c r="D254" s="287"/>
      <c r="E254" s="213"/>
      <c r="F254" s="320">
        <v>140000</v>
      </c>
      <c r="G254" s="237">
        <f t="shared" si="3"/>
        <v>10000213</v>
      </c>
      <c r="H254" s="293" t="s">
        <v>154</v>
      </c>
      <c r="I254" s="280"/>
      <c r="J254" s="227"/>
      <c r="K254" s="227"/>
      <c r="L254" s="227" t="s">
        <v>188</v>
      </c>
      <c r="M254" s="178"/>
      <c r="N254" s="227"/>
      <c r="O254" s="227"/>
      <c r="P254" s="178"/>
    </row>
    <row r="255" spans="1:16" ht="15" customHeight="1">
      <c r="A255" s="283">
        <v>44611</v>
      </c>
      <c r="B255" s="227" t="s">
        <v>338</v>
      </c>
      <c r="C255" s="227" t="s">
        <v>76</v>
      </c>
      <c r="D255" s="227"/>
      <c r="E255" s="213"/>
      <c r="F255" s="221">
        <v>140000</v>
      </c>
      <c r="G255" s="237">
        <f t="shared" si="3"/>
        <v>9860213</v>
      </c>
      <c r="H255" s="227" t="s">
        <v>154</v>
      </c>
      <c r="I255" s="280"/>
      <c r="J255" s="227"/>
      <c r="K255" s="227"/>
      <c r="L255" s="227" t="s">
        <v>188</v>
      </c>
      <c r="M255" s="227"/>
      <c r="N255" s="227"/>
      <c r="O255" s="227"/>
    </row>
    <row r="256" spans="1:16" ht="15" customHeight="1">
      <c r="A256" s="283">
        <v>44611</v>
      </c>
      <c r="B256" s="227" t="s">
        <v>339</v>
      </c>
      <c r="C256" s="227" t="s">
        <v>76</v>
      </c>
      <c r="D256" s="227"/>
      <c r="E256" s="211"/>
      <c r="F256" s="320">
        <v>100000</v>
      </c>
      <c r="G256" s="237">
        <f t="shared" si="3"/>
        <v>9760213</v>
      </c>
      <c r="H256" s="227" t="s">
        <v>154</v>
      </c>
      <c r="I256" s="280"/>
      <c r="J256" s="227"/>
      <c r="K256" s="227"/>
      <c r="L256" s="227" t="s">
        <v>188</v>
      </c>
      <c r="N256" s="227"/>
      <c r="O256" s="227"/>
    </row>
    <row r="257" spans="1:16" s="249" customFormat="1" ht="15" customHeight="1">
      <c r="A257" s="283">
        <v>44611</v>
      </c>
      <c r="B257" s="227" t="s">
        <v>340</v>
      </c>
      <c r="C257" s="227" t="s">
        <v>271</v>
      </c>
      <c r="D257" s="226" t="s">
        <v>260</v>
      </c>
      <c r="E257" s="213"/>
      <c r="F257" s="320">
        <v>170000</v>
      </c>
      <c r="G257" s="237">
        <f t="shared" si="3"/>
        <v>9590213</v>
      </c>
      <c r="H257" s="227" t="s">
        <v>154</v>
      </c>
      <c r="I257" s="280" t="s">
        <v>249</v>
      </c>
      <c r="J257" s="227" t="s">
        <v>168</v>
      </c>
      <c r="K257" s="227" t="s">
        <v>482</v>
      </c>
      <c r="L257" s="227" t="s">
        <v>188</v>
      </c>
      <c r="M257" s="178"/>
      <c r="N257" s="227"/>
      <c r="O257" s="227"/>
      <c r="P257" s="178"/>
    </row>
    <row r="258" spans="1:16" s="249" customFormat="1" ht="15" customHeight="1">
      <c r="A258" s="283">
        <v>44611</v>
      </c>
      <c r="B258" s="227" t="s">
        <v>341</v>
      </c>
      <c r="C258" s="227" t="s">
        <v>271</v>
      </c>
      <c r="D258" s="226" t="s">
        <v>260</v>
      </c>
      <c r="E258" s="211"/>
      <c r="F258" s="222">
        <v>20000</v>
      </c>
      <c r="G258" s="237">
        <f t="shared" si="3"/>
        <v>9570213</v>
      </c>
      <c r="H258" s="227" t="s">
        <v>154</v>
      </c>
      <c r="I258" s="280" t="s">
        <v>249</v>
      </c>
      <c r="J258" s="227" t="s">
        <v>168</v>
      </c>
      <c r="K258" s="227" t="s">
        <v>482</v>
      </c>
      <c r="L258" s="227" t="s">
        <v>188</v>
      </c>
      <c r="M258" s="227"/>
      <c r="N258" s="227"/>
      <c r="O258" s="227"/>
      <c r="P258" s="178"/>
    </row>
    <row r="259" spans="1:16" ht="15" customHeight="1">
      <c r="A259" s="283">
        <v>44611</v>
      </c>
      <c r="B259" s="227" t="s">
        <v>342</v>
      </c>
      <c r="C259" s="227" t="s">
        <v>34</v>
      </c>
      <c r="D259" s="227" t="s">
        <v>2</v>
      </c>
      <c r="E259" s="211"/>
      <c r="F259" s="222">
        <v>50000</v>
      </c>
      <c r="G259" s="237">
        <f t="shared" si="3"/>
        <v>9520213</v>
      </c>
      <c r="H259" s="227" t="s">
        <v>154</v>
      </c>
      <c r="I259" s="280" t="s">
        <v>230</v>
      </c>
      <c r="J259" s="288" t="s">
        <v>168</v>
      </c>
      <c r="K259" s="242" t="s">
        <v>482</v>
      </c>
      <c r="L259" s="227" t="s">
        <v>188</v>
      </c>
      <c r="M259" s="227"/>
      <c r="N259" s="227"/>
      <c r="O259" s="227"/>
    </row>
    <row r="260" spans="1:16" ht="15" customHeight="1">
      <c r="A260" s="283">
        <v>44611</v>
      </c>
      <c r="B260" s="227" t="s">
        <v>488</v>
      </c>
      <c r="C260" s="178" t="s">
        <v>159</v>
      </c>
      <c r="D260" s="226" t="s">
        <v>260</v>
      </c>
      <c r="E260" s="213"/>
      <c r="F260" s="320">
        <v>26000</v>
      </c>
      <c r="G260" s="237">
        <f t="shared" si="3"/>
        <v>9494213</v>
      </c>
      <c r="H260" s="227" t="s">
        <v>154</v>
      </c>
      <c r="I260" s="280" t="s">
        <v>230</v>
      </c>
      <c r="J260" s="227" t="s">
        <v>168</v>
      </c>
      <c r="K260" s="227" t="s">
        <v>482</v>
      </c>
      <c r="L260" s="227" t="s">
        <v>188</v>
      </c>
      <c r="N260" s="227"/>
      <c r="O260" s="227"/>
    </row>
    <row r="261" spans="1:16" ht="15" customHeight="1">
      <c r="A261" s="283">
        <v>44611</v>
      </c>
      <c r="B261" s="226" t="s">
        <v>376</v>
      </c>
      <c r="C261" s="178" t="s">
        <v>159</v>
      </c>
      <c r="D261" s="226" t="s">
        <v>260</v>
      </c>
      <c r="E261" s="213"/>
      <c r="F261" s="320">
        <v>9500</v>
      </c>
      <c r="G261" s="237">
        <f t="shared" si="3"/>
        <v>9484713</v>
      </c>
      <c r="H261" s="227" t="s">
        <v>48</v>
      </c>
      <c r="I261" s="280" t="s">
        <v>249</v>
      </c>
      <c r="J261" s="227" t="s">
        <v>168</v>
      </c>
      <c r="K261" s="227" t="s">
        <v>482</v>
      </c>
      <c r="L261" s="227" t="s">
        <v>188</v>
      </c>
      <c r="N261" s="231"/>
      <c r="O261" s="231"/>
    </row>
    <row r="262" spans="1:16" s="249" customFormat="1" ht="15" customHeight="1">
      <c r="A262" s="283">
        <v>44611</v>
      </c>
      <c r="B262" s="226" t="s">
        <v>377</v>
      </c>
      <c r="C262" s="227" t="s">
        <v>34</v>
      </c>
      <c r="D262" s="226" t="s">
        <v>260</v>
      </c>
      <c r="E262" s="213"/>
      <c r="F262" s="320">
        <v>15000</v>
      </c>
      <c r="G262" s="237">
        <f t="shared" si="3"/>
        <v>9469713</v>
      </c>
      <c r="H262" s="227" t="s">
        <v>48</v>
      </c>
      <c r="I262" s="280" t="s">
        <v>230</v>
      </c>
      <c r="J262" s="227" t="s">
        <v>168</v>
      </c>
      <c r="K262" s="227" t="s">
        <v>482</v>
      </c>
      <c r="L262" s="227" t="s">
        <v>188</v>
      </c>
      <c r="M262" s="178"/>
      <c r="N262" s="231"/>
      <c r="O262" s="231"/>
      <c r="P262" s="178"/>
    </row>
    <row r="263" spans="1:16" s="249" customFormat="1" ht="15" customHeight="1">
      <c r="A263" s="283">
        <v>44611</v>
      </c>
      <c r="B263" s="178" t="s">
        <v>409</v>
      </c>
      <c r="C263" s="178" t="s">
        <v>159</v>
      </c>
      <c r="D263" s="226" t="s">
        <v>260</v>
      </c>
      <c r="E263" s="220"/>
      <c r="F263" s="220">
        <v>10000</v>
      </c>
      <c r="G263" s="237">
        <f t="shared" si="3"/>
        <v>9459713</v>
      </c>
      <c r="H263" s="178" t="s">
        <v>31</v>
      </c>
      <c r="I263" s="183" t="s">
        <v>230</v>
      </c>
      <c r="J263" s="183" t="s">
        <v>168</v>
      </c>
      <c r="K263" s="178" t="s">
        <v>482</v>
      </c>
      <c r="L263" s="227" t="s">
        <v>188</v>
      </c>
      <c r="M263" s="178"/>
      <c r="N263" s="177"/>
    </row>
    <row r="264" spans="1:16" ht="15" customHeight="1">
      <c r="A264" s="283">
        <v>44611</v>
      </c>
      <c r="B264" s="178" t="s">
        <v>425</v>
      </c>
      <c r="C264" s="178" t="s">
        <v>159</v>
      </c>
      <c r="D264" s="227" t="s">
        <v>166</v>
      </c>
      <c r="E264" s="222"/>
      <c r="F264" s="221">
        <v>8650</v>
      </c>
      <c r="G264" s="237">
        <f t="shared" si="3"/>
        <v>9451063</v>
      </c>
      <c r="H264" s="178" t="s">
        <v>155</v>
      </c>
      <c r="I264" s="183" t="s">
        <v>249</v>
      </c>
      <c r="J264" s="183" t="s">
        <v>168</v>
      </c>
      <c r="K264" s="183" t="s">
        <v>482</v>
      </c>
      <c r="L264" s="227" t="s">
        <v>188</v>
      </c>
      <c r="O264" s="178"/>
    </row>
    <row r="265" spans="1:16" ht="15" customHeight="1">
      <c r="A265" s="286">
        <v>44611</v>
      </c>
      <c r="B265" s="184" t="s">
        <v>448</v>
      </c>
      <c r="C265" s="178" t="s">
        <v>76</v>
      </c>
      <c r="D265" s="184"/>
      <c r="E265" s="223">
        <v>100000</v>
      </c>
      <c r="F265" s="223"/>
      <c r="G265" s="237">
        <f t="shared" si="3"/>
        <v>9551063</v>
      </c>
      <c r="H265" s="205" t="s">
        <v>49</v>
      </c>
      <c r="L265" s="227" t="s">
        <v>188</v>
      </c>
      <c r="M265" s="177"/>
      <c r="O265" s="178"/>
      <c r="P265" s="235"/>
    </row>
    <row r="266" spans="1:16" s="249" customFormat="1" ht="15" customHeight="1">
      <c r="A266" s="283">
        <v>44611</v>
      </c>
      <c r="B266" s="178" t="s">
        <v>466</v>
      </c>
      <c r="C266" s="178" t="s">
        <v>34</v>
      </c>
      <c r="D266" s="227" t="s">
        <v>4</v>
      </c>
      <c r="E266" s="220"/>
      <c r="F266" s="320">
        <v>4000</v>
      </c>
      <c r="G266" s="237">
        <f t="shared" si="3"/>
        <v>9547063</v>
      </c>
      <c r="H266" s="178" t="s">
        <v>29</v>
      </c>
      <c r="I266" s="183" t="s">
        <v>230</v>
      </c>
      <c r="J266" s="183" t="s">
        <v>103</v>
      </c>
      <c r="K266" s="183" t="s">
        <v>481</v>
      </c>
      <c r="L266" s="227" t="s">
        <v>188</v>
      </c>
      <c r="M266" s="178" t="s">
        <v>603</v>
      </c>
      <c r="N266" s="177" t="s">
        <v>215</v>
      </c>
      <c r="O266" s="178"/>
      <c r="P266" s="228"/>
    </row>
    <row r="267" spans="1:16" ht="15" customHeight="1">
      <c r="A267" s="283">
        <v>44611</v>
      </c>
      <c r="B267" s="178" t="s">
        <v>467</v>
      </c>
      <c r="C267" s="178" t="s">
        <v>34</v>
      </c>
      <c r="D267" s="227" t="s">
        <v>4</v>
      </c>
      <c r="E267" s="220"/>
      <c r="F267" s="320">
        <v>10000</v>
      </c>
      <c r="G267" s="237">
        <f t="shared" si="3"/>
        <v>9537063</v>
      </c>
      <c r="H267" s="178" t="s">
        <v>29</v>
      </c>
      <c r="I267" s="183" t="s">
        <v>230</v>
      </c>
      <c r="J267" s="183" t="s">
        <v>103</v>
      </c>
      <c r="K267" s="183" t="s">
        <v>481</v>
      </c>
      <c r="L267" s="227" t="s">
        <v>188</v>
      </c>
      <c r="M267" s="178" t="s">
        <v>604</v>
      </c>
      <c r="N267" s="177" t="s">
        <v>215</v>
      </c>
      <c r="O267" s="178"/>
    </row>
    <row r="268" spans="1:16" s="249" customFormat="1" ht="15" customHeight="1">
      <c r="A268" s="283">
        <v>44611</v>
      </c>
      <c r="B268" s="178" t="s">
        <v>521</v>
      </c>
      <c r="C268" s="178" t="s">
        <v>159</v>
      </c>
      <c r="D268" s="227" t="s">
        <v>4</v>
      </c>
      <c r="E268" s="220"/>
      <c r="F268" s="220">
        <v>75000</v>
      </c>
      <c r="G268" s="237">
        <f t="shared" si="3"/>
        <v>9462063</v>
      </c>
      <c r="H268" s="178" t="s">
        <v>29</v>
      </c>
      <c r="I268" s="183" t="s">
        <v>230</v>
      </c>
      <c r="J268" s="178" t="s">
        <v>103</v>
      </c>
      <c r="K268" s="178" t="s">
        <v>481</v>
      </c>
      <c r="L268" s="227" t="s">
        <v>188</v>
      </c>
      <c r="M268" s="178" t="s">
        <v>605</v>
      </c>
      <c r="N268" s="177" t="s">
        <v>217</v>
      </c>
      <c r="O268" s="178"/>
      <c r="P268" s="228"/>
    </row>
    <row r="269" spans="1:16" ht="15" customHeight="1">
      <c r="A269" s="283">
        <v>44612</v>
      </c>
      <c r="B269" s="227" t="s">
        <v>510</v>
      </c>
      <c r="C269" s="178" t="s">
        <v>159</v>
      </c>
      <c r="D269" s="226" t="s">
        <v>260</v>
      </c>
      <c r="E269" s="213"/>
      <c r="F269" s="320">
        <v>30000</v>
      </c>
      <c r="G269" s="237">
        <f t="shared" ref="G269:G332" si="4">+G268+E269-F269</f>
        <v>9432063</v>
      </c>
      <c r="H269" s="227" t="s">
        <v>154</v>
      </c>
      <c r="I269" s="280" t="s">
        <v>230</v>
      </c>
      <c r="J269" s="227" t="s">
        <v>103</v>
      </c>
      <c r="K269" s="227" t="s">
        <v>481</v>
      </c>
      <c r="L269" s="227" t="s">
        <v>188</v>
      </c>
      <c r="M269" s="178" t="s">
        <v>606</v>
      </c>
      <c r="N269" s="328" t="s">
        <v>217</v>
      </c>
      <c r="O269" s="227"/>
    </row>
    <row r="270" spans="1:16" ht="15" customHeight="1">
      <c r="A270" s="291">
        <v>44612</v>
      </c>
      <c r="B270" s="207" t="s">
        <v>426</v>
      </c>
      <c r="C270" s="178" t="s">
        <v>159</v>
      </c>
      <c r="D270" s="227" t="s">
        <v>166</v>
      </c>
      <c r="E270" s="224"/>
      <c r="F270" s="224">
        <v>30000</v>
      </c>
      <c r="G270" s="237">
        <f t="shared" si="4"/>
        <v>9402063</v>
      </c>
      <c r="H270" s="209" t="s">
        <v>155</v>
      </c>
      <c r="I270" s="183" t="s">
        <v>230</v>
      </c>
      <c r="J270" s="183" t="s">
        <v>103</v>
      </c>
      <c r="K270" s="178" t="s">
        <v>481</v>
      </c>
      <c r="L270" s="227" t="s">
        <v>188</v>
      </c>
      <c r="M270" s="178" t="s">
        <v>607</v>
      </c>
      <c r="N270" s="177" t="s">
        <v>217</v>
      </c>
      <c r="O270" s="178"/>
    </row>
    <row r="271" spans="1:16" ht="15" customHeight="1">
      <c r="A271" s="283">
        <v>44612</v>
      </c>
      <c r="B271" s="178" t="s">
        <v>447</v>
      </c>
      <c r="C271" s="178" t="s">
        <v>159</v>
      </c>
      <c r="D271" s="226" t="s">
        <v>260</v>
      </c>
      <c r="E271" s="222"/>
      <c r="F271" s="221">
        <v>140000</v>
      </c>
      <c r="G271" s="237">
        <f t="shared" si="4"/>
        <v>9262063</v>
      </c>
      <c r="H271" s="178" t="s">
        <v>49</v>
      </c>
      <c r="I271" s="183" t="s">
        <v>349</v>
      </c>
      <c r="J271" s="183" t="s">
        <v>168</v>
      </c>
      <c r="K271" s="183" t="s">
        <v>482</v>
      </c>
      <c r="L271" s="227" t="s">
        <v>188</v>
      </c>
      <c r="O271" s="178"/>
      <c r="P271" s="235"/>
    </row>
    <row r="272" spans="1:16" ht="15" customHeight="1">
      <c r="A272" s="283">
        <v>44612</v>
      </c>
      <c r="B272" s="178" t="s">
        <v>513</v>
      </c>
      <c r="C272" s="178" t="s">
        <v>159</v>
      </c>
      <c r="D272" s="226" t="s">
        <v>260</v>
      </c>
      <c r="E272" s="220"/>
      <c r="F272" s="320">
        <v>15000</v>
      </c>
      <c r="G272" s="237">
        <f t="shared" si="4"/>
        <v>9247063</v>
      </c>
      <c r="H272" s="178" t="s">
        <v>49</v>
      </c>
      <c r="I272" s="183" t="s">
        <v>349</v>
      </c>
      <c r="J272" s="178" t="s">
        <v>103</v>
      </c>
      <c r="K272" s="178" t="s">
        <v>481</v>
      </c>
      <c r="L272" s="227" t="s">
        <v>188</v>
      </c>
      <c r="M272" s="178" t="s">
        <v>608</v>
      </c>
      <c r="N272" s="177" t="s">
        <v>217</v>
      </c>
      <c r="O272" s="178"/>
      <c r="P272" s="235"/>
    </row>
    <row r="273" spans="1:16" ht="15" customHeight="1">
      <c r="A273" s="283">
        <v>44612</v>
      </c>
      <c r="B273" s="227" t="s">
        <v>343</v>
      </c>
      <c r="C273" s="227" t="s">
        <v>76</v>
      </c>
      <c r="D273" s="227"/>
      <c r="E273" s="213"/>
      <c r="F273" s="320">
        <v>460000</v>
      </c>
      <c r="G273" s="237">
        <f t="shared" si="4"/>
        <v>8787063</v>
      </c>
      <c r="H273" s="227" t="s">
        <v>154</v>
      </c>
      <c r="I273" s="280"/>
      <c r="J273" s="227"/>
      <c r="K273" s="227"/>
      <c r="L273" s="227" t="s">
        <v>188</v>
      </c>
      <c r="N273" s="227"/>
      <c r="O273" s="227"/>
    </row>
    <row r="274" spans="1:16" ht="15" customHeight="1">
      <c r="A274" s="283">
        <v>44612</v>
      </c>
      <c r="B274" s="227" t="s">
        <v>659</v>
      </c>
      <c r="C274" s="227" t="s">
        <v>34</v>
      </c>
      <c r="D274" s="227" t="s">
        <v>2</v>
      </c>
      <c r="E274" s="211"/>
      <c r="F274" s="320">
        <v>10000</v>
      </c>
      <c r="G274" s="237">
        <f t="shared" si="4"/>
        <v>8777063</v>
      </c>
      <c r="H274" s="227" t="s">
        <v>154</v>
      </c>
      <c r="I274" s="280" t="s">
        <v>230</v>
      </c>
      <c r="J274" s="227" t="s">
        <v>103</v>
      </c>
      <c r="K274" s="227" t="s">
        <v>481</v>
      </c>
      <c r="L274" s="227" t="s">
        <v>188</v>
      </c>
      <c r="M274" s="178" t="s">
        <v>609</v>
      </c>
      <c r="N274" s="328" t="s">
        <v>215</v>
      </c>
      <c r="O274" s="227"/>
    </row>
    <row r="275" spans="1:16" ht="15" customHeight="1">
      <c r="A275" s="286">
        <v>44612</v>
      </c>
      <c r="B275" s="227" t="s">
        <v>378</v>
      </c>
      <c r="C275" s="178" t="s">
        <v>159</v>
      </c>
      <c r="D275" s="226" t="s">
        <v>260</v>
      </c>
      <c r="E275" s="213"/>
      <c r="F275" s="320">
        <v>140000</v>
      </c>
      <c r="G275" s="237">
        <f t="shared" si="4"/>
        <v>8637063</v>
      </c>
      <c r="H275" s="227" t="s">
        <v>48</v>
      </c>
      <c r="I275" s="280" t="s">
        <v>230</v>
      </c>
      <c r="J275" s="227" t="s">
        <v>168</v>
      </c>
      <c r="K275" s="227" t="s">
        <v>482</v>
      </c>
      <c r="L275" s="227" t="s">
        <v>188</v>
      </c>
      <c r="N275" s="227"/>
      <c r="O275" s="227"/>
    </row>
    <row r="276" spans="1:16" ht="15" customHeight="1">
      <c r="A276" s="283">
        <v>44612</v>
      </c>
      <c r="B276" s="227" t="s">
        <v>375</v>
      </c>
      <c r="C276" s="227" t="s">
        <v>76</v>
      </c>
      <c r="D276" s="227"/>
      <c r="E276" s="211">
        <v>460000</v>
      </c>
      <c r="F276" s="220"/>
      <c r="G276" s="237">
        <f t="shared" si="4"/>
        <v>9097063</v>
      </c>
      <c r="H276" s="227" t="s">
        <v>48</v>
      </c>
      <c r="I276" s="280"/>
      <c r="J276" s="227"/>
      <c r="K276" s="227"/>
      <c r="L276" s="227" t="s">
        <v>188</v>
      </c>
      <c r="M276" s="227"/>
      <c r="N276" s="227"/>
      <c r="O276" s="227"/>
    </row>
    <row r="277" spans="1:16" ht="15" customHeight="1">
      <c r="A277" s="285">
        <v>44612</v>
      </c>
      <c r="B277" s="227" t="s">
        <v>379</v>
      </c>
      <c r="C277" s="178" t="s">
        <v>159</v>
      </c>
      <c r="D277" s="226" t="s">
        <v>260</v>
      </c>
      <c r="E277" s="213"/>
      <c r="F277" s="320">
        <v>26000</v>
      </c>
      <c r="G277" s="237">
        <f t="shared" si="4"/>
        <v>9071063</v>
      </c>
      <c r="H277" s="227" t="s">
        <v>48</v>
      </c>
      <c r="I277" s="280" t="s">
        <v>230</v>
      </c>
      <c r="J277" s="227" t="s">
        <v>168</v>
      </c>
      <c r="K277" s="227" t="s">
        <v>482</v>
      </c>
      <c r="L277" s="227" t="s">
        <v>188</v>
      </c>
      <c r="N277" s="231"/>
      <c r="O277" s="227"/>
    </row>
    <row r="278" spans="1:16" ht="15" customHeight="1">
      <c r="A278" s="286">
        <v>44612</v>
      </c>
      <c r="B278" s="184" t="s">
        <v>487</v>
      </c>
      <c r="C278" s="178" t="s">
        <v>34</v>
      </c>
      <c r="D278" s="227" t="s">
        <v>166</v>
      </c>
      <c r="E278" s="223"/>
      <c r="F278" s="324">
        <v>5000</v>
      </c>
      <c r="G278" s="237">
        <f t="shared" si="4"/>
        <v>9066063</v>
      </c>
      <c r="H278" s="206" t="s">
        <v>155</v>
      </c>
      <c r="I278" s="183" t="s">
        <v>230</v>
      </c>
      <c r="J278" s="228" t="s">
        <v>103</v>
      </c>
      <c r="K278" s="228" t="s">
        <v>481</v>
      </c>
      <c r="L278" s="227" t="s">
        <v>188</v>
      </c>
      <c r="M278" s="178" t="s">
        <v>610</v>
      </c>
      <c r="N278" s="243" t="s">
        <v>215</v>
      </c>
      <c r="O278" s="177"/>
    </row>
    <row r="279" spans="1:16" ht="15" customHeight="1">
      <c r="A279" s="283">
        <v>44612</v>
      </c>
      <c r="B279" s="178" t="s">
        <v>443</v>
      </c>
      <c r="C279" s="178" t="s">
        <v>34</v>
      </c>
      <c r="D279" s="227" t="s">
        <v>4</v>
      </c>
      <c r="E279" s="220"/>
      <c r="F279" s="320">
        <v>8000</v>
      </c>
      <c r="G279" s="237">
        <f t="shared" si="4"/>
        <v>9058063</v>
      </c>
      <c r="H279" s="178" t="s">
        <v>49</v>
      </c>
      <c r="I279" s="183" t="s">
        <v>349</v>
      </c>
      <c r="J279" s="228" t="s">
        <v>103</v>
      </c>
      <c r="K279" s="228" t="s">
        <v>481</v>
      </c>
      <c r="L279" s="227" t="s">
        <v>188</v>
      </c>
      <c r="M279" s="178" t="s">
        <v>611</v>
      </c>
      <c r="N279" s="243" t="s">
        <v>215</v>
      </c>
      <c r="O279" s="178"/>
      <c r="P279" s="235"/>
    </row>
    <row r="280" spans="1:16" ht="15" customHeight="1">
      <c r="A280" s="283">
        <v>44613</v>
      </c>
      <c r="B280" s="227" t="s">
        <v>155</v>
      </c>
      <c r="C280" s="227" t="s">
        <v>76</v>
      </c>
      <c r="D280" s="227"/>
      <c r="E280" s="211"/>
      <c r="F280" s="220">
        <v>324000</v>
      </c>
      <c r="G280" s="237">
        <f t="shared" si="4"/>
        <v>8734063</v>
      </c>
      <c r="H280" s="227" t="s">
        <v>25</v>
      </c>
      <c r="I280" s="227"/>
      <c r="J280" s="227"/>
      <c r="K280" s="227"/>
      <c r="L280" s="227" t="s">
        <v>188</v>
      </c>
      <c r="M280" s="227"/>
      <c r="N280" s="227"/>
      <c r="O280" s="227"/>
    </row>
    <row r="281" spans="1:16" ht="15" customHeight="1">
      <c r="A281" s="283">
        <v>44613</v>
      </c>
      <c r="B281" s="227" t="s">
        <v>286</v>
      </c>
      <c r="C281" s="227" t="s">
        <v>187</v>
      </c>
      <c r="D281" s="227" t="s">
        <v>239</v>
      </c>
      <c r="E281" s="190"/>
      <c r="F281" s="195">
        <v>9720</v>
      </c>
      <c r="G281" s="237">
        <f t="shared" si="4"/>
        <v>8724343</v>
      </c>
      <c r="H281" s="227" t="s">
        <v>25</v>
      </c>
      <c r="I281" s="227" t="s">
        <v>230</v>
      </c>
      <c r="J281" s="227" t="s">
        <v>103</v>
      </c>
      <c r="K281" s="227" t="s">
        <v>481</v>
      </c>
      <c r="L281" s="227" t="s">
        <v>188</v>
      </c>
      <c r="M281" s="178" t="s">
        <v>612</v>
      </c>
      <c r="N281" s="328" t="s">
        <v>204</v>
      </c>
      <c r="O281" s="227"/>
    </row>
    <row r="282" spans="1:16" ht="15" customHeight="1">
      <c r="A282" s="283">
        <v>44613</v>
      </c>
      <c r="B282" s="227" t="s">
        <v>380</v>
      </c>
      <c r="C282" s="178" t="s">
        <v>159</v>
      </c>
      <c r="D282" s="226" t="s">
        <v>260</v>
      </c>
      <c r="E282" s="211"/>
      <c r="F282" s="320">
        <v>27000</v>
      </c>
      <c r="G282" s="237">
        <f t="shared" si="4"/>
        <v>8697343</v>
      </c>
      <c r="H282" s="227" t="s">
        <v>48</v>
      </c>
      <c r="I282" s="280" t="s">
        <v>230</v>
      </c>
      <c r="J282" s="227" t="s">
        <v>168</v>
      </c>
      <c r="K282" s="227" t="s">
        <v>482</v>
      </c>
      <c r="L282" s="227" t="s">
        <v>188</v>
      </c>
      <c r="N282" s="231"/>
      <c r="O282" s="227"/>
    </row>
    <row r="283" spans="1:16" ht="15" customHeight="1">
      <c r="A283" s="285">
        <v>44613</v>
      </c>
      <c r="B283" s="201" t="s">
        <v>352</v>
      </c>
      <c r="C283" s="198" t="s">
        <v>76</v>
      </c>
      <c r="D283" s="211"/>
      <c r="E283" s="221">
        <v>324000</v>
      </c>
      <c r="F283" s="222"/>
      <c r="G283" s="237">
        <f t="shared" si="4"/>
        <v>9021343</v>
      </c>
      <c r="H283" s="178" t="s">
        <v>155</v>
      </c>
      <c r="J283" s="178"/>
      <c r="L283" s="227" t="s">
        <v>188</v>
      </c>
      <c r="O283" s="177"/>
    </row>
    <row r="284" spans="1:16" ht="15" customHeight="1">
      <c r="A284" s="283">
        <v>44614</v>
      </c>
      <c r="B284" s="227" t="s">
        <v>94</v>
      </c>
      <c r="C284" s="227" t="s">
        <v>76</v>
      </c>
      <c r="D284" s="227"/>
      <c r="E284" s="213"/>
      <c r="F284" s="221">
        <v>20000</v>
      </c>
      <c r="G284" s="237">
        <f t="shared" si="4"/>
        <v>9001343</v>
      </c>
      <c r="H284" s="227" t="s">
        <v>25</v>
      </c>
      <c r="I284" s="227"/>
      <c r="J284" s="227"/>
      <c r="K284" s="227"/>
      <c r="L284" s="227" t="s">
        <v>188</v>
      </c>
      <c r="M284" s="227"/>
      <c r="N284" s="227"/>
      <c r="O284" s="227"/>
    </row>
    <row r="285" spans="1:16" ht="15" customHeight="1">
      <c r="A285" s="283">
        <v>44614</v>
      </c>
      <c r="B285" s="227" t="s">
        <v>287</v>
      </c>
      <c r="C285" s="227" t="s">
        <v>187</v>
      </c>
      <c r="D285" s="227" t="s">
        <v>239</v>
      </c>
      <c r="E285" s="211"/>
      <c r="F285" s="320">
        <v>1200</v>
      </c>
      <c r="G285" s="237">
        <f t="shared" si="4"/>
        <v>9000143</v>
      </c>
      <c r="H285" s="227" t="s">
        <v>25</v>
      </c>
      <c r="I285" s="178" t="s">
        <v>230</v>
      </c>
      <c r="J285" s="227" t="s">
        <v>103</v>
      </c>
      <c r="K285" s="227" t="s">
        <v>481</v>
      </c>
      <c r="L285" s="227" t="s">
        <v>188</v>
      </c>
      <c r="M285" s="178" t="s">
        <v>613</v>
      </c>
      <c r="N285" s="328" t="s">
        <v>204</v>
      </c>
      <c r="O285" s="227"/>
    </row>
    <row r="286" spans="1:16" ht="15" customHeight="1">
      <c r="A286" s="283">
        <v>44614</v>
      </c>
      <c r="B286" s="227" t="s">
        <v>485</v>
      </c>
      <c r="C286" s="227" t="s">
        <v>145</v>
      </c>
      <c r="D286" s="227" t="s">
        <v>166</v>
      </c>
      <c r="E286" s="211"/>
      <c r="F286" s="320">
        <v>76000</v>
      </c>
      <c r="G286" s="237">
        <f t="shared" si="4"/>
        <v>8924143</v>
      </c>
      <c r="H286" s="227" t="s">
        <v>25</v>
      </c>
      <c r="I286" s="178" t="s">
        <v>230</v>
      </c>
      <c r="J286" s="227" t="s">
        <v>103</v>
      </c>
      <c r="K286" s="227" t="s">
        <v>481</v>
      </c>
      <c r="L286" s="227" t="s">
        <v>188</v>
      </c>
      <c r="M286" s="178" t="s">
        <v>614</v>
      </c>
      <c r="N286" s="328" t="s">
        <v>206</v>
      </c>
      <c r="O286" s="227"/>
    </row>
    <row r="287" spans="1:16" ht="15" customHeight="1">
      <c r="A287" s="285">
        <v>44614</v>
      </c>
      <c r="B287" s="287" t="s">
        <v>352</v>
      </c>
      <c r="C287" s="227" t="s">
        <v>76</v>
      </c>
      <c r="D287" s="227"/>
      <c r="E287" s="212">
        <v>20000</v>
      </c>
      <c r="F287" s="324"/>
      <c r="G287" s="237">
        <f t="shared" si="4"/>
        <v>8944143</v>
      </c>
      <c r="H287" s="287" t="s">
        <v>94</v>
      </c>
      <c r="I287" s="280"/>
      <c r="J287" s="227"/>
      <c r="K287" s="227"/>
      <c r="L287" s="227" t="s">
        <v>188</v>
      </c>
      <c r="N287" s="231"/>
      <c r="O287" s="235"/>
    </row>
    <row r="288" spans="1:16" ht="15" customHeight="1">
      <c r="A288" s="286">
        <v>44614</v>
      </c>
      <c r="B288" s="287" t="s">
        <v>381</v>
      </c>
      <c r="C288" s="178" t="s">
        <v>159</v>
      </c>
      <c r="D288" s="226" t="s">
        <v>260</v>
      </c>
      <c r="E288" s="212"/>
      <c r="F288" s="324">
        <v>26500</v>
      </c>
      <c r="G288" s="237">
        <f t="shared" si="4"/>
        <v>8917643</v>
      </c>
      <c r="H288" s="242" t="s">
        <v>48</v>
      </c>
      <c r="I288" s="280" t="s">
        <v>230</v>
      </c>
      <c r="J288" s="227" t="s">
        <v>168</v>
      </c>
      <c r="K288" s="227" t="s">
        <v>482</v>
      </c>
      <c r="L288" s="227" t="s">
        <v>188</v>
      </c>
      <c r="N288" s="231"/>
      <c r="O288" s="227"/>
    </row>
    <row r="289" spans="1:15" ht="15.75" customHeight="1">
      <c r="A289" s="283">
        <v>44614</v>
      </c>
      <c r="B289" s="178" t="s">
        <v>427</v>
      </c>
      <c r="C289" s="227" t="s">
        <v>35</v>
      </c>
      <c r="D289" s="227" t="s">
        <v>166</v>
      </c>
      <c r="E289" s="222"/>
      <c r="F289" s="221">
        <v>1000</v>
      </c>
      <c r="G289" s="237">
        <f t="shared" si="4"/>
        <v>8916643</v>
      </c>
      <c r="H289" s="178" t="s">
        <v>155</v>
      </c>
      <c r="I289" s="183" t="s">
        <v>230</v>
      </c>
      <c r="J289" s="227" t="s">
        <v>168</v>
      </c>
      <c r="K289" s="227" t="s">
        <v>482</v>
      </c>
      <c r="L289" s="227" t="s">
        <v>188</v>
      </c>
      <c r="O289" s="178"/>
    </row>
    <row r="290" spans="1:15" ht="15.75" customHeight="1">
      <c r="A290" s="283">
        <v>44615</v>
      </c>
      <c r="B290" s="178" t="s">
        <v>429</v>
      </c>
      <c r="C290" s="178" t="s">
        <v>159</v>
      </c>
      <c r="D290" s="227" t="s">
        <v>166</v>
      </c>
      <c r="E290" s="222"/>
      <c r="F290" s="222">
        <v>45000</v>
      </c>
      <c r="G290" s="237">
        <f t="shared" si="4"/>
        <v>8871643</v>
      </c>
      <c r="H290" s="227" t="s">
        <v>155</v>
      </c>
      <c r="I290" s="183" t="s">
        <v>230</v>
      </c>
      <c r="J290" s="183" t="s">
        <v>103</v>
      </c>
      <c r="K290" s="178" t="s">
        <v>481</v>
      </c>
      <c r="L290" s="227" t="s">
        <v>188</v>
      </c>
      <c r="M290" s="178" t="s">
        <v>615</v>
      </c>
      <c r="N290" s="177" t="s">
        <v>217</v>
      </c>
      <c r="O290" s="228"/>
    </row>
    <row r="291" spans="1:15" ht="15.75" customHeight="1">
      <c r="A291" s="283">
        <v>44615</v>
      </c>
      <c r="B291" s="227" t="s">
        <v>30</v>
      </c>
      <c r="C291" s="227" t="s">
        <v>76</v>
      </c>
      <c r="D291" s="227"/>
      <c r="E291" s="211"/>
      <c r="F291" s="320">
        <v>151000</v>
      </c>
      <c r="G291" s="237">
        <f t="shared" si="4"/>
        <v>8720643</v>
      </c>
      <c r="H291" s="227" t="s">
        <v>25</v>
      </c>
      <c r="I291" s="178"/>
      <c r="J291" s="227"/>
      <c r="K291" s="227"/>
      <c r="L291" s="227" t="s">
        <v>188</v>
      </c>
      <c r="N291" s="227"/>
      <c r="O291" s="227"/>
    </row>
    <row r="292" spans="1:15" ht="15.75" customHeight="1">
      <c r="A292" s="283">
        <v>44615</v>
      </c>
      <c r="B292" s="227" t="s">
        <v>29</v>
      </c>
      <c r="C292" s="227" t="s">
        <v>76</v>
      </c>
      <c r="D292" s="226"/>
      <c r="E292" s="213"/>
      <c r="F292" s="320">
        <v>171000</v>
      </c>
      <c r="G292" s="237">
        <f t="shared" si="4"/>
        <v>8549643</v>
      </c>
      <c r="H292" s="227" t="s">
        <v>25</v>
      </c>
      <c r="I292" s="178"/>
      <c r="J292" s="227"/>
      <c r="K292" s="227"/>
      <c r="L292" s="227" t="s">
        <v>188</v>
      </c>
      <c r="N292" s="227"/>
      <c r="O292" s="231"/>
    </row>
    <row r="293" spans="1:15" ht="15.75" customHeight="1">
      <c r="A293" s="283">
        <v>44615</v>
      </c>
      <c r="B293" s="227" t="s">
        <v>496</v>
      </c>
      <c r="C293" s="227" t="s">
        <v>145</v>
      </c>
      <c r="D293" s="227" t="s">
        <v>166</v>
      </c>
      <c r="E293" s="213"/>
      <c r="F293" s="320">
        <v>76000</v>
      </c>
      <c r="G293" s="237">
        <f t="shared" si="4"/>
        <v>8473643</v>
      </c>
      <c r="H293" s="227" t="s">
        <v>25</v>
      </c>
      <c r="I293" s="178" t="s">
        <v>230</v>
      </c>
      <c r="J293" s="227" t="s">
        <v>103</v>
      </c>
      <c r="K293" s="227" t="s">
        <v>481</v>
      </c>
      <c r="L293" s="227" t="s">
        <v>188</v>
      </c>
      <c r="M293" s="178" t="s">
        <v>616</v>
      </c>
      <c r="N293" s="328" t="s">
        <v>206</v>
      </c>
      <c r="O293" s="231"/>
    </row>
    <row r="294" spans="1:15" ht="15.75" customHeight="1">
      <c r="A294" s="284">
        <v>44615</v>
      </c>
      <c r="B294" s="227" t="s">
        <v>288</v>
      </c>
      <c r="C294" s="231" t="s">
        <v>76</v>
      </c>
      <c r="D294" s="227"/>
      <c r="E294" s="315">
        <v>2000000</v>
      </c>
      <c r="F294" s="326"/>
      <c r="G294" s="237">
        <f t="shared" si="4"/>
        <v>10473643</v>
      </c>
      <c r="H294" s="231" t="s">
        <v>25</v>
      </c>
      <c r="I294" s="231"/>
      <c r="J294" s="227"/>
      <c r="K294" s="227"/>
      <c r="L294" s="227" t="s">
        <v>188</v>
      </c>
      <c r="M294" s="231"/>
      <c r="N294" s="231"/>
      <c r="O294" s="231"/>
    </row>
    <row r="295" spans="1:15" ht="15.75" customHeight="1">
      <c r="A295" s="283">
        <v>44615</v>
      </c>
      <c r="B295" s="227" t="s">
        <v>245</v>
      </c>
      <c r="C295" s="227" t="s">
        <v>76</v>
      </c>
      <c r="D295" s="226"/>
      <c r="E295" s="213"/>
      <c r="F295" s="320">
        <v>91000</v>
      </c>
      <c r="G295" s="237">
        <f t="shared" si="4"/>
        <v>10382643</v>
      </c>
      <c r="H295" s="227" t="s">
        <v>25</v>
      </c>
      <c r="I295" s="178"/>
      <c r="J295" s="227"/>
      <c r="K295" s="227"/>
      <c r="L295" s="227" t="s">
        <v>188</v>
      </c>
      <c r="N295" s="227"/>
      <c r="O295" s="227"/>
    </row>
    <row r="296" spans="1:15" ht="15.75" customHeight="1">
      <c r="A296" s="283">
        <v>44615</v>
      </c>
      <c r="B296" s="227" t="s">
        <v>154</v>
      </c>
      <c r="C296" s="227" t="s">
        <v>76</v>
      </c>
      <c r="D296" s="227"/>
      <c r="E296" s="190"/>
      <c r="F296" s="303">
        <v>100000</v>
      </c>
      <c r="G296" s="237">
        <f t="shared" si="4"/>
        <v>10282643</v>
      </c>
      <c r="H296" s="227" t="s">
        <v>25</v>
      </c>
      <c r="I296" s="178"/>
      <c r="J296" s="227"/>
      <c r="K296" s="227"/>
      <c r="L296" s="227" t="s">
        <v>188</v>
      </c>
      <c r="N296" s="227"/>
      <c r="O296" s="227"/>
    </row>
    <row r="297" spans="1:15" ht="15.75" customHeight="1">
      <c r="A297" s="283">
        <v>44615</v>
      </c>
      <c r="B297" s="227" t="s">
        <v>302</v>
      </c>
      <c r="C297" s="227" t="s">
        <v>76</v>
      </c>
      <c r="D297" s="227"/>
      <c r="E297" s="213"/>
      <c r="F297" s="222">
        <v>2000000</v>
      </c>
      <c r="G297" s="237">
        <f t="shared" si="4"/>
        <v>8282643</v>
      </c>
      <c r="H297" s="227" t="s">
        <v>160</v>
      </c>
      <c r="I297" s="227"/>
      <c r="J297" s="227"/>
      <c r="K297" s="227"/>
      <c r="L297" s="227" t="s">
        <v>188</v>
      </c>
      <c r="M297" s="227"/>
      <c r="N297" s="227"/>
      <c r="O297" s="227"/>
    </row>
    <row r="298" spans="1:15" ht="15.75" customHeight="1">
      <c r="A298" s="283">
        <v>44615</v>
      </c>
      <c r="B298" s="227" t="s">
        <v>344</v>
      </c>
      <c r="C298" s="227" t="s">
        <v>76</v>
      </c>
      <c r="D298" s="227"/>
      <c r="E298" s="211">
        <v>100000</v>
      </c>
      <c r="F298" s="220"/>
      <c r="G298" s="237">
        <f t="shared" si="4"/>
        <v>8382643</v>
      </c>
      <c r="H298" s="227" t="s">
        <v>154</v>
      </c>
      <c r="I298" s="280"/>
      <c r="J298" s="227"/>
      <c r="K298" s="227"/>
      <c r="L298" s="227" t="s">
        <v>188</v>
      </c>
      <c r="M298" s="227"/>
      <c r="N298" s="227"/>
      <c r="O298" s="227"/>
    </row>
    <row r="299" spans="1:15" ht="15.75" customHeight="1">
      <c r="A299" s="283">
        <v>44615</v>
      </c>
      <c r="B299" s="227" t="s">
        <v>499</v>
      </c>
      <c r="C299" s="178" t="s">
        <v>159</v>
      </c>
      <c r="D299" s="226" t="s">
        <v>260</v>
      </c>
      <c r="E299" s="213"/>
      <c r="F299" s="320">
        <v>20100</v>
      </c>
      <c r="G299" s="237">
        <f t="shared" si="4"/>
        <v>8362543</v>
      </c>
      <c r="H299" s="227" t="s">
        <v>154</v>
      </c>
      <c r="I299" s="280" t="s">
        <v>230</v>
      </c>
      <c r="J299" s="227" t="s">
        <v>168</v>
      </c>
      <c r="K299" s="227" t="s">
        <v>482</v>
      </c>
      <c r="L299" s="227" t="s">
        <v>188</v>
      </c>
      <c r="N299" s="227"/>
      <c r="O299" s="227"/>
    </row>
    <row r="300" spans="1:15" ht="15.75" customHeight="1">
      <c r="A300" s="283">
        <v>44615</v>
      </c>
      <c r="B300" s="227" t="s">
        <v>382</v>
      </c>
      <c r="C300" s="178" t="s">
        <v>159</v>
      </c>
      <c r="D300" s="226" t="s">
        <v>260</v>
      </c>
      <c r="E300" s="213"/>
      <c r="F300" s="222">
        <v>26000</v>
      </c>
      <c r="G300" s="237">
        <f t="shared" si="4"/>
        <v>8336543</v>
      </c>
      <c r="H300" s="227" t="s">
        <v>48</v>
      </c>
      <c r="I300" s="280" t="s">
        <v>230</v>
      </c>
      <c r="J300" s="227" t="s">
        <v>168</v>
      </c>
      <c r="K300" s="227" t="s">
        <v>482</v>
      </c>
      <c r="L300" s="227" t="s">
        <v>188</v>
      </c>
      <c r="M300" s="231"/>
      <c r="N300" s="231"/>
      <c r="O300" s="231"/>
    </row>
    <row r="301" spans="1:15" ht="15.75" customHeight="1">
      <c r="A301" s="284">
        <v>44615</v>
      </c>
      <c r="B301" s="227" t="s">
        <v>383</v>
      </c>
      <c r="C301" s="227" t="s">
        <v>76</v>
      </c>
      <c r="D301" s="227"/>
      <c r="E301" s="315"/>
      <c r="F301" s="326">
        <v>350000</v>
      </c>
      <c r="G301" s="237">
        <f t="shared" si="4"/>
        <v>7986543</v>
      </c>
      <c r="H301" s="231" t="s">
        <v>48</v>
      </c>
      <c r="I301" s="280"/>
      <c r="J301" s="227"/>
      <c r="K301" s="227"/>
      <c r="L301" s="227" t="s">
        <v>188</v>
      </c>
      <c r="M301" s="231"/>
      <c r="N301" s="231"/>
      <c r="O301" s="231"/>
    </row>
    <row r="302" spans="1:15" ht="15.75" customHeight="1">
      <c r="A302" s="286">
        <v>44615</v>
      </c>
      <c r="B302" s="184" t="s">
        <v>497</v>
      </c>
      <c r="C302" s="178" t="s">
        <v>76</v>
      </c>
      <c r="D302" s="226"/>
      <c r="E302" s="223">
        <v>350000</v>
      </c>
      <c r="F302" s="223"/>
      <c r="G302" s="237">
        <f t="shared" si="4"/>
        <v>8336543</v>
      </c>
      <c r="H302" s="206" t="s">
        <v>155</v>
      </c>
      <c r="K302" s="183"/>
      <c r="L302" s="227" t="s">
        <v>188</v>
      </c>
      <c r="O302" s="178"/>
    </row>
    <row r="303" spans="1:15" ht="15.75" customHeight="1">
      <c r="A303" s="291">
        <v>44615</v>
      </c>
      <c r="B303" s="208" t="s">
        <v>428</v>
      </c>
      <c r="C303" s="178" t="s">
        <v>34</v>
      </c>
      <c r="D303" s="226" t="s">
        <v>260</v>
      </c>
      <c r="E303" s="224"/>
      <c r="F303" s="222">
        <v>550000</v>
      </c>
      <c r="G303" s="237">
        <f t="shared" si="4"/>
        <v>7786543</v>
      </c>
      <c r="H303" s="209" t="s">
        <v>155</v>
      </c>
      <c r="I303" s="183" t="s">
        <v>230</v>
      </c>
      <c r="J303" s="183" t="s">
        <v>168</v>
      </c>
      <c r="K303" s="178" t="s">
        <v>482</v>
      </c>
      <c r="L303" s="227" t="s">
        <v>188</v>
      </c>
      <c r="O303" s="178"/>
    </row>
    <row r="304" spans="1:15" ht="15.75" customHeight="1">
      <c r="A304" s="283">
        <v>44615</v>
      </c>
      <c r="B304" s="178" t="s">
        <v>430</v>
      </c>
      <c r="C304" s="178" t="s">
        <v>159</v>
      </c>
      <c r="D304" s="227" t="s">
        <v>166</v>
      </c>
      <c r="E304" s="222"/>
      <c r="F304" s="221">
        <v>4800</v>
      </c>
      <c r="G304" s="237">
        <f t="shared" si="4"/>
        <v>7781743</v>
      </c>
      <c r="H304" s="178" t="s">
        <v>155</v>
      </c>
      <c r="I304" s="183" t="s">
        <v>249</v>
      </c>
      <c r="J304" s="228" t="s">
        <v>168</v>
      </c>
      <c r="K304" s="228" t="s">
        <v>482</v>
      </c>
      <c r="L304" s="227" t="s">
        <v>188</v>
      </c>
      <c r="N304" s="243"/>
      <c r="O304" s="228"/>
    </row>
    <row r="305" spans="1:16" ht="15.75" customHeight="1">
      <c r="A305" s="283">
        <v>44615</v>
      </c>
      <c r="B305" s="178" t="s">
        <v>352</v>
      </c>
      <c r="C305" s="178" t="s">
        <v>76</v>
      </c>
      <c r="E305" s="220">
        <v>91000</v>
      </c>
      <c r="F305" s="220"/>
      <c r="G305" s="237">
        <f t="shared" si="4"/>
        <v>7872743</v>
      </c>
      <c r="H305" s="178" t="s">
        <v>155</v>
      </c>
      <c r="L305" s="227" t="s">
        <v>188</v>
      </c>
      <c r="O305" s="178"/>
    </row>
    <row r="306" spans="1:16" ht="15.75" customHeight="1">
      <c r="A306" s="285">
        <v>44615</v>
      </c>
      <c r="B306" s="178" t="s">
        <v>449</v>
      </c>
      <c r="C306" s="184" t="s">
        <v>34</v>
      </c>
      <c r="D306" s="227" t="s">
        <v>4</v>
      </c>
      <c r="E306" s="221"/>
      <c r="F306" s="320">
        <v>10000</v>
      </c>
      <c r="G306" s="237">
        <f t="shared" si="4"/>
        <v>7862743</v>
      </c>
      <c r="H306" s="178" t="s">
        <v>49</v>
      </c>
      <c r="I306" s="183" t="s">
        <v>349</v>
      </c>
      <c r="J306" s="228" t="s">
        <v>103</v>
      </c>
      <c r="K306" s="228" t="s">
        <v>481</v>
      </c>
      <c r="L306" s="227" t="s">
        <v>188</v>
      </c>
      <c r="M306" s="178" t="s">
        <v>617</v>
      </c>
      <c r="N306" s="243" t="s">
        <v>215</v>
      </c>
      <c r="O306" s="178"/>
      <c r="P306" s="235"/>
    </row>
    <row r="307" spans="1:16" ht="15.75" customHeight="1">
      <c r="A307" s="285">
        <v>44615</v>
      </c>
      <c r="B307" s="178" t="s">
        <v>444</v>
      </c>
      <c r="C307" s="184" t="s">
        <v>76</v>
      </c>
      <c r="D307" s="307"/>
      <c r="E307" s="221">
        <v>151000</v>
      </c>
      <c r="F307" s="222"/>
      <c r="G307" s="237">
        <f t="shared" si="4"/>
        <v>8013743</v>
      </c>
      <c r="H307" s="178" t="s">
        <v>49</v>
      </c>
      <c r="J307" s="178"/>
      <c r="L307" s="227" t="s">
        <v>188</v>
      </c>
      <c r="O307" s="178"/>
    </row>
    <row r="308" spans="1:16" ht="15.75" customHeight="1">
      <c r="A308" s="291">
        <v>44615</v>
      </c>
      <c r="B308" s="208" t="s">
        <v>456</v>
      </c>
      <c r="C308" s="208" t="s">
        <v>76</v>
      </c>
      <c r="E308" s="222">
        <v>171000</v>
      </c>
      <c r="F308" s="224"/>
      <c r="G308" s="237">
        <f t="shared" si="4"/>
        <v>8184743</v>
      </c>
      <c r="H308" s="209" t="s">
        <v>29</v>
      </c>
      <c r="K308" s="183"/>
      <c r="L308" s="227" t="s">
        <v>188</v>
      </c>
      <c r="N308" s="178"/>
      <c r="O308" s="178"/>
      <c r="P308" s="228"/>
    </row>
    <row r="309" spans="1:16" ht="15.75" customHeight="1">
      <c r="A309" s="291">
        <v>44615</v>
      </c>
      <c r="B309" s="178" t="s">
        <v>660</v>
      </c>
      <c r="C309" s="178" t="s">
        <v>34</v>
      </c>
      <c r="D309" s="227" t="s">
        <v>4</v>
      </c>
      <c r="E309" s="222"/>
      <c r="F309" s="329">
        <v>10000</v>
      </c>
      <c r="G309" s="237">
        <f t="shared" si="4"/>
        <v>8174743</v>
      </c>
      <c r="H309" s="209" t="s">
        <v>29</v>
      </c>
      <c r="I309" s="183" t="s">
        <v>230</v>
      </c>
      <c r="J309" s="183" t="s">
        <v>103</v>
      </c>
      <c r="K309" s="183" t="s">
        <v>481</v>
      </c>
      <c r="L309" s="227" t="s">
        <v>188</v>
      </c>
      <c r="M309" s="178" t="s">
        <v>618</v>
      </c>
      <c r="N309" s="177" t="s">
        <v>215</v>
      </c>
      <c r="O309" s="178"/>
      <c r="P309" s="228"/>
    </row>
    <row r="310" spans="1:16" ht="15.75" customHeight="1">
      <c r="A310" s="283">
        <v>44616</v>
      </c>
      <c r="B310" s="178" t="s">
        <v>491</v>
      </c>
      <c r="C310" s="178" t="s">
        <v>159</v>
      </c>
      <c r="D310" s="227" t="s">
        <v>166</v>
      </c>
      <c r="E310" s="220"/>
      <c r="F310" s="220">
        <v>60000</v>
      </c>
      <c r="G310" s="237">
        <f t="shared" si="4"/>
        <v>8114743</v>
      </c>
      <c r="H310" s="178" t="s">
        <v>155</v>
      </c>
      <c r="I310" s="183" t="s">
        <v>230</v>
      </c>
      <c r="J310" s="183" t="s">
        <v>103</v>
      </c>
      <c r="K310" s="178" t="s">
        <v>481</v>
      </c>
      <c r="L310" s="227" t="s">
        <v>188</v>
      </c>
      <c r="M310" s="178" t="s">
        <v>619</v>
      </c>
      <c r="N310" s="177" t="s">
        <v>217</v>
      </c>
      <c r="O310" s="178"/>
    </row>
    <row r="311" spans="1:16" ht="15.75" customHeight="1">
      <c r="A311" s="285">
        <v>44616</v>
      </c>
      <c r="B311" s="178" t="s">
        <v>450</v>
      </c>
      <c r="C311" s="178" t="s">
        <v>159</v>
      </c>
      <c r="D311" s="227" t="s">
        <v>4</v>
      </c>
      <c r="E311" s="221"/>
      <c r="F311" s="320">
        <v>40000</v>
      </c>
      <c r="G311" s="237">
        <f t="shared" si="4"/>
        <v>8074743</v>
      </c>
      <c r="H311" s="178" t="s">
        <v>49</v>
      </c>
      <c r="I311" s="183" t="s">
        <v>349</v>
      </c>
      <c r="J311" s="178" t="s">
        <v>103</v>
      </c>
      <c r="K311" s="178" t="s">
        <v>481</v>
      </c>
      <c r="L311" s="227" t="s">
        <v>188</v>
      </c>
      <c r="M311" s="178" t="s">
        <v>620</v>
      </c>
      <c r="N311" s="177" t="s">
        <v>217</v>
      </c>
      <c r="O311" s="178"/>
      <c r="P311" s="228"/>
    </row>
    <row r="312" spans="1:16" ht="15.75" customHeight="1">
      <c r="A312" s="283">
        <v>44616</v>
      </c>
      <c r="B312" s="227" t="s">
        <v>263</v>
      </c>
      <c r="C312" s="227" t="s">
        <v>76</v>
      </c>
      <c r="D312" s="227"/>
      <c r="E312" s="190"/>
      <c r="F312" s="303">
        <v>701000</v>
      </c>
      <c r="G312" s="237">
        <f t="shared" si="4"/>
        <v>7373743</v>
      </c>
      <c r="H312" s="227" t="s">
        <v>25</v>
      </c>
      <c r="I312" s="178"/>
      <c r="J312" s="227"/>
      <c r="K312" s="227"/>
      <c r="L312" s="227" t="s">
        <v>188</v>
      </c>
      <c r="N312" s="227"/>
      <c r="O312" s="227"/>
    </row>
    <row r="313" spans="1:16" ht="15.75" customHeight="1">
      <c r="A313" s="283">
        <v>44616</v>
      </c>
      <c r="B313" s="227" t="s">
        <v>31</v>
      </c>
      <c r="C313" s="227" t="s">
        <v>76</v>
      </c>
      <c r="D313" s="227"/>
      <c r="E313" s="211"/>
      <c r="F313" s="220">
        <v>117000</v>
      </c>
      <c r="G313" s="237">
        <f t="shared" si="4"/>
        <v>7256743</v>
      </c>
      <c r="H313" s="227" t="s">
        <v>25</v>
      </c>
      <c r="I313" s="227"/>
      <c r="J313" s="227"/>
      <c r="K313" s="227"/>
      <c r="L313" s="227" t="s">
        <v>188</v>
      </c>
      <c r="M313" s="227"/>
      <c r="N313" s="227"/>
      <c r="O313" s="227"/>
    </row>
    <row r="314" spans="1:16" ht="15.75" customHeight="1">
      <c r="A314" s="283">
        <v>44616</v>
      </c>
      <c r="B314" s="227" t="s">
        <v>289</v>
      </c>
      <c r="C314" s="227" t="s">
        <v>187</v>
      </c>
      <c r="D314" s="227" t="s">
        <v>239</v>
      </c>
      <c r="E314" s="211"/>
      <c r="F314" s="220">
        <v>24540</v>
      </c>
      <c r="G314" s="237">
        <f t="shared" si="4"/>
        <v>7232203</v>
      </c>
      <c r="H314" s="227" t="s">
        <v>25</v>
      </c>
      <c r="I314" s="227" t="s">
        <v>230</v>
      </c>
      <c r="J314" s="227" t="s">
        <v>103</v>
      </c>
      <c r="K314" s="227" t="s">
        <v>481</v>
      </c>
      <c r="L314" s="227" t="s">
        <v>188</v>
      </c>
      <c r="M314" s="178" t="s">
        <v>621</v>
      </c>
      <c r="N314" s="328" t="s">
        <v>204</v>
      </c>
      <c r="O314" s="227"/>
    </row>
    <row r="315" spans="1:16" s="235" customFormat="1" ht="15.75" customHeight="1">
      <c r="A315" s="283">
        <v>44616</v>
      </c>
      <c r="B315" s="227" t="s">
        <v>498</v>
      </c>
      <c r="C315" s="178" t="s">
        <v>159</v>
      </c>
      <c r="D315" s="226" t="s">
        <v>260</v>
      </c>
      <c r="E315" s="211"/>
      <c r="F315" s="220">
        <v>30000</v>
      </c>
      <c r="G315" s="237">
        <f t="shared" si="4"/>
        <v>7202203</v>
      </c>
      <c r="H315" s="227" t="s">
        <v>154</v>
      </c>
      <c r="I315" s="280" t="s">
        <v>230</v>
      </c>
      <c r="J315" s="227" t="s">
        <v>168</v>
      </c>
      <c r="K315" s="227" t="s">
        <v>482</v>
      </c>
      <c r="L315" s="227" t="s">
        <v>188</v>
      </c>
      <c r="M315" s="227"/>
      <c r="N315" s="227"/>
      <c r="O315" s="227"/>
      <c r="P315" s="178"/>
    </row>
    <row r="316" spans="1:16" s="235" customFormat="1" ht="15.75" customHeight="1">
      <c r="A316" s="283">
        <v>44616</v>
      </c>
      <c r="B316" s="227" t="s">
        <v>345</v>
      </c>
      <c r="C316" s="227" t="s">
        <v>271</v>
      </c>
      <c r="D316" s="226" t="s">
        <v>260</v>
      </c>
      <c r="E316" s="211"/>
      <c r="F316" s="220">
        <v>20000</v>
      </c>
      <c r="G316" s="237">
        <f t="shared" si="4"/>
        <v>7182203</v>
      </c>
      <c r="H316" s="227" t="s">
        <v>154</v>
      </c>
      <c r="I316" s="280" t="s">
        <v>249</v>
      </c>
      <c r="J316" s="227" t="s">
        <v>168</v>
      </c>
      <c r="K316" s="227" t="s">
        <v>482</v>
      </c>
      <c r="L316" s="227" t="s">
        <v>188</v>
      </c>
      <c r="M316" s="227"/>
      <c r="N316" s="227"/>
      <c r="O316" s="227"/>
      <c r="P316" s="178"/>
    </row>
    <row r="317" spans="1:16" s="235" customFormat="1" ht="15.75" customHeight="1">
      <c r="A317" s="283">
        <v>44616</v>
      </c>
      <c r="B317" s="178" t="s">
        <v>384</v>
      </c>
      <c r="C317" s="178" t="s">
        <v>385</v>
      </c>
      <c r="D317" s="226" t="s">
        <v>166</v>
      </c>
      <c r="E317" s="320"/>
      <c r="F317" s="320">
        <v>9000</v>
      </c>
      <c r="G317" s="237">
        <f t="shared" si="4"/>
        <v>7173203</v>
      </c>
      <c r="H317" s="178" t="s">
        <v>48</v>
      </c>
      <c r="I317" s="183" t="s">
        <v>249</v>
      </c>
      <c r="J317" s="178" t="s">
        <v>168</v>
      </c>
      <c r="K317" s="178" t="s">
        <v>482</v>
      </c>
      <c r="L317" s="227" t="s">
        <v>188</v>
      </c>
      <c r="M317" s="178"/>
      <c r="N317" s="177"/>
      <c r="O317" s="249"/>
      <c r="P317" s="249"/>
    </row>
    <row r="318" spans="1:16" s="235" customFormat="1" ht="15.75" customHeight="1">
      <c r="A318" s="283">
        <v>44616</v>
      </c>
      <c r="B318" s="178" t="s">
        <v>386</v>
      </c>
      <c r="C318" s="178" t="s">
        <v>159</v>
      </c>
      <c r="D318" s="226" t="s">
        <v>260</v>
      </c>
      <c r="E318" s="222"/>
      <c r="F318" s="221">
        <v>26500</v>
      </c>
      <c r="G318" s="237">
        <f t="shared" si="4"/>
        <v>7146703</v>
      </c>
      <c r="H318" s="178" t="s">
        <v>48</v>
      </c>
      <c r="I318" s="183" t="s">
        <v>230</v>
      </c>
      <c r="J318" s="227" t="s">
        <v>168</v>
      </c>
      <c r="K318" s="227" t="s">
        <v>482</v>
      </c>
      <c r="L318" s="227" t="s">
        <v>188</v>
      </c>
      <c r="M318" s="178"/>
      <c r="N318" s="243"/>
      <c r="O318" s="260"/>
      <c r="P318" s="249"/>
    </row>
    <row r="319" spans="1:16" s="235" customFormat="1" ht="15.75" customHeight="1">
      <c r="A319" s="283">
        <v>44616</v>
      </c>
      <c r="B319" s="178" t="s">
        <v>354</v>
      </c>
      <c r="C319" s="178" t="s">
        <v>76</v>
      </c>
      <c r="D319" s="178"/>
      <c r="E319" s="195">
        <v>701000</v>
      </c>
      <c r="F319" s="195"/>
      <c r="G319" s="237">
        <f t="shared" si="4"/>
        <v>7847703</v>
      </c>
      <c r="H319" s="178" t="s">
        <v>48</v>
      </c>
      <c r="I319" s="183"/>
      <c r="J319" s="183"/>
      <c r="K319" s="178"/>
      <c r="L319" s="227" t="s">
        <v>188</v>
      </c>
      <c r="M319" s="178"/>
      <c r="N319" s="177"/>
      <c r="O319" s="178"/>
      <c r="P319" s="178"/>
    </row>
    <row r="320" spans="1:16" s="235" customFormat="1" ht="15.75" customHeight="1">
      <c r="A320" s="286">
        <v>44616</v>
      </c>
      <c r="B320" s="184" t="s">
        <v>387</v>
      </c>
      <c r="C320" s="178" t="s">
        <v>159</v>
      </c>
      <c r="D320" s="226" t="s">
        <v>260</v>
      </c>
      <c r="E320" s="223"/>
      <c r="F320" s="327">
        <v>14000</v>
      </c>
      <c r="G320" s="237">
        <f t="shared" si="4"/>
        <v>7833703</v>
      </c>
      <c r="H320" s="206" t="s">
        <v>48</v>
      </c>
      <c r="I320" s="183" t="s">
        <v>230</v>
      </c>
      <c r="J320" s="227" t="s">
        <v>168</v>
      </c>
      <c r="K320" s="227" t="s">
        <v>482</v>
      </c>
      <c r="L320" s="227" t="s">
        <v>188</v>
      </c>
      <c r="M320" s="178"/>
      <c r="N320" s="177"/>
      <c r="O320" s="178"/>
      <c r="P320" s="178"/>
    </row>
    <row r="321" spans="1:16" s="235" customFormat="1" ht="15.75" customHeight="1">
      <c r="A321" s="291">
        <v>44616</v>
      </c>
      <c r="B321" s="306" t="s">
        <v>398</v>
      </c>
      <c r="C321" s="178" t="s">
        <v>76</v>
      </c>
      <c r="D321" s="184"/>
      <c r="E321" s="224">
        <v>117000</v>
      </c>
      <c r="F321" s="224"/>
      <c r="G321" s="237">
        <f t="shared" si="4"/>
        <v>7950703</v>
      </c>
      <c r="H321" s="209" t="s">
        <v>31</v>
      </c>
      <c r="I321" s="183"/>
      <c r="J321" s="256"/>
      <c r="K321" s="249"/>
      <c r="L321" s="227" t="s">
        <v>188</v>
      </c>
      <c r="M321" s="249"/>
      <c r="N321" s="257"/>
      <c r="O321" s="249"/>
      <c r="P321" s="249"/>
    </row>
    <row r="322" spans="1:16" s="235" customFormat="1" ht="15.75" customHeight="1">
      <c r="A322" s="283">
        <v>44616</v>
      </c>
      <c r="B322" s="178" t="s">
        <v>410</v>
      </c>
      <c r="C322" s="227" t="s">
        <v>35</v>
      </c>
      <c r="D322" s="226" t="s">
        <v>166</v>
      </c>
      <c r="E322" s="220"/>
      <c r="F322" s="220">
        <v>8000</v>
      </c>
      <c r="G322" s="237">
        <f t="shared" si="4"/>
        <v>7942703</v>
      </c>
      <c r="H322" s="178" t="s">
        <v>31</v>
      </c>
      <c r="I322" s="183" t="s">
        <v>230</v>
      </c>
      <c r="J322" s="227" t="s">
        <v>168</v>
      </c>
      <c r="K322" s="227" t="s">
        <v>482</v>
      </c>
      <c r="L322" s="227" t="s">
        <v>188</v>
      </c>
      <c r="M322" s="178"/>
      <c r="N322" s="177"/>
      <c r="O322" s="178"/>
      <c r="P322" s="178"/>
    </row>
    <row r="323" spans="1:16" s="235" customFormat="1" ht="15.75" customHeight="1">
      <c r="A323" s="283">
        <v>44616</v>
      </c>
      <c r="B323" s="178" t="s">
        <v>490</v>
      </c>
      <c r="C323" s="178" t="s">
        <v>34</v>
      </c>
      <c r="D323" s="227" t="s">
        <v>166</v>
      </c>
      <c r="E323" s="220"/>
      <c r="F323" s="320">
        <v>10000</v>
      </c>
      <c r="G323" s="237">
        <f t="shared" si="4"/>
        <v>7932703</v>
      </c>
      <c r="H323" s="178" t="s">
        <v>155</v>
      </c>
      <c r="I323" s="183" t="s">
        <v>230</v>
      </c>
      <c r="J323" s="228" t="s">
        <v>103</v>
      </c>
      <c r="K323" s="228" t="s">
        <v>481</v>
      </c>
      <c r="L323" s="227" t="s">
        <v>188</v>
      </c>
      <c r="M323" s="178" t="s">
        <v>622</v>
      </c>
      <c r="N323" s="243" t="s">
        <v>215</v>
      </c>
      <c r="O323" s="178"/>
      <c r="P323" s="178"/>
    </row>
    <row r="324" spans="1:16" s="235" customFormat="1" ht="15.75" customHeight="1">
      <c r="A324" s="285">
        <v>44616</v>
      </c>
      <c r="B324" s="178" t="s">
        <v>451</v>
      </c>
      <c r="C324" s="184" t="s">
        <v>34</v>
      </c>
      <c r="D324" s="227" t="s">
        <v>4</v>
      </c>
      <c r="E324" s="221"/>
      <c r="F324" s="320">
        <v>4000</v>
      </c>
      <c r="G324" s="237">
        <f t="shared" si="4"/>
        <v>7928703</v>
      </c>
      <c r="H324" s="178" t="s">
        <v>49</v>
      </c>
      <c r="I324" s="183" t="s">
        <v>349</v>
      </c>
      <c r="J324" s="228" t="s">
        <v>103</v>
      </c>
      <c r="K324" s="228" t="s">
        <v>481</v>
      </c>
      <c r="L324" s="227" t="s">
        <v>188</v>
      </c>
      <c r="M324" s="178" t="s">
        <v>623</v>
      </c>
      <c r="N324" s="243" t="s">
        <v>215</v>
      </c>
      <c r="O324" s="178"/>
      <c r="P324" s="178"/>
    </row>
    <row r="325" spans="1:16" s="235" customFormat="1" ht="15.75" customHeight="1">
      <c r="A325" s="286">
        <v>44616</v>
      </c>
      <c r="B325" s="184" t="s">
        <v>469</v>
      </c>
      <c r="C325" s="178" t="s">
        <v>34</v>
      </c>
      <c r="D325" s="227" t="s">
        <v>4</v>
      </c>
      <c r="E325" s="223"/>
      <c r="F325" s="303">
        <v>4000</v>
      </c>
      <c r="G325" s="237">
        <f t="shared" si="4"/>
        <v>7924703</v>
      </c>
      <c r="H325" s="178" t="s">
        <v>29</v>
      </c>
      <c r="I325" s="183" t="s">
        <v>230</v>
      </c>
      <c r="J325" s="183" t="s">
        <v>103</v>
      </c>
      <c r="K325" s="183" t="s">
        <v>481</v>
      </c>
      <c r="L325" s="227" t="s">
        <v>188</v>
      </c>
      <c r="M325" s="178" t="s">
        <v>624</v>
      </c>
      <c r="N325" s="177" t="s">
        <v>215</v>
      </c>
      <c r="O325" s="178"/>
      <c r="P325" s="228"/>
    </row>
    <row r="326" spans="1:16" s="235" customFormat="1" ht="15.75" customHeight="1">
      <c r="A326" s="286">
        <v>44616</v>
      </c>
      <c r="B326" s="184" t="s">
        <v>468</v>
      </c>
      <c r="C326" s="178" t="s">
        <v>159</v>
      </c>
      <c r="D326" s="227" t="s">
        <v>4</v>
      </c>
      <c r="E326" s="223"/>
      <c r="F326" s="195">
        <v>50000</v>
      </c>
      <c r="G326" s="237">
        <f t="shared" si="4"/>
        <v>7874703</v>
      </c>
      <c r="H326" s="209" t="s">
        <v>29</v>
      </c>
      <c r="I326" s="183" t="s">
        <v>457</v>
      </c>
      <c r="J326" s="178" t="s">
        <v>103</v>
      </c>
      <c r="K326" s="178" t="s">
        <v>481</v>
      </c>
      <c r="L326" s="227" t="s">
        <v>188</v>
      </c>
      <c r="M326" s="178" t="s">
        <v>625</v>
      </c>
      <c r="N326" s="177" t="s">
        <v>217</v>
      </c>
      <c r="O326" s="178"/>
      <c r="P326" s="228"/>
    </row>
    <row r="327" spans="1:16" s="235" customFormat="1" ht="15.75" customHeight="1">
      <c r="A327" s="283">
        <v>44617</v>
      </c>
      <c r="B327" s="178" t="s">
        <v>352</v>
      </c>
      <c r="C327" s="178" t="s">
        <v>76</v>
      </c>
      <c r="D327" s="226"/>
      <c r="E327" s="220">
        <v>97000</v>
      </c>
      <c r="F327" s="220"/>
      <c r="G327" s="237">
        <f t="shared" si="4"/>
        <v>7971703</v>
      </c>
      <c r="H327" s="178" t="s">
        <v>155</v>
      </c>
      <c r="I327" s="183"/>
      <c r="J327" s="183"/>
      <c r="K327" s="178"/>
      <c r="L327" s="227" t="s">
        <v>188</v>
      </c>
      <c r="M327" s="178"/>
      <c r="N327" s="177"/>
      <c r="O327" s="178"/>
      <c r="P327" s="178"/>
    </row>
    <row r="328" spans="1:16" s="235" customFormat="1" ht="15.75" customHeight="1">
      <c r="A328" s="286">
        <v>44617</v>
      </c>
      <c r="B328" s="227" t="s">
        <v>290</v>
      </c>
      <c r="C328" s="227" t="s">
        <v>140</v>
      </c>
      <c r="D328" s="227" t="s">
        <v>239</v>
      </c>
      <c r="E328" s="213"/>
      <c r="F328" s="222">
        <v>89175</v>
      </c>
      <c r="G328" s="237">
        <f t="shared" si="4"/>
        <v>7882528</v>
      </c>
      <c r="H328" s="227" t="s">
        <v>25</v>
      </c>
      <c r="I328" s="227" t="s">
        <v>230</v>
      </c>
      <c r="J328" s="227" t="s">
        <v>103</v>
      </c>
      <c r="K328" s="227" t="s">
        <v>481</v>
      </c>
      <c r="L328" s="227" t="s">
        <v>188</v>
      </c>
      <c r="M328" s="178" t="s">
        <v>626</v>
      </c>
      <c r="N328" s="328" t="s">
        <v>205</v>
      </c>
      <c r="O328" s="227"/>
      <c r="P328" s="178"/>
    </row>
    <row r="329" spans="1:16" s="235" customFormat="1" ht="15.75" customHeight="1">
      <c r="A329" s="283">
        <v>44617</v>
      </c>
      <c r="B329" s="227" t="s">
        <v>489</v>
      </c>
      <c r="C329" s="227" t="s">
        <v>145</v>
      </c>
      <c r="D329" s="227" t="s">
        <v>166</v>
      </c>
      <c r="E329" s="211"/>
      <c r="F329" s="320">
        <v>111000</v>
      </c>
      <c r="G329" s="237">
        <f t="shared" si="4"/>
        <v>7771528</v>
      </c>
      <c r="H329" s="227" t="s">
        <v>25</v>
      </c>
      <c r="I329" s="227" t="s">
        <v>230</v>
      </c>
      <c r="J329" s="227" t="s">
        <v>103</v>
      </c>
      <c r="K329" s="227" t="s">
        <v>481</v>
      </c>
      <c r="L329" s="227" t="s">
        <v>188</v>
      </c>
      <c r="M329" s="178" t="s">
        <v>627</v>
      </c>
      <c r="N329" s="328" t="s">
        <v>206</v>
      </c>
      <c r="O329" s="227"/>
      <c r="P329" s="178"/>
    </row>
    <row r="330" spans="1:16" s="235" customFormat="1" ht="15.75" customHeight="1">
      <c r="A330" s="283">
        <v>44617</v>
      </c>
      <c r="B330" s="227" t="s">
        <v>245</v>
      </c>
      <c r="C330" s="237" t="s">
        <v>76</v>
      </c>
      <c r="D330" s="237"/>
      <c r="E330" s="213"/>
      <c r="F330" s="222">
        <v>97000</v>
      </c>
      <c r="G330" s="237">
        <f t="shared" si="4"/>
        <v>7674528</v>
      </c>
      <c r="H330" s="227" t="s">
        <v>25</v>
      </c>
      <c r="I330" s="227"/>
      <c r="J330" s="227"/>
      <c r="K330" s="227"/>
      <c r="L330" s="227" t="s">
        <v>188</v>
      </c>
      <c r="M330" s="227"/>
      <c r="N330" s="227"/>
      <c r="O330" s="227"/>
      <c r="P330" s="178"/>
    </row>
    <row r="331" spans="1:16" s="235" customFormat="1" ht="15.75" customHeight="1">
      <c r="A331" s="283">
        <v>44617</v>
      </c>
      <c r="B331" s="227" t="s">
        <v>263</v>
      </c>
      <c r="C331" s="227" t="s">
        <v>76</v>
      </c>
      <c r="D331" s="227"/>
      <c r="E331" s="211"/>
      <c r="F331" s="220">
        <v>60000</v>
      </c>
      <c r="G331" s="237">
        <f t="shared" si="4"/>
        <v>7614528</v>
      </c>
      <c r="H331" s="227" t="s">
        <v>25</v>
      </c>
      <c r="I331" s="227"/>
      <c r="J331" s="227"/>
      <c r="K331" s="227"/>
      <c r="L331" s="227" t="s">
        <v>188</v>
      </c>
      <c r="M331" s="227"/>
      <c r="N331" s="227"/>
      <c r="O331" s="227"/>
      <c r="P331" s="178"/>
    </row>
    <row r="332" spans="1:16" ht="15.75" customHeight="1">
      <c r="A332" s="283">
        <v>44617</v>
      </c>
      <c r="B332" s="227" t="s">
        <v>486</v>
      </c>
      <c r="C332" s="227" t="s">
        <v>145</v>
      </c>
      <c r="D332" s="227" t="s">
        <v>166</v>
      </c>
      <c r="E332" s="211"/>
      <c r="F332" s="320">
        <v>27000</v>
      </c>
      <c r="G332" s="237">
        <f t="shared" si="4"/>
        <v>7587528</v>
      </c>
      <c r="H332" s="227" t="s">
        <v>25</v>
      </c>
      <c r="I332" s="178" t="s">
        <v>230</v>
      </c>
      <c r="J332" s="227" t="s">
        <v>103</v>
      </c>
      <c r="K332" s="227" t="s">
        <v>481</v>
      </c>
      <c r="L332" s="227" t="s">
        <v>188</v>
      </c>
      <c r="M332" s="178" t="s">
        <v>628</v>
      </c>
      <c r="N332" s="328" t="s">
        <v>206</v>
      </c>
      <c r="O332" s="227"/>
    </row>
    <row r="333" spans="1:16" s="228" customFormat="1" ht="15.75" customHeight="1">
      <c r="A333" s="283">
        <v>44617</v>
      </c>
      <c r="B333" s="227" t="s">
        <v>291</v>
      </c>
      <c r="C333" s="227" t="s">
        <v>187</v>
      </c>
      <c r="D333" s="287" t="s">
        <v>239</v>
      </c>
      <c r="E333" s="211"/>
      <c r="F333" s="320">
        <f>2610+3360</f>
        <v>5970</v>
      </c>
      <c r="G333" s="237">
        <f t="shared" ref="G333:G354" si="5">+G332+E333-F333</f>
        <v>7581558</v>
      </c>
      <c r="H333" s="227" t="s">
        <v>25</v>
      </c>
      <c r="I333" s="178" t="s">
        <v>230</v>
      </c>
      <c r="J333" s="227" t="s">
        <v>103</v>
      </c>
      <c r="K333" s="227" t="s">
        <v>481</v>
      </c>
      <c r="L333" s="227" t="s">
        <v>188</v>
      </c>
      <c r="M333" s="178" t="s">
        <v>629</v>
      </c>
      <c r="N333" s="328" t="s">
        <v>204</v>
      </c>
      <c r="O333" s="227"/>
      <c r="P333" s="178"/>
    </row>
    <row r="334" spans="1:16" ht="15.75" customHeight="1">
      <c r="A334" s="283">
        <v>44617</v>
      </c>
      <c r="B334" s="227" t="s">
        <v>304</v>
      </c>
      <c r="C334" s="227" t="s">
        <v>185</v>
      </c>
      <c r="D334" s="238" t="s">
        <v>2</v>
      </c>
      <c r="E334" s="213"/>
      <c r="F334" s="320">
        <v>350000</v>
      </c>
      <c r="G334" s="237">
        <f t="shared" si="5"/>
        <v>7231558</v>
      </c>
      <c r="H334" s="227" t="s">
        <v>160</v>
      </c>
      <c r="I334" s="227" t="s">
        <v>303</v>
      </c>
      <c r="J334" s="227" t="s">
        <v>103</v>
      </c>
      <c r="K334" s="227" t="s">
        <v>481</v>
      </c>
      <c r="L334" s="227" t="s">
        <v>188</v>
      </c>
      <c r="M334" s="178" t="s">
        <v>630</v>
      </c>
      <c r="N334" s="328" t="s">
        <v>208</v>
      </c>
      <c r="O334" s="227"/>
    </row>
    <row r="335" spans="1:16" s="228" customFormat="1" ht="15.75" customHeight="1">
      <c r="A335" s="283">
        <v>44617</v>
      </c>
      <c r="B335" s="227" t="s">
        <v>305</v>
      </c>
      <c r="C335" s="227" t="s">
        <v>185</v>
      </c>
      <c r="D335" s="237" t="s">
        <v>2</v>
      </c>
      <c r="E335" s="211"/>
      <c r="F335" s="320">
        <v>300000</v>
      </c>
      <c r="G335" s="237">
        <f t="shared" si="5"/>
        <v>6931558</v>
      </c>
      <c r="H335" s="227" t="s">
        <v>160</v>
      </c>
      <c r="I335" s="280">
        <v>3643620</v>
      </c>
      <c r="J335" s="227" t="s">
        <v>103</v>
      </c>
      <c r="K335" s="227" t="s">
        <v>481</v>
      </c>
      <c r="L335" s="227" t="s">
        <v>188</v>
      </c>
      <c r="M335" s="178" t="s">
        <v>631</v>
      </c>
      <c r="N335" s="328" t="s">
        <v>208</v>
      </c>
      <c r="O335" s="227"/>
      <c r="P335" s="178"/>
    </row>
    <row r="336" spans="1:16" s="228" customFormat="1" ht="15.75" customHeight="1">
      <c r="A336" s="283">
        <v>44617</v>
      </c>
      <c r="B336" s="227" t="s">
        <v>306</v>
      </c>
      <c r="C336" s="227" t="s">
        <v>185</v>
      </c>
      <c r="D336" s="300" t="s">
        <v>167</v>
      </c>
      <c r="E336" s="213"/>
      <c r="F336" s="320">
        <v>234309</v>
      </c>
      <c r="G336" s="237">
        <f t="shared" si="5"/>
        <v>6697249</v>
      </c>
      <c r="H336" s="227" t="s">
        <v>160</v>
      </c>
      <c r="I336" s="280">
        <v>3643621</v>
      </c>
      <c r="J336" s="227" t="s">
        <v>103</v>
      </c>
      <c r="K336" s="227" t="s">
        <v>481</v>
      </c>
      <c r="L336" s="227" t="s">
        <v>188</v>
      </c>
      <c r="M336" s="178" t="s">
        <v>632</v>
      </c>
      <c r="N336" s="328" t="s">
        <v>210</v>
      </c>
      <c r="O336" s="227"/>
      <c r="P336" s="178"/>
    </row>
    <row r="337" spans="1:16" s="228" customFormat="1" ht="15.75" customHeight="1">
      <c r="A337" s="283">
        <v>44617</v>
      </c>
      <c r="B337" s="227" t="s">
        <v>307</v>
      </c>
      <c r="C337" s="227" t="s">
        <v>185</v>
      </c>
      <c r="D337" s="227" t="s">
        <v>166</v>
      </c>
      <c r="E337" s="211"/>
      <c r="F337" s="320">
        <v>193600</v>
      </c>
      <c r="G337" s="237">
        <f t="shared" si="5"/>
        <v>6503649</v>
      </c>
      <c r="H337" s="227" t="s">
        <v>160</v>
      </c>
      <c r="I337" s="280">
        <v>3643622</v>
      </c>
      <c r="J337" s="227" t="s">
        <v>103</v>
      </c>
      <c r="K337" s="227" t="s">
        <v>481</v>
      </c>
      <c r="L337" s="227" t="s">
        <v>188</v>
      </c>
      <c r="M337" s="178" t="s">
        <v>633</v>
      </c>
      <c r="N337" s="245" t="s">
        <v>211</v>
      </c>
      <c r="O337" s="227"/>
      <c r="P337" s="178"/>
    </row>
    <row r="338" spans="1:16" s="228" customFormat="1" ht="15.75" customHeight="1">
      <c r="A338" s="283">
        <v>44617</v>
      </c>
      <c r="B338" s="227" t="s">
        <v>308</v>
      </c>
      <c r="C338" s="227" t="s">
        <v>185</v>
      </c>
      <c r="D338" s="227" t="s">
        <v>166</v>
      </c>
      <c r="E338" s="213"/>
      <c r="F338" s="320">
        <v>357982</v>
      </c>
      <c r="G338" s="237">
        <f t="shared" si="5"/>
        <v>6145667</v>
      </c>
      <c r="H338" s="227" t="s">
        <v>160</v>
      </c>
      <c r="I338" s="280">
        <v>3643623</v>
      </c>
      <c r="J338" s="227" t="s">
        <v>103</v>
      </c>
      <c r="K338" s="227" t="s">
        <v>481</v>
      </c>
      <c r="L338" s="227" t="s">
        <v>188</v>
      </c>
      <c r="M338" s="178" t="s">
        <v>634</v>
      </c>
      <c r="N338" s="328" t="s">
        <v>211</v>
      </c>
      <c r="O338" s="227"/>
      <c r="P338" s="178"/>
    </row>
    <row r="339" spans="1:16" s="228" customFormat="1" ht="15.75" customHeight="1">
      <c r="A339" s="291">
        <v>44617</v>
      </c>
      <c r="B339" s="292" t="s">
        <v>309</v>
      </c>
      <c r="C339" s="227" t="s">
        <v>185</v>
      </c>
      <c r="D339" s="227" t="s">
        <v>4</v>
      </c>
      <c r="E339" s="214"/>
      <c r="F339" s="320">
        <v>615000</v>
      </c>
      <c r="G339" s="237">
        <f t="shared" si="5"/>
        <v>5530667</v>
      </c>
      <c r="H339" s="227" t="s">
        <v>160</v>
      </c>
      <c r="I339" s="280">
        <v>3643624</v>
      </c>
      <c r="J339" s="227" t="s">
        <v>103</v>
      </c>
      <c r="K339" s="227" t="s">
        <v>481</v>
      </c>
      <c r="L339" s="227" t="s">
        <v>188</v>
      </c>
      <c r="M339" s="178" t="s">
        <v>635</v>
      </c>
      <c r="N339" s="328" t="s">
        <v>209</v>
      </c>
      <c r="O339" s="227"/>
      <c r="P339" s="178"/>
    </row>
    <row r="340" spans="1:16" s="228" customFormat="1" ht="15.75" customHeight="1">
      <c r="A340" s="286">
        <v>44617</v>
      </c>
      <c r="B340" s="227" t="s">
        <v>310</v>
      </c>
      <c r="C340" s="227" t="s">
        <v>185</v>
      </c>
      <c r="D340" s="227" t="s">
        <v>4</v>
      </c>
      <c r="E340" s="212"/>
      <c r="F340" s="320">
        <v>395000</v>
      </c>
      <c r="G340" s="237">
        <f t="shared" si="5"/>
        <v>5135667</v>
      </c>
      <c r="H340" s="227" t="s">
        <v>160</v>
      </c>
      <c r="I340" s="280">
        <v>3643626</v>
      </c>
      <c r="J340" s="227" t="s">
        <v>103</v>
      </c>
      <c r="K340" s="227" t="s">
        <v>481</v>
      </c>
      <c r="L340" s="227" t="s">
        <v>188</v>
      </c>
      <c r="M340" s="178" t="s">
        <v>636</v>
      </c>
      <c r="N340" s="328" t="s">
        <v>209</v>
      </c>
      <c r="O340" s="227"/>
      <c r="P340" s="178"/>
    </row>
    <row r="341" spans="1:16" s="228" customFormat="1" ht="15.75" customHeight="1">
      <c r="A341" s="283">
        <v>44617</v>
      </c>
      <c r="B341" s="227" t="s">
        <v>353</v>
      </c>
      <c r="C341" s="227" t="s">
        <v>34</v>
      </c>
      <c r="D341" s="227" t="s">
        <v>2</v>
      </c>
      <c r="E341" s="213"/>
      <c r="F341" s="320">
        <v>58200</v>
      </c>
      <c r="G341" s="237">
        <f t="shared" si="5"/>
        <v>5077467</v>
      </c>
      <c r="H341" s="227" t="s">
        <v>94</v>
      </c>
      <c r="I341" s="280" t="s">
        <v>249</v>
      </c>
      <c r="J341" s="227" t="s">
        <v>103</v>
      </c>
      <c r="K341" s="227" t="s">
        <v>481</v>
      </c>
      <c r="L341" s="227" t="s">
        <v>188</v>
      </c>
      <c r="M341" s="178" t="s">
        <v>637</v>
      </c>
      <c r="N341" s="245" t="s">
        <v>215</v>
      </c>
      <c r="O341" s="227"/>
      <c r="P341" s="178"/>
    </row>
    <row r="342" spans="1:16" s="228" customFormat="1" ht="15.75" customHeight="1">
      <c r="A342" s="286">
        <v>44617</v>
      </c>
      <c r="B342" s="184" t="s">
        <v>388</v>
      </c>
      <c r="C342" s="178" t="s">
        <v>34</v>
      </c>
      <c r="D342" s="226" t="s">
        <v>260</v>
      </c>
      <c r="E342" s="223"/>
      <c r="F342" s="223">
        <v>16000</v>
      </c>
      <c r="G342" s="237">
        <f t="shared" si="5"/>
        <v>5061467</v>
      </c>
      <c r="H342" s="206" t="s">
        <v>48</v>
      </c>
      <c r="I342" s="183" t="s">
        <v>230</v>
      </c>
      <c r="J342" s="227" t="s">
        <v>168</v>
      </c>
      <c r="K342" s="227" t="s">
        <v>482</v>
      </c>
      <c r="L342" s="227" t="s">
        <v>188</v>
      </c>
      <c r="M342" s="178"/>
      <c r="N342" s="177"/>
      <c r="O342" s="178"/>
      <c r="P342" s="178"/>
    </row>
    <row r="343" spans="1:16" s="228" customFormat="1" ht="15.75" customHeight="1">
      <c r="A343" s="286">
        <v>44617</v>
      </c>
      <c r="B343" s="178" t="s">
        <v>389</v>
      </c>
      <c r="C343" s="178" t="s">
        <v>159</v>
      </c>
      <c r="D343" s="226" t="s">
        <v>260</v>
      </c>
      <c r="E343" s="220"/>
      <c r="F343" s="220">
        <v>30000</v>
      </c>
      <c r="G343" s="237">
        <f t="shared" si="5"/>
        <v>5031467</v>
      </c>
      <c r="H343" s="178" t="s">
        <v>48</v>
      </c>
      <c r="I343" s="183" t="s">
        <v>230</v>
      </c>
      <c r="J343" s="227" t="s">
        <v>168</v>
      </c>
      <c r="K343" s="227" t="s">
        <v>482</v>
      </c>
      <c r="L343" s="227" t="s">
        <v>188</v>
      </c>
      <c r="M343" s="178"/>
      <c r="N343" s="177"/>
      <c r="O343" s="178"/>
      <c r="P343" s="178"/>
    </row>
    <row r="344" spans="1:16" s="228" customFormat="1" ht="15.75" customHeight="1">
      <c r="A344" s="286">
        <v>44617</v>
      </c>
      <c r="B344" s="178" t="s">
        <v>354</v>
      </c>
      <c r="C344" s="178" t="s">
        <v>76</v>
      </c>
      <c r="D344" s="178"/>
      <c r="E344" s="220">
        <v>60000</v>
      </c>
      <c r="F344" s="220"/>
      <c r="G344" s="237">
        <f t="shared" si="5"/>
        <v>5091467</v>
      </c>
      <c r="H344" s="178" t="s">
        <v>48</v>
      </c>
      <c r="I344" s="183"/>
      <c r="J344" s="183"/>
      <c r="K344" s="183"/>
      <c r="L344" s="227" t="s">
        <v>188</v>
      </c>
      <c r="M344" s="178"/>
      <c r="N344" s="177"/>
      <c r="O344" s="178"/>
      <c r="P344" s="178"/>
    </row>
    <row r="345" spans="1:16" s="228" customFormat="1" ht="15.75" customHeight="1">
      <c r="A345" s="286">
        <v>44617</v>
      </c>
      <c r="B345" s="178" t="s">
        <v>390</v>
      </c>
      <c r="C345" s="227" t="s">
        <v>35</v>
      </c>
      <c r="D345" s="226" t="s">
        <v>166</v>
      </c>
      <c r="E345" s="220"/>
      <c r="F345" s="220">
        <v>7950</v>
      </c>
      <c r="G345" s="237">
        <f t="shared" si="5"/>
        <v>5083517</v>
      </c>
      <c r="H345" s="178" t="s">
        <v>48</v>
      </c>
      <c r="I345" s="183" t="s">
        <v>230</v>
      </c>
      <c r="J345" s="227" t="s">
        <v>168</v>
      </c>
      <c r="K345" s="227" t="s">
        <v>482</v>
      </c>
      <c r="L345" s="227" t="s">
        <v>188</v>
      </c>
      <c r="M345" s="178"/>
      <c r="N345" s="177"/>
      <c r="O345" s="178"/>
      <c r="P345" s="178"/>
    </row>
    <row r="346" spans="1:16" s="228" customFormat="1" ht="15.75" customHeight="1">
      <c r="A346" s="286">
        <v>44617</v>
      </c>
      <c r="B346" s="184" t="s">
        <v>391</v>
      </c>
      <c r="C346" s="227" t="s">
        <v>35</v>
      </c>
      <c r="D346" s="226" t="s">
        <v>166</v>
      </c>
      <c r="E346" s="223"/>
      <c r="F346" s="223">
        <v>46200</v>
      </c>
      <c r="G346" s="237">
        <f t="shared" si="5"/>
        <v>5037317</v>
      </c>
      <c r="H346" s="205" t="s">
        <v>48</v>
      </c>
      <c r="I346" s="183" t="s">
        <v>230</v>
      </c>
      <c r="J346" s="227" t="s">
        <v>168</v>
      </c>
      <c r="K346" s="227" t="s">
        <v>482</v>
      </c>
      <c r="L346" s="227" t="s">
        <v>188</v>
      </c>
      <c r="M346" s="178"/>
      <c r="N346" s="177"/>
      <c r="O346" s="178"/>
      <c r="P346" s="178"/>
    </row>
    <row r="347" spans="1:16" ht="15.75" customHeight="1">
      <c r="A347" s="283">
        <v>44617</v>
      </c>
      <c r="B347" s="178" t="s">
        <v>392</v>
      </c>
      <c r="C347" s="178" t="s">
        <v>34</v>
      </c>
      <c r="D347" s="226" t="s">
        <v>260</v>
      </c>
      <c r="E347" s="220"/>
      <c r="F347" s="220">
        <v>20000</v>
      </c>
      <c r="G347" s="237">
        <f t="shared" si="5"/>
        <v>5017317</v>
      </c>
      <c r="H347" s="178" t="s">
        <v>48</v>
      </c>
      <c r="I347" s="183" t="s">
        <v>230</v>
      </c>
      <c r="J347" s="227" t="s">
        <v>168</v>
      </c>
      <c r="K347" s="227" t="s">
        <v>482</v>
      </c>
      <c r="L347" s="227" t="s">
        <v>188</v>
      </c>
      <c r="O347" s="178"/>
    </row>
    <row r="348" spans="1:16" s="228" customFormat="1" ht="15.75" customHeight="1">
      <c r="A348" s="283">
        <v>44617</v>
      </c>
      <c r="B348" s="178" t="s">
        <v>393</v>
      </c>
      <c r="C348" s="178" t="s">
        <v>159</v>
      </c>
      <c r="D348" s="226" t="s">
        <v>260</v>
      </c>
      <c r="E348" s="220"/>
      <c r="F348" s="220">
        <v>420000</v>
      </c>
      <c r="G348" s="237">
        <f t="shared" si="5"/>
        <v>4597317</v>
      </c>
      <c r="H348" s="178" t="s">
        <v>48</v>
      </c>
      <c r="I348" s="183" t="s">
        <v>230</v>
      </c>
      <c r="J348" s="227" t="s">
        <v>168</v>
      </c>
      <c r="K348" s="227" t="s">
        <v>482</v>
      </c>
      <c r="L348" s="227" t="s">
        <v>188</v>
      </c>
      <c r="M348" s="178"/>
      <c r="N348" s="177"/>
      <c r="O348" s="178"/>
      <c r="P348" s="178"/>
    </row>
    <row r="349" spans="1:16" ht="15.75" customHeight="1">
      <c r="A349" s="283">
        <v>44617</v>
      </c>
      <c r="B349" s="178" t="s">
        <v>394</v>
      </c>
      <c r="C349" s="178" t="s">
        <v>159</v>
      </c>
      <c r="D349" s="226" t="s">
        <v>260</v>
      </c>
      <c r="E349" s="220"/>
      <c r="F349" s="220">
        <v>26000</v>
      </c>
      <c r="G349" s="237">
        <f t="shared" si="5"/>
        <v>4571317</v>
      </c>
      <c r="H349" s="178" t="s">
        <v>48</v>
      </c>
      <c r="I349" s="183" t="s">
        <v>230</v>
      </c>
      <c r="J349" s="227" t="s">
        <v>168</v>
      </c>
      <c r="K349" s="227" t="s">
        <v>482</v>
      </c>
      <c r="L349" s="227" t="s">
        <v>188</v>
      </c>
      <c r="O349" s="178"/>
    </row>
    <row r="350" spans="1:16" s="228" customFormat="1" ht="15.75" customHeight="1">
      <c r="A350" s="285">
        <v>44617</v>
      </c>
      <c r="B350" s="178" t="s">
        <v>372</v>
      </c>
      <c r="C350" s="178" t="s">
        <v>34</v>
      </c>
      <c r="D350" s="184" t="s">
        <v>2</v>
      </c>
      <c r="E350" s="222"/>
      <c r="F350" s="320">
        <v>10000</v>
      </c>
      <c r="G350" s="237">
        <f t="shared" si="5"/>
        <v>4561317</v>
      </c>
      <c r="H350" s="178" t="s">
        <v>48</v>
      </c>
      <c r="I350" s="183" t="s">
        <v>230</v>
      </c>
      <c r="J350" s="227" t="s">
        <v>103</v>
      </c>
      <c r="K350" s="227" t="s">
        <v>481</v>
      </c>
      <c r="L350" s="227" t="s">
        <v>188</v>
      </c>
      <c r="M350" s="178" t="s">
        <v>638</v>
      </c>
      <c r="N350" s="245" t="s">
        <v>215</v>
      </c>
      <c r="O350" s="178"/>
      <c r="P350" s="178"/>
    </row>
    <row r="351" spans="1:16" s="228" customFormat="1" ht="15.75" customHeight="1">
      <c r="A351" s="283">
        <v>44617</v>
      </c>
      <c r="B351" s="178" t="s">
        <v>414</v>
      </c>
      <c r="C351" s="178" t="s">
        <v>385</v>
      </c>
      <c r="D351" s="227" t="s">
        <v>166</v>
      </c>
      <c r="E351" s="220"/>
      <c r="F351" s="220">
        <v>63650</v>
      </c>
      <c r="G351" s="237">
        <f t="shared" si="5"/>
        <v>4497667</v>
      </c>
      <c r="H351" s="178" t="s">
        <v>31</v>
      </c>
      <c r="I351" s="183" t="s">
        <v>249</v>
      </c>
      <c r="J351" s="178" t="s">
        <v>168</v>
      </c>
      <c r="K351" s="178" t="s">
        <v>482</v>
      </c>
      <c r="L351" s="227" t="s">
        <v>188</v>
      </c>
      <c r="M351" s="178"/>
      <c r="N351" s="177"/>
      <c r="O351" s="178"/>
      <c r="P351" s="178"/>
    </row>
    <row r="352" spans="1:16" s="228" customFormat="1" ht="15.75" customHeight="1">
      <c r="A352" s="286">
        <v>44617</v>
      </c>
      <c r="B352" s="184" t="s">
        <v>413</v>
      </c>
      <c r="C352" s="178" t="s">
        <v>34</v>
      </c>
      <c r="D352" s="178" t="s">
        <v>167</v>
      </c>
      <c r="E352" s="223"/>
      <c r="F352" s="324">
        <v>10000</v>
      </c>
      <c r="G352" s="237">
        <f t="shared" si="5"/>
        <v>4487667</v>
      </c>
      <c r="H352" s="205" t="s">
        <v>31</v>
      </c>
      <c r="I352" s="183" t="s">
        <v>230</v>
      </c>
      <c r="J352" s="183" t="s">
        <v>103</v>
      </c>
      <c r="K352" s="178" t="s">
        <v>481</v>
      </c>
      <c r="L352" s="227" t="s">
        <v>188</v>
      </c>
      <c r="M352" s="178" t="s">
        <v>639</v>
      </c>
      <c r="N352" s="177" t="s">
        <v>215</v>
      </c>
      <c r="O352" s="178"/>
      <c r="P352" s="178"/>
    </row>
    <row r="353" spans="1:16" ht="15.75" customHeight="1">
      <c r="A353" s="285">
        <v>44618</v>
      </c>
      <c r="B353" s="183" t="s">
        <v>395</v>
      </c>
      <c r="C353" s="178" t="s">
        <v>159</v>
      </c>
      <c r="D353" s="226" t="s">
        <v>260</v>
      </c>
      <c r="E353" s="221"/>
      <c r="F353" s="220">
        <v>105000</v>
      </c>
      <c r="G353" s="237">
        <f t="shared" si="5"/>
        <v>4382667</v>
      </c>
      <c r="H353" s="178" t="s">
        <v>48</v>
      </c>
      <c r="I353" s="183" t="s">
        <v>230</v>
      </c>
      <c r="J353" s="235" t="s">
        <v>103</v>
      </c>
      <c r="K353" s="287" t="s">
        <v>481</v>
      </c>
      <c r="L353" s="227" t="s">
        <v>188</v>
      </c>
      <c r="M353" s="178" t="s">
        <v>640</v>
      </c>
      <c r="N353" s="308" t="s">
        <v>217</v>
      </c>
      <c r="O353" s="178"/>
    </row>
    <row r="354" spans="1:16" s="228" customFormat="1" ht="15.75" customHeight="1">
      <c r="A354" s="283">
        <v>44618</v>
      </c>
      <c r="B354" s="178" t="s">
        <v>412</v>
      </c>
      <c r="C354" s="178" t="s">
        <v>159</v>
      </c>
      <c r="D354" s="307" t="s">
        <v>167</v>
      </c>
      <c r="E354" s="220"/>
      <c r="F354" s="222">
        <v>120000</v>
      </c>
      <c r="G354" s="237">
        <f t="shared" si="5"/>
        <v>4262667</v>
      </c>
      <c r="H354" s="178" t="s">
        <v>31</v>
      </c>
      <c r="I354" s="183" t="s">
        <v>230</v>
      </c>
      <c r="J354" s="178" t="s">
        <v>103</v>
      </c>
      <c r="K354" s="178" t="s">
        <v>481</v>
      </c>
      <c r="L354" s="227" t="s">
        <v>188</v>
      </c>
      <c r="M354" s="178" t="s">
        <v>641</v>
      </c>
      <c r="N354" s="177" t="s">
        <v>217</v>
      </c>
      <c r="O354" s="249"/>
      <c r="P354" s="249"/>
    </row>
    <row r="355" spans="1:16" s="228" customFormat="1" ht="15.75" customHeight="1">
      <c r="A355" s="286">
        <v>44618</v>
      </c>
      <c r="B355" s="184" t="s">
        <v>522</v>
      </c>
      <c r="C355" s="178" t="s">
        <v>159</v>
      </c>
      <c r="D355" s="227" t="s">
        <v>166</v>
      </c>
      <c r="E355" s="223"/>
      <c r="F355" s="223">
        <v>30000</v>
      </c>
      <c r="G355" s="237">
        <f>G354+E355-F355</f>
        <v>4232667</v>
      </c>
      <c r="H355" s="205" t="s">
        <v>155</v>
      </c>
      <c r="I355" s="183" t="s">
        <v>230</v>
      </c>
      <c r="J355" s="228" t="s">
        <v>103</v>
      </c>
      <c r="K355" s="228" t="s">
        <v>481</v>
      </c>
      <c r="L355" s="227" t="s">
        <v>188</v>
      </c>
      <c r="M355" s="178" t="s">
        <v>642</v>
      </c>
      <c r="N355" s="243" t="s">
        <v>217</v>
      </c>
      <c r="O355" s="178"/>
      <c r="P355" s="178"/>
    </row>
    <row r="356" spans="1:16" s="228" customFormat="1" ht="15.75" customHeight="1">
      <c r="A356" s="283">
        <v>44618</v>
      </c>
      <c r="B356" s="178" t="s">
        <v>396</v>
      </c>
      <c r="C356" s="178" t="s">
        <v>34</v>
      </c>
      <c r="D356" s="184" t="s">
        <v>2</v>
      </c>
      <c r="E356" s="220"/>
      <c r="F356" s="320">
        <v>88500</v>
      </c>
      <c r="G356" s="237">
        <f>+G355+E356-F356</f>
        <v>4144167</v>
      </c>
      <c r="H356" s="178" t="s">
        <v>48</v>
      </c>
      <c r="I356" s="183" t="s">
        <v>249</v>
      </c>
      <c r="J356" s="227" t="s">
        <v>103</v>
      </c>
      <c r="K356" s="227" t="s">
        <v>481</v>
      </c>
      <c r="L356" s="227" t="s">
        <v>188</v>
      </c>
      <c r="M356" s="178" t="s">
        <v>643</v>
      </c>
      <c r="N356" s="245" t="s">
        <v>215</v>
      </c>
      <c r="O356" s="178"/>
      <c r="P356" s="178"/>
    </row>
    <row r="357" spans="1:16" s="228" customFormat="1" ht="15.75" customHeight="1">
      <c r="A357" s="283">
        <v>44618</v>
      </c>
      <c r="B357" s="178" t="s">
        <v>411</v>
      </c>
      <c r="C357" s="178" t="s">
        <v>34</v>
      </c>
      <c r="D357" s="178" t="s">
        <v>167</v>
      </c>
      <c r="E357" s="222"/>
      <c r="F357" s="320">
        <v>69500</v>
      </c>
      <c r="G357" s="237">
        <f>+G356+E357-F357</f>
        <v>4074667</v>
      </c>
      <c r="H357" s="178" t="s">
        <v>31</v>
      </c>
      <c r="I357" s="183" t="s">
        <v>249</v>
      </c>
      <c r="J357" s="183" t="s">
        <v>103</v>
      </c>
      <c r="K357" s="178" t="s">
        <v>481</v>
      </c>
      <c r="L357" s="227" t="s">
        <v>188</v>
      </c>
      <c r="M357" s="178" t="s">
        <v>644</v>
      </c>
      <c r="N357" s="177" t="s">
        <v>215</v>
      </c>
      <c r="O357" s="249"/>
      <c r="P357" s="249"/>
    </row>
    <row r="358" spans="1:16" s="228" customFormat="1" ht="15.75" customHeight="1">
      <c r="A358" s="283">
        <v>44618</v>
      </c>
      <c r="B358" s="178" t="s">
        <v>431</v>
      </c>
      <c r="C358" s="178" t="s">
        <v>146</v>
      </c>
      <c r="D358" s="227" t="s">
        <v>166</v>
      </c>
      <c r="E358" s="220"/>
      <c r="F358" s="220">
        <v>13000</v>
      </c>
      <c r="G358" s="237">
        <f>+G357+E358-F358</f>
        <v>4061667</v>
      </c>
      <c r="H358" s="178" t="s">
        <v>155</v>
      </c>
      <c r="I358" s="183" t="s">
        <v>249</v>
      </c>
      <c r="J358" s="178" t="s">
        <v>168</v>
      </c>
      <c r="K358" s="178" t="s">
        <v>482</v>
      </c>
      <c r="L358" s="227" t="s">
        <v>188</v>
      </c>
      <c r="M358" s="178"/>
      <c r="N358" s="177"/>
      <c r="O358" s="178"/>
      <c r="P358" s="178"/>
    </row>
    <row r="359" spans="1:16" s="228" customFormat="1" ht="15.75" customHeight="1">
      <c r="A359" s="286">
        <v>44618</v>
      </c>
      <c r="B359" s="184" t="s">
        <v>492</v>
      </c>
      <c r="C359" s="178" t="s">
        <v>34</v>
      </c>
      <c r="D359" s="227" t="s">
        <v>166</v>
      </c>
      <c r="E359" s="223"/>
      <c r="F359" s="324">
        <v>5000</v>
      </c>
      <c r="G359" s="237">
        <f>+G358+E359-F359</f>
        <v>4056667</v>
      </c>
      <c r="H359" s="205" t="s">
        <v>155</v>
      </c>
      <c r="I359" s="183" t="s">
        <v>230</v>
      </c>
      <c r="J359" s="228" t="s">
        <v>103</v>
      </c>
      <c r="K359" s="228" t="s">
        <v>481</v>
      </c>
      <c r="L359" s="227" t="s">
        <v>188</v>
      </c>
      <c r="M359" s="178" t="s">
        <v>645</v>
      </c>
      <c r="N359" s="243" t="s">
        <v>215</v>
      </c>
      <c r="O359" s="178"/>
      <c r="P359" s="178"/>
    </row>
    <row r="360" spans="1:16" s="228" customFormat="1" ht="15.75" customHeight="1">
      <c r="A360" s="286">
        <v>44618</v>
      </c>
      <c r="B360" s="178" t="s">
        <v>519</v>
      </c>
      <c r="C360" s="178" t="s">
        <v>159</v>
      </c>
      <c r="D360" s="227" t="s">
        <v>4</v>
      </c>
      <c r="E360" s="195"/>
      <c r="F360" s="195">
        <v>30000</v>
      </c>
      <c r="G360" s="237">
        <f>+G359+E360-F360</f>
        <v>4026667</v>
      </c>
      <c r="H360" s="178" t="s">
        <v>29</v>
      </c>
      <c r="I360" s="183" t="s">
        <v>230</v>
      </c>
      <c r="J360" s="178" t="s">
        <v>103</v>
      </c>
      <c r="K360" s="178" t="s">
        <v>481</v>
      </c>
      <c r="L360" s="227" t="s">
        <v>188</v>
      </c>
      <c r="M360" s="178" t="s">
        <v>646</v>
      </c>
      <c r="N360" s="177" t="s">
        <v>217</v>
      </c>
      <c r="O360" s="178"/>
      <c r="P360" s="229"/>
    </row>
    <row r="361" spans="1:16" s="228" customFormat="1" ht="15.75" customHeight="1">
      <c r="A361" s="286">
        <v>44618</v>
      </c>
      <c r="B361" s="178" t="s">
        <v>470</v>
      </c>
      <c r="C361" s="178" t="s">
        <v>34</v>
      </c>
      <c r="D361" s="227" t="s">
        <v>4</v>
      </c>
      <c r="E361" s="195"/>
      <c r="F361" s="303">
        <v>10000</v>
      </c>
      <c r="G361" s="237">
        <f>+G359+E361-F361</f>
        <v>4046667</v>
      </c>
      <c r="H361" s="178" t="s">
        <v>29</v>
      </c>
      <c r="I361" s="183" t="s">
        <v>230</v>
      </c>
      <c r="J361" s="183" t="s">
        <v>103</v>
      </c>
      <c r="K361" s="183" t="s">
        <v>481</v>
      </c>
      <c r="L361" s="227" t="s">
        <v>188</v>
      </c>
      <c r="M361" s="178" t="s">
        <v>647</v>
      </c>
      <c r="N361" s="177" t="s">
        <v>215</v>
      </c>
      <c r="O361" s="178"/>
    </row>
    <row r="362" spans="1:16" ht="15.75" customHeight="1">
      <c r="A362" s="285">
        <v>44619</v>
      </c>
      <c r="B362" s="178" t="s">
        <v>452</v>
      </c>
      <c r="C362" s="184" t="s">
        <v>202</v>
      </c>
      <c r="D362" s="227" t="s">
        <v>4</v>
      </c>
      <c r="E362" s="221"/>
      <c r="F362" s="320">
        <v>112500</v>
      </c>
      <c r="G362" s="237">
        <f>+G361+E362-F362</f>
        <v>3934167</v>
      </c>
      <c r="H362" s="178" t="s">
        <v>49</v>
      </c>
      <c r="I362" s="183" t="s">
        <v>249</v>
      </c>
      <c r="J362" s="183" t="s">
        <v>168</v>
      </c>
      <c r="K362" s="178" t="s">
        <v>482</v>
      </c>
      <c r="L362" s="227" t="s">
        <v>188</v>
      </c>
      <c r="O362" s="178"/>
      <c r="P362" s="228"/>
    </row>
    <row r="363" spans="1:16" s="228" customFormat="1" ht="15.75" customHeight="1">
      <c r="A363" s="286">
        <v>44619</v>
      </c>
      <c r="B363" s="178" t="s">
        <v>471</v>
      </c>
      <c r="C363" s="178" t="s">
        <v>202</v>
      </c>
      <c r="D363" s="227" t="s">
        <v>4</v>
      </c>
      <c r="E363" s="195"/>
      <c r="F363" s="195">
        <v>131000</v>
      </c>
      <c r="G363" s="237">
        <f>+G362+E363-F363</f>
        <v>3803167</v>
      </c>
      <c r="H363" s="178" t="s">
        <v>29</v>
      </c>
      <c r="I363" s="183" t="s">
        <v>457</v>
      </c>
      <c r="J363" s="183" t="s">
        <v>168</v>
      </c>
      <c r="K363" s="178" t="s">
        <v>482</v>
      </c>
      <c r="L363" s="227" t="s">
        <v>188</v>
      </c>
      <c r="M363" s="178"/>
      <c r="N363" s="178"/>
      <c r="O363" s="178"/>
      <c r="P363" s="229"/>
    </row>
    <row r="364" spans="1:16" s="228" customFormat="1" ht="15.75" customHeight="1">
      <c r="A364" s="283">
        <v>44620</v>
      </c>
      <c r="B364" s="178" t="s">
        <v>523</v>
      </c>
      <c r="C364" s="178" t="s">
        <v>159</v>
      </c>
      <c r="D364" s="227" t="s">
        <v>166</v>
      </c>
      <c r="E364" s="222"/>
      <c r="F364" s="222">
        <v>30000</v>
      </c>
      <c r="G364" s="237">
        <f>G363+E364-F364</f>
        <v>3773167</v>
      </c>
      <c r="H364" s="178" t="s">
        <v>155</v>
      </c>
      <c r="I364" s="183" t="s">
        <v>230</v>
      </c>
      <c r="J364" s="183" t="s">
        <v>103</v>
      </c>
      <c r="K364" s="178" t="s">
        <v>481</v>
      </c>
      <c r="L364" s="227" t="s">
        <v>188</v>
      </c>
      <c r="M364" s="178" t="s">
        <v>648</v>
      </c>
      <c r="N364" s="177" t="s">
        <v>217</v>
      </c>
      <c r="O364" s="178"/>
      <c r="P364" s="178"/>
    </row>
    <row r="365" spans="1:16" s="228" customFormat="1" ht="15.75" customHeight="1">
      <c r="A365" s="283">
        <v>44620</v>
      </c>
      <c r="B365" s="207" t="s">
        <v>516</v>
      </c>
      <c r="C365" s="178" t="s">
        <v>159</v>
      </c>
      <c r="D365" s="227" t="s">
        <v>4</v>
      </c>
      <c r="E365" s="222"/>
      <c r="F365" s="320">
        <v>60000</v>
      </c>
      <c r="G365" s="237">
        <f t="shared" ref="G365:G373" si="6">+G364+E365-F365</f>
        <v>3713167</v>
      </c>
      <c r="H365" s="178" t="s">
        <v>49</v>
      </c>
      <c r="I365" s="183" t="s">
        <v>349</v>
      </c>
      <c r="J365" s="178" t="s">
        <v>103</v>
      </c>
      <c r="K365" s="178" t="s">
        <v>481</v>
      </c>
      <c r="L365" s="227" t="s">
        <v>188</v>
      </c>
      <c r="M365" s="178" t="s">
        <v>649</v>
      </c>
      <c r="N365" s="177" t="s">
        <v>217</v>
      </c>
      <c r="O365" s="178"/>
    </row>
    <row r="366" spans="1:16" s="228" customFormat="1" ht="15.75" customHeight="1">
      <c r="A366" s="283">
        <v>44620</v>
      </c>
      <c r="B366" s="227" t="s">
        <v>292</v>
      </c>
      <c r="C366" s="227" t="s">
        <v>76</v>
      </c>
      <c r="D366" s="227"/>
      <c r="E366" s="211">
        <v>20000</v>
      </c>
      <c r="F366" s="320"/>
      <c r="G366" s="237">
        <f t="shared" si="6"/>
        <v>3733167</v>
      </c>
      <c r="H366" s="227" t="s">
        <v>25</v>
      </c>
      <c r="I366" s="178"/>
      <c r="J366" s="227"/>
      <c r="K366" s="227"/>
      <c r="L366" s="227" t="s">
        <v>188</v>
      </c>
      <c r="M366" s="178"/>
      <c r="N366" s="227"/>
      <c r="O366" s="227"/>
      <c r="P366" s="178"/>
    </row>
    <row r="367" spans="1:16" s="228" customFormat="1" ht="15.75" customHeight="1">
      <c r="A367" s="283">
        <v>44620</v>
      </c>
      <c r="B367" s="227" t="s">
        <v>293</v>
      </c>
      <c r="C367" s="227" t="s">
        <v>76</v>
      </c>
      <c r="D367" s="227"/>
      <c r="E367" s="211">
        <v>90000</v>
      </c>
      <c r="F367" s="320"/>
      <c r="G367" s="237">
        <f t="shared" si="6"/>
        <v>3823167</v>
      </c>
      <c r="H367" s="227" t="s">
        <v>25</v>
      </c>
      <c r="I367" s="178"/>
      <c r="J367" s="227"/>
      <c r="K367" s="227"/>
      <c r="L367" s="227" t="s">
        <v>188</v>
      </c>
      <c r="M367" s="178"/>
      <c r="N367" s="227"/>
      <c r="O367" s="227"/>
      <c r="P367" s="178"/>
    </row>
    <row r="368" spans="1:16" s="229" customFormat="1" ht="15.75" customHeight="1">
      <c r="A368" s="283">
        <v>44620</v>
      </c>
      <c r="B368" s="227" t="s">
        <v>29</v>
      </c>
      <c r="C368" s="227" t="s">
        <v>76</v>
      </c>
      <c r="D368" s="287"/>
      <c r="E368" s="213"/>
      <c r="F368" s="221">
        <v>42000</v>
      </c>
      <c r="G368" s="237">
        <f t="shared" si="6"/>
        <v>3781167</v>
      </c>
      <c r="H368" s="227" t="s">
        <v>25</v>
      </c>
      <c r="I368" s="227"/>
      <c r="J368" s="227"/>
      <c r="K368" s="227"/>
      <c r="L368" s="227" t="s">
        <v>188</v>
      </c>
      <c r="M368" s="227"/>
      <c r="N368" s="227"/>
      <c r="O368" s="227"/>
      <c r="P368" s="178"/>
    </row>
    <row r="369" spans="1:16" s="229" customFormat="1" ht="15.75" customHeight="1">
      <c r="A369" s="285">
        <v>44620</v>
      </c>
      <c r="B369" s="227" t="s">
        <v>294</v>
      </c>
      <c r="C369" s="227" t="s">
        <v>187</v>
      </c>
      <c r="D369" s="227" t="s">
        <v>239</v>
      </c>
      <c r="E369" s="305"/>
      <c r="F369" s="320">
        <v>1050</v>
      </c>
      <c r="G369" s="237">
        <f t="shared" si="6"/>
        <v>3780117</v>
      </c>
      <c r="H369" s="227" t="s">
        <v>25</v>
      </c>
      <c r="I369" s="178" t="s">
        <v>230</v>
      </c>
      <c r="J369" s="227" t="s">
        <v>103</v>
      </c>
      <c r="K369" s="227" t="s">
        <v>481</v>
      </c>
      <c r="L369" s="227" t="s">
        <v>188</v>
      </c>
      <c r="M369" s="178" t="s">
        <v>650</v>
      </c>
      <c r="N369" s="328" t="s">
        <v>204</v>
      </c>
      <c r="O369" s="227"/>
      <c r="P369" s="178"/>
    </row>
    <row r="370" spans="1:16" s="219" customFormat="1" ht="15.75" customHeight="1">
      <c r="A370" s="286">
        <v>44620</v>
      </c>
      <c r="B370" s="287" t="s">
        <v>346</v>
      </c>
      <c r="C370" s="287" t="s">
        <v>34</v>
      </c>
      <c r="D370" s="227" t="s">
        <v>2</v>
      </c>
      <c r="E370" s="212"/>
      <c r="F370" s="324">
        <v>60300</v>
      </c>
      <c r="G370" s="237">
        <f t="shared" si="6"/>
        <v>3719817</v>
      </c>
      <c r="H370" s="288" t="s">
        <v>154</v>
      </c>
      <c r="I370" s="280" t="s">
        <v>249</v>
      </c>
      <c r="J370" s="227" t="s">
        <v>103</v>
      </c>
      <c r="K370" s="227" t="s">
        <v>481</v>
      </c>
      <c r="L370" s="227" t="s">
        <v>188</v>
      </c>
      <c r="M370" s="178" t="s">
        <v>651</v>
      </c>
      <c r="N370" s="328" t="s">
        <v>215</v>
      </c>
      <c r="O370" s="227"/>
      <c r="P370" s="178"/>
    </row>
    <row r="371" spans="1:16" s="229" customFormat="1" ht="15.75" customHeight="1">
      <c r="A371" s="286">
        <v>44620</v>
      </c>
      <c r="B371" s="287" t="s">
        <v>347</v>
      </c>
      <c r="C371" s="227" t="s">
        <v>76</v>
      </c>
      <c r="D371" s="227"/>
      <c r="E371" s="212"/>
      <c r="F371" s="223">
        <v>20000</v>
      </c>
      <c r="G371" s="237">
        <f t="shared" si="6"/>
        <v>3699817</v>
      </c>
      <c r="H371" s="242" t="s">
        <v>154</v>
      </c>
      <c r="I371" s="280"/>
      <c r="J371" s="227"/>
      <c r="K371" s="227"/>
      <c r="L371" s="227" t="s">
        <v>188</v>
      </c>
      <c r="M371" s="227"/>
      <c r="N371" s="227"/>
      <c r="O371" s="227"/>
      <c r="P371" s="178"/>
    </row>
    <row r="372" spans="1:16" s="229" customFormat="1" ht="15.75" customHeight="1">
      <c r="A372" s="283">
        <v>44620</v>
      </c>
      <c r="B372" s="227" t="s">
        <v>351</v>
      </c>
      <c r="C372" s="227" t="s">
        <v>34</v>
      </c>
      <c r="D372" s="227" t="s">
        <v>2</v>
      </c>
      <c r="E372" s="213"/>
      <c r="F372" s="323">
        <v>34500</v>
      </c>
      <c r="G372" s="237">
        <f t="shared" si="6"/>
        <v>3665317</v>
      </c>
      <c r="H372" s="227" t="s">
        <v>114</v>
      </c>
      <c r="I372" s="280" t="s">
        <v>249</v>
      </c>
      <c r="J372" s="183" t="s">
        <v>103</v>
      </c>
      <c r="K372" s="183" t="s">
        <v>481</v>
      </c>
      <c r="L372" s="227" t="s">
        <v>188</v>
      </c>
      <c r="M372" s="178" t="s">
        <v>652</v>
      </c>
      <c r="N372" s="177" t="s">
        <v>215</v>
      </c>
      <c r="O372" s="227"/>
      <c r="P372" s="178"/>
    </row>
    <row r="373" spans="1:16" s="229" customFormat="1" ht="15.75" customHeight="1">
      <c r="A373" s="283">
        <v>44620</v>
      </c>
      <c r="B373" s="178" t="s">
        <v>397</v>
      </c>
      <c r="C373" s="178" t="s">
        <v>76</v>
      </c>
      <c r="D373" s="184"/>
      <c r="E373" s="222"/>
      <c r="F373" s="222">
        <v>90000</v>
      </c>
      <c r="G373" s="237">
        <f t="shared" si="6"/>
        <v>3575317</v>
      </c>
      <c r="H373" s="178" t="s">
        <v>48</v>
      </c>
      <c r="I373" s="183"/>
      <c r="J373" s="183"/>
      <c r="K373" s="178"/>
      <c r="L373" s="227" t="s">
        <v>188</v>
      </c>
      <c r="M373" s="178"/>
      <c r="N373" s="177"/>
      <c r="O373" s="178"/>
      <c r="P373" s="178"/>
    </row>
    <row r="374" spans="1:16" s="229" customFormat="1" ht="15.75" customHeight="1">
      <c r="A374" s="286">
        <v>44620</v>
      </c>
      <c r="B374" s="184" t="s">
        <v>432</v>
      </c>
      <c r="C374" s="184" t="s">
        <v>34</v>
      </c>
      <c r="D374" s="227" t="s">
        <v>166</v>
      </c>
      <c r="E374" s="223"/>
      <c r="F374" s="324">
        <v>61400</v>
      </c>
      <c r="G374" s="237">
        <f>+G372+E374-F374</f>
        <v>3603917</v>
      </c>
      <c r="H374" s="205" t="s">
        <v>155</v>
      </c>
      <c r="I374" s="183" t="s">
        <v>249</v>
      </c>
      <c r="J374" s="228" t="s">
        <v>103</v>
      </c>
      <c r="K374" s="228" t="s">
        <v>481</v>
      </c>
      <c r="L374" s="227" t="s">
        <v>188</v>
      </c>
      <c r="M374" s="178" t="s">
        <v>653</v>
      </c>
      <c r="N374" s="243" t="s">
        <v>215</v>
      </c>
      <c r="O374" s="178"/>
      <c r="P374" s="178"/>
    </row>
    <row r="375" spans="1:16" s="229" customFormat="1" ht="15.75" customHeight="1">
      <c r="A375" s="283">
        <v>44620</v>
      </c>
      <c r="B375" s="178" t="s">
        <v>453</v>
      </c>
      <c r="C375" s="178" t="s">
        <v>34</v>
      </c>
      <c r="D375" s="227" t="s">
        <v>4</v>
      </c>
      <c r="E375" s="220"/>
      <c r="F375" s="320">
        <v>4000</v>
      </c>
      <c r="G375" s="237">
        <f>+G374+E375-F375</f>
        <v>3599917</v>
      </c>
      <c r="H375" s="178" t="s">
        <v>49</v>
      </c>
      <c r="I375" s="183" t="s">
        <v>349</v>
      </c>
      <c r="J375" s="228" t="s">
        <v>103</v>
      </c>
      <c r="K375" s="228" t="s">
        <v>481</v>
      </c>
      <c r="L375" s="227" t="s">
        <v>188</v>
      </c>
      <c r="M375" s="178" t="s">
        <v>654</v>
      </c>
      <c r="N375" s="243" t="s">
        <v>215</v>
      </c>
      <c r="O375" s="178"/>
      <c r="P375" s="228"/>
    </row>
    <row r="376" spans="1:16" s="229" customFormat="1" ht="15.75" customHeight="1">
      <c r="A376" s="283">
        <v>44620</v>
      </c>
      <c r="B376" s="178" t="s">
        <v>454</v>
      </c>
      <c r="C376" s="178" t="s">
        <v>34</v>
      </c>
      <c r="D376" s="227" t="s">
        <v>4</v>
      </c>
      <c r="E376" s="220"/>
      <c r="F376" s="320">
        <v>10000</v>
      </c>
      <c r="G376" s="237">
        <f>+G375+E376-F376</f>
        <v>3589917</v>
      </c>
      <c r="H376" s="178" t="s">
        <v>49</v>
      </c>
      <c r="I376" s="183" t="s">
        <v>349</v>
      </c>
      <c r="J376" s="228" t="s">
        <v>103</v>
      </c>
      <c r="K376" s="228" t="s">
        <v>481</v>
      </c>
      <c r="L376" s="227" t="s">
        <v>188</v>
      </c>
      <c r="M376" s="178" t="s">
        <v>655</v>
      </c>
      <c r="N376" s="243" t="s">
        <v>215</v>
      </c>
      <c r="O376" s="178"/>
      <c r="P376" s="228"/>
    </row>
    <row r="377" spans="1:16" s="229" customFormat="1" ht="15.75" customHeight="1">
      <c r="A377" s="286">
        <v>44620</v>
      </c>
      <c r="B377" s="184" t="s">
        <v>455</v>
      </c>
      <c r="C377" s="178" t="s">
        <v>34</v>
      </c>
      <c r="D377" s="227" t="s">
        <v>4</v>
      </c>
      <c r="E377" s="223"/>
      <c r="F377" s="324">
        <v>76500</v>
      </c>
      <c r="G377" s="237">
        <f>+G376+E377-F377</f>
        <v>3513417</v>
      </c>
      <c r="H377" s="206" t="s">
        <v>49</v>
      </c>
      <c r="I377" s="183" t="s">
        <v>249</v>
      </c>
      <c r="J377" s="228" t="s">
        <v>103</v>
      </c>
      <c r="K377" s="228" t="s">
        <v>481</v>
      </c>
      <c r="L377" s="227" t="s">
        <v>188</v>
      </c>
      <c r="M377" s="178" t="s">
        <v>656</v>
      </c>
      <c r="N377" s="243" t="s">
        <v>215</v>
      </c>
      <c r="O377" s="178"/>
      <c r="P377" s="228"/>
    </row>
    <row r="378" spans="1:16" s="229" customFormat="1" ht="15.75" customHeight="1">
      <c r="A378" s="283">
        <v>44620</v>
      </c>
      <c r="B378" s="178" t="s">
        <v>472</v>
      </c>
      <c r="C378" s="178" t="s">
        <v>34</v>
      </c>
      <c r="D378" s="227" t="s">
        <v>4</v>
      </c>
      <c r="E378" s="222"/>
      <c r="F378" s="320">
        <v>52500</v>
      </c>
      <c r="G378" s="237">
        <f>+G377+E378-F378</f>
        <v>3460917</v>
      </c>
      <c r="H378" s="227" t="s">
        <v>29</v>
      </c>
      <c r="I378" s="183" t="s">
        <v>457</v>
      </c>
      <c r="J378" s="183" t="s">
        <v>103</v>
      </c>
      <c r="K378" s="183" t="s">
        <v>481</v>
      </c>
      <c r="L378" s="227" t="s">
        <v>188</v>
      </c>
      <c r="M378" s="178" t="s">
        <v>657</v>
      </c>
      <c r="N378" s="177" t="s">
        <v>215</v>
      </c>
      <c r="O378" s="178"/>
      <c r="P378" s="178"/>
    </row>
    <row r="379" spans="1:16" s="229" customFormat="1" ht="15.75" customHeight="1">
      <c r="A379" s="283">
        <v>44620</v>
      </c>
      <c r="B379" s="178" t="s">
        <v>456</v>
      </c>
      <c r="C379" s="178" t="s">
        <v>76</v>
      </c>
      <c r="D379" s="178"/>
      <c r="E379" s="222">
        <v>42000</v>
      </c>
      <c r="F379" s="222"/>
      <c r="G379" s="237">
        <f>+G378+E379-F379</f>
        <v>3502917</v>
      </c>
      <c r="H379" s="227" t="s">
        <v>29</v>
      </c>
      <c r="I379" s="183"/>
      <c r="J379" s="183"/>
      <c r="K379" s="178"/>
      <c r="L379" s="227" t="s">
        <v>188</v>
      </c>
      <c r="M379" s="228"/>
      <c r="N379" s="228"/>
      <c r="O379" s="228"/>
    </row>
    <row r="380" spans="1:16" s="261" customFormat="1" ht="15.75" customHeight="1">
      <c r="A380" s="310"/>
      <c r="B380" s="249"/>
      <c r="C380" s="249"/>
      <c r="D380" s="249"/>
      <c r="E380" s="267"/>
      <c r="F380" s="271"/>
      <c r="G380" s="254"/>
      <c r="H380" s="249"/>
      <c r="I380" s="256"/>
      <c r="J380" s="256"/>
      <c r="K380" s="249"/>
      <c r="L380" s="249"/>
      <c r="M380" s="249"/>
      <c r="N380" s="257"/>
      <c r="O380" s="249"/>
    </row>
    <row r="381" spans="1:16" s="261" customFormat="1" ht="15.75" customHeight="1">
      <c r="A381" s="311"/>
      <c r="B381" s="251"/>
      <c r="C381" s="251"/>
      <c r="D381" s="249"/>
      <c r="E381" s="272"/>
      <c r="F381" s="253"/>
      <c r="G381" s="254"/>
      <c r="H381" s="251"/>
      <c r="I381" s="256"/>
      <c r="J381" s="256"/>
      <c r="K381" s="249"/>
      <c r="L381" s="249"/>
      <c r="M381" s="249"/>
      <c r="N381" s="257"/>
      <c r="O381" s="249"/>
    </row>
    <row r="382" spans="1:16" s="229" customFormat="1" ht="15.75" customHeight="1">
      <c r="A382" s="286"/>
      <c r="B382" s="178"/>
      <c r="C382" s="178"/>
      <c r="D382" s="178"/>
      <c r="E382" s="195"/>
      <c r="F382" s="190"/>
      <c r="G382" s="200"/>
      <c r="H382" s="178"/>
      <c r="I382" s="183"/>
      <c r="J382" s="183"/>
      <c r="K382" s="178"/>
      <c r="L382" s="178"/>
      <c r="M382" s="178"/>
      <c r="N382" s="178"/>
      <c r="O382" s="178"/>
    </row>
    <row r="383" spans="1:16" s="229" customFormat="1" ht="15.75" customHeight="1">
      <c r="A383" s="286"/>
      <c r="B383" s="178"/>
      <c r="C383" s="178"/>
      <c r="D383" s="178"/>
      <c r="E383" s="195"/>
      <c r="F383" s="190"/>
      <c r="G383" s="200"/>
      <c r="H383" s="178"/>
      <c r="I383" s="183"/>
      <c r="J383" s="183"/>
      <c r="K383" s="178"/>
      <c r="L383" s="178"/>
      <c r="M383" s="178"/>
      <c r="N383" s="178"/>
      <c r="O383" s="178"/>
    </row>
    <row r="384" spans="1:16" s="249" customFormat="1" ht="15.75" customHeight="1">
      <c r="A384" s="310"/>
      <c r="E384" s="267"/>
      <c r="F384" s="271"/>
      <c r="G384" s="254"/>
      <c r="I384" s="256"/>
      <c r="J384" s="256"/>
      <c r="N384" s="257"/>
    </row>
    <row r="385" spans="1:15" ht="15.75" customHeight="1">
      <c r="E385" s="222"/>
      <c r="F385" s="227"/>
      <c r="G385" s="200"/>
      <c r="O385" s="178"/>
    </row>
    <row r="386" spans="1:15" ht="15.75" customHeight="1">
      <c r="E386" s="222"/>
      <c r="F386" s="227"/>
      <c r="G386" s="200"/>
      <c r="O386" s="178"/>
    </row>
    <row r="387" spans="1:15" ht="15.75" customHeight="1">
      <c r="D387" s="229"/>
      <c r="E387" s="222"/>
      <c r="F387" s="213"/>
      <c r="G387" s="200"/>
      <c r="O387" s="178"/>
    </row>
    <row r="388" spans="1:15" ht="15.75" customHeight="1">
      <c r="D388" s="229"/>
      <c r="E388" s="222"/>
      <c r="F388" s="213"/>
      <c r="G388" s="200"/>
      <c r="O388" s="178"/>
    </row>
    <row r="389" spans="1:15" ht="15.75" customHeight="1">
      <c r="D389" s="229"/>
      <c r="E389" s="222"/>
      <c r="F389" s="213"/>
      <c r="G389" s="200"/>
      <c r="O389" s="178"/>
    </row>
    <row r="390" spans="1:15" ht="15.75" customHeight="1">
      <c r="E390" s="222"/>
      <c r="F390" s="227"/>
      <c r="G390" s="200"/>
      <c r="O390" s="178"/>
    </row>
    <row r="391" spans="1:15" s="249" customFormat="1" ht="15.75" customHeight="1">
      <c r="A391" s="310"/>
      <c r="D391" s="251"/>
      <c r="E391" s="263"/>
      <c r="F391" s="259"/>
      <c r="G391" s="254"/>
      <c r="I391" s="256"/>
      <c r="J391" s="256"/>
      <c r="N391" s="257"/>
    </row>
    <row r="392" spans="1:15" s="249" customFormat="1" ht="15.75" customHeight="1">
      <c r="A392" s="310"/>
      <c r="D392" s="251"/>
      <c r="E392" s="263"/>
      <c r="F392" s="265"/>
      <c r="G392" s="254"/>
      <c r="I392" s="256"/>
      <c r="J392" s="256"/>
      <c r="N392" s="257"/>
    </row>
    <row r="393" spans="1:15" ht="15.75" customHeight="1">
      <c r="E393" s="222"/>
      <c r="F393" s="227"/>
      <c r="G393" s="200"/>
      <c r="O393" s="178"/>
    </row>
    <row r="394" spans="1:15" ht="15.75" customHeight="1">
      <c r="D394" s="184"/>
      <c r="E394" s="222"/>
      <c r="F394" s="213"/>
      <c r="G394" s="200"/>
      <c r="O394" s="178"/>
    </row>
    <row r="395" spans="1:15" ht="15.75" customHeight="1">
      <c r="D395" s="213"/>
      <c r="E395" s="222"/>
      <c r="F395" s="227"/>
      <c r="G395" s="200"/>
      <c r="J395" s="178"/>
      <c r="K395" s="183"/>
      <c r="O395" s="178"/>
    </row>
    <row r="396" spans="1:15" ht="15.75" customHeight="1">
      <c r="E396" s="220"/>
      <c r="F396" s="237"/>
      <c r="G396" s="200"/>
      <c r="O396" s="178"/>
    </row>
    <row r="397" spans="1:15" ht="15.75" customHeight="1">
      <c r="A397" s="286"/>
      <c r="F397" s="190"/>
      <c r="G397" s="200"/>
      <c r="N397" s="178"/>
      <c r="O397" s="178"/>
    </row>
    <row r="398" spans="1:15" ht="15.75" customHeight="1">
      <c r="A398" s="286"/>
      <c r="F398" s="190"/>
      <c r="G398" s="200"/>
      <c r="N398" s="178"/>
      <c r="O398" s="178"/>
    </row>
    <row r="399" spans="1:15" ht="15.75" customHeight="1">
      <c r="A399" s="284"/>
      <c r="B399" s="229"/>
      <c r="C399" s="229"/>
      <c r="D399" s="229"/>
      <c r="E399" s="230"/>
      <c r="F399" s="239"/>
      <c r="G399" s="200"/>
      <c r="H399" s="229"/>
      <c r="J399" s="229"/>
      <c r="K399" s="229"/>
      <c r="M399" s="229"/>
      <c r="N399" s="229"/>
      <c r="O399" s="229"/>
    </row>
    <row r="400" spans="1:15" ht="15.75" customHeight="1">
      <c r="F400" s="236"/>
      <c r="G400" s="200"/>
      <c r="O400" s="178"/>
    </row>
    <row r="401" spans="1:15" s="249" customFormat="1" ht="15.75" customHeight="1">
      <c r="A401" s="310"/>
      <c r="D401" s="251"/>
      <c r="E401" s="263"/>
      <c r="F401" s="259"/>
      <c r="G401" s="254"/>
      <c r="I401" s="256"/>
      <c r="J401" s="256"/>
      <c r="N401" s="257"/>
    </row>
    <row r="402" spans="1:15" ht="15.75" customHeight="1">
      <c r="E402" s="222"/>
      <c r="F402" s="227"/>
      <c r="G402" s="200"/>
      <c r="O402" s="178"/>
    </row>
    <row r="403" spans="1:15" s="249" customFormat="1" ht="15.75" customHeight="1">
      <c r="A403" s="310"/>
      <c r="D403" s="251"/>
      <c r="E403" s="258"/>
      <c r="F403" s="264"/>
      <c r="G403" s="254"/>
      <c r="I403" s="256"/>
      <c r="N403" s="257"/>
    </row>
    <row r="404" spans="1:15" ht="15.75" customHeight="1">
      <c r="E404" s="220"/>
      <c r="F404" s="237"/>
      <c r="G404" s="200"/>
      <c r="O404" s="178"/>
    </row>
    <row r="405" spans="1:15" ht="15.75" customHeight="1">
      <c r="C405" s="184"/>
      <c r="E405" s="222"/>
      <c r="F405" s="213"/>
      <c r="G405" s="200"/>
      <c r="O405" s="178"/>
    </row>
    <row r="406" spans="1:15" s="249" customFormat="1" ht="15.75" customHeight="1">
      <c r="A406" s="310"/>
      <c r="E406" s="267"/>
      <c r="F406" s="271"/>
      <c r="G406" s="254"/>
      <c r="I406" s="256"/>
      <c r="J406" s="256"/>
      <c r="N406" s="257"/>
    </row>
    <row r="407" spans="1:15" ht="15.75" customHeight="1">
      <c r="D407" s="184"/>
      <c r="E407" s="222"/>
      <c r="F407" s="213"/>
      <c r="G407" s="200"/>
      <c r="O407" s="178"/>
    </row>
    <row r="408" spans="1:15" ht="15.75" customHeight="1">
      <c r="E408" s="222"/>
      <c r="F408" s="227"/>
      <c r="G408" s="200"/>
      <c r="O408" s="178"/>
    </row>
    <row r="409" spans="1:15" ht="15.75" customHeight="1">
      <c r="E409" s="222"/>
      <c r="F409" s="227"/>
      <c r="G409" s="200"/>
      <c r="O409" s="178"/>
    </row>
    <row r="410" spans="1:15" ht="15.75" customHeight="1">
      <c r="E410" s="220"/>
      <c r="F410" s="237"/>
      <c r="G410" s="200"/>
      <c r="O410" s="178"/>
    </row>
    <row r="411" spans="1:15" ht="15.75" customHeight="1">
      <c r="D411" s="226"/>
      <c r="E411" s="220"/>
      <c r="F411" s="211"/>
      <c r="G411" s="200"/>
      <c r="O411" s="178"/>
    </row>
    <row r="412" spans="1:15" ht="15.75" customHeight="1">
      <c r="A412" s="286"/>
      <c r="F412" s="236"/>
      <c r="G412" s="200"/>
      <c r="N412" s="178"/>
      <c r="O412" s="178"/>
    </row>
    <row r="413" spans="1:15" ht="15.75" customHeight="1">
      <c r="D413" s="226"/>
      <c r="E413" s="178"/>
      <c r="F413" s="178"/>
      <c r="G413" s="200"/>
      <c r="H413" s="227"/>
      <c r="M413" s="228"/>
      <c r="N413" s="228"/>
      <c r="O413" s="228"/>
    </row>
    <row r="414" spans="1:15" s="249" customFormat="1" ht="15.75" customHeight="1">
      <c r="A414" s="310"/>
      <c r="D414" s="262"/>
      <c r="G414" s="254"/>
      <c r="H414" s="270"/>
      <c r="I414" s="256"/>
      <c r="J414" s="260"/>
      <c r="K414" s="260"/>
      <c r="N414" s="269"/>
      <c r="O414" s="260"/>
    </row>
    <row r="415" spans="1:15" ht="15.75" customHeight="1">
      <c r="D415" s="226"/>
      <c r="E415" s="178"/>
      <c r="F415" s="198"/>
      <c r="G415" s="200"/>
      <c r="J415" s="228"/>
      <c r="K415" s="228"/>
      <c r="N415" s="243"/>
      <c r="O415" s="228"/>
    </row>
    <row r="416" spans="1:15" s="249" customFormat="1" ht="15.75" customHeight="1">
      <c r="A416" s="312"/>
      <c r="B416" s="251"/>
      <c r="D416" s="251"/>
      <c r="E416" s="252"/>
      <c r="F416" s="253"/>
      <c r="G416" s="254"/>
      <c r="H416" s="255"/>
      <c r="I416" s="256"/>
      <c r="J416" s="266"/>
      <c r="K416" s="255"/>
      <c r="N416" s="257"/>
    </row>
    <row r="417" spans="1:15" s="249" customFormat="1" ht="15.75" customHeight="1">
      <c r="A417" s="310"/>
      <c r="D417" s="251"/>
      <c r="E417" s="258"/>
      <c r="F417" s="264"/>
      <c r="G417" s="254"/>
      <c r="I417" s="256"/>
      <c r="N417" s="257"/>
    </row>
    <row r="418" spans="1:15" ht="15.75" customHeight="1">
      <c r="D418" s="229"/>
      <c r="E418" s="220"/>
      <c r="F418" s="211"/>
      <c r="G418" s="200"/>
      <c r="O418" s="178"/>
    </row>
    <row r="419" spans="1:15" ht="15.75" customHeight="1">
      <c r="D419" s="184"/>
      <c r="E419" s="220"/>
      <c r="F419" s="211"/>
      <c r="G419" s="200"/>
      <c r="O419" s="178"/>
    </row>
    <row r="420" spans="1:15" ht="15.75" customHeight="1">
      <c r="E420" s="220"/>
      <c r="F420" s="237"/>
      <c r="G420" s="200"/>
      <c r="O420" s="178"/>
    </row>
    <row r="421" spans="1:15" ht="15.75" customHeight="1">
      <c r="A421" s="285"/>
      <c r="B421" s="184"/>
      <c r="E421" s="225"/>
      <c r="F421" s="212"/>
      <c r="G421" s="200"/>
      <c r="H421" s="184"/>
      <c r="O421" s="178"/>
    </row>
    <row r="422" spans="1:15" ht="15.75" customHeight="1">
      <c r="D422" s="226"/>
      <c r="E422" s="220"/>
      <c r="F422" s="211"/>
      <c r="G422" s="200"/>
      <c r="K422" s="183"/>
      <c r="O422" s="178"/>
    </row>
    <row r="423" spans="1:15" ht="15.75" customHeight="1">
      <c r="D423" s="226"/>
      <c r="E423" s="220"/>
      <c r="F423" s="211"/>
      <c r="G423" s="200"/>
      <c r="O423" s="178"/>
    </row>
    <row r="424" spans="1:15" ht="15.75" customHeight="1">
      <c r="E424" s="220"/>
      <c r="F424" s="237"/>
      <c r="G424" s="200"/>
      <c r="O424" s="178"/>
    </row>
    <row r="425" spans="1:15" ht="15.75" customHeight="1">
      <c r="A425" s="286"/>
      <c r="F425" s="190"/>
      <c r="G425" s="200"/>
      <c r="N425" s="178"/>
      <c r="O425" s="178"/>
    </row>
    <row r="426" spans="1:15" s="249" customFormat="1" ht="15.75" customHeight="1">
      <c r="A426" s="312"/>
      <c r="E426" s="267"/>
      <c r="F426" s="268"/>
      <c r="G426" s="254"/>
      <c r="I426" s="256"/>
      <c r="J426" s="256"/>
      <c r="N426" s="257"/>
    </row>
    <row r="427" spans="1:15" ht="15.75" customHeight="1">
      <c r="A427" s="284"/>
      <c r="B427" s="229"/>
      <c r="C427" s="229"/>
      <c r="D427" s="229"/>
      <c r="E427" s="230"/>
      <c r="F427" s="230"/>
      <c r="G427" s="200"/>
      <c r="H427" s="229"/>
      <c r="J427" s="229"/>
      <c r="K427" s="229"/>
      <c r="N427" s="245"/>
      <c r="O427" s="229"/>
    </row>
    <row r="428" spans="1:15" ht="15.75" customHeight="1">
      <c r="E428" s="222"/>
      <c r="F428" s="213"/>
      <c r="G428" s="200"/>
      <c r="M428" s="177"/>
      <c r="O428" s="178"/>
    </row>
    <row r="429" spans="1:15" ht="15.75" customHeight="1">
      <c r="E429" s="220"/>
      <c r="F429" s="211"/>
      <c r="G429" s="200"/>
      <c r="O429" s="178"/>
    </row>
    <row r="430" spans="1:15" ht="15.75" customHeight="1">
      <c r="E430" s="220"/>
      <c r="F430" s="211"/>
      <c r="G430" s="200"/>
      <c r="O430" s="178"/>
    </row>
    <row r="431" spans="1:15" ht="15.75" customHeight="1">
      <c r="E431" s="220"/>
      <c r="F431" s="211"/>
      <c r="G431" s="200"/>
      <c r="O431" s="178"/>
    </row>
    <row r="432" spans="1:15" ht="15.75" customHeight="1">
      <c r="C432" s="184"/>
      <c r="E432" s="220"/>
      <c r="F432" s="211"/>
      <c r="G432" s="200"/>
      <c r="O432" s="178"/>
    </row>
    <row r="433" spans="1:15" ht="15.75" customHeight="1">
      <c r="C433" s="184"/>
      <c r="D433" s="229"/>
      <c r="E433" s="220"/>
      <c r="F433" s="211"/>
      <c r="G433" s="200"/>
      <c r="O433" s="178"/>
    </row>
    <row r="434" spans="1:15" ht="15.75" customHeight="1">
      <c r="C434" s="184"/>
      <c r="D434" s="219"/>
      <c r="E434" s="220"/>
      <c r="F434" s="211"/>
      <c r="G434" s="200"/>
    </row>
    <row r="435" spans="1:15" ht="15.75" customHeight="1">
      <c r="E435" s="220"/>
      <c r="F435" s="237"/>
      <c r="G435" s="200"/>
      <c r="O435" s="178"/>
    </row>
    <row r="436" spans="1:15" ht="15.75" customHeight="1">
      <c r="A436" s="286"/>
      <c r="B436" s="184"/>
      <c r="D436" s="184"/>
      <c r="E436" s="223"/>
      <c r="F436" s="240"/>
      <c r="G436" s="200"/>
      <c r="H436" s="206"/>
      <c r="J436" s="210"/>
      <c r="O436" s="178"/>
    </row>
    <row r="437" spans="1:15" ht="15.75" customHeight="1">
      <c r="A437" s="285"/>
      <c r="B437" s="184"/>
      <c r="D437" s="205"/>
      <c r="E437" s="223"/>
      <c r="F437" s="241"/>
      <c r="G437" s="200"/>
      <c r="H437" s="184"/>
      <c r="O437" s="178"/>
    </row>
    <row r="438" spans="1:15" s="249" customFormat="1" ht="15.75" customHeight="1">
      <c r="A438" s="312"/>
      <c r="E438" s="267"/>
      <c r="F438" s="268"/>
      <c r="G438" s="254"/>
      <c r="I438" s="256"/>
      <c r="N438" s="257"/>
    </row>
    <row r="439" spans="1:15" ht="15.75" customHeight="1">
      <c r="A439" s="286"/>
      <c r="F439" s="190"/>
      <c r="G439" s="200"/>
      <c r="O439" s="178"/>
    </row>
    <row r="440" spans="1:15" ht="15.75" customHeight="1">
      <c r="A440" s="286"/>
      <c r="F440" s="236"/>
      <c r="G440" s="200"/>
      <c r="N440" s="178"/>
      <c r="O440" s="178"/>
    </row>
    <row r="442" spans="1:15">
      <c r="F442" s="303"/>
    </row>
  </sheetData>
  <autoFilter ref="A11:P440">
    <filterColumn colId="2"/>
    <filterColumn colId="9"/>
    <filterColumn colId="10"/>
    <sortState ref="A12:P440">
      <sortCondition ref="A11:A440"/>
    </sortState>
  </autoFilter>
  <sortState ref="A12:P196">
    <sortCondition ref="M18"/>
  </sortState>
  <mergeCells count="1">
    <mergeCell ref="A1:O1"/>
  </mergeCells>
  <dataValidations count="1">
    <dataValidation type="list" allowBlank="1" showInputMessage="1" showErrorMessage="1" sqref="O384:O421">
      <formula1>"typeDD"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Récapitulatif</vt:lpstr>
      <vt:lpstr>Donateurs</vt:lpstr>
      <vt:lpstr>Feuil2</vt:lpstr>
      <vt:lpstr>DATA  FEVRIER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CJ2018-3</cp:lastModifiedBy>
  <cp:lastPrinted>2021-06-11T09:45:49Z</cp:lastPrinted>
  <dcterms:created xsi:type="dcterms:W3CDTF">2020-09-02T13:35:58Z</dcterms:created>
  <dcterms:modified xsi:type="dcterms:W3CDTF">2022-04-06T11:16:25Z</dcterms:modified>
</cp:coreProperties>
</file>