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mc:AlternateContent xmlns:mc="http://schemas.openxmlformats.org/markup-compatibility/2006">
    <mc:Choice Requires="x15">
      <x15ac:absPath xmlns:x15ac="http://schemas.microsoft.com/office/spreadsheetml/2010/11/ac" url="C:\Users\Tiffany Handford\Downloads\"/>
    </mc:Choice>
  </mc:AlternateContent>
  <xr:revisionPtr revIDLastSave="0" documentId="8_{67F4B148-F7DD-45EF-A1C9-4BBC4C1FEEB4}" xr6:coauthVersionLast="47" xr6:coauthVersionMax="47" xr10:uidLastSave="{00000000-0000-0000-0000-000000000000}"/>
  <bookViews>
    <workbookView xWindow="-120" yWindow="-120" windowWidth="20730" windowHeight="11160" tabRatio="553" activeTab="3" xr2:uid="{00000000-000D-0000-FFFF-FFFF00000000}"/>
  </bookViews>
  <sheets>
    <sheet name="Récapitulatif" sheetId="16" r:id="rId1"/>
    <sheet name="Donateurs" sheetId="140" r:id="rId2"/>
    <sheet name="Feuil2" sheetId="141" r:id="rId3"/>
    <sheet name="DATA  AVRIL 2022" sheetId="9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3" hidden="1">'DATA  AVRIL 2022'!$A$11:$P$425</definedName>
  </definedNames>
  <calcPr calcId="191029" iterateDelta="1E-4"/>
  <pivotCaches>
    <pivotCache cacheId="2" r:id="rId1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2" i="140" l="1"/>
  <c r="C5" i="95"/>
  <c r="C2" i="95"/>
  <c r="AQ7" i="141" l="1"/>
  <c r="AR7" i="141" s="1"/>
  <c r="AQ8" i="141"/>
  <c r="AR8" i="141" s="1"/>
  <c r="AQ9" i="141"/>
  <c r="AR9" i="141" s="1"/>
  <c r="AQ10" i="141"/>
  <c r="AR10" i="141" s="1"/>
  <c r="AQ11" i="141"/>
  <c r="AR11" i="141" s="1"/>
  <c r="AQ12" i="141"/>
  <c r="AR12" i="141" s="1"/>
  <c r="AQ13" i="141"/>
  <c r="AR13" i="141" s="1"/>
  <c r="AQ14" i="141"/>
  <c r="AR14" i="141" s="1"/>
  <c r="AQ15" i="141"/>
  <c r="AR15" i="141" s="1"/>
  <c r="AQ16" i="141"/>
  <c r="AR16" i="141" s="1"/>
  <c r="AQ17" i="141"/>
  <c r="AR17" i="141" s="1"/>
  <c r="AQ18" i="141"/>
  <c r="AR18" i="141" s="1"/>
  <c r="AQ6" i="141"/>
  <c r="AR6" i="141" s="1"/>
  <c r="AP7" i="141"/>
  <c r="AP8" i="141"/>
  <c r="AP9" i="141"/>
  <c r="AP10" i="141"/>
  <c r="AP11" i="141"/>
  <c r="AP12" i="141"/>
  <c r="AP13" i="141"/>
  <c r="AP14" i="141"/>
  <c r="AP15" i="141"/>
  <c r="AP16" i="141"/>
  <c r="AP17" i="141"/>
  <c r="AP18" i="141"/>
  <c r="AP6" i="141"/>
  <c r="AO7" i="141"/>
  <c r="AO8" i="141"/>
  <c r="AO9" i="141"/>
  <c r="AO10" i="141"/>
  <c r="AO11" i="141"/>
  <c r="AO12" i="141"/>
  <c r="AO13" i="141"/>
  <c r="AO14" i="141"/>
  <c r="AO15" i="141"/>
  <c r="AO16" i="141"/>
  <c r="AO17" i="141"/>
  <c r="AO18" i="141"/>
  <c r="AO6" i="141"/>
  <c r="AS19" i="141"/>
  <c r="AP19" i="141" l="1"/>
  <c r="AQ19" i="141"/>
  <c r="AR19" i="141"/>
  <c r="B23" i="140"/>
  <c r="AQ21" i="141" l="1"/>
  <c r="G13" i="95"/>
  <c r="G14" i="95" s="1"/>
  <c r="G15" i="95" s="1"/>
  <c r="G16" i="95" s="1"/>
  <c r="G17" i="95" s="1"/>
  <c r="G18" i="95" s="1"/>
  <c r="G19" i="95" s="1"/>
  <c r="G20" i="95" s="1"/>
  <c r="G21" i="95" s="1"/>
  <c r="G22" i="95" s="1"/>
  <c r="G23" i="95" s="1"/>
  <c r="G24" i="95" s="1"/>
  <c r="G25" i="95" s="1"/>
  <c r="G26" i="95" s="1"/>
  <c r="G27" i="95" s="1"/>
  <c r="G28" i="95" s="1"/>
  <c r="G29" i="95" s="1"/>
  <c r="G30" i="95" s="1"/>
  <c r="G31" i="95" s="1"/>
  <c r="G32" i="95" s="1"/>
  <c r="G33" i="95" s="1"/>
  <c r="G34" i="95" s="1"/>
  <c r="G35" i="95" s="1"/>
  <c r="G36" i="95" s="1"/>
  <c r="G37" i="95" s="1"/>
  <c r="G38" i="95" s="1"/>
  <c r="G39" i="95" s="1"/>
  <c r="G40" i="95" s="1"/>
  <c r="G41" i="95" s="1"/>
  <c r="G42" i="95" s="1"/>
  <c r="G43" i="95" s="1"/>
  <c r="G44" i="95" s="1"/>
  <c r="G45" i="95" s="1"/>
  <c r="G46" i="95" s="1"/>
  <c r="G47" i="95" s="1"/>
  <c r="G48" i="95" s="1"/>
  <c r="G49" i="95" s="1"/>
  <c r="G50" i="95" s="1"/>
  <c r="F51" i="95" l="1"/>
  <c r="C6" i="95" s="1"/>
  <c r="G51" i="95" l="1"/>
  <c r="G52" i="95" s="1"/>
  <c r="G53" i="95" s="1"/>
  <c r="G54" i="95" s="1"/>
  <c r="G55" i="95" s="1"/>
  <c r="G56" i="95" s="1"/>
  <c r="G57" i="95" s="1"/>
  <c r="G58" i="95" s="1"/>
  <c r="G59" i="95" s="1"/>
  <c r="G60" i="95" s="1"/>
  <c r="U56" i="95"/>
  <c r="C46" i="16" l="1"/>
  <c r="C45" i="16"/>
  <c r="C43" i="16"/>
  <c r="C41" i="16"/>
  <c r="C40" i="16"/>
  <c r="C39" i="16"/>
  <c r="C38" i="16"/>
  <c r="C37" i="16"/>
  <c r="C36" i="16"/>
  <c r="C35" i="16"/>
  <c r="C34" i="16"/>
  <c r="C33" i="16"/>
  <c r="C32" i="16"/>
  <c r="C31" i="16"/>
  <c r="A31" i="16"/>
  <c r="A32" i="16" s="1"/>
  <c r="A33" i="16" s="1"/>
  <c r="A34" i="16" s="1"/>
  <c r="A35" i="16" s="1"/>
  <c r="A36" i="16" s="1"/>
  <c r="C30" i="16"/>
  <c r="O19" i="16"/>
  <c r="N19" i="16"/>
  <c r="M19" i="16"/>
  <c r="L19" i="16"/>
  <c r="H19" i="16"/>
  <c r="C19" i="16"/>
  <c r="A22" i="16" s="1"/>
  <c r="G18" i="16"/>
  <c r="F18" i="16"/>
  <c r="H41" i="16" s="1"/>
  <c r="E18" i="16"/>
  <c r="I41" i="16" s="1"/>
  <c r="D18" i="16"/>
  <c r="A18" i="16"/>
  <c r="G17" i="16"/>
  <c r="F17" i="16"/>
  <c r="H40" i="16" s="1"/>
  <c r="E17" i="16"/>
  <c r="I40" i="16" s="1"/>
  <c r="D17" i="16"/>
  <c r="A17" i="16"/>
  <c r="G16" i="16"/>
  <c r="F16" i="16"/>
  <c r="H39" i="16" s="1"/>
  <c r="E16" i="16"/>
  <c r="I39" i="16" s="1"/>
  <c r="D16" i="16"/>
  <c r="E39" i="16" s="1"/>
  <c r="A16" i="16"/>
  <c r="G15" i="16"/>
  <c r="F15" i="16"/>
  <c r="H38" i="16" s="1"/>
  <c r="E15" i="16"/>
  <c r="I38" i="16" s="1"/>
  <c r="D15" i="16"/>
  <c r="E38" i="16" s="1"/>
  <c r="A15" i="16"/>
  <c r="G14" i="16"/>
  <c r="F14" i="16"/>
  <c r="H37" i="16" s="1"/>
  <c r="E14" i="16"/>
  <c r="I37" i="16" s="1"/>
  <c r="D14" i="16"/>
  <c r="A14" i="16"/>
  <c r="G13" i="16"/>
  <c r="F13" i="16"/>
  <c r="H36" i="16" s="1"/>
  <c r="E13" i="16"/>
  <c r="I36" i="16" s="1"/>
  <c r="D13" i="16"/>
  <c r="A13" i="16"/>
  <c r="G12" i="16"/>
  <c r="F12" i="16"/>
  <c r="H35" i="16" s="1"/>
  <c r="E12" i="16"/>
  <c r="I35" i="16" s="1"/>
  <c r="D12" i="16"/>
  <c r="E35" i="16" s="1"/>
  <c r="A12" i="16"/>
  <c r="G11" i="16"/>
  <c r="F11" i="16"/>
  <c r="H34" i="16" s="1"/>
  <c r="E11" i="16"/>
  <c r="I34" i="16" s="1"/>
  <c r="D11" i="16"/>
  <c r="E34" i="16" s="1"/>
  <c r="A11" i="16"/>
  <c r="G10" i="16"/>
  <c r="F10" i="16"/>
  <c r="H33" i="16" s="1"/>
  <c r="E10" i="16"/>
  <c r="I33" i="16" s="1"/>
  <c r="D10" i="16"/>
  <c r="A10" i="16"/>
  <c r="G9" i="16"/>
  <c r="F9" i="16"/>
  <c r="H32" i="16" s="1"/>
  <c r="E9" i="16"/>
  <c r="I32" i="16" s="1"/>
  <c r="D9" i="16"/>
  <c r="A9" i="16"/>
  <c r="G8" i="16"/>
  <c r="F8" i="16"/>
  <c r="H31" i="16" s="1"/>
  <c r="E8" i="16"/>
  <c r="I31" i="16" s="1"/>
  <c r="D8" i="16"/>
  <c r="E31" i="16" s="1"/>
  <c r="A8" i="16"/>
  <c r="G7" i="16"/>
  <c r="F7" i="16"/>
  <c r="H30" i="16" s="1"/>
  <c r="E7" i="16"/>
  <c r="I30" i="16" s="1"/>
  <c r="D7" i="16"/>
  <c r="A7" i="16"/>
  <c r="G6" i="16"/>
  <c r="F6" i="16"/>
  <c r="H43" i="16" s="1"/>
  <c r="E6" i="16"/>
  <c r="I43" i="16" s="1"/>
  <c r="D6" i="16"/>
  <c r="E43" i="16" s="1"/>
  <c r="A6" i="16"/>
  <c r="G5" i="16"/>
  <c r="D46" i="16" s="1"/>
  <c r="F5" i="16"/>
  <c r="H46" i="16" s="1"/>
  <c r="E5" i="16"/>
  <c r="I46" i="16" s="1"/>
  <c r="D5" i="16"/>
  <c r="A5" i="16"/>
  <c r="G4" i="16"/>
  <c r="D45" i="16" s="1"/>
  <c r="F4" i="16"/>
  <c r="E4" i="16"/>
  <c r="I45" i="16" s="1"/>
  <c r="D4" i="16"/>
  <c r="A4" i="16"/>
  <c r="E41" i="16" l="1"/>
  <c r="I18" i="16"/>
  <c r="C47" i="16"/>
  <c r="I4" i="16"/>
  <c r="J4" i="16" s="1"/>
  <c r="J41" i="16"/>
  <c r="I7" i="16"/>
  <c r="J7" i="16" s="1"/>
  <c r="J31" i="16"/>
  <c r="I10" i="16"/>
  <c r="J10" i="16" s="1"/>
  <c r="J35" i="16"/>
  <c r="I14" i="16"/>
  <c r="J14" i="16" s="1"/>
  <c r="J39" i="16"/>
  <c r="J18" i="16"/>
  <c r="E33" i="16"/>
  <c r="J33" i="16" s="1"/>
  <c r="F19" i="16"/>
  <c r="I5" i="16"/>
  <c r="J5" i="16" s="1"/>
  <c r="I9" i="16"/>
  <c r="J9" i="16" s="1"/>
  <c r="I13" i="16"/>
  <c r="J13" i="16" s="1"/>
  <c r="I17" i="16"/>
  <c r="J17" i="16" s="1"/>
  <c r="E40" i="16"/>
  <c r="J40" i="16" s="1"/>
  <c r="E37" i="16"/>
  <c r="J37" i="16" s="1"/>
  <c r="J46" i="16"/>
  <c r="A37" i="16"/>
  <c r="A39" i="16" s="1"/>
  <c r="A41" i="16" s="1"/>
  <c r="A43" i="16" s="1"/>
  <c r="A45" i="16" s="1"/>
  <c r="A46" i="16" s="1"/>
  <c r="A38" i="16"/>
  <c r="A40" i="16" s="1"/>
  <c r="J38" i="16"/>
  <c r="J43" i="16"/>
  <c r="I47" i="16"/>
  <c r="J34" i="16"/>
  <c r="I15" i="16"/>
  <c r="J15" i="16" s="1"/>
  <c r="I6" i="16"/>
  <c r="J6" i="16" s="1"/>
  <c r="E19" i="16"/>
  <c r="C22" i="16" s="1"/>
  <c r="E32" i="16"/>
  <c r="J32" i="16" s="1"/>
  <c r="E36" i="16"/>
  <c r="J36" i="16" s="1"/>
  <c r="I11" i="16"/>
  <c r="J11" i="16" s="1"/>
  <c r="D19" i="16"/>
  <c r="I16" i="16"/>
  <c r="J16" i="16" s="1"/>
  <c r="G19" i="16"/>
  <c r="B22" i="16" s="1"/>
  <c r="E30" i="16"/>
  <c r="J30" i="16" s="1"/>
  <c r="H45" i="16"/>
  <c r="J45" i="16" s="1"/>
  <c r="I8" i="16"/>
  <c r="J8" i="16" s="1"/>
  <c r="I12" i="16"/>
  <c r="J12" i="16" s="1"/>
  <c r="C94" i="16"/>
  <c r="C93" i="16"/>
  <c r="C91" i="16"/>
  <c r="C84" i="16"/>
  <c r="C85" i="16"/>
  <c r="C86" i="16"/>
  <c r="C87" i="16"/>
  <c r="C83" i="16"/>
  <c r="C88" i="16"/>
  <c r="C89" i="16"/>
  <c r="C79" i="16"/>
  <c r="C80" i="16"/>
  <c r="C78" i="16"/>
  <c r="G53" i="16"/>
  <c r="D94" i="16" s="1"/>
  <c r="G54" i="16"/>
  <c r="G55" i="16"/>
  <c r="G56" i="16"/>
  <c r="F53" i="16"/>
  <c r="H94" i="16" s="1"/>
  <c r="F54" i="16"/>
  <c r="H91" i="16" s="1"/>
  <c r="F55" i="16"/>
  <c r="H78" i="16" s="1"/>
  <c r="F56" i="16"/>
  <c r="F57" i="16"/>
  <c r="F58" i="16"/>
  <c r="F59" i="16"/>
  <c r="F60" i="16"/>
  <c r="F61" i="16"/>
  <c r="F62" i="16"/>
  <c r="F63" i="16"/>
  <c r="F64" i="16"/>
  <c r="F65" i="16"/>
  <c r="H88" i="16" s="1"/>
  <c r="F66" i="16"/>
  <c r="F52" i="16"/>
  <c r="H93" i="16" s="1"/>
  <c r="E53" i="16"/>
  <c r="I94" i="16" s="1"/>
  <c r="E54" i="16"/>
  <c r="I91" i="16" s="1"/>
  <c r="E55" i="16"/>
  <c r="I78" i="16" s="1"/>
  <c r="E56" i="16"/>
  <c r="E57" i="16"/>
  <c r="E58" i="16"/>
  <c r="E59" i="16"/>
  <c r="E60" i="16"/>
  <c r="E61" i="16"/>
  <c r="E62" i="16"/>
  <c r="E63" i="16"/>
  <c r="E64" i="16"/>
  <c r="E65" i="16"/>
  <c r="I88" i="16" s="1"/>
  <c r="E66" i="16"/>
  <c r="E52" i="16"/>
  <c r="I93" i="16" s="1"/>
  <c r="D58" i="16"/>
  <c r="D59" i="16"/>
  <c r="D60" i="16"/>
  <c r="E83" i="16" s="1"/>
  <c r="D61" i="16"/>
  <c r="E84" i="16" s="1"/>
  <c r="D62" i="16"/>
  <c r="E85" i="16" s="1"/>
  <c r="D63" i="16"/>
  <c r="E86" i="16" s="1"/>
  <c r="D64" i="16"/>
  <c r="E87" i="16" s="1"/>
  <c r="D65" i="16"/>
  <c r="E88" i="16" s="1"/>
  <c r="D66" i="16"/>
  <c r="E89" i="16" s="1"/>
  <c r="D53" i="16"/>
  <c r="D54" i="16"/>
  <c r="E91" i="16" s="1"/>
  <c r="D55" i="16"/>
  <c r="E78" i="16" s="1"/>
  <c r="D56" i="16"/>
  <c r="E79" i="16" s="1"/>
  <c r="D57" i="16"/>
  <c r="E80" i="16" s="1"/>
  <c r="D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5" i="16"/>
  <c r="A66" i="16"/>
  <c r="A52" i="16"/>
  <c r="G65" i="16"/>
  <c r="K37" i="16" l="1"/>
  <c r="K41" i="16"/>
  <c r="K40" i="16"/>
  <c r="D22" i="16"/>
  <c r="K39" i="16"/>
  <c r="K45" i="16"/>
  <c r="G21" i="16"/>
  <c r="K36" i="16"/>
  <c r="K33" i="16"/>
  <c r="K32" i="16"/>
  <c r="K34" i="16"/>
  <c r="K46" i="16"/>
  <c r="K43" i="16"/>
  <c r="K30" i="16"/>
  <c r="J47" i="16"/>
  <c r="K38" i="16"/>
  <c r="K35" i="16"/>
  <c r="K31" i="16"/>
  <c r="I19" i="16"/>
  <c r="J88" i="16"/>
  <c r="I65" i="16"/>
  <c r="J65" i="16" s="1"/>
  <c r="J19" i="16" l="1"/>
  <c r="I20" i="16"/>
  <c r="E22" i="16"/>
  <c r="K47" i="16"/>
  <c r="K88" i="16"/>
  <c r="C82" i="16" l="1"/>
  <c r="C81" i="16"/>
  <c r="A79" i="16"/>
  <c r="A80" i="16" s="1"/>
  <c r="A81" i="16" s="1"/>
  <c r="A82" i="16" s="1"/>
  <c r="A83" i="16" s="1"/>
  <c r="A84" i="16" s="1"/>
  <c r="O67" i="16"/>
  <c r="N67" i="16"/>
  <c r="M67" i="16"/>
  <c r="L67" i="16"/>
  <c r="H67" i="16"/>
  <c r="C67" i="16"/>
  <c r="A70" i="16" s="1"/>
  <c r="G66" i="16"/>
  <c r="H89" i="16"/>
  <c r="I89" i="16"/>
  <c r="G64" i="16"/>
  <c r="H87" i="16"/>
  <c r="I87" i="16"/>
  <c r="G63" i="16"/>
  <c r="H86" i="16"/>
  <c r="I86" i="16"/>
  <c r="G62" i="16"/>
  <c r="H85" i="16"/>
  <c r="I85" i="16"/>
  <c r="G61" i="16"/>
  <c r="H84" i="16"/>
  <c r="I84" i="16"/>
  <c r="G60" i="16"/>
  <c r="H83" i="16"/>
  <c r="I83" i="16"/>
  <c r="G59" i="16"/>
  <c r="H82" i="16"/>
  <c r="I82" i="16"/>
  <c r="E82" i="16"/>
  <c r="G58" i="16"/>
  <c r="H81" i="16"/>
  <c r="I81" i="16"/>
  <c r="E81" i="16"/>
  <c r="G57" i="16"/>
  <c r="H80" i="16"/>
  <c r="I80" i="16"/>
  <c r="H79" i="16"/>
  <c r="I79" i="16"/>
  <c r="G52" i="16"/>
  <c r="D93" i="16" s="1"/>
  <c r="A101" i="16"/>
  <c r="D101" i="16"/>
  <c r="E101" i="16"/>
  <c r="F101" i="16"/>
  <c r="H126" i="16" s="1"/>
  <c r="G101" i="16"/>
  <c r="A102" i="16"/>
  <c r="D102" i="16"/>
  <c r="E102" i="16"/>
  <c r="I140" i="16" s="1"/>
  <c r="F102" i="16"/>
  <c r="G102" i="16"/>
  <c r="D140" i="16" s="1"/>
  <c r="A103" i="16"/>
  <c r="D103" i="16"/>
  <c r="E103" i="16"/>
  <c r="F103" i="16"/>
  <c r="G103" i="16"/>
  <c r="A104" i="16"/>
  <c r="D104" i="16"/>
  <c r="E104" i="16"/>
  <c r="F104" i="16"/>
  <c r="H138" i="16" s="1"/>
  <c r="G104" i="16"/>
  <c r="A105" i="16"/>
  <c r="D105" i="16"/>
  <c r="E105" i="16"/>
  <c r="F105" i="16"/>
  <c r="H127" i="16" s="1"/>
  <c r="G105" i="16"/>
  <c r="A106" i="16"/>
  <c r="D106" i="16"/>
  <c r="E128" i="16" s="1"/>
  <c r="E106" i="16"/>
  <c r="F106" i="16"/>
  <c r="G106" i="16"/>
  <c r="A107" i="16"/>
  <c r="D107" i="16"/>
  <c r="E107" i="16"/>
  <c r="F107" i="16"/>
  <c r="H129" i="16" s="1"/>
  <c r="G107" i="16"/>
  <c r="A108" i="16"/>
  <c r="D108" i="16"/>
  <c r="E108" i="16"/>
  <c r="F108" i="16"/>
  <c r="H130" i="16" s="1"/>
  <c r="G108" i="16"/>
  <c r="A109" i="16"/>
  <c r="D109" i="16"/>
  <c r="E109" i="16"/>
  <c r="I131" i="16" s="1"/>
  <c r="F109" i="16"/>
  <c r="H131" i="16" s="1"/>
  <c r="G109" i="16"/>
  <c r="A110" i="16"/>
  <c r="D110" i="16"/>
  <c r="E110" i="16"/>
  <c r="I132" i="16" s="1"/>
  <c r="F110" i="16"/>
  <c r="G110" i="16"/>
  <c r="A111" i="16"/>
  <c r="D111" i="16"/>
  <c r="E133" i="16" s="1"/>
  <c r="E111" i="16"/>
  <c r="F111" i="16"/>
  <c r="G111" i="16"/>
  <c r="A112" i="16"/>
  <c r="D112" i="16"/>
  <c r="E112" i="16"/>
  <c r="F112" i="16"/>
  <c r="H134" i="16" s="1"/>
  <c r="G112" i="16"/>
  <c r="A113" i="16"/>
  <c r="D113" i="16"/>
  <c r="E113" i="16"/>
  <c r="I135" i="16" s="1"/>
  <c r="F113" i="16"/>
  <c r="G113" i="16"/>
  <c r="A114" i="16"/>
  <c r="D114" i="16"/>
  <c r="E136" i="16" s="1"/>
  <c r="E114" i="16"/>
  <c r="F114" i="16"/>
  <c r="G114" i="16"/>
  <c r="C115" i="16"/>
  <c r="A118" i="16" s="1"/>
  <c r="H115" i="16"/>
  <c r="L115" i="16"/>
  <c r="M115" i="16"/>
  <c r="N115" i="16"/>
  <c r="O115" i="16"/>
  <c r="C126" i="16"/>
  <c r="E126" i="16"/>
  <c r="I126" i="16"/>
  <c r="A127" i="16"/>
  <c r="A128" i="16" s="1"/>
  <c r="A129" i="16" s="1"/>
  <c r="A130" i="16" s="1"/>
  <c r="A131" i="16" s="1"/>
  <c r="A132" i="16" s="1"/>
  <c r="C127" i="16"/>
  <c r="E127" i="16"/>
  <c r="I127" i="16"/>
  <c r="C128" i="16"/>
  <c r="H128" i="16"/>
  <c r="C129" i="16"/>
  <c r="E129" i="16"/>
  <c r="C130" i="16"/>
  <c r="E130" i="16"/>
  <c r="I130" i="16"/>
  <c r="C131" i="16"/>
  <c r="E131" i="16"/>
  <c r="C132" i="16"/>
  <c r="H132" i="16"/>
  <c r="C133" i="16"/>
  <c r="H133" i="16"/>
  <c r="C134" i="16"/>
  <c r="E134" i="16"/>
  <c r="I134" i="16"/>
  <c r="C135" i="16"/>
  <c r="E135" i="16"/>
  <c r="H135" i="16"/>
  <c r="C136" i="16"/>
  <c r="H136" i="16"/>
  <c r="C138" i="16"/>
  <c r="E138" i="16"/>
  <c r="I138" i="16"/>
  <c r="C140" i="16"/>
  <c r="C141" i="16"/>
  <c r="D141" i="16"/>
  <c r="H141" i="16"/>
  <c r="I114" i="16" l="1"/>
  <c r="J114" i="16" s="1"/>
  <c r="I106" i="16"/>
  <c r="J106" i="16" s="1"/>
  <c r="J127" i="16"/>
  <c r="I102" i="16"/>
  <c r="J102" i="16" s="1"/>
  <c r="I136" i="16"/>
  <c r="J135" i="16"/>
  <c r="I110" i="16"/>
  <c r="J110" i="16" s="1"/>
  <c r="I109" i="16"/>
  <c r="J109" i="16" s="1"/>
  <c r="G67" i="16"/>
  <c r="B70" i="16" s="1"/>
  <c r="I55" i="16"/>
  <c r="J55" i="16" s="1"/>
  <c r="I53" i="16"/>
  <c r="J53" i="16" s="1"/>
  <c r="I54" i="16"/>
  <c r="J54" i="16" s="1"/>
  <c r="C95" i="16"/>
  <c r="I95" i="16"/>
  <c r="J79" i="16"/>
  <c r="J83" i="16"/>
  <c r="J87" i="16"/>
  <c r="J94" i="16"/>
  <c r="A86" i="16"/>
  <c r="A88" i="16" s="1"/>
  <c r="A85" i="16"/>
  <c r="A87" i="16" s="1"/>
  <c r="A89" i="16" s="1"/>
  <c r="A91" i="16" s="1"/>
  <c r="A93" i="16" s="1"/>
  <c r="A94" i="16" s="1"/>
  <c r="J82" i="16"/>
  <c r="J86" i="16"/>
  <c r="J93" i="16"/>
  <c r="J81" i="16"/>
  <c r="J85" i="16"/>
  <c r="J80" i="16"/>
  <c r="J84" i="16"/>
  <c r="J89" i="16"/>
  <c r="I52" i="16"/>
  <c r="I56" i="16"/>
  <c r="J56" i="16" s="1"/>
  <c r="I60" i="16"/>
  <c r="J60" i="16" s="1"/>
  <c r="I64" i="16"/>
  <c r="J64" i="16" s="1"/>
  <c r="F67" i="16"/>
  <c r="J78" i="16"/>
  <c r="K78" i="16" s="1"/>
  <c r="I57" i="16"/>
  <c r="J57" i="16" s="1"/>
  <c r="I61" i="16"/>
  <c r="J61" i="16" s="1"/>
  <c r="I66" i="16"/>
  <c r="J66" i="16" s="1"/>
  <c r="E67" i="16"/>
  <c r="C70" i="16" s="1"/>
  <c r="I58" i="16"/>
  <c r="J58" i="16" s="1"/>
  <c r="I62" i="16"/>
  <c r="J62" i="16" s="1"/>
  <c r="D67" i="16"/>
  <c r="J91" i="16"/>
  <c r="I59" i="16"/>
  <c r="J59" i="16" s="1"/>
  <c r="I63" i="16"/>
  <c r="J63" i="16" s="1"/>
  <c r="J136" i="16"/>
  <c r="K136" i="16" s="1"/>
  <c r="J134" i="16"/>
  <c r="J131" i="16"/>
  <c r="K131" i="16" s="1"/>
  <c r="I103" i="16"/>
  <c r="J103" i="16" s="1"/>
  <c r="H140" i="16"/>
  <c r="J140" i="16" s="1"/>
  <c r="J138" i="16"/>
  <c r="E132" i="16"/>
  <c r="J132" i="16" s="1"/>
  <c r="K132" i="16" s="1"/>
  <c r="I128" i="16"/>
  <c r="C142" i="16"/>
  <c r="E115" i="16"/>
  <c r="C118" i="16" s="1"/>
  <c r="I113" i="16"/>
  <c r="J113" i="16" s="1"/>
  <c r="I111" i="16"/>
  <c r="J111" i="16" s="1"/>
  <c r="I107" i="16"/>
  <c r="J107" i="16" s="1"/>
  <c r="D115" i="16"/>
  <c r="I101" i="16"/>
  <c r="J101" i="16" s="1"/>
  <c r="J128" i="16"/>
  <c r="K128" i="16" s="1"/>
  <c r="J130" i="16"/>
  <c r="G115" i="16"/>
  <c r="B118" i="16" s="1"/>
  <c r="D118" i="16" s="1"/>
  <c r="I105" i="16"/>
  <c r="J105" i="16" s="1"/>
  <c r="I104" i="16"/>
  <c r="J104" i="16" s="1"/>
  <c r="A134" i="16"/>
  <c r="A133" i="16"/>
  <c r="A135" i="16" s="1"/>
  <c r="A136" i="16" s="1"/>
  <c r="A138" i="16" s="1"/>
  <c r="A140" i="16" s="1"/>
  <c r="A141" i="16" s="1"/>
  <c r="K135" i="16"/>
  <c r="I133" i="16"/>
  <c r="J133" i="16" s="1"/>
  <c r="I129" i="16"/>
  <c r="J129" i="16" s="1"/>
  <c r="J126" i="16"/>
  <c r="F115" i="16"/>
  <c r="G117" i="16" s="1"/>
  <c r="I112" i="16"/>
  <c r="J112" i="16" s="1"/>
  <c r="I108" i="16"/>
  <c r="J108" i="16" s="1"/>
  <c r="I141" i="16"/>
  <c r="J141" i="16" s="1"/>
  <c r="K133" i="16" l="1"/>
  <c r="K91" i="16"/>
  <c r="K94" i="16"/>
  <c r="K141" i="16"/>
  <c r="K140" i="16"/>
  <c r="K129" i="16"/>
  <c r="K93" i="16"/>
  <c r="D70" i="16"/>
  <c r="G69" i="16"/>
  <c r="K84" i="16"/>
  <c r="K89" i="16"/>
  <c r="K85" i="16"/>
  <c r="K82" i="16"/>
  <c r="K87" i="16"/>
  <c r="J52" i="16"/>
  <c r="I67" i="16"/>
  <c r="K86" i="16"/>
  <c r="J95" i="16"/>
  <c r="K80" i="16"/>
  <c r="K79" i="16"/>
  <c r="K81" i="16"/>
  <c r="K83" i="16"/>
  <c r="K138" i="16"/>
  <c r="K127" i="16"/>
  <c r="I142" i="16"/>
  <c r="K126" i="16"/>
  <c r="J142" i="16"/>
  <c r="K134" i="16"/>
  <c r="I115" i="16"/>
  <c r="K130" i="16"/>
  <c r="K95" i="16" l="1"/>
  <c r="I68" i="16"/>
  <c r="E70" i="16"/>
  <c r="J67" i="16"/>
  <c r="K142" i="16"/>
  <c r="I116" i="16"/>
  <c r="E118" i="16"/>
  <c r="J115" i="16"/>
  <c r="C187" i="16"/>
  <c r="C186" i="16"/>
  <c r="C184" i="16"/>
  <c r="C182" i="16"/>
  <c r="C181" i="16"/>
  <c r="C180" i="16"/>
  <c r="C179" i="16"/>
  <c r="C178" i="16"/>
  <c r="C177" i="16"/>
  <c r="C176" i="16"/>
  <c r="C175" i="16"/>
  <c r="C174" i="16"/>
  <c r="C173" i="16"/>
  <c r="C172" i="16"/>
  <c r="A173" i="16"/>
  <c r="A174" i="16" s="1"/>
  <c r="A175" i="16" s="1"/>
  <c r="A176" i="16" s="1"/>
  <c r="A177" i="16" s="1"/>
  <c r="A178" i="16" s="1"/>
  <c r="O161" i="16"/>
  <c r="N161" i="16"/>
  <c r="M161" i="16"/>
  <c r="L161" i="16"/>
  <c r="H161" i="16"/>
  <c r="C161" i="16"/>
  <c r="A164" i="16" s="1"/>
  <c r="G160" i="16"/>
  <c r="F160" i="16"/>
  <c r="H182" i="16" s="1"/>
  <c r="E160" i="16"/>
  <c r="I182" i="16" s="1"/>
  <c r="D160" i="16"/>
  <c r="E182" i="16" s="1"/>
  <c r="A160" i="16"/>
  <c r="G159" i="16"/>
  <c r="F159" i="16"/>
  <c r="H181" i="16" s="1"/>
  <c r="E159" i="16"/>
  <c r="I181" i="16" s="1"/>
  <c r="D159" i="16"/>
  <c r="A159" i="16"/>
  <c r="G158" i="16"/>
  <c r="F158" i="16"/>
  <c r="H180" i="16" s="1"/>
  <c r="E158" i="16"/>
  <c r="I180" i="16" s="1"/>
  <c r="D158" i="16"/>
  <c r="E180" i="16" s="1"/>
  <c r="A158" i="16"/>
  <c r="G157" i="16"/>
  <c r="F157" i="16"/>
  <c r="H179" i="16" s="1"/>
  <c r="E157" i="16"/>
  <c r="I179" i="16" s="1"/>
  <c r="D157" i="16"/>
  <c r="E179" i="16" s="1"/>
  <c r="A157" i="16"/>
  <c r="G156" i="16"/>
  <c r="F156" i="16"/>
  <c r="H178" i="16" s="1"/>
  <c r="E156" i="16"/>
  <c r="I178" i="16" s="1"/>
  <c r="D156" i="16"/>
  <c r="E178" i="16" s="1"/>
  <c r="A156" i="16"/>
  <c r="G155" i="16"/>
  <c r="F155" i="16"/>
  <c r="H177" i="16" s="1"/>
  <c r="E155" i="16"/>
  <c r="I177" i="16" s="1"/>
  <c r="D155" i="16"/>
  <c r="A155" i="16"/>
  <c r="G154" i="16"/>
  <c r="F154" i="16"/>
  <c r="H176" i="16" s="1"/>
  <c r="E154" i="16"/>
  <c r="I176" i="16" s="1"/>
  <c r="D154" i="16"/>
  <c r="E176" i="16" s="1"/>
  <c r="A154" i="16"/>
  <c r="G153" i="16"/>
  <c r="F153" i="16"/>
  <c r="H175" i="16" s="1"/>
  <c r="E153" i="16"/>
  <c r="I175" i="16" s="1"/>
  <c r="D153" i="16"/>
  <c r="E175" i="16" s="1"/>
  <c r="A153" i="16"/>
  <c r="G152" i="16"/>
  <c r="F152" i="16"/>
  <c r="H174" i="16" s="1"/>
  <c r="E152" i="16"/>
  <c r="I174" i="16" s="1"/>
  <c r="D152" i="16"/>
  <c r="E174" i="16" s="1"/>
  <c r="A152" i="16"/>
  <c r="G151" i="16"/>
  <c r="F151" i="16"/>
  <c r="H173" i="16" s="1"/>
  <c r="E151" i="16"/>
  <c r="I173" i="16" s="1"/>
  <c r="D151" i="16"/>
  <c r="A151" i="16"/>
  <c r="G150" i="16"/>
  <c r="F150" i="16"/>
  <c r="H184" i="16" s="1"/>
  <c r="E150" i="16"/>
  <c r="I184" i="16" s="1"/>
  <c r="D150" i="16"/>
  <c r="E184" i="16" s="1"/>
  <c r="A150" i="16"/>
  <c r="G149" i="16"/>
  <c r="D187" i="16" s="1"/>
  <c r="F149" i="16"/>
  <c r="H187" i="16" s="1"/>
  <c r="E149" i="16"/>
  <c r="I187" i="16" s="1"/>
  <c r="D149" i="16"/>
  <c r="A149" i="16"/>
  <c r="G148" i="16"/>
  <c r="D186" i="16" s="1"/>
  <c r="F148" i="16"/>
  <c r="H186" i="16" s="1"/>
  <c r="E148" i="16"/>
  <c r="I186" i="16" s="1"/>
  <c r="D148" i="16"/>
  <c r="A148" i="16"/>
  <c r="G147" i="16"/>
  <c r="F147" i="16"/>
  <c r="H172" i="16" s="1"/>
  <c r="E147" i="16"/>
  <c r="I172" i="16" s="1"/>
  <c r="D147" i="16"/>
  <c r="E172" i="16" s="1"/>
  <c r="A147" i="16"/>
  <c r="E203" i="16"/>
  <c r="G161" i="16" l="1"/>
  <c r="B164" i="16" s="1"/>
  <c r="I149" i="16"/>
  <c r="J149" i="16" s="1"/>
  <c r="I148" i="16"/>
  <c r="J148" i="16" s="1"/>
  <c r="C188" i="16"/>
  <c r="J187" i="16"/>
  <c r="I151" i="16"/>
  <c r="J151" i="16" s="1"/>
  <c r="J175" i="16"/>
  <c r="I155" i="16"/>
  <c r="J155" i="16" s="1"/>
  <c r="J179" i="16"/>
  <c r="I159" i="16"/>
  <c r="J159" i="16" s="1"/>
  <c r="F161" i="16"/>
  <c r="J172" i="16"/>
  <c r="I188" i="16"/>
  <c r="J184" i="16"/>
  <c r="J176" i="16"/>
  <c r="J180" i="16"/>
  <c r="A180" i="16"/>
  <c r="A179" i="16"/>
  <c r="A181" i="16" s="1"/>
  <c r="A182" i="16" s="1"/>
  <c r="A184" i="16" s="1"/>
  <c r="A186" i="16" s="1"/>
  <c r="A187" i="16" s="1"/>
  <c r="J186" i="16"/>
  <c r="K186" i="16" s="1"/>
  <c r="J174" i="16"/>
  <c r="J178" i="16"/>
  <c r="J182" i="16"/>
  <c r="I152" i="16"/>
  <c r="J152" i="16" s="1"/>
  <c r="I156" i="16"/>
  <c r="J156" i="16" s="1"/>
  <c r="I160" i="16"/>
  <c r="J160" i="16" s="1"/>
  <c r="E161" i="16"/>
  <c r="C164" i="16" s="1"/>
  <c r="E173" i="16"/>
  <c r="J173" i="16" s="1"/>
  <c r="E177" i="16"/>
  <c r="J177" i="16" s="1"/>
  <c r="K177" i="16" s="1"/>
  <c r="E181" i="16"/>
  <c r="J181" i="16" s="1"/>
  <c r="I153" i="16"/>
  <c r="J153" i="16" s="1"/>
  <c r="I157" i="16"/>
  <c r="J157" i="16" s="1"/>
  <c r="D161" i="16"/>
  <c r="I150" i="16"/>
  <c r="J150" i="16" s="1"/>
  <c r="I154" i="16"/>
  <c r="J154" i="16" s="1"/>
  <c r="I158" i="16"/>
  <c r="J158" i="16" s="1"/>
  <c r="I147" i="16"/>
  <c r="J147" i="16" s="1"/>
  <c r="N208" i="16"/>
  <c r="M208" i="16"/>
  <c r="O208" i="16"/>
  <c r="L208" i="16"/>
  <c r="D205" i="16"/>
  <c r="D164" i="16" l="1"/>
  <c r="K173" i="16"/>
  <c r="K187" i="16"/>
  <c r="K182" i="16"/>
  <c r="G163" i="16"/>
  <c r="K181" i="16"/>
  <c r="I161" i="16"/>
  <c r="K179" i="16"/>
  <c r="K172" i="16"/>
  <c r="K184" i="16"/>
  <c r="K176" i="16"/>
  <c r="J188" i="16"/>
  <c r="K174" i="16"/>
  <c r="K178" i="16"/>
  <c r="K175" i="16"/>
  <c r="K180" i="16"/>
  <c r="J161" i="16" l="1"/>
  <c r="I162" i="16"/>
  <c r="E164" i="16"/>
  <c r="K188" i="16"/>
  <c r="C235" i="16" l="1"/>
  <c r="C234" i="16"/>
  <c r="C232" i="16"/>
  <c r="C230" i="16"/>
  <c r="C229" i="16"/>
  <c r="C228" i="16"/>
  <c r="C227" i="16"/>
  <c r="C226" i="16"/>
  <c r="C225" i="16"/>
  <c r="C224" i="16"/>
  <c r="C223" i="16"/>
  <c r="C222" i="16"/>
  <c r="C221" i="16"/>
  <c r="C220" i="16"/>
  <c r="A220" i="16"/>
  <c r="A221" i="16" s="1"/>
  <c r="A222" i="16" s="1"/>
  <c r="A223" i="16" s="1"/>
  <c r="A224" i="16" s="1"/>
  <c r="A225" i="16" s="1"/>
  <c r="A226" i="16" s="1"/>
  <c r="C219" i="16"/>
  <c r="H208" i="16"/>
  <c r="C208" i="16"/>
  <c r="A211" i="16" s="1"/>
  <c r="G207" i="16"/>
  <c r="F207" i="16"/>
  <c r="H230" i="16" s="1"/>
  <c r="E207" i="16"/>
  <c r="I230" i="16" s="1"/>
  <c r="D207" i="16"/>
  <c r="E230" i="16" s="1"/>
  <c r="A207" i="16"/>
  <c r="G206" i="16"/>
  <c r="F206" i="16"/>
  <c r="H229" i="16" s="1"/>
  <c r="E206" i="16"/>
  <c r="I229" i="16" s="1"/>
  <c r="D206" i="16"/>
  <c r="A206" i="16"/>
  <c r="G205" i="16"/>
  <c r="F205" i="16"/>
  <c r="H228" i="16" s="1"/>
  <c r="E205" i="16"/>
  <c r="A205" i="16"/>
  <c r="G204" i="16"/>
  <c r="F204" i="16"/>
  <c r="H227" i="16" s="1"/>
  <c r="E204" i="16"/>
  <c r="I227" i="16" s="1"/>
  <c r="D204" i="16"/>
  <c r="E227" i="16" s="1"/>
  <c r="A204" i="16"/>
  <c r="G203" i="16"/>
  <c r="F203" i="16"/>
  <c r="H226" i="16" s="1"/>
  <c r="I226" i="16"/>
  <c r="D203" i="16"/>
  <c r="E226" i="16" s="1"/>
  <c r="A203" i="16"/>
  <c r="G202" i="16"/>
  <c r="F202" i="16"/>
  <c r="H225" i="16" s="1"/>
  <c r="E202" i="16"/>
  <c r="I225" i="16" s="1"/>
  <c r="D202" i="16"/>
  <c r="A202" i="16"/>
  <c r="G201" i="16"/>
  <c r="F201" i="16"/>
  <c r="H224" i="16" s="1"/>
  <c r="E201" i="16"/>
  <c r="I224" i="16" s="1"/>
  <c r="D201" i="16"/>
  <c r="E224" i="16" s="1"/>
  <c r="A201" i="16"/>
  <c r="G200" i="16"/>
  <c r="F200" i="16"/>
  <c r="H223" i="16" s="1"/>
  <c r="E200" i="16"/>
  <c r="I223" i="16" s="1"/>
  <c r="D200" i="16"/>
  <c r="E223" i="16" s="1"/>
  <c r="A200" i="16"/>
  <c r="G199" i="16"/>
  <c r="F199" i="16"/>
  <c r="H222" i="16" s="1"/>
  <c r="E199" i="16"/>
  <c r="I222" i="16" s="1"/>
  <c r="D199" i="16"/>
  <c r="E222" i="16" s="1"/>
  <c r="A199" i="16"/>
  <c r="G198" i="16"/>
  <c r="F198" i="16"/>
  <c r="H221" i="16" s="1"/>
  <c r="E198" i="16"/>
  <c r="I221" i="16" s="1"/>
  <c r="D198" i="16"/>
  <c r="A198" i="16"/>
  <c r="G197" i="16"/>
  <c r="F197" i="16"/>
  <c r="H232" i="16" s="1"/>
  <c r="E197" i="16"/>
  <c r="I232" i="16" s="1"/>
  <c r="D197" i="16"/>
  <c r="E232" i="16" s="1"/>
  <c r="A197" i="16"/>
  <c r="G196" i="16"/>
  <c r="D235" i="16" s="1"/>
  <c r="F196" i="16"/>
  <c r="H235" i="16" s="1"/>
  <c r="E196" i="16"/>
  <c r="I235" i="16" s="1"/>
  <c r="D196" i="16"/>
  <c r="A196" i="16"/>
  <c r="G195" i="16"/>
  <c r="D234" i="16" s="1"/>
  <c r="F195" i="16"/>
  <c r="H234" i="16" s="1"/>
  <c r="E195" i="16"/>
  <c r="I234" i="16" s="1"/>
  <c r="D195" i="16"/>
  <c r="A195" i="16"/>
  <c r="G194" i="16"/>
  <c r="F194" i="16"/>
  <c r="H220" i="16" s="1"/>
  <c r="E194" i="16"/>
  <c r="I220" i="16" s="1"/>
  <c r="D194" i="16"/>
  <c r="E220" i="16" s="1"/>
  <c r="A194" i="16"/>
  <c r="G193" i="16"/>
  <c r="F193" i="16"/>
  <c r="E193" i="16"/>
  <c r="I219" i="16" s="1"/>
  <c r="D193" i="16"/>
  <c r="E219" i="16" s="1"/>
  <c r="A193" i="16"/>
  <c r="I228" i="16" l="1"/>
  <c r="I236" i="16" s="1"/>
  <c r="I205" i="16"/>
  <c r="J205" i="16" s="1"/>
  <c r="I198" i="16"/>
  <c r="J198" i="16" s="1"/>
  <c r="J224" i="16"/>
  <c r="G208" i="16"/>
  <c r="B211" i="16" s="1"/>
  <c r="C236" i="16"/>
  <c r="I206" i="16"/>
  <c r="J206" i="16" s="1"/>
  <c r="J232" i="16"/>
  <c r="I202" i="16"/>
  <c r="J202" i="16" s="1"/>
  <c r="I196" i="16"/>
  <c r="J196" i="16" s="1"/>
  <c r="F208" i="16"/>
  <c r="I195" i="16"/>
  <c r="J195" i="16" s="1"/>
  <c r="E228" i="16"/>
  <c r="H219" i="16"/>
  <c r="J235" i="16"/>
  <c r="J223" i="16"/>
  <c r="J227" i="16"/>
  <c r="J219" i="16"/>
  <c r="J234" i="16"/>
  <c r="J222" i="16"/>
  <c r="J226" i="16"/>
  <c r="J230" i="16"/>
  <c r="J220" i="16"/>
  <c r="A228" i="16"/>
  <c r="A227" i="16"/>
  <c r="A229" i="16" s="1"/>
  <c r="A230" i="16" s="1"/>
  <c r="A232" i="16" s="1"/>
  <c r="A234" i="16" s="1"/>
  <c r="A235" i="16" s="1"/>
  <c r="I200" i="16"/>
  <c r="J200" i="16" s="1"/>
  <c r="D208" i="16"/>
  <c r="I199" i="16"/>
  <c r="J199" i="16" s="1"/>
  <c r="I203" i="16"/>
  <c r="J203" i="16" s="1"/>
  <c r="I207" i="16"/>
  <c r="J207" i="16" s="1"/>
  <c r="E208" i="16"/>
  <c r="C211" i="16" s="1"/>
  <c r="E221" i="16"/>
  <c r="J221" i="16" s="1"/>
  <c r="E225" i="16"/>
  <c r="J225" i="16" s="1"/>
  <c r="E229" i="16"/>
  <c r="J229" i="16" s="1"/>
  <c r="I204" i="16"/>
  <c r="J204" i="16" s="1"/>
  <c r="I193" i="16"/>
  <c r="I197" i="16"/>
  <c r="J197" i="16" s="1"/>
  <c r="I201" i="16"/>
  <c r="J201" i="16" s="1"/>
  <c r="I194" i="16"/>
  <c r="J194" i="16" s="1"/>
  <c r="C283" i="16"/>
  <c r="C282" i="16"/>
  <c r="C280" i="16"/>
  <c r="C274" i="16"/>
  <c r="C275" i="16"/>
  <c r="C276" i="16"/>
  <c r="C277" i="16"/>
  <c r="C278" i="16"/>
  <c r="C273" i="16"/>
  <c r="C272" i="16"/>
  <c r="C271" i="16"/>
  <c r="C270" i="16"/>
  <c r="C269" i="16"/>
  <c r="C268" i="16"/>
  <c r="C267" i="16"/>
  <c r="C256" i="16"/>
  <c r="K234" i="16" l="1"/>
  <c r="D211" i="16"/>
  <c r="J228" i="16"/>
  <c r="K228" i="16" s="1"/>
  <c r="K221" i="16"/>
  <c r="K229" i="16"/>
  <c r="K235" i="16"/>
  <c r="K225" i="16"/>
  <c r="G210" i="16"/>
  <c r="K219" i="16"/>
  <c r="K226" i="16"/>
  <c r="K227" i="16"/>
  <c r="K232" i="16"/>
  <c r="K230" i="16"/>
  <c r="K224" i="16"/>
  <c r="K220" i="16"/>
  <c r="I208" i="16"/>
  <c r="J193" i="16"/>
  <c r="K222" i="16"/>
  <c r="K223" i="16"/>
  <c r="C284" i="16"/>
  <c r="A254" i="16"/>
  <c r="A255" i="16"/>
  <c r="J236" i="16" l="1"/>
  <c r="K236" i="16" s="1"/>
  <c r="J208" i="16"/>
  <c r="I209" i="16"/>
  <c r="E211" i="16"/>
  <c r="A268" i="16" l="1"/>
  <c r="A269" i="16" s="1"/>
  <c r="A270" i="16" s="1"/>
  <c r="A271" i="16" s="1"/>
  <c r="A272" i="16" s="1"/>
  <c r="A273" i="16" s="1"/>
  <c r="A274" i="16" s="1"/>
  <c r="C292" i="16"/>
  <c r="E328" i="16"/>
  <c r="H256" i="16"/>
  <c r="D241" i="16"/>
  <c r="E267" i="16" s="1"/>
  <c r="D242" i="16"/>
  <c r="E268" i="16" s="1"/>
  <c r="D243" i="16"/>
  <c r="D244" i="16"/>
  <c r="D245" i="16"/>
  <c r="D246" i="16"/>
  <c r="E269" i="16" s="1"/>
  <c r="D247" i="16"/>
  <c r="E270" i="16" s="1"/>
  <c r="D248" i="16"/>
  <c r="E271" i="16" s="1"/>
  <c r="D249" i="16"/>
  <c r="E272" i="16" s="1"/>
  <c r="D250" i="16"/>
  <c r="E273" i="16" s="1"/>
  <c r="D251" i="16"/>
  <c r="E274" i="16" s="1"/>
  <c r="D252" i="16"/>
  <c r="E275" i="16" s="1"/>
  <c r="D253" i="16"/>
  <c r="E276" i="16" s="1"/>
  <c r="D254" i="16"/>
  <c r="E277" i="16" s="1"/>
  <c r="E280" i="16" l="1"/>
  <c r="A276" i="16"/>
  <c r="A275" i="16"/>
  <c r="A277" i="16" s="1"/>
  <c r="A278" i="16" s="1"/>
  <c r="A280" i="16" s="1"/>
  <c r="A282" i="16" s="1"/>
  <c r="A283" i="16" s="1"/>
  <c r="E292" i="16"/>
  <c r="G254" i="16" l="1"/>
  <c r="G253" i="16"/>
  <c r="F253" i="16"/>
  <c r="H276" i="16" s="1"/>
  <c r="E241" i="16" l="1"/>
  <c r="I267" i="16" s="1"/>
  <c r="F241" i="16"/>
  <c r="H267" i="16" s="1"/>
  <c r="G241" i="16"/>
  <c r="G242" i="16"/>
  <c r="D307" i="16" s="1"/>
  <c r="G243" i="16"/>
  <c r="A252" i="16"/>
  <c r="A253" i="16"/>
  <c r="A241" i="16"/>
  <c r="E253" i="16"/>
  <c r="I276" i="16" s="1"/>
  <c r="J276" i="16" s="1"/>
  <c r="E301" i="16"/>
  <c r="H301" i="16"/>
  <c r="C301" i="16"/>
  <c r="J267" i="16" l="1"/>
  <c r="D308" i="16"/>
  <c r="D282" i="16"/>
  <c r="I301" i="16"/>
  <c r="J301" i="16" s="1"/>
  <c r="I253" i="16"/>
  <c r="J253" i="16" s="1"/>
  <c r="I292" i="16"/>
  <c r="I241" i="16"/>
  <c r="H292" i="16"/>
  <c r="J292" i="16" l="1"/>
  <c r="K292" i="16" s="1"/>
  <c r="K267" i="16"/>
  <c r="K276" i="16"/>
  <c r="K301" i="16"/>
  <c r="J241" i="16"/>
  <c r="C308" i="16" l="1"/>
  <c r="C307" i="16"/>
  <c r="C305" i="16"/>
  <c r="C303" i="16"/>
  <c r="C302" i="16"/>
  <c r="C300" i="16"/>
  <c r="C299" i="16"/>
  <c r="C298" i="16"/>
  <c r="C297" i="16"/>
  <c r="C296" i="16"/>
  <c r="C295" i="16"/>
  <c r="C294" i="16"/>
  <c r="A294" i="16"/>
  <c r="A295" i="16" s="1"/>
  <c r="A296" i="16" s="1"/>
  <c r="A297" i="16" s="1"/>
  <c r="A298" i="16" s="1"/>
  <c r="A299" i="16" s="1"/>
  <c r="C293" i="16"/>
  <c r="A259" i="16"/>
  <c r="G255" i="16"/>
  <c r="F255" i="16"/>
  <c r="E255" i="16"/>
  <c r="D255" i="16"/>
  <c r="E278" i="16" s="1"/>
  <c r="F254" i="16"/>
  <c r="E254" i="16"/>
  <c r="E302" i="16"/>
  <c r="G252" i="16"/>
  <c r="F252" i="16"/>
  <c r="E252" i="16"/>
  <c r="G251" i="16"/>
  <c r="F251" i="16"/>
  <c r="E251" i="16"/>
  <c r="A251" i="16"/>
  <c r="G250" i="16"/>
  <c r="F250" i="16"/>
  <c r="E250" i="16"/>
  <c r="E298" i="16"/>
  <c r="A250" i="16"/>
  <c r="G249" i="16"/>
  <c r="F249" i="16"/>
  <c r="E249" i="16"/>
  <c r="E297" i="16"/>
  <c r="A249" i="16"/>
  <c r="G248" i="16"/>
  <c r="F248" i="16"/>
  <c r="E248" i="16"/>
  <c r="E296" i="16"/>
  <c r="A248" i="16"/>
  <c r="G247" i="16"/>
  <c r="F247" i="16"/>
  <c r="E247" i="16"/>
  <c r="A247" i="16"/>
  <c r="G246" i="16"/>
  <c r="F246" i="16"/>
  <c r="E246" i="16"/>
  <c r="E294" i="16"/>
  <c r="A246" i="16"/>
  <c r="G245" i="16"/>
  <c r="F245" i="16"/>
  <c r="E245" i="16"/>
  <c r="E293" i="16"/>
  <c r="A245" i="16"/>
  <c r="G244" i="16"/>
  <c r="D283" i="16" s="1"/>
  <c r="F244" i="16"/>
  <c r="E244" i="16"/>
  <c r="I283" i="16" s="1"/>
  <c r="A244" i="16"/>
  <c r="F243" i="16"/>
  <c r="E243" i="16"/>
  <c r="A243" i="16"/>
  <c r="F242" i="16"/>
  <c r="H268" i="16" s="1"/>
  <c r="E242" i="16"/>
  <c r="I268" i="16" s="1"/>
  <c r="A242" i="16"/>
  <c r="H308" i="16" l="1"/>
  <c r="H282" i="16"/>
  <c r="H293" i="16"/>
  <c r="H280" i="16"/>
  <c r="I294" i="16"/>
  <c r="I269" i="16"/>
  <c r="I295" i="16"/>
  <c r="I270" i="16"/>
  <c r="J268" i="16"/>
  <c r="I308" i="16"/>
  <c r="I282" i="16"/>
  <c r="H305" i="16"/>
  <c r="H283" i="16"/>
  <c r="J283" i="16" s="1"/>
  <c r="I293" i="16"/>
  <c r="I280" i="16"/>
  <c r="I245" i="16"/>
  <c r="J245" i="16" s="1"/>
  <c r="H294" i="16"/>
  <c r="J294" i="16" s="1"/>
  <c r="H269" i="16"/>
  <c r="J269" i="16" s="1"/>
  <c r="H295" i="16"/>
  <c r="H270" i="16"/>
  <c r="J270" i="16" s="1"/>
  <c r="I296" i="16"/>
  <c r="I271" i="16"/>
  <c r="H297" i="16"/>
  <c r="H272" i="16"/>
  <c r="I298" i="16"/>
  <c r="I273" i="16"/>
  <c r="I299" i="16"/>
  <c r="I274" i="16"/>
  <c r="H300" i="16"/>
  <c r="H275" i="16"/>
  <c r="H302" i="16"/>
  <c r="H277" i="16"/>
  <c r="I303" i="16"/>
  <c r="I278" i="16"/>
  <c r="H296" i="16"/>
  <c r="H271" i="16"/>
  <c r="I297" i="16"/>
  <c r="I272" i="16"/>
  <c r="H298" i="16"/>
  <c r="H273" i="16"/>
  <c r="H299" i="16"/>
  <c r="H274" i="16"/>
  <c r="I300" i="16"/>
  <c r="I275" i="16"/>
  <c r="I302" i="16"/>
  <c r="I277" i="16"/>
  <c r="H303" i="16"/>
  <c r="H278" i="16"/>
  <c r="A300" i="16"/>
  <c r="A302" i="16" s="1"/>
  <c r="A303" i="16" s="1"/>
  <c r="A305" i="16" s="1"/>
  <c r="A307" i="16" s="1"/>
  <c r="A308" i="16" s="1"/>
  <c r="A301" i="16"/>
  <c r="I305" i="16"/>
  <c r="I244" i="16"/>
  <c r="J244" i="16" s="1"/>
  <c r="E303" i="16"/>
  <c r="D256" i="16"/>
  <c r="F256" i="16"/>
  <c r="I307" i="16"/>
  <c r="E256" i="16"/>
  <c r="C259" i="16" s="1"/>
  <c r="G256" i="16"/>
  <c r="B259" i="16" s="1"/>
  <c r="E305" i="16"/>
  <c r="C309" i="16"/>
  <c r="I242" i="16"/>
  <c r="I243" i="16"/>
  <c r="J243" i="16" s="1"/>
  <c r="I247" i="16"/>
  <c r="J247" i="16" s="1"/>
  <c r="I251" i="16"/>
  <c r="J251" i="16" s="1"/>
  <c r="I252" i="16"/>
  <c r="J252" i="16" s="1"/>
  <c r="I254" i="16"/>
  <c r="J254" i="16" s="1"/>
  <c r="I249" i="16"/>
  <c r="J249" i="16" s="1"/>
  <c r="I248" i="16"/>
  <c r="J248" i="16" s="1"/>
  <c r="I255" i="16"/>
  <c r="J255" i="16" s="1"/>
  <c r="E295" i="16"/>
  <c r="E299" i="16"/>
  <c r="E300" i="16"/>
  <c r="H307" i="16"/>
  <c r="I250" i="16"/>
  <c r="J250" i="16" s="1"/>
  <c r="I246" i="16"/>
  <c r="J246" i="16" s="1"/>
  <c r="C328" i="16"/>
  <c r="J295" i="16" l="1"/>
  <c r="K295" i="16" s="1"/>
  <c r="J302" i="16"/>
  <c r="K302" i="16" s="1"/>
  <c r="J298" i="16"/>
  <c r="K298" i="16" s="1"/>
  <c r="J296" i="16"/>
  <c r="K296" i="16" s="1"/>
  <c r="J278" i="16"/>
  <c r="J273" i="16"/>
  <c r="K273" i="16" s="1"/>
  <c r="J271" i="16"/>
  <c r="K271" i="16" s="1"/>
  <c r="J303" i="16"/>
  <c r="K303" i="16" s="1"/>
  <c r="J308" i="16"/>
  <c r="K308" i="16" s="1"/>
  <c r="J299" i="16"/>
  <c r="K299" i="16" s="1"/>
  <c r="J307" i="16"/>
  <c r="K307" i="16" s="1"/>
  <c r="J297" i="16"/>
  <c r="K297" i="16" s="1"/>
  <c r="J293" i="16"/>
  <c r="K293" i="16" s="1"/>
  <c r="J274" i="16"/>
  <c r="J300" i="16"/>
  <c r="K300" i="16" s="1"/>
  <c r="I284" i="16"/>
  <c r="D259" i="16"/>
  <c r="I309" i="16"/>
  <c r="K283" i="16"/>
  <c r="K268" i="16"/>
  <c r="K278" i="16"/>
  <c r="K274" i="16"/>
  <c r="J277" i="16"/>
  <c r="K277" i="16" s="1"/>
  <c r="J275" i="16"/>
  <c r="K275" i="16" s="1"/>
  <c r="J272" i="16"/>
  <c r="K272" i="16" s="1"/>
  <c r="K270" i="16"/>
  <c r="K269" i="16"/>
  <c r="J280" i="16"/>
  <c r="K280" i="16" s="1"/>
  <c r="J282" i="16"/>
  <c r="K282" i="16" s="1"/>
  <c r="G258" i="16"/>
  <c r="J305" i="16"/>
  <c r="K305" i="16" s="1"/>
  <c r="J242" i="16"/>
  <c r="I256" i="16"/>
  <c r="K294" i="16"/>
  <c r="E319" i="16"/>
  <c r="E318" i="16"/>
  <c r="E317" i="16"/>
  <c r="J309" i="16" l="1"/>
  <c r="K309" i="16" s="1"/>
  <c r="I257" i="16"/>
  <c r="J284" i="16"/>
  <c r="K284" i="16" s="1"/>
  <c r="E259" i="16"/>
  <c r="J256" i="16"/>
  <c r="A318" i="16" l="1"/>
  <c r="A319" i="16" s="1"/>
  <c r="A320" i="16" s="1"/>
  <c r="A321" i="16" s="1"/>
  <c r="A322" i="16" s="1"/>
  <c r="A323" i="16" s="1"/>
  <c r="A324" i="16" s="1"/>
  <c r="A325" i="16" s="1"/>
  <c r="C331" i="16"/>
  <c r="C330" i="16"/>
  <c r="C326" i="16"/>
  <c r="C325" i="16"/>
  <c r="C324" i="16"/>
  <c r="C323" i="16"/>
  <c r="C322" i="16"/>
  <c r="C321" i="16"/>
  <c r="C320" i="16"/>
  <c r="C319" i="16"/>
  <c r="C318" i="16"/>
  <c r="C317" i="16"/>
  <c r="H326" i="16"/>
  <c r="I326" i="16"/>
  <c r="E326" i="16"/>
  <c r="H325" i="16"/>
  <c r="I325" i="16"/>
  <c r="H324" i="16"/>
  <c r="I324" i="16"/>
  <c r="E324" i="16"/>
  <c r="H323" i="16"/>
  <c r="I323" i="16"/>
  <c r="E323" i="16"/>
  <c r="H322" i="16"/>
  <c r="I322" i="16"/>
  <c r="H321" i="16"/>
  <c r="I321" i="16"/>
  <c r="E321" i="16"/>
  <c r="H320" i="16"/>
  <c r="I320" i="16"/>
  <c r="E320" i="16"/>
  <c r="H319" i="16"/>
  <c r="I319" i="16"/>
  <c r="H318" i="16"/>
  <c r="I318" i="16"/>
  <c r="H317" i="16"/>
  <c r="I317" i="16"/>
  <c r="H328" i="16"/>
  <c r="I328" i="16"/>
  <c r="H331" i="16"/>
  <c r="I331" i="16"/>
  <c r="I330" i="16"/>
  <c r="A326" i="16" l="1"/>
  <c r="A328" i="16" s="1"/>
  <c r="A330" i="16" s="1"/>
  <c r="A331" i="16" s="1"/>
  <c r="J331" i="16"/>
  <c r="J323" i="16"/>
  <c r="J326" i="16"/>
  <c r="C332" i="16"/>
  <c r="J319" i="16"/>
  <c r="J317" i="16"/>
  <c r="J332" i="16" s="1"/>
  <c r="K332" i="16" s="1"/>
  <c r="J328" i="16"/>
  <c r="I332" i="16"/>
  <c r="J320" i="16"/>
  <c r="J324" i="16"/>
  <c r="J321" i="16"/>
  <c r="J318" i="16"/>
  <c r="E325" i="16"/>
  <c r="J325" i="16" s="1"/>
  <c r="E322" i="16"/>
  <c r="J322" i="16" s="1"/>
  <c r="H330" i="16"/>
  <c r="J330" i="16" s="1"/>
  <c r="C7" i="95"/>
  <c r="E6" i="95" l="1"/>
  <c r="D7" i="95"/>
  <c r="K322" i="16"/>
  <c r="K325" i="16"/>
  <c r="K330" i="16"/>
  <c r="K326" i="16"/>
  <c r="K318" i="16"/>
  <c r="K328" i="16"/>
  <c r="K324" i="16"/>
  <c r="K319" i="16"/>
  <c r="K331" i="16"/>
  <c r="K321" i="16"/>
  <c r="K323" i="16"/>
  <c r="K317" i="16"/>
  <c r="K320" i="16"/>
  <c r="C354" i="16" l="1"/>
  <c r="C340" i="16"/>
  <c r="C349" i="16"/>
  <c r="I345" i="16" l="1"/>
  <c r="I346" i="16"/>
  <c r="I347" i="16"/>
  <c r="I348" i="16"/>
  <c r="I349" i="16"/>
  <c r="I350" i="16"/>
  <c r="I344" i="16"/>
  <c r="I343" i="16"/>
  <c r="I354" i="16"/>
  <c r="H349" i="16"/>
  <c r="E349" i="16"/>
  <c r="J349" i="16" l="1"/>
  <c r="K349" i="16" l="1"/>
  <c r="C355" i="16" l="1"/>
  <c r="C352" i="16"/>
  <c r="C350" i="16"/>
  <c r="C348" i="16"/>
  <c r="C347" i="16"/>
  <c r="C346" i="16"/>
  <c r="C345" i="16"/>
  <c r="C344" i="16"/>
  <c r="C343" i="16"/>
  <c r="C342" i="16"/>
  <c r="C341" i="16"/>
  <c r="H354" i="16"/>
  <c r="J354" i="16" s="1"/>
  <c r="C375" i="16"/>
  <c r="K354" i="16" l="1"/>
  <c r="C356" i="16"/>
  <c r="C378" i="16"/>
  <c r="J378" i="16" s="1"/>
  <c r="K378" i="16" s="1"/>
  <c r="C377" i="16"/>
  <c r="J377" i="16" s="1"/>
  <c r="K377" i="16" s="1"/>
  <c r="J375" i="16"/>
  <c r="C365" i="16"/>
  <c r="J365" i="16" s="1"/>
  <c r="C366" i="16"/>
  <c r="J366" i="16" s="1"/>
  <c r="C367" i="16"/>
  <c r="J367" i="16" s="1"/>
  <c r="C368" i="16"/>
  <c r="J368" i="16" s="1"/>
  <c r="C369" i="16"/>
  <c r="J369" i="16" s="1"/>
  <c r="C370" i="16"/>
  <c r="J370" i="16" s="1"/>
  <c r="C371" i="16"/>
  <c r="J371" i="16" s="1"/>
  <c r="C372" i="16"/>
  <c r="C373" i="16"/>
  <c r="J373" i="16" s="1"/>
  <c r="C364" i="16"/>
  <c r="J364" i="16" s="1"/>
  <c r="I379" i="16"/>
  <c r="J372" i="16"/>
  <c r="C379" i="16" l="1"/>
  <c r="J379" i="16"/>
  <c r="G380" i="16" s="1"/>
  <c r="K370" i="16" l="1"/>
  <c r="K366" i="16"/>
  <c r="K375" i="16"/>
  <c r="K373" i="16" l="1"/>
  <c r="K365" i="16"/>
  <c r="K364" i="16"/>
  <c r="K371" i="16"/>
  <c r="K367" i="16"/>
  <c r="K368" i="16"/>
  <c r="K369" i="16"/>
  <c r="K372" i="16"/>
  <c r="K379" i="16" l="1"/>
  <c r="F391" i="16" l="1"/>
  <c r="H390" i="16"/>
  <c r="F389" i="16"/>
  <c r="C399" i="16" l="1"/>
  <c r="J399" i="16" s="1"/>
  <c r="C398" i="16"/>
  <c r="J398" i="16" s="1"/>
  <c r="C397" i="16"/>
  <c r="J397" i="16" s="1"/>
  <c r="C396" i="16"/>
  <c r="J396" i="16" s="1"/>
  <c r="C395" i="16"/>
  <c r="J395" i="16" s="1"/>
  <c r="C394" i="16"/>
  <c r="J394" i="16" s="1"/>
  <c r="C393" i="16"/>
  <c r="J393" i="16" s="1"/>
  <c r="C392" i="16"/>
  <c r="J392" i="16" s="1"/>
  <c r="C391" i="16"/>
  <c r="J391" i="16" s="1"/>
  <c r="C390" i="16"/>
  <c r="J390" i="16" s="1"/>
  <c r="C389" i="16"/>
  <c r="J389" i="16" s="1"/>
  <c r="C388" i="16"/>
  <c r="J388" i="16" s="1"/>
  <c r="C401" i="16"/>
  <c r="J401" i="16" s="1"/>
  <c r="C404" i="16"/>
  <c r="J404" i="16" s="1"/>
  <c r="I405" i="16"/>
  <c r="C431" i="16"/>
  <c r="C403" i="16" l="1"/>
  <c r="J403" i="16" s="1"/>
  <c r="J405" i="16" s="1"/>
  <c r="C405" i="16" l="1"/>
  <c r="I431" i="16" l="1"/>
  <c r="J430" i="16" l="1"/>
  <c r="J429" i="16"/>
  <c r="J427" i="16"/>
  <c r="J425" i="16"/>
  <c r="J424" i="16"/>
  <c r="J423" i="16"/>
  <c r="J422" i="16"/>
  <c r="J421" i="16"/>
  <c r="J420" i="16"/>
  <c r="J419" i="16"/>
  <c r="J418" i="16"/>
  <c r="J417" i="16"/>
  <c r="J416" i="16"/>
  <c r="J415" i="16"/>
  <c r="J414" i="16"/>
  <c r="J413" i="16"/>
  <c r="J431" i="16" l="1"/>
  <c r="J450" i="16" l="1"/>
  <c r="J449" i="16"/>
  <c r="J448" i="16"/>
  <c r="J447" i="16"/>
  <c r="J446" i="16"/>
  <c r="J445" i="16"/>
  <c r="J444" i="16"/>
  <c r="J442" i="16"/>
  <c r="J439" i="16"/>
  <c r="J453" i="16"/>
  <c r="J456" i="16"/>
  <c r="J455" i="16"/>
  <c r="I457" i="16"/>
  <c r="J443" i="16"/>
  <c r="C457" i="16" l="1"/>
  <c r="J441" i="16"/>
  <c r="J440" i="16"/>
  <c r="J451" i="16"/>
  <c r="J457" i="16" l="1"/>
  <c r="F477" i="16" l="1"/>
  <c r="H477" i="16"/>
  <c r="F468" i="16"/>
  <c r="H467" i="16"/>
  <c r="F466" i="16"/>
  <c r="I483" i="16"/>
  <c r="J477" i="16" l="1"/>
  <c r="J476" i="16"/>
  <c r="J475" i="16"/>
  <c r="J474" i="16"/>
  <c r="J473" i="16"/>
  <c r="J472" i="16"/>
  <c r="J471" i="16"/>
  <c r="J470" i="16"/>
  <c r="J469" i="16"/>
  <c r="J468" i="16"/>
  <c r="J467" i="16"/>
  <c r="J466" i="16"/>
  <c r="J479" i="16"/>
  <c r="J482" i="16"/>
  <c r="J481" i="16"/>
  <c r="J465" i="16" l="1"/>
  <c r="J483" i="16" s="1"/>
  <c r="C483" i="16"/>
  <c r="I512" i="16" l="1"/>
  <c r="J506" i="16"/>
  <c r="J492" i="16" l="1"/>
  <c r="J505" i="16" l="1"/>
  <c r="J504" i="16"/>
  <c r="J503" i="16"/>
  <c r="J502" i="16"/>
  <c r="J501" i="16"/>
  <c r="J500" i="16"/>
  <c r="J499" i="16"/>
  <c r="J498" i="16"/>
  <c r="J497" i="16"/>
  <c r="J496" i="16"/>
  <c r="J495" i="16"/>
  <c r="J494" i="16"/>
  <c r="C508" i="16"/>
  <c r="J508" i="16" s="1"/>
  <c r="C511" i="16"/>
  <c r="J511" i="16" s="1"/>
  <c r="C510" i="16"/>
  <c r="J510" i="16" s="1"/>
  <c r="C539" i="16"/>
  <c r="J493" i="16" l="1"/>
  <c r="J512" i="16" s="1"/>
  <c r="C512" i="16"/>
  <c r="J552" i="16" l="1"/>
  <c r="J533" i="16" l="1"/>
  <c r="J532" i="16"/>
  <c r="J531" i="16"/>
  <c r="J530" i="16"/>
  <c r="J529" i="16"/>
  <c r="J528" i="16"/>
  <c r="J527" i="16"/>
  <c r="J526" i="16"/>
  <c r="J525" i="16"/>
  <c r="J524" i="16"/>
  <c r="J523" i="16"/>
  <c r="J522" i="16"/>
  <c r="J521" i="16"/>
  <c r="J535" i="16"/>
  <c r="J538" i="16"/>
  <c r="J537" i="16"/>
  <c r="I539" i="16"/>
  <c r="J520" i="16" l="1"/>
  <c r="J539" i="16" s="1"/>
  <c r="I567" i="16" l="1"/>
  <c r="J560" i="16" l="1"/>
  <c r="J557" i="16" l="1"/>
  <c r="J553" i="16"/>
  <c r="J549" i="16"/>
  <c r="J563" i="16"/>
  <c r="J565" i="16"/>
  <c r="J566" i="16"/>
  <c r="J559" i="16"/>
  <c r="J558" i="16"/>
  <c r="J556" i="16"/>
  <c r="J555" i="16"/>
  <c r="J554" i="16"/>
  <c r="J551" i="16"/>
  <c r="J550" i="16"/>
  <c r="J548" i="16"/>
  <c r="J561" i="16" l="1"/>
  <c r="J567" i="16" s="1"/>
  <c r="K567" i="16" s="1"/>
  <c r="C484" i="16" l="1"/>
  <c r="C458" i="16"/>
  <c r="J584" i="16"/>
  <c r="J585" i="16" l="1"/>
  <c r="J583" i="16"/>
  <c r="J582" i="16"/>
  <c r="J581" i="16"/>
  <c r="J580" i="16"/>
  <c r="J579" i="16"/>
  <c r="J578" i="16"/>
  <c r="J577" i="16"/>
  <c r="J576" i="16"/>
  <c r="J575" i="16"/>
  <c r="J589" i="16"/>
  <c r="J592" i="16"/>
  <c r="J591" i="16"/>
  <c r="J587" i="16" l="1"/>
  <c r="J586" i="16"/>
  <c r="J593" i="16" l="1"/>
  <c r="J611" i="16" l="1"/>
  <c r="F601" i="16" l="1"/>
  <c r="J635" i="16"/>
  <c r="J638" i="16"/>
  <c r="J619" i="16"/>
  <c r="J618" i="16"/>
  <c r="J617" i="16"/>
  <c r="C610" i="16" l="1"/>
  <c r="J610" i="16" s="1"/>
  <c r="C609" i="16"/>
  <c r="J609" i="16" s="1"/>
  <c r="C608" i="16"/>
  <c r="J608" i="16" s="1"/>
  <c r="C607" i="16"/>
  <c r="J607" i="16" s="1"/>
  <c r="C606" i="16"/>
  <c r="J606" i="16" s="1"/>
  <c r="J605" i="16"/>
  <c r="C604" i="16"/>
  <c r="J604" i="16" s="1"/>
  <c r="C603" i="16"/>
  <c r="J603" i="16" s="1"/>
  <c r="C602" i="16"/>
  <c r="J602" i="16" s="1"/>
  <c r="C601" i="16"/>
  <c r="J601" i="16" s="1"/>
  <c r="C613" i="16"/>
  <c r="J613" i="16" s="1"/>
  <c r="C616" i="16"/>
  <c r="J616" i="16" s="1"/>
  <c r="C615" i="16" l="1"/>
  <c r="J615" i="16" s="1"/>
  <c r="J620" i="16" s="1"/>
  <c r="J646" i="16" l="1"/>
  <c r="J645" i="16"/>
  <c r="J644" i="16"/>
  <c r="J697" i="16"/>
  <c r="J670" i="16"/>
  <c r="J669" i="16"/>
  <c r="J667" i="16"/>
  <c r="E665" i="16"/>
  <c r="J665" i="16" s="1"/>
  <c r="E664" i="16"/>
  <c r="J664" i="16" s="1"/>
  <c r="E662" i="16"/>
  <c r="J662" i="16" s="1"/>
  <c r="H661" i="16"/>
  <c r="E661" i="16"/>
  <c r="F660" i="16"/>
  <c r="E660" i="16"/>
  <c r="E659" i="16"/>
  <c r="J659" i="16" s="1"/>
  <c r="I658" i="16"/>
  <c r="H658" i="16"/>
  <c r="E658" i="16"/>
  <c r="I657" i="16"/>
  <c r="E657" i="16"/>
  <c r="H656" i="16"/>
  <c r="E656" i="16"/>
  <c r="I655" i="16"/>
  <c r="J647" i="16"/>
  <c r="J631" i="16"/>
  <c r="J643" i="16"/>
  <c r="B631" i="16" l="1"/>
  <c r="B635" i="16"/>
  <c r="B636" i="16"/>
  <c r="B629" i="16"/>
  <c r="B632" i="16"/>
  <c r="B633" i="16"/>
  <c r="B630" i="16"/>
  <c r="B634" i="16"/>
  <c r="J630" i="16"/>
  <c r="I672" i="16"/>
  <c r="J657" i="16"/>
  <c r="J640" i="16"/>
  <c r="J656" i="16"/>
  <c r="J628" i="16"/>
  <c r="J634" i="16"/>
  <c r="J629" i="16"/>
  <c r="J642" i="16"/>
  <c r="J637" i="16"/>
  <c r="J660" i="16"/>
  <c r="J658" i="16"/>
  <c r="J661" i="16"/>
  <c r="J655" i="16"/>
  <c r="J633" i="16" l="1"/>
  <c r="J632" i="16"/>
  <c r="J636" i="16"/>
  <c r="C663" i="16"/>
  <c r="J648" i="16" l="1"/>
  <c r="C672" i="16"/>
  <c r="J663" i="16"/>
  <c r="J672" i="16" s="1"/>
  <c r="K401" i="16" l="1"/>
  <c r="K388" i="16"/>
  <c r="K404" i="16"/>
  <c r="K394" i="16"/>
  <c r="K399" i="16"/>
  <c r="K398" i="16"/>
  <c r="K470" i="16" l="1"/>
  <c r="K392" i="16"/>
  <c r="K421" i="16"/>
  <c r="K395" i="16"/>
  <c r="K390" i="16"/>
  <c r="K422" i="16"/>
  <c r="K396" i="16"/>
  <c r="K391" i="16"/>
  <c r="K389" i="16"/>
  <c r="K419" i="16"/>
  <c r="K393" i="16"/>
  <c r="K423" i="16"/>
  <c r="K418" i="16"/>
  <c r="K471" i="16"/>
  <c r="K467" i="16"/>
  <c r="K482" i="16"/>
  <c r="K430" i="16"/>
  <c r="K417" i="16"/>
  <c r="K469" i="16"/>
  <c r="K424" i="16"/>
  <c r="K476" i="16"/>
  <c r="K425" i="16"/>
  <c r="K477" i="16"/>
  <c r="K472" i="16"/>
  <c r="K420" i="16"/>
  <c r="K479" i="16"/>
  <c r="K427" i="16"/>
  <c r="K403" i="16"/>
  <c r="K466" i="16"/>
  <c r="K474" i="16"/>
  <c r="K465" i="16"/>
  <c r="K473" i="16"/>
  <c r="K416" i="16"/>
  <c r="K414" i="16"/>
  <c r="K415" i="16"/>
  <c r="K468" i="16"/>
  <c r="K413" i="16"/>
  <c r="K475" i="16" l="1"/>
  <c r="K397" i="16"/>
  <c r="K481" i="16"/>
  <c r="K429" i="16"/>
  <c r="K405" i="16" l="1"/>
  <c r="K483" i="16"/>
  <c r="K620" i="16"/>
  <c r="K431" i="16"/>
  <c r="H340" i="16" l="1"/>
  <c r="H341" i="16"/>
  <c r="H352" i="16"/>
  <c r="H342" i="16"/>
  <c r="I352" i="16"/>
  <c r="H355" i="16"/>
  <c r="H346" i="16"/>
  <c r="H345" i="16"/>
  <c r="H343" i="16"/>
  <c r="H347" i="16"/>
  <c r="J347" i="16" s="1"/>
  <c r="I340" i="16"/>
  <c r="H344" i="16"/>
  <c r="I355" i="16"/>
  <c r="H348" i="16"/>
  <c r="H350" i="16"/>
  <c r="I342" i="16"/>
  <c r="E346" i="16"/>
  <c r="E345" i="16"/>
  <c r="E344" i="16"/>
  <c r="I341" i="16"/>
  <c r="E348" i="16"/>
  <c r="K347" i="16" l="1"/>
  <c r="J355" i="16"/>
  <c r="K355" i="16" s="1"/>
  <c r="J342" i="16"/>
  <c r="K342" i="16" s="1"/>
  <c r="E343" i="16"/>
  <c r="J343" i="16" s="1"/>
  <c r="K343" i="16" s="1"/>
  <c r="E341" i="16"/>
  <c r="J341" i="16" s="1"/>
  <c r="E350" i="16"/>
  <c r="J350" i="16" s="1"/>
  <c r="K350" i="16" s="1"/>
  <c r="I356" i="16"/>
  <c r="J345" i="16"/>
  <c r="J348" i="16"/>
  <c r="J344" i="16"/>
  <c r="E340" i="16"/>
  <c r="J340" i="16" s="1"/>
  <c r="J346" i="16"/>
  <c r="J352" i="16"/>
  <c r="K345" i="16" l="1"/>
  <c r="K352" i="16"/>
  <c r="K341" i="16"/>
  <c r="K340" i="16"/>
  <c r="J356" i="16"/>
  <c r="K344" i="16"/>
  <c r="K346" i="16"/>
  <c r="K348" i="16"/>
  <c r="G357" i="16" l="1"/>
  <c r="K356" i="16"/>
  <c r="G61" i="95" l="1"/>
  <c r="G62" i="95" s="1"/>
  <c r="G63" i="95" s="1"/>
  <c r="G64" i="95" s="1"/>
  <c r="G65" i="95" s="1"/>
  <c r="G66" i="95" s="1"/>
  <c r="G67" i="95" s="1"/>
  <c r="G68" i="95" s="1"/>
  <c r="G69" i="95" s="1"/>
  <c r="G70" i="95" s="1"/>
  <c r="G71" i="95" s="1"/>
  <c r="G72" i="95" s="1"/>
  <c r="G73" i="95" s="1"/>
  <c r="G74" i="95" s="1"/>
  <c r="G75" i="95" s="1"/>
  <c r="G76" i="95" s="1"/>
  <c r="G77" i="95" s="1"/>
  <c r="G78" i="95" s="1"/>
  <c r="G79" i="95" s="1"/>
  <c r="G80" i="95" s="1"/>
  <c r="G81" i="95" s="1"/>
  <c r="G82" i="95" s="1"/>
  <c r="G83" i="95" s="1"/>
  <c r="G84" i="95" s="1"/>
  <c r="G85" i="95" s="1"/>
  <c r="G86" i="95" s="1"/>
  <c r="G87" i="95" s="1"/>
  <c r="G88" i="95" s="1"/>
  <c r="G89" i="95" s="1"/>
  <c r="G90" i="95" s="1"/>
  <c r="G91" i="95" s="1"/>
  <c r="G92" i="95" s="1"/>
  <c r="G93" i="95" s="1"/>
  <c r="G94" i="95" s="1"/>
  <c r="G95" i="95" s="1"/>
  <c r="G96" i="95" s="1"/>
  <c r="G97" i="95" s="1"/>
  <c r="G98" i="95" s="1"/>
  <c r="G99" i="95" s="1"/>
  <c r="G100" i="95" s="1"/>
  <c r="G101" i="95" s="1"/>
  <c r="G102" i="95" s="1"/>
  <c r="G103" i="95" s="1"/>
  <c r="G104" i="95" s="1"/>
  <c r="G105" i="95" s="1"/>
  <c r="G106" i="95" s="1"/>
  <c r="G107" i="95" s="1"/>
  <c r="G108" i="95" s="1"/>
  <c r="G109" i="95" s="1"/>
  <c r="G110" i="95" s="1"/>
  <c r="G111" i="95" s="1"/>
  <c r="G112" i="95" s="1"/>
  <c r="G113" i="95" s="1"/>
  <c r="G114" i="95" s="1"/>
  <c r="G115" i="95" s="1"/>
  <c r="G116" i="95" s="1"/>
  <c r="G117" i="95" s="1"/>
  <c r="G118" i="95" s="1"/>
  <c r="G119" i="95" s="1"/>
  <c r="G120" i="95" s="1"/>
  <c r="G121" i="95" s="1"/>
  <c r="G122" i="95" s="1"/>
  <c r="G123" i="95" s="1"/>
  <c r="G124" i="95" s="1"/>
  <c r="G125" i="95" s="1"/>
  <c r="G126" i="95" s="1"/>
  <c r="G127" i="95" s="1"/>
  <c r="G128" i="95" s="1"/>
  <c r="G129" i="95" s="1"/>
  <c r="G130" i="95" s="1"/>
  <c r="G131" i="95" s="1"/>
  <c r="G132" i="95" s="1"/>
  <c r="G133" i="95" s="1"/>
  <c r="G134" i="95" s="1"/>
  <c r="G135" i="95" s="1"/>
  <c r="G136" i="95" s="1"/>
  <c r="G137" i="95" s="1"/>
  <c r="G138" i="95" s="1"/>
  <c r="G139" i="95" s="1"/>
  <c r="G140" i="95" s="1"/>
  <c r="G141" i="95" s="1"/>
  <c r="G142" i="95" s="1"/>
  <c r="G143" i="95" s="1"/>
  <c r="G144" i="95" s="1"/>
  <c r="G145" i="95" s="1"/>
  <c r="G146" i="95" s="1"/>
  <c r="G147" i="95" s="1"/>
  <c r="G148" i="95" s="1"/>
  <c r="G149" i="95" s="1"/>
  <c r="G150" i="95" s="1"/>
  <c r="G151" i="95" s="1"/>
  <c r="G152" i="95" s="1"/>
  <c r="G153" i="95" s="1"/>
  <c r="G154" i="95" s="1"/>
  <c r="G155" i="95" s="1"/>
  <c r="G156" i="95" s="1"/>
  <c r="G157" i="95" s="1"/>
  <c r="G158" i="95" s="1"/>
  <c r="G159" i="95" s="1"/>
  <c r="G160" i="95" s="1"/>
  <c r="G161" i="95" s="1"/>
  <c r="G162" i="95" s="1"/>
  <c r="G163" i="95" s="1"/>
  <c r="G164" i="95" s="1"/>
  <c r="G165" i="95" s="1"/>
  <c r="G166" i="95" s="1"/>
  <c r="G167" i="95" s="1"/>
  <c r="G168" i="95" s="1"/>
  <c r="G169" i="95" s="1"/>
  <c r="G170" i="95" s="1"/>
  <c r="G171" i="95" s="1"/>
  <c r="G172" i="95" s="1"/>
  <c r="G173" i="95" s="1"/>
  <c r="G174" i="95" s="1"/>
  <c r="G175" i="95" s="1"/>
  <c r="G176" i="95" s="1"/>
  <c r="G177" i="95" s="1"/>
  <c r="G178" i="95" s="1"/>
  <c r="G179" i="95" s="1"/>
  <c r="G180" i="95" s="1"/>
  <c r="G181" i="95" s="1"/>
  <c r="G182" i="95" s="1"/>
  <c r="G183" i="95" s="1"/>
  <c r="G184" i="95" s="1"/>
  <c r="G185" i="95" s="1"/>
  <c r="G186" i="95" s="1"/>
  <c r="G187" i="95" s="1"/>
  <c r="G188" i="95" s="1"/>
  <c r="G189" i="95" s="1"/>
  <c r="G190" i="95" s="1"/>
  <c r="G191" i="95" s="1"/>
  <c r="G192" i="95" s="1"/>
  <c r="G193" i="95" s="1"/>
  <c r="G194" i="95" s="1"/>
  <c r="G195" i="95" s="1"/>
  <c r="G196" i="95" s="1"/>
  <c r="G197" i="95" s="1"/>
  <c r="G198" i="95" s="1"/>
  <c r="G199" i="95" s="1"/>
  <c r="G200" i="95" s="1"/>
  <c r="G201" i="95" s="1"/>
  <c r="G202" i="95" s="1"/>
  <c r="G203" i="95" s="1"/>
  <c r="G204" i="95" s="1"/>
  <c r="G205" i="95" s="1"/>
  <c r="G206" i="95" s="1"/>
  <c r="G207" i="95" s="1"/>
  <c r="G208" i="95" s="1"/>
  <c r="G209" i="95" s="1"/>
  <c r="G210" i="95" s="1"/>
  <c r="G211" i="95" s="1"/>
  <c r="G212" i="95" s="1"/>
  <c r="G213" i="95" s="1"/>
  <c r="G214" i="95" s="1"/>
  <c r="G215" i="95" s="1"/>
  <c r="G216" i="95" s="1"/>
  <c r="G217" i="95" s="1"/>
  <c r="G218" i="95" s="1"/>
  <c r="G219" i="95" s="1"/>
  <c r="G220" i="95" s="1"/>
  <c r="G221" i="95" s="1"/>
  <c r="G222" i="95" s="1"/>
  <c r="G223" i="95" s="1"/>
  <c r="G224" i="95" s="1"/>
  <c r="G225" i="95" s="1"/>
  <c r="G226" i="95" s="1"/>
  <c r="G227" i="95" s="1"/>
  <c r="G228" i="95" s="1"/>
  <c r="G229" i="95" s="1"/>
  <c r="G230" i="95" s="1"/>
  <c r="G231" i="95" s="1"/>
  <c r="G232" i="95" s="1"/>
  <c r="G233" i="95" s="1"/>
  <c r="G234" i="95" s="1"/>
  <c r="G235" i="95" s="1"/>
  <c r="G236" i="95" s="1"/>
  <c r="G237" i="95" s="1"/>
  <c r="G238" i="95" s="1"/>
  <c r="G239" i="95" s="1"/>
  <c r="G240" i="95" s="1"/>
  <c r="G241" i="95" s="1"/>
  <c r="G242" i="95" s="1"/>
  <c r="G243" i="95" s="1"/>
  <c r="G244" i="95" s="1"/>
  <c r="G245" i="95" s="1"/>
  <c r="G246" i="95" s="1"/>
  <c r="G247" i="95" s="1"/>
  <c r="G248" i="95" s="1"/>
  <c r="G249" i="95" s="1"/>
  <c r="G250" i="95" s="1"/>
  <c r="G251" i="95" s="1"/>
</calcChain>
</file>

<file path=xl/sharedStrings.xml><?xml version="1.0" encoding="utf-8"?>
<sst xmlns="http://schemas.openxmlformats.org/spreadsheetml/2006/main" count="3084" uniqueCount="546">
  <si>
    <t>Date</t>
  </si>
  <si>
    <t>Département</t>
  </si>
  <si>
    <t>Management</t>
  </si>
  <si>
    <t>Services</t>
  </si>
  <si>
    <t>Investigation</t>
  </si>
  <si>
    <t>Perrine ODIER</t>
  </si>
  <si>
    <t>Rubriques</t>
  </si>
  <si>
    <t xml:space="preserve">Montant en FCFA </t>
  </si>
  <si>
    <t>Total montant reçu</t>
  </si>
  <si>
    <t>Total montant dépensé</t>
  </si>
  <si>
    <t>Solde</t>
  </si>
  <si>
    <t>Details</t>
  </si>
  <si>
    <t>Type de dépenses</t>
  </si>
  <si>
    <t>Departement</t>
  </si>
  <si>
    <t>Received</t>
  </si>
  <si>
    <t>Spent</t>
  </si>
  <si>
    <t>Balance</t>
  </si>
  <si>
    <t>Name</t>
  </si>
  <si>
    <t>Receipt</t>
  </si>
  <si>
    <t>Donor</t>
  </si>
  <si>
    <t>Project</t>
  </si>
  <si>
    <t>Country</t>
  </si>
  <si>
    <t>Contrôle</t>
  </si>
  <si>
    <t>Code budgetaire</t>
  </si>
  <si>
    <t>BCI</t>
  </si>
  <si>
    <t>Caisse</t>
  </si>
  <si>
    <t>Herick</t>
  </si>
  <si>
    <t>Jospin</t>
  </si>
  <si>
    <t>Dalia</t>
  </si>
  <si>
    <t>P29</t>
  </si>
  <si>
    <t>I23C</t>
  </si>
  <si>
    <t>Evariste</t>
  </si>
  <si>
    <t>Ted</t>
  </si>
  <si>
    <t>Shely</t>
  </si>
  <si>
    <t>Transport</t>
  </si>
  <si>
    <t>Office Materials</t>
  </si>
  <si>
    <t>Jack-Bénisson</t>
  </si>
  <si>
    <t>Noms &amp; Prénoms</t>
  </si>
  <si>
    <t>Total reçu</t>
  </si>
  <si>
    <t>Total Dépenses</t>
  </si>
  <si>
    <t>Total versement</t>
  </si>
  <si>
    <t>Fonds Exterieur pour le projet</t>
  </si>
  <si>
    <t>Balance calculée</t>
  </si>
  <si>
    <t>Versement reçu</t>
  </si>
  <si>
    <t>Versements faits</t>
  </si>
  <si>
    <t>Dépenses</t>
  </si>
  <si>
    <t>Donations</t>
  </si>
  <si>
    <t>Banque</t>
  </si>
  <si>
    <t>Crépin</t>
  </si>
  <si>
    <t>i23c</t>
  </si>
  <si>
    <t>Perrine Odier</t>
  </si>
  <si>
    <t>TOTAL</t>
  </si>
  <si>
    <t>DIFFERENCE</t>
  </si>
  <si>
    <r>
      <t xml:space="preserve">Monnaie de tenue de compte: </t>
    </r>
    <r>
      <rPr>
        <b/>
        <sz val="10"/>
        <color theme="5"/>
        <rFont val="Arial Narrow"/>
        <family val="2"/>
      </rPr>
      <t>XAF</t>
    </r>
  </si>
  <si>
    <t>Mois</t>
  </si>
  <si>
    <t>Noms &amp; prénoms</t>
  </si>
  <si>
    <t>MONTANT RECU DE</t>
  </si>
  <si>
    <t>Transféré</t>
  </si>
  <si>
    <t>Dépensé</t>
  </si>
  <si>
    <t xml:space="preserve">Remboursement </t>
  </si>
  <si>
    <t>Caisses</t>
  </si>
  <si>
    <t>CAISSE</t>
  </si>
  <si>
    <t>CAISSE PALF</t>
  </si>
  <si>
    <t>BANQUES</t>
  </si>
  <si>
    <t>BCI-Compte principal</t>
  </si>
  <si>
    <t>BCI-sous compte</t>
  </si>
  <si>
    <t>BALANCE CAISSES ET BANQUE AU 31 AOÜT 2020</t>
  </si>
  <si>
    <t>AOÜT</t>
  </si>
  <si>
    <t>Balance au          01 AOÜT 2020</t>
  </si>
  <si>
    <t>Balance au 31 AOÜT  2020</t>
  </si>
  <si>
    <t>Hérick</t>
  </si>
  <si>
    <t>Monnaie de tenue de compte: XAF</t>
  </si>
  <si>
    <t>BALANCE CAISSES ET BANQUE AU 31 JUILLET 2020</t>
  </si>
  <si>
    <t>JUILLET</t>
  </si>
  <si>
    <t>Balance au 01
 JUILLET 2020</t>
  </si>
  <si>
    <t>Balance au 31
 JUILLET 2020</t>
  </si>
  <si>
    <t>Versement</t>
  </si>
  <si>
    <t>Christian</t>
  </si>
  <si>
    <t>Geisner</t>
  </si>
  <si>
    <t>BALANCE CAISSES ET BANQUE AU 30 Septembre  2020</t>
  </si>
  <si>
    <t>SEPTEMBRE</t>
  </si>
  <si>
    <t>Balance au          01 Septembre 2020</t>
  </si>
  <si>
    <t>N°Pièce</t>
  </si>
  <si>
    <t>Naftalie</t>
  </si>
  <si>
    <t>I73X</t>
  </si>
  <si>
    <t>I55S</t>
  </si>
  <si>
    <t>Ecart à régulariser</t>
  </si>
  <si>
    <t>Balance au 30 Septembre 2020</t>
  </si>
  <si>
    <t>BALANCE CAISSES ET BANQUE AU 31 Octobre 2020</t>
  </si>
  <si>
    <t>Balance au          01 Octobre 2020</t>
  </si>
  <si>
    <t>Balance au 31 Octobre 2020</t>
  </si>
  <si>
    <t>OCTOBRE</t>
  </si>
  <si>
    <t>Jack/Crépin</t>
  </si>
  <si>
    <t>Naftali</t>
  </si>
  <si>
    <t>Merveille</t>
  </si>
  <si>
    <t>Perrine</t>
  </si>
  <si>
    <t>BALANCE CAISSES ET BANQUE AU 30 Novembre 2020</t>
  </si>
  <si>
    <t>Balance au          01 Novembre 2020</t>
  </si>
  <si>
    <t>Balance au 30 Novembre 2020</t>
  </si>
  <si>
    <t>NOVEMBRE</t>
  </si>
  <si>
    <t>Hérick/Christian</t>
  </si>
  <si>
    <t xml:space="preserve">Ecart </t>
  </si>
  <si>
    <t>T44</t>
  </si>
  <si>
    <t>UE</t>
  </si>
  <si>
    <t>DECEMBRE</t>
  </si>
  <si>
    <t>Balance au          01 Décembre 2020</t>
  </si>
  <si>
    <t>Balance au 31 Décembre 2020</t>
  </si>
  <si>
    <t>BALANCE CAISSES ET BANQUE AU 31 Décembre 2020</t>
  </si>
  <si>
    <t>Hérick/Geisner</t>
  </si>
  <si>
    <t>JANVIER</t>
  </si>
  <si>
    <t>BALANCE CAISSES ET BANQUE AU 31 JANVIER 2021</t>
  </si>
  <si>
    <t>Balance au          01 Janvier 2021</t>
  </si>
  <si>
    <t>Balance au 31 Janvier 2021</t>
  </si>
  <si>
    <t>Hérick/Crépin</t>
  </si>
  <si>
    <t>Tiffany</t>
  </si>
  <si>
    <t>BALANCE CAISSES ET BANQUE AU 28 FEVRIER  2021</t>
  </si>
  <si>
    <t>FEVRIER</t>
  </si>
  <si>
    <t>Balance au          01 Février  2021</t>
  </si>
  <si>
    <t>Balance au 28 Février 2021</t>
  </si>
  <si>
    <t>Hérick/Geis</t>
  </si>
  <si>
    <t>BALANCE CAISSES ET BANQUE AU 31 Mars  2021</t>
  </si>
  <si>
    <t>MARS</t>
  </si>
  <si>
    <t>Balance au          01 Mars  2021</t>
  </si>
  <si>
    <t>Balance au 31 Mars 2021</t>
  </si>
  <si>
    <t>Activiste</t>
  </si>
  <si>
    <t>BALANCE CAISSES ET BANQUE AU 30 AVRIL  2021</t>
  </si>
  <si>
    <t>Balance au          01 Avril  2021</t>
  </si>
  <si>
    <t>Balance au 30 Avril 2021</t>
  </si>
  <si>
    <t>AVRIL</t>
  </si>
  <si>
    <t>Étiquettes de lignes</t>
  </si>
  <si>
    <t>Total général</t>
  </si>
  <si>
    <t>Étiquettes de colonnes</t>
  </si>
  <si>
    <t>BALANCE CAISSES ET BANQUE AU 30  Mai  2021</t>
  </si>
  <si>
    <t>Balance au          01 Mai  2021</t>
  </si>
  <si>
    <t>Balance au 30 Mai 2021</t>
  </si>
  <si>
    <t>MAI</t>
  </si>
  <si>
    <t>Somme de Spent</t>
  </si>
  <si>
    <t>Total Somme de Received</t>
  </si>
  <si>
    <t>Somme de Received</t>
  </si>
  <si>
    <t>Total Somme de Spent</t>
  </si>
  <si>
    <t>Internet</t>
  </si>
  <si>
    <t>BALANCE CAISSES ET BANQUE AU 30  Juin  2021</t>
  </si>
  <si>
    <t>Balance au 30 Juin  2021</t>
  </si>
  <si>
    <t>Balance au          01 Juin  2021</t>
  </si>
  <si>
    <t>JUIN</t>
  </si>
  <si>
    <t>BALANCE CAISSES ET BANQUE AU 31 Juillet  2021</t>
  </si>
  <si>
    <t>Balance au          01 Juillet  2021</t>
  </si>
  <si>
    <t>Balance au 31 Juillet  2021</t>
  </si>
  <si>
    <t>AOUT</t>
  </si>
  <si>
    <t>Balance au          01 Août 2021</t>
  </si>
  <si>
    <t>BALANCE CAISSES ET BANQUE AU 31 Août  2021</t>
  </si>
  <si>
    <t>Balance au 31 Août 2021</t>
  </si>
  <si>
    <t>Grace</t>
  </si>
  <si>
    <t>Godfré</t>
  </si>
  <si>
    <t>BALANCE CAISSES ET BANQUE AU 30 Septembre 2021</t>
  </si>
  <si>
    <t>Balance a   01 Septembre 2021</t>
  </si>
  <si>
    <t>Serdroque</t>
  </si>
  <si>
    <t>Travel Subsistence</t>
  </si>
  <si>
    <t>BCI-Sous Compte</t>
  </si>
  <si>
    <t>Balance a   01 Octobre 2021</t>
  </si>
  <si>
    <t>Balance au 31 Octobre 2021</t>
  </si>
  <si>
    <t>Balance au 31 Septembre 2021</t>
  </si>
  <si>
    <t>BALANCE CAISSES ET BANQUE AU 31 Octobre 2021</t>
  </si>
  <si>
    <t>Axel</t>
  </si>
  <si>
    <t>Legal</t>
  </si>
  <si>
    <t>Media</t>
  </si>
  <si>
    <t>Wildcat</t>
  </si>
  <si>
    <t>BCI-</t>
  </si>
  <si>
    <t>BALANCE 30 Novembre 2021</t>
  </si>
  <si>
    <t>BALANCE 01 Novembre 2021</t>
  </si>
  <si>
    <t>BALANCE CAISSES ET BANQUE AU 30 Novembre 2021</t>
  </si>
  <si>
    <t>TOTAL RECU EN Novembre</t>
  </si>
  <si>
    <t>Balance a   01 Novembre 2021</t>
  </si>
  <si>
    <t>B52</t>
  </si>
  <si>
    <t>Flight</t>
  </si>
  <si>
    <t>TOTAL DEPENSE EN NOVEMBRE</t>
  </si>
  <si>
    <t>BALANCE 01 Décembre 2021</t>
  </si>
  <si>
    <t>TOTAL RECU EN DECEMBRE</t>
  </si>
  <si>
    <t>TOTAL DEPENSE EN DECEMBRE</t>
  </si>
  <si>
    <t>Balance a   01 Décembre 2021</t>
  </si>
  <si>
    <t>Balance au 31 Décembre 2021</t>
  </si>
  <si>
    <t>Balance au 30 Novembre 2021</t>
  </si>
  <si>
    <t>Personnel</t>
  </si>
  <si>
    <t>Telephone</t>
  </si>
  <si>
    <t>Transfer Fees</t>
  </si>
  <si>
    <t>CONGO</t>
  </si>
  <si>
    <t>BALANCE CAISSES ET BANQUE AU 31 Décembre 2021</t>
  </si>
  <si>
    <t>BALANCE 31 Décembre 2021</t>
  </si>
  <si>
    <t>Rent &amp; Utilities</t>
  </si>
  <si>
    <t>BALANCE 01 Janvier 2022</t>
  </si>
  <si>
    <t>TOTAL DEPENSE EN JANVIER</t>
  </si>
  <si>
    <t>TOTAL RECU EN JANVIER</t>
  </si>
  <si>
    <t>BALANCE 31 Janvier 2022</t>
  </si>
  <si>
    <t>BALANCE CAISSES ET BANQUE AU 31 Janvier 2022</t>
  </si>
  <si>
    <t>Balance au 31 Janvier 2022</t>
  </si>
  <si>
    <t>Balance a   01 Janvier 2022</t>
  </si>
  <si>
    <t>Court Fees</t>
  </si>
  <si>
    <t>Bank Fees</t>
  </si>
  <si>
    <t>Names</t>
  </si>
  <si>
    <t>BALANCE 01 Février 2022</t>
  </si>
  <si>
    <t>TOTAL RECU EN FEVRIER</t>
  </si>
  <si>
    <t>TOTAL DEPENSE EN FEVRIER</t>
  </si>
  <si>
    <t>Balance a   01 Février 2022</t>
  </si>
  <si>
    <t>BALANCE CAISSES ET BANQUE AU 28 Février 2022</t>
  </si>
  <si>
    <t>Balance au 28 Février 2022</t>
  </si>
  <si>
    <t>Bonus</t>
  </si>
  <si>
    <t>Balance au 31 Mars 2022</t>
  </si>
  <si>
    <t>BALANCE 01 Mars 2022</t>
  </si>
  <si>
    <t>TOTAL RECU EN MARS</t>
  </si>
  <si>
    <t>BALANCE 31 MARS 2022</t>
  </si>
  <si>
    <t>BALANCE CAISSES ET BANQUE AU 31 Mars 2022</t>
  </si>
  <si>
    <t>Balance a   01 Mars 2022</t>
  </si>
  <si>
    <t xml:space="preserve">TOTAL DEPENSE EN MARS </t>
  </si>
  <si>
    <t>BALANCE 28 FEVRIER 2022</t>
  </si>
  <si>
    <t>Paule</t>
  </si>
  <si>
    <t>Hurielle</t>
  </si>
  <si>
    <t>PALF</t>
  </si>
  <si>
    <t>RALFF</t>
  </si>
  <si>
    <t>Jail Visits</t>
  </si>
  <si>
    <t>RALFF/UE</t>
  </si>
  <si>
    <t>RALFF/Wildcat</t>
  </si>
  <si>
    <t>BALANCE 01 Avril 2022</t>
  </si>
  <si>
    <t>TOTAL RECU EN AVRIL</t>
  </si>
  <si>
    <t>TOTAL DEPENSE EN AVRIL</t>
  </si>
  <si>
    <t>BALANCE 30 AVRIL 2022</t>
  </si>
  <si>
    <t>BALANCE CAISSES ET BANQUE AU 30 Avril 2022</t>
  </si>
  <si>
    <t>Balance a   01 Avril 2022</t>
  </si>
  <si>
    <t>Balance au 30 Avril 2022</t>
  </si>
  <si>
    <t>RAPPORT FINANCIER AVRIL 2022</t>
  </si>
  <si>
    <t>Solde au 01/04/2022</t>
  </si>
  <si>
    <t>Achat credit  teléphonique MTN/PALF/Prémière partie Avril 2022/Management</t>
  </si>
  <si>
    <t xml:space="preserve">Management </t>
  </si>
  <si>
    <t>Oui</t>
  </si>
  <si>
    <t>Achat credit  teléphonique MTN/PALF/Prémière partie Avril 2022/Legal</t>
  </si>
  <si>
    <t>Achat credit  teléphonique MTN/PALF/Prémière partie Avril 2022/Legal Volontaire</t>
  </si>
  <si>
    <t>Achat credit  teléphonique MTN/PALF/Prémière partie Avril 2022/Investigation</t>
  </si>
  <si>
    <t>Achat credit  teléphonique MTN/PALF/Prémière partie Avril 2022/Media</t>
  </si>
  <si>
    <t>Achat credit  teléphonique Airtel/PALF/Prémière partie Avril 2022/Management</t>
  </si>
  <si>
    <t>Achat credit  teléphonique Airtel/PALF/Prémière partie Avril 2022/Legal</t>
  </si>
  <si>
    <t>Achat credit  teléphonique Airtel/PALF/Prémière partie Avril 2022/Investigation</t>
  </si>
  <si>
    <t>Achat credit  teléphonique Airtel/PALF/Prémière partie Avril 2022/Media</t>
  </si>
  <si>
    <t>Frais de mission Me Anicet MOUSSAHOU-GOMA  à Pointe Noire du 04 au 06 - 04- 2022</t>
  </si>
  <si>
    <t>Reglement loyer Tiffany mois d'Avril 2022/400USD</t>
  </si>
  <si>
    <t>BCI-3654477/34</t>
  </si>
  <si>
    <t>Avance entretien jardin Bureau PALF</t>
  </si>
  <si>
    <t>Office</t>
  </si>
  <si>
    <t>Bonus média/condamnation d'un trafiquant de perroquet le 24/03/2022 au TGI d'OYO</t>
  </si>
  <si>
    <t>Décharge</t>
  </si>
  <si>
    <t>Bonus média/condamnation de deux trafiquants de produits Faunique le 01/04/2022 au TGI de Dolisie</t>
  </si>
  <si>
    <t>Frais de transfert charden Farell à P29</t>
  </si>
  <si>
    <t>Frais de transfert charden Farell à I23C</t>
  </si>
  <si>
    <t>Achat Founitures de Bureau (enveloppe dl,stylo,agrafes et carnet reçu)</t>
  </si>
  <si>
    <t>Achat 04 Bonbonnes d'eau minerale/bureau</t>
  </si>
  <si>
    <t>Achat produit d'entretien bureau/lait,sucre,vigor nescafé,papier toilette,sac poubelle</t>
  </si>
  <si>
    <t>Achat 03 cartouches d'encre  SP311 pour l' imprimante Ricoh</t>
  </si>
  <si>
    <t>Impression en couleur des documents(16 copies) en couleurs</t>
  </si>
  <si>
    <t>BCI-3654474/34</t>
  </si>
  <si>
    <t>Achat credit  teléphonique MTN/PALF/Deuxième partie Avril 2022/Management</t>
  </si>
  <si>
    <t>Achat credit  teléphonique MTN/PALF/Deuxième partie Avril 2022/Legal</t>
  </si>
  <si>
    <t>Achat credit  teléphonique MTN/PALF/Deuxième partie Avril 2022/Legal volontaire</t>
  </si>
  <si>
    <t>Achat credit  teléphonique MTN/PALF/Deuxième partie Avril 2022/Investigation</t>
  </si>
  <si>
    <t>Achat credit  teléphonique Airtel/PALF/Deuxième partie Avril 2022/Management</t>
  </si>
  <si>
    <t>Achat credit  teléphonique Airtel/PALF/Deuxième partie Avril 2022/Legal</t>
  </si>
  <si>
    <t>Achat credit  teléphonique Airtel/PALF/Deuxième partie Avril 2022/Investigation</t>
  </si>
  <si>
    <t>Reglement facture d'eau periode mars avril 2022/Bureau PALF</t>
  </si>
  <si>
    <t>Godfré/Avance salaire</t>
  </si>
  <si>
    <t>Bonus media/ condamnation de deux trafiquant de produit faunique au TGI de Dolisie</t>
  </si>
  <si>
    <t>Supplément paiement Prime de fin d'année</t>
  </si>
  <si>
    <t>Légal</t>
  </si>
  <si>
    <t>Frais de transfert charden farell à I23C et P29</t>
  </si>
  <si>
    <t>Bonus media/audience du 20 avril 2022 au TGI de Brazzaville</t>
  </si>
  <si>
    <t>Frais de transfert charden farell à Crepin</t>
  </si>
  <si>
    <t>Godfre</t>
  </si>
  <si>
    <t>Frais de mission Me Anicet  MOUSSAHOU-GOMA  à Pointe Noire du 25 au 27 Avril  2022</t>
  </si>
  <si>
    <t>Bonus media/reinsertion un condamné à la maison d'arret de Pointe-Noire le 21 Avril 2022</t>
  </si>
  <si>
    <t>Bonus media/audience du 25 Avril 2022 à Pointe - Noire</t>
  </si>
  <si>
    <t>Frais de mission maitre Hélène NANITELAMIO à oyo du 27 au 29/04/2022</t>
  </si>
  <si>
    <t>Achat 04 cartouches d'encre hp 305 noire et couleur</t>
  </si>
  <si>
    <t>Bonus Operation à pointe Noire /Crépin</t>
  </si>
  <si>
    <t>Operation</t>
  </si>
  <si>
    <t>Bonus mois de mars 2022/Crépin</t>
  </si>
  <si>
    <t>Bonus mois de mars 2022/Evariste</t>
  </si>
  <si>
    <t>Reglément Facture Congo Telecom Redevance Avril 2022</t>
  </si>
  <si>
    <t>Achat imprimante EPSON/bureau</t>
  </si>
  <si>
    <t xml:space="preserve">Equipement </t>
  </si>
  <si>
    <t>Bonus media reinsertation d'un condamné à la maison d'arret de Pointe - Noire du 21/04/2022</t>
  </si>
  <si>
    <t>Bonus média audience du 28/04/2022 à Oyo</t>
  </si>
  <si>
    <t>P29/Retour caisse /avance sur salaire</t>
  </si>
  <si>
    <t>Retrait especes/appro caisse/bord n°3654477</t>
  </si>
  <si>
    <t>Relevé</t>
  </si>
  <si>
    <t>Cumul Frais bancaire/Compte 34</t>
  </si>
  <si>
    <t>Retrait especes/appro caisse/bord n°3654474</t>
  </si>
  <si>
    <t>Retrait especes/appro caisse/bord n°3654478</t>
  </si>
  <si>
    <t>Frais Bancaire / Compte 56</t>
  </si>
  <si>
    <t>Paiement Honoraire Me LOCKO/Mois de Mars 2022</t>
  </si>
  <si>
    <t>Paiement CNSS prémier trimestre /Janvier,Février et Mars 2022/Crépin IBOUILI IBOUILI</t>
  </si>
  <si>
    <t>Paiement CNSS prémier trimestre /Janvier,Février et Mars 2022/Evariste LELOUSSI</t>
  </si>
  <si>
    <t>Paiement CNSS prémier trimestre /Janvier,Février et Mars 2022/Merveille MAHANGA</t>
  </si>
  <si>
    <t>Paiement CNSS prémier trimestre /Janvier,Février et Mars 2022/Grace MOLENDE</t>
  </si>
  <si>
    <t>Paiement CNSS prémier trimestre /Janvier,Février et Mars 2022/Godfre MALONGA</t>
  </si>
  <si>
    <t>Solde Honoraire Contrat N°42-OYO / Me Hélène /Cas NGATSONGO Fabrice/3643646</t>
  </si>
  <si>
    <t>Solde  honoraires contrat n°41/Brazzaville/maitre Scrutin cas NGATSE Serge /3643647</t>
  </si>
  <si>
    <t>Paiement salaire mois d'Avril 2022/Tiffany GOBERT</t>
  </si>
  <si>
    <t>Paiement salaire mois d'Avril 2022/Merveille MAHANGA</t>
  </si>
  <si>
    <t>Virement</t>
  </si>
  <si>
    <t>Paiement salaire mois d'Avril 2022/MOLENDE Grace</t>
  </si>
  <si>
    <t>Paiement salaire mois d'Avril 2022/MALONGA Godfre</t>
  </si>
  <si>
    <t>Paiement salaire mois d'Avril 2022/Evariste LELOUSSI</t>
  </si>
  <si>
    <t>Paiement salaire mois d'Avril 2022/IBOUILI IBOUILI Crepin</t>
  </si>
  <si>
    <t>Reglement facture honoraire du mois d'Avril 2022/I23C/chq n°3643654</t>
  </si>
  <si>
    <t>Reglement facture honoraire du mois d'Avril  2022/P29/chq n°3643657</t>
  </si>
  <si>
    <t>Achat Dateur (Founiture Bureau)</t>
  </si>
  <si>
    <t>Cumul frais de Transport local mois de Avril 2022/Grace MOLENDE</t>
  </si>
  <si>
    <t>Cumul frais de transport local mois de Avril 2022/Merveille</t>
  </si>
  <si>
    <t>Achat billet aller (Brazzaville-Pointe Noire)Godfré</t>
  </si>
  <si>
    <t>GODFRE - CONGO Food Allowance du 04 au 06 Avril à Pointe-Noire</t>
  </si>
  <si>
    <t>GODFRE - CONGO Frais d'Hotel du 04 au 06 Avril 2022 - Pointe noire</t>
  </si>
  <si>
    <t>Achat billet retour Pointe Noire - Brazzaville/Godfre</t>
  </si>
  <si>
    <t>Achat billet Aller/ Brazzaville-Dolisie/Godfre</t>
  </si>
  <si>
    <t>GODFRE - CONGO Food Allowance du 14 au 16 Avril 2022 à Dolisie</t>
  </si>
  <si>
    <t>Cumul frais de Jails visits d'Avril 2022/Godfré</t>
  </si>
  <si>
    <t>GODFRE - CONGO Frais d'Hotel du 14 au 16 Avril 2022 à Dolisie</t>
  </si>
  <si>
    <t>Achat billet retour/Dolisie-Brazzaville/Godfre</t>
  </si>
  <si>
    <t>Achat billet aller(Brazzaville-Pointe-Noire)/Godfré</t>
  </si>
  <si>
    <t>GODFRE - CONGO Food Allowance du 25 au 27 Avril 2022</t>
  </si>
  <si>
    <t>Paiement frais d'execution du mandat d'amener</t>
  </si>
  <si>
    <t>Cumul frais de transport local d'Avril 2022/Godfré</t>
  </si>
  <si>
    <t>Achat billet retour/Pointe Noire-Brazzaville/Godfre</t>
  </si>
  <si>
    <t>GODFRE - CONGO Frais d'hôtel du 25 au 27 à PNR</t>
  </si>
  <si>
    <t>Achat billet Brazzaville-Pointe Noire/I23C</t>
  </si>
  <si>
    <t>oui</t>
  </si>
  <si>
    <t>I23C - CONGO Food allowance mission du 6 au 13 avril 2022</t>
  </si>
  <si>
    <t>Taxi Grand marché-Nzassi (départ pour Nzassi)/I23C</t>
  </si>
  <si>
    <t>Taxi Nzassi - Pointe Noire (départ pour Pointe Noire)/I23C</t>
  </si>
  <si>
    <t>Achat billet Pointe Noire - Dolisie/I23C</t>
  </si>
  <si>
    <t>Achat billet Dolisie - Brazzaville/I23C</t>
  </si>
  <si>
    <t>Achat billet Brazzaville - Pointe Noire/I23C</t>
  </si>
  <si>
    <t>I23C - CONGO Food allowance mission du 18 au 22 avril 2022</t>
  </si>
  <si>
    <t>Taxi Pointe Noire - Nzassi (départ pour Nzassi)/I23C</t>
  </si>
  <si>
    <t>Achat billet Pointe Noire - Brazzaville/I23C</t>
  </si>
  <si>
    <t>Achat billet Brazzaville-Dolisie (mission pour Dolisie)/I23C</t>
  </si>
  <si>
    <t>I23C - CONGO Food allowance mission Dolisie du 26 au 28 avril 2022</t>
  </si>
  <si>
    <t>Achat billet Dolisie-Brazzaville (retour à Brazzaville)/I23C</t>
  </si>
  <si>
    <t>Cumul frais trust Bulding mois d'Avril/I23C</t>
  </si>
  <si>
    <t>I23C - CONGO Paiement 2 nuitées du 26 au 28/04/2022 à Dolisie</t>
  </si>
  <si>
    <t>Cumul frais transport local mois d'Avril 2022/I23C</t>
  </si>
  <si>
    <t>OUI</t>
  </si>
  <si>
    <t>Billet: Brazzaville-Pointe-Noire/Crepin</t>
  </si>
  <si>
    <t>Frais de l'impression de 3 pages du mandat d'arrêt en couleur</t>
  </si>
  <si>
    <t>Achat carburant de la BJ qui avait servi à l'opération</t>
  </si>
  <si>
    <t>Raffraichissement pour 11 gendarmes et 1 angent PALF en attendant le top de l'opération</t>
  </si>
  <si>
    <t>Frais de location du taxi aller et retour pour à Nzassi et la période d'attente</t>
  </si>
  <si>
    <t>Bonus de 11 gendarmes</t>
  </si>
  <si>
    <t>Billet: Pointe Noire-Brazzaville /Crepin</t>
  </si>
  <si>
    <t>CREPIN - CONGO Frais d'Hotel 04 Nuitées du 19 au 23 avril à Pointe-Noire</t>
  </si>
  <si>
    <t>CREPIN - CONGO Food Allowance du 19 au 23 avril à Pointe-Noire</t>
  </si>
  <si>
    <t>Billet: Brazzaville-Oyo /crepin</t>
  </si>
  <si>
    <t>Billet: Oyo-Brazzaville /Crepin</t>
  </si>
  <si>
    <t>Cumul frais de Jail Visits Mois de Avril 2022/Crépin</t>
  </si>
  <si>
    <t>Jail visits</t>
  </si>
  <si>
    <t>CREPIN - CONGO Frais d'Hotel 03 Nuitées du 26 au 29 avril 2022 à Oyo</t>
  </si>
  <si>
    <t>CREPIN - CONGO Food-Allowance du 26 au 29 avril 2022 à Oyo</t>
  </si>
  <si>
    <t>Cumul Frais de transport local Mois d'Avril 2022/Crépin</t>
  </si>
  <si>
    <t>versement</t>
  </si>
  <si>
    <t>Cumul frais de Jail Visits du mois d'Avril 2022/Paule</t>
  </si>
  <si>
    <t>Cumul frais de Ration Journalière mois d'Avril 2022/Paule</t>
  </si>
  <si>
    <t>Cumul frais de Transport local mois d'Avril 2022</t>
  </si>
  <si>
    <t>Reçu Caisse/ Tiffany</t>
  </si>
  <si>
    <t>Cumul Frais de Transport Local mois d'Avril 2022/Tiffany</t>
  </si>
  <si>
    <t>Achat Credit + Carte Sim</t>
  </si>
  <si>
    <t>HURIELLE - CONGO Frais d'Hotel du 31 Mars-02 Avril 2022 à Dolisie</t>
  </si>
  <si>
    <t>Achat Billet Océan du Nord de Dolisie-Brazzaville /Hurielle</t>
  </si>
  <si>
    <t>Cumul frais de Jail Visits du mois d'Avril 2022/Hurielle</t>
  </si>
  <si>
    <t>Cumul frais de Ration journalière du mois d'Avril 2022/Hurielle</t>
  </si>
  <si>
    <t>Achat Billet Océan du Nord Brazzaville-Oyo/Hurielle</t>
  </si>
  <si>
    <t>Cumul frais de Transport Local du mois d'Avril 2022/Hurielle</t>
  </si>
  <si>
    <t>Cumul frais de transport local mois d'Avril 2022/ Evariste LELOUSSI</t>
  </si>
  <si>
    <t>P29 - CONGO Food allowance mission du 05 au 12/04/22</t>
  </si>
  <si>
    <t>Decharge</t>
  </si>
  <si>
    <t>Achat billet brazzaville-makoua /P29</t>
  </si>
  <si>
    <t>P29 - CONGO Paiement 3 nuitées du 05 au 08/04/22 Makoua</t>
  </si>
  <si>
    <t>Achat billet makoua-owando/P29</t>
  </si>
  <si>
    <t>P29 - CONGO Paiement de 2 nuitées du 08 au 10/04/22 Owando</t>
  </si>
  <si>
    <t>Achat billet owando-oyo/P29</t>
  </si>
  <si>
    <t>Achat billet oyo-brazzaville/P29</t>
  </si>
  <si>
    <t>P29 - CONGO Paiement de 2 nuitées du 10 au 12/04/22 Oyo</t>
  </si>
  <si>
    <t>P29 - CONGO Food allowance mission du 18 au 22-04-22</t>
  </si>
  <si>
    <t>Achat billet Brazzaville - Makoua</t>
  </si>
  <si>
    <t>P29 - CONGO Paiement de 2 nuitées du 18 au 20-04-22 Makoua</t>
  </si>
  <si>
    <t>Achat billet makoua-gamboma/P29</t>
  </si>
  <si>
    <t>P29 - CONGO Paiement de 2 nuitées du 20 au 22-04-22 Gamboma</t>
  </si>
  <si>
    <t>Achat billet gamboma-brazzaville/P29</t>
  </si>
  <si>
    <t>P29 - CONGO Food allowance mission du 26 au 28-04-2022</t>
  </si>
  <si>
    <t>Achat billet brazzaville-djambala/P29</t>
  </si>
  <si>
    <t>Cumul frais de Trust Building mois d'Avril 2022/P29</t>
  </si>
  <si>
    <t>P29 - CONGO Paiement 2 nuitées du 26 au 28-04-2022 à djambala</t>
  </si>
  <si>
    <t>Achat billet djambala-ngo/P29</t>
  </si>
  <si>
    <t>Achat billet ngo-brazzaville/P29</t>
  </si>
  <si>
    <t>Cumul frais de Transport Local mois d'Avril 2022/P29</t>
  </si>
  <si>
    <t>Lawyer Fees</t>
  </si>
  <si>
    <t>Trust Building</t>
  </si>
  <si>
    <t>5.6</t>
  </si>
  <si>
    <t>3.2</t>
  </si>
  <si>
    <t>Frais d'Expédition des documents _ Mondat d'arrêt de Landry (ACC)</t>
  </si>
  <si>
    <t>4.4</t>
  </si>
  <si>
    <t>4.5</t>
  </si>
  <si>
    <t>5.2.1</t>
  </si>
  <si>
    <t>5.2.2</t>
  </si>
  <si>
    <t>4.3</t>
  </si>
  <si>
    <t>1.1.1.7</t>
  </si>
  <si>
    <t>1.1.1.4</t>
  </si>
  <si>
    <t>1.1.2.1</t>
  </si>
  <si>
    <t>1.1.1.1</t>
  </si>
  <si>
    <t>1.1.1.9</t>
  </si>
  <si>
    <t>4.6</t>
  </si>
  <si>
    <t>2.2</t>
  </si>
  <si>
    <t>1.3.2</t>
  </si>
  <si>
    <t>Solde sur Entretien general Jardin/ Alain</t>
  </si>
  <si>
    <t>Reglement prestation Entretien bureau Mois d'Avril   2022/Odile</t>
  </si>
  <si>
    <t>Achat produit pharmaceutiques pour detenu (MANGUILA ALEXIS)</t>
  </si>
  <si>
    <t>I23C - CONGO Paiement Hôtel 2 nuitées du 11 au 13 avril 2022 Dolisie</t>
  </si>
  <si>
    <t>I23C - CONGO Paiement 4 nuitées du 18 au 22 avril 2022 Pointe Noire</t>
  </si>
  <si>
    <t>I23C - CONGO Paiement hôtel 5 nuitées du 6 au 11 avril 2022 Pointe Noire</t>
  </si>
  <si>
    <t>RALFF-CO3208</t>
  </si>
  <si>
    <t>RALFF-CO3209</t>
  </si>
  <si>
    <t>RALFF-CO3210</t>
  </si>
  <si>
    <t>RALFF-CO3211</t>
  </si>
  <si>
    <t>RALFF-CO3212</t>
  </si>
  <si>
    <t>RALFF-CO3213</t>
  </si>
  <si>
    <t>RALFF-CO3214</t>
  </si>
  <si>
    <t>RALFF-CO3215</t>
  </si>
  <si>
    <t>RALFF-CO3216</t>
  </si>
  <si>
    <t>RALFF-CO3217</t>
  </si>
  <si>
    <t>RALFF-CO3218</t>
  </si>
  <si>
    <t>RALFF-CO3219</t>
  </si>
  <si>
    <t>RALFF-CO3220</t>
  </si>
  <si>
    <t>RALFF-CO3221</t>
  </si>
  <si>
    <t>RALFF-CO3222</t>
  </si>
  <si>
    <t>RALFF-CO3223</t>
  </si>
  <si>
    <t>RALFF-CO3224</t>
  </si>
  <si>
    <t>RALFF-CO3225</t>
  </si>
  <si>
    <t>RALFF-CO3226</t>
  </si>
  <si>
    <t>RALFF-CO3227</t>
  </si>
  <si>
    <t>RALFF-CO3228</t>
  </si>
  <si>
    <t>RALFF-CO3229</t>
  </si>
  <si>
    <t>RALFF-CO3230</t>
  </si>
  <si>
    <t>RALFF-CO3231</t>
  </si>
  <si>
    <t>RALFF-CO3232</t>
  </si>
  <si>
    <t>RALFF-CO3233</t>
  </si>
  <si>
    <t>RALFF-CO3234</t>
  </si>
  <si>
    <t>RALFF-CO3235</t>
  </si>
  <si>
    <t>RALFF-CO3236</t>
  </si>
  <si>
    <t>RALFF-CO3237</t>
  </si>
  <si>
    <t>RALFF-CO3238</t>
  </si>
  <si>
    <t>RALFF-CO3239</t>
  </si>
  <si>
    <t>RALFF-CO3240</t>
  </si>
  <si>
    <t>RALFF-CO3241</t>
  </si>
  <si>
    <t>RALFF-CO3242</t>
  </si>
  <si>
    <t>RALFF-CO3243</t>
  </si>
  <si>
    <t>RALFF-CO3244</t>
  </si>
  <si>
    <t>RALFF-CO3245</t>
  </si>
  <si>
    <t>RALFF-CO3246</t>
  </si>
  <si>
    <t>RALFF-CO3247</t>
  </si>
  <si>
    <t>RALFF-CO3248</t>
  </si>
  <si>
    <t>RALFF-CO3249</t>
  </si>
  <si>
    <t>RALFF-CO3250</t>
  </si>
  <si>
    <t>RALFF-CO3251</t>
  </si>
  <si>
    <t>RALFF-CO3252</t>
  </si>
  <si>
    <t>RALFF-CO3253</t>
  </si>
  <si>
    <t>RALFF-CO3254</t>
  </si>
  <si>
    <t>RALFF-CO3255</t>
  </si>
  <si>
    <t>RALFF-CO3256</t>
  </si>
  <si>
    <t>RALFF-CO3257</t>
  </si>
  <si>
    <t>RALFF-CO3258</t>
  </si>
  <si>
    <t>RALFF-CO3259</t>
  </si>
  <si>
    <t>RALFF-CO3260</t>
  </si>
  <si>
    <t>RALFF-CO3261</t>
  </si>
  <si>
    <t>RALFF-CO3262</t>
  </si>
  <si>
    <t>RALFF-CO3263</t>
  </si>
  <si>
    <t>RALFF-CO3264</t>
  </si>
  <si>
    <t>RALFF-CO3265</t>
  </si>
  <si>
    <t>RALFF-CO3266</t>
  </si>
  <si>
    <t>RALFF-CO3267</t>
  </si>
  <si>
    <t>RALFF-CO3268</t>
  </si>
  <si>
    <t>RALFF-CO3269</t>
  </si>
  <si>
    <t>RALFF-CO3270</t>
  </si>
  <si>
    <t>RALFF-CO3271</t>
  </si>
  <si>
    <t>RALFF-CO3272</t>
  </si>
  <si>
    <t>RALFF-CO3273</t>
  </si>
  <si>
    <t>RALFF-CO3274</t>
  </si>
  <si>
    <t>RALFF-CO3275</t>
  </si>
  <si>
    <t>RALFF-CO3276</t>
  </si>
  <si>
    <t>RALFF-CO3277</t>
  </si>
  <si>
    <t>RALFF-CO3278</t>
  </si>
  <si>
    <t>RALFF-CO3279</t>
  </si>
  <si>
    <t>RALFF-CO3280</t>
  </si>
  <si>
    <t>RALFF-CO3281</t>
  </si>
  <si>
    <t>RALFF-CO3282</t>
  </si>
  <si>
    <t>RALFF-CO3283</t>
  </si>
  <si>
    <t>RALFF-CO3284</t>
  </si>
  <si>
    <t>RALFF-CO3285</t>
  </si>
  <si>
    <t>RALFF-CO3286</t>
  </si>
  <si>
    <t>RALFF-CO3287</t>
  </si>
  <si>
    <t>RALFF-CO3288</t>
  </si>
  <si>
    <t>RALFF-CO3289</t>
  </si>
  <si>
    <t>RALFF-CO3290</t>
  </si>
  <si>
    <t>RALFF-CO3291</t>
  </si>
  <si>
    <t>RALFF-CO3292</t>
  </si>
  <si>
    <t>RALFF-CO3293</t>
  </si>
  <si>
    <t>RALFF-CO3294</t>
  </si>
  <si>
    <t>RALFF-CO3295</t>
  </si>
  <si>
    <t>RALFF-CO3296</t>
  </si>
  <si>
    <t>RALFF-CO3297</t>
  </si>
  <si>
    <t>RALFF-CO3298</t>
  </si>
  <si>
    <t>RALFF-CO3299</t>
  </si>
  <si>
    <t>RALFF-CO3300</t>
  </si>
  <si>
    <t>RALFF-CO3301</t>
  </si>
  <si>
    <t>RALFF-CO3302</t>
  </si>
  <si>
    <t>RALFF-CO3303</t>
  </si>
  <si>
    <t>RALFF-CO3304</t>
  </si>
  <si>
    <t>RALFF-CO3305</t>
  </si>
  <si>
    <t>RALFF-CO3306</t>
  </si>
  <si>
    <t>RALFF-CO3307</t>
  </si>
  <si>
    <t>RALFF-CO3308</t>
  </si>
  <si>
    <t>RALFF-CO3309</t>
  </si>
  <si>
    <t>RALFF-CO3310</t>
  </si>
  <si>
    <t>RALFF-CO3311</t>
  </si>
  <si>
    <t>RALFF-CO3312</t>
  </si>
  <si>
    <t>RALFF-CO3313</t>
  </si>
  <si>
    <t>RALFF-CO3314</t>
  </si>
  <si>
    <t>RALFF-CO3315</t>
  </si>
  <si>
    <t>RALFF-CO3316</t>
  </si>
  <si>
    <t>RALFF-CO3317</t>
  </si>
  <si>
    <t>RALFF-CO3318</t>
  </si>
  <si>
    <t>RALFF-CO3319</t>
  </si>
  <si>
    <t>Reçu Caisse /Crépin</t>
  </si>
  <si>
    <t>Reçu Caisse /Grace</t>
  </si>
  <si>
    <t>Reçu de la caisse/Evariste</t>
  </si>
  <si>
    <t>Reçu caisse/Godfre</t>
  </si>
  <si>
    <t>Reçu caisse/Hurielle</t>
  </si>
  <si>
    <t>Réçu caisse/I23C</t>
  </si>
  <si>
    <t>Reçu caisse/Merveille</t>
  </si>
  <si>
    <t>Recu de caisse/P29</t>
  </si>
  <si>
    <t>Recu de caisse/Avance sur Salaire/P29</t>
  </si>
  <si>
    <t>Retour caisse/Retour sur Salairee 1ere Tranche/P29</t>
  </si>
  <si>
    <t>Reçu caisse/Paule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</si>
</sst>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\ _F_C_F_A_-;\-* #,##0\ _F_C_F_A_-;_-* &quot;-&quot;\ _F_C_F_A_-;_-@_-"/>
    <numFmt numFmtId="165" formatCode="_-* #,##0.00\ _€_-;\-* #,##0.00\ _€_-;_-* &quot;-&quot;??\ _€_-;_-@_-"/>
    <numFmt numFmtId="166" formatCode="_-* #,##0\ _€_-;\-* #,##0\ _€_-;_-* &quot;-&quot;??\ _€_-;_-@_-"/>
    <numFmt numFmtId="167" formatCode="_-* #,##0\ _€_-;\-* #,##0\ _€_-;_-* &quot;-&quot;??\ _€_-;_-@"/>
    <numFmt numFmtId="168" formatCode="[$-409]d\-mmm\-yy;@"/>
    <numFmt numFmtId="169" formatCode="[$-40C]0"/>
    <numFmt numFmtId="170" formatCode="&quot; &quot;#,##0&quot;    &quot;;&quot;-&quot;#,##0&quot;    &quot;;&quot; -&quot;#&quot;    &quot;;&quot; &quot;@&quot; &quot;"/>
    <numFmt numFmtId="171" formatCode="[$-40C]General"/>
    <numFmt numFmtId="172" formatCode="[$]d\ mmm\ yyyy;@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1"/>
      <color rgb="FFFF0000"/>
      <name val="Calibri"/>
      <family val="2"/>
      <scheme val="minor"/>
    </font>
    <font>
      <sz val="10"/>
      <color rgb="FFFF0000"/>
      <name val="Arial Narrow"/>
      <family val="2"/>
    </font>
    <font>
      <sz val="9"/>
      <color theme="1"/>
      <name val="Arial Narrow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Arial Narrow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0"/>
      <color theme="5"/>
      <name val="Arial Narrow"/>
      <family val="2"/>
    </font>
    <font>
      <b/>
      <sz val="10"/>
      <color theme="5"/>
      <name val="Arial Narrow"/>
      <family val="2"/>
    </font>
    <font>
      <b/>
      <i/>
      <sz val="10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8"/>
      <color rgb="FFFF0000"/>
      <name val="Calibri"/>
      <family val="2"/>
      <scheme val="minor"/>
    </font>
    <font>
      <sz val="10"/>
      <color rgb="FF000000"/>
      <name val="Arial Narrow"/>
      <family val="2"/>
    </font>
    <font>
      <sz val="10"/>
      <color rgb="FF000000"/>
      <name val="Arial"/>
      <family val="2"/>
    </font>
    <font>
      <sz val="9"/>
      <color rgb="FF000000"/>
      <name val="Arial Narrow"/>
      <family val="2"/>
    </font>
    <font>
      <sz val="10"/>
      <color rgb="FFED7D31"/>
      <name val="Arial Narrow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FF0000"/>
      <name val="Calibri"/>
      <family val="2"/>
    </font>
    <font>
      <sz val="12"/>
      <color theme="1"/>
      <name val="Arial Narrow"/>
      <family val="2"/>
    </font>
    <font>
      <sz val="6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Arial Narrow"/>
      <family val="2"/>
    </font>
    <font>
      <sz val="12"/>
      <name val="Arial Narrow"/>
      <family val="2"/>
    </font>
    <font>
      <sz val="12"/>
      <color theme="0"/>
      <name val="Arial Narrow"/>
      <family val="2"/>
    </font>
    <font>
      <sz val="12"/>
      <color rgb="FFFF0000"/>
      <name val="Arial Narrow"/>
      <family val="2"/>
    </font>
    <font>
      <b/>
      <sz val="12"/>
      <color rgb="FFFF0000"/>
      <name val="Arial Narrow"/>
      <family val="2"/>
    </font>
    <font>
      <b/>
      <sz val="8"/>
      <color rgb="FFFF0000"/>
      <name val="Calibri"/>
      <family val="2"/>
      <scheme val="minor"/>
    </font>
    <font>
      <b/>
      <sz val="12"/>
      <color theme="1"/>
      <name val="Arial Narrow"/>
      <family val="2"/>
    </font>
  </fonts>
  <fills count="2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BC2E6"/>
        <bgColor rgb="FF000000"/>
      </patternFill>
    </fill>
    <fill>
      <patternFill patternType="solid">
        <fgColor rgb="FFDBDBDB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AEAAAA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lightGray">
        <bgColor theme="5" tint="0.39997558519241921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0" fontId="10" fillId="0" borderId="0"/>
    <xf numFmtId="164" fontId="1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23" fillId="0" borderId="0" applyBorder="0" applyProtection="0"/>
    <xf numFmtId="9" fontId="1" fillId="0" borderId="0" applyFont="0" applyFill="0" applyBorder="0" applyAlignment="0" applyProtection="0"/>
  </cellStyleXfs>
  <cellXfs count="41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1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4" fontId="11" fillId="6" borderId="1" xfId="3" applyNumberFormat="1" applyFont="1" applyFill="1" applyBorder="1"/>
    <xf numFmtId="0" fontId="11" fillId="6" borderId="1" xfId="3" applyFont="1" applyFill="1" applyBorder="1"/>
    <xf numFmtId="0" fontId="12" fillId="0" borderId="1" xfId="0" applyFont="1" applyFill="1" applyBorder="1" applyAlignment="1"/>
    <xf numFmtId="166" fontId="0" fillId="0" borderId="0" xfId="0" applyNumberFormat="1" applyAlignment="1">
      <alignment vertical="center"/>
    </xf>
    <xf numFmtId="0" fontId="12" fillId="0" borderId="0" xfId="0" applyFont="1" applyFill="1" applyBorder="1" applyAlignment="1"/>
    <xf numFmtId="0" fontId="13" fillId="0" borderId="0" xfId="0" applyFont="1" applyBorder="1" applyAlignment="1">
      <alignment vertical="center"/>
    </xf>
    <xf numFmtId="166" fontId="14" fillId="0" borderId="0" xfId="1" applyNumberFormat="1" applyFont="1" applyBorder="1" applyProtection="1">
      <protection locked="0"/>
    </xf>
    <xf numFmtId="166" fontId="15" fillId="0" borderId="0" xfId="1" applyNumberFormat="1" applyFont="1" applyBorder="1" applyProtection="1">
      <protection locked="0"/>
    </xf>
    <xf numFmtId="166" fontId="12" fillId="0" borderId="0" xfId="0" applyNumberFormat="1" applyFont="1" applyFill="1" applyBorder="1" applyAlignment="1"/>
    <xf numFmtId="166" fontId="13" fillId="0" borderId="0" xfId="0" applyNumberFormat="1" applyFont="1" applyBorder="1" applyAlignment="1">
      <alignment vertical="center"/>
    </xf>
    <xf numFmtId="0" fontId="16" fillId="0" borderId="0" xfId="0" applyFont="1" applyAlignment="1"/>
    <xf numFmtId="0" fontId="4" fillId="0" borderId="0" xfId="0" applyFont="1" applyAlignment="1"/>
    <xf numFmtId="0" fontId="5" fillId="7" borderId="0" xfId="0" applyFont="1" applyFill="1" applyAlignment="1">
      <alignment horizontal="center"/>
    </xf>
    <xf numFmtId="0" fontId="5" fillId="0" borderId="0" xfId="0" applyFont="1" applyFill="1" applyAlignment="1"/>
    <xf numFmtId="0" fontId="4" fillId="0" borderId="0" xfId="0" applyFont="1" applyFill="1" applyAlignment="1"/>
    <xf numFmtId="166" fontId="4" fillId="0" borderId="0" xfId="1" applyNumberFormat="1" applyFont="1" applyFill="1" applyProtection="1"/>
    <xf numFmtId="166" fontId="5" fillId="0" borderId="3" xfId="1" applyNumberFormat="1" applyFont="1" applyFill="1" applyBorder="1" applyAlignment="1" applyProtection="1">
      <alignment vertical="center" wrapText="1"/>
    </xf>
    <xf numFmtId="166" fontId="5" fillId="0" borderId="3" xfId="1" applyNumberFormat="1" applyFont="1" applyFill="1" applyBorder="1" applyAlignment="1" applyProtection="1">
      <alignment horizontal="center" vertical="center" wrapText="1"/>
    </xf>
    <xf numFmtId="166" fontId="4" fillId="10" borderId="4" xfId="1" applyNumberFormat="1" applyFont="1" applyFill="1" applyBorder="1" applyAlignment="1" applyProtection="1">
      <alignment horizontal="center" vertical="center"/>
    </xf>
    <xf numFmtId="0" fontId="18" fillId="10" borderId="5" xfId="0" applyFont="1" applyFill="1" applyBorder="1" applyAlignment="1"/>
    <xf numFmtId="166" fontId="4" fillId="10" borderId="5" xfId="1" applyNumberFormat="1" applyFont="1" applyFill="1" applyBorder="1" applyProtection="1"/>
    <xf numFmtId="166" fontId="4" fillId="10" borderId="5" xfId="0" applyNumberFormat="1" applyFont="1" applyFill="1" applyBorder="1" applyAlignment="1"/>
    <xf numFmtId="166" fontId="4" fillId="0" borderId="3" xfId="1" applyNumberFormat="1" applyFont="1" applyBorder="1" applyProtection="1"/>
    <xf numFmtId="166" fontId="0" fillId="0" borderId="1" xfId="1" applyNumberFormat="1" applyFont="1" applyFill="1" applyBorder="1" applyProtection="1"/>
    <xf numFmtId="166" fontId="4" fillId="0" borderId="6" xfId="1" applyNumberFormat="1" applyFont="1" applyFill="1" applyBorder="1" applyProtection="1"/>
    <xf numFmtId="166" fontId="4" fillId="0" borderId="1" xfId="0" applyNumberFormat="1" applyFont="1" applyFill="1" applyBorder="1" applyAlignment="1"/>
    <xf numFmtId="166" fontId="4" fillId="0" borderId="1" xfId="1" applyNumberFormat="1" applyFont="1" applyFill="1" applyBorder="1" applyProtection="1"/>
    <xf numFmtId="166" fontId="19" fillId="0" borderId="1" xfId="1" applyNumberFormat="1" applyFont="1" applyFill="1" applyBorder="1" applyProtection="1"/>
    <xf numFmtId="166" fontId="1" fillId="0" borderId="1" xfId="1" applyNumberFormat="1" applyFont="1" applyFill="1" applyBorder="1" applyProtection="1"/>
    <xf numFmtId="166" fontId="5" fillId="10" borderId="4" xfId="1" applyNumberFormat="1" applyFont="1" applyFill="1" applyBorder="1" applyAlignment="1" applyProtection="1">
      <alignment horizontal="left"/>
    </xf>
    <xf numFmtId="166" fontId="5" fillId="10" borderId="5" xfId="1" applyNumberFormat="1" applyFont="1" applyFill="1" applyBorder="1" applyAlignment="1" applyProtection="1">
      <alignment horizontal="left"/>
    </xf>
    <xf numFmtId="166" fontId="4" fillId="10" borderId="1" xfId="0" applyNumberFormat="1" applyFont="1" applyFill="1" applyBorder="1" applyAlignment="1"/>
    <xf numFmtId="0" fontId="5" fillId="0" borderId="4" xfId="0" applyFont="1" applyFill="1" applyBorder="1" applyAlignment="1"/>
    <xf numFmtId="166" fontId="4" fillId="0" borderId="1" xfId="1" applyNumberFormat="1" applyFont="1" applyFill="1" applyBorder="1" applyAlignment="1" applyProtection="1"/>
    <xf numFmtId="166" fontId="4" fillId="0" borderId="6" xfId="1" applyNumberFormat="1" applyFont="1" applyBorder="1" applyProtection="1"/>
    <xf numFmtId="166" fontId="20" fillId="0" borderId="1" xfId="1" applyNumberFormat="1" applyFont="1" applyBorder="1" applyProtection="1"/>
    <xf numFmtId="166" fontId="20" fillId="0" borderId="0" xfId="1" applyNumberFormat="1" applyFont="1" applyProtection="1"/>
    <xf numFmtId="166" fontId="10" fillId="0" borderId="1" xfId="0" applyNumberFormat="1" applyFont="1" applyBorder="1" applyAlignment="1"/>
    <xf numFmtId="0" fontId="18" fillId="10" borderId="4" xfId="0" applyFont="1" applyFill="1" applyBorder="1" applyAlignment="1"/>
    <xf numFmtId="166" fontId="0" fillId="0" borderId="1" xfId="1" applyNumberFormat="1" applyFont="1" applyBorder="1" applyProtection="1"/>
    <xf numFmtId="166" fontId="4" fillId="0" borderId="1" xfId="0" applyNumberFormat="1" applyFont="1" applyBorder="1" applyAlignment="1"/>
    <xf numFmtId="0" fontId="0" fillId="0" borderId="1" xfId="0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1" xfId="0" applyNumberFormat="1" applyBorder="1" applyAlignment="1">
      <alignment vertical="center"/>
    </xf>
    <xf numFmtId="166" fontId="16" fillId="0" borderId="6" xfId="1" applyNumberFormat="1" applyFont="1" applyBorder="1" applyProtection="1"/>
    <xf numFmtId="166" fontId="19" fillId="0" borderId="6" xfId="1" applyNumberFormat="1" applyFont="1" applyBorder="1" applyProtection="1"/>
    <xf numFmtId="166" fontId="19" fillId="0" borderId="1" xfId="1" applyNumberFormat="1" applyFont="1" applyBorder="1" applyAlignment="1" applyProtection="1">
      <alignment vertical="center"/>
    </xf>
    <xf numFmtId="166" fontId="19" fillId="5" borderId="1" xfId="1" applyNumberFormat="1" applyFont="1" applyFill="1" applyBorder="1" applyProtection="1"/>
    <xf numFmtId="166" fontId="9" fillId="0" borderId="3" xfId="1" applyNumberFormat="1" applyFont="1" applyFill="1" applyBorder="1" applyProtection="1"/>
    <xf numFmtId="166" fontId="19" fillId="5" borderId="1" xfId="1" applyNumberFormat="1" applyFont="1" applyFill="1" applyBorder="1" applyAlignment="1" applyProtection="1">
      <alignment vertical="center"/>
    </xf>
    <xf numFmtId="166" fontId="1" fillId="0" borderId="0" xfId="1" applyNumberFormat="1" applyFont="1" applyFill="1" applyProtection="1"/>
    <xf numFmtId="166" fontId="19" fillId="0" borderId="1" xfId="1" applyNumberFormat="1" applyFont="1" applyFill="1" applyBorder="1" applyAlignment="1" applyProtection="1">
      <alignment horizontal="center" vertical="center"/>
    </xf>
    <xf numFmtId="166" fontId="8" fillId="0" borderId="6" xfId="1" applyNumberFormat="1" applyFont="1" applyFill="1" applyBorder="1" applyProtection="1"/>
    <xf numFmtId="166" fontId="21" fillId="0" borderId="0" xfId="1" applyNumberFormat="1" applyFont="1" applyBorder="1" applyProtection="1">
      <protection locked="0"/>
    </xf>
    <xf numFmtId="0" fontId="6" fillId="0" borderId="1" xfId="0" applyFont="1" applyFill="1" applyBorder="1" applyAlignment="1"/>
    <xf numFmtId="0" fontId="22" fillId="0" borderId="1" xfId="0" applyFont="1" applyBorder="1" applyAlignment="1">
      <alignment vertical="center"/>
    </xf>
    <xf numFmtId="166" fontId="23" fillId="0" borderId="1" xfId="1" applyNumberFormat="1" applyFont="1" applyBorder="1" applyProtection="1">
      <protection locked="0"/>
    </xf>
    <xf numFmtId="166" fontId="24" fillId="0" borderId="1" xfId="1" applyNumberFormat="1" applyFont="1" applyBorder="1" applyProtection="1">
      <protection locked="0"/>
    </xf>
    <xf numFmtId="0" fontId="7" fillId="0" borderId="0" xfId="0" applyFont="1" applyAlignment="1">
      <alignment vertical="center"/>
    </xf>
    <xf numFmtId="0" fontId="2" fillId="7" borderId="0" xfId="0" applyFont="1" applyFill="1" applyAlignment="1">
      <alignment vertical="center"/>
    </xf>
    <xf numFmtId="0" fontId="2" fillId="0" borderId="1" xfId="0" applyFont="1" applyBorder="1" applyAlignment="1">
      <alignment vertical="center"/>
    </xf>
    <xf numFmtId="0" fontId="0" fillId="10" borderId="1" xfId="0" applyFill="1" applyBorder="1" applyAlignment="1">
      <alignment vertical="center"/>
    </xf>
    <xf numFmtId="3" fontId="0" fillId="10" borderId="1" xfId="0" applyNumberForma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7" fillId="0" borderId="0" xfId="0" applyFont="1" applyAlignment="1">
      <alignment vertical="center"/>
    </xf>
    <xf numFmtId="166" fontId="5" fillId="0" borderId="3" xfId="1" applyNumberFormat="1" applyFont="1" applyFill="1" applyBorder="1" applyAlignment="1" applyProtection="1">
      <alignment horizontal="center" vertical="center" wrapText="1"/>
    </xf>
    <xf numFmtId="0" fontId="5" fillId="13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24" fillId="0" borderId="0" xfId="0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/>
    <xf numFmtId="166" fontId="4" fillId="0" borderId="0" xfId="1" applyNumberFormat="1" applyFont="1" applyFill="1" applyBorder="1" applyProtection="1"/>
    <xf numFmtId="166" fontId="4" fillId="17" borderId="4" xfId="1" applyNumberFormat="1" applyFont="1" applyFill="1" applyBorder="1" applyAlignment="1" applyProtection="1">
      <alignment horizontal="center" vertical="center"/>
    </xf>
    <xf numFmtId="0" fontId="18" fillId="17" borderId="5" xfId="0" applyFont="1" applyFill="1" applyBorder="1" applyAlignment="1"/>
    <xf numFmtId="166" fontId="4" fillId="17" borderId="5" xfId="1" applyNumberFormat="1" applyFont="1" applyFill="1" applyBorder="1" applyProtection="1"/>
    <xf numFmtId="166" fontId="4" fillId="17" borderId="5" xfId="0" applyNumberFormat="1" applyFont="1" applyFill="1" applyBorder="1" applyAlignment="1"/>
    <xf numFmtId="166" fontId="4" fillId="0" borderId="3" xfId="1" applyNumberFormat="1" applyFont="1" applyFill="1" applyBorder="1" applyProtection="1"/>
    <xf numFmtId="166" fontId="24" fillId="0" borderId="1" xfId="1" applyNumberFormat="1" applyFont="1" applyFill="1" applyBorder="1" applyProtection="1"/>
    <xf numFmtId="166" fontId="28" fillId="0" borderId="1" xfId="1" applyNumberFormat="1" applyFont="1" applyFill="1" applyBorder="1" applyAlignment="1" applyProtection="1">
      <alignment horizontal="center" vertical="center"/>
    </xf>
    <xf numFmtId="166" fontId="23" fillId="0" borderId="1" xfId="1" applyNumberFormat="1" applyFont="1" applyFill="1" applyBorder="1" applyProtection="1"/>
    <xf numFmtId="166" fontId="28" fillId="0" borderId="1" xfId="1" applyNumberFormat="1" applyFont="1" applyFill="1" applyBorder="1" applyProtection="1"/>
    <xf numFmtId="166" fontId="23" fillId="0" borderId="0" xfId="1" applyNumberFormat="1" applyFont="1" applyFill="1" applyBorder="1" applyProtection="1"/>
    <xf numFmtId="166" fontId="5" fillId="17" borderId="4" xfId="1" applyNumberFormat="1" applyFont="1" applyFill="1" applyBorder="1" applyAlignment="1" applyProtection="1">
      <alignment horizontal="left"/>
    </xf>
    <xf numFmtId="166" fontId="5" fillId="17" borderId="5" xfId="1" applyNumberFormat="1" applyFont="1" applyFill="1" applyBorder="1" applyAlignment="1" applyProtection="1">
      <alignment horizontal="left"/>
    </xf>
    <xf numFmtId="166" fontId="4" fillId="17" borderId="1" xfId="0" applyNumberFormat="1" applyFont="1" applyFill="1" applyBorder="1" applyAlignment="1"/>
    <xf numFmtId="166" fontId="29" fillId="0" borderId="1" xfId="1" applyNumberFormat="1" applyFont="1" applyFill="1" applyBorder="1" applyProtection="1"/>
    <xf numFmtId="3" fontId="24" fillId="0" borderId="1" xfId="0" applyNumberFormat="1" applyFont="1" applyFill="1" applyBorder="1" applyAlignment="1">
      <alignment vertical="center"/>
    </xf>
    <xf numFmtId="166" fontId="29" fillId="0" borderId="0" xfId="1" applyNumberFormat="1" applyFont="1" applyFill="1" applyBorder="1" applyProtection="1"/>
    <xf numFmtId="166" fontId="10" fillId="0" borderId="1" xfId="0" applyNumberFormat="1" applyFont="1" applyFill="1" applyBorder="1" applyAlignment="1"/>
    <xf numFmtId="0" fontId="18" fillId="17" borderId="4" xfId="0" applyFont="1" applyFill="1" applyBorder="1" applyAlignment="1"/>
    <xf numFmtId="166" fontId="30" fillId="0" borderId="3" xfId="1" applyNumberFormat="1" applyFont="1" applyFill="1" applyBorder="1" applyProtection="1"/>
    <xf numFmtId="166" fontId="28" fillId="0" borderId="6" xfId="1" applyNumberFormat="1" applyFont="1" applyFill="1" applyBorder="1" applyProtection="1"/>
    <xf numFmtId="166" fontId="28" fillId="18" borderId="1" xfId="1" applyNumberFormat="1" applyFont="1" applyFill="1" applyBorder="1" applyProtection="1"/>
    <xf numFmtId="166" fontId="28" fillId="18" borderId="1" xfId="1" applyNumberFormat="1" applyFont="1" applyFill="1" applyBorder="1" applyAlignment="1" applyProtection="1">
      <alignment vertical="center"/>
    </xf>
    <xf numFmtId="166" fontId="31" fillId="0" borderId="6" xfId="1" applyNumberFormat="1" applyFont="1" applyFill="1" applyBorder="1" applyProtection="1"/>
    <xf numFmtId="166" fontId="31" fillId="0" borderId="1" xfId="1" applyNumberFormat="1" applyFont="1" applyFill="1" applyBorder="1" applyProtection="1"/>
    <xf numFmtId="166" fontId="28" fillId="0" borderId="1" xfId="1" applyNumberFormat="1" applyFont="1" applyFill="1" applyBorder="1" applyAlignment="1" applyProtection="1">
      <alignment vertical="center"/>
    </xf>
    <xf numFmtId="166" fontId="24" fillId="0" borderId="0" xfId="0" applyNumberFormat="1" applyFont="1" applyFill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26" fillId="0" borderId="1" xfId="0" applyFont="1" applyFill="1" applyBorder="1" applyAlignment="1"/>
    <xf numFmtId="166" fontId="19" fillId="0" borderId="6" xfId="1" applyNumberFormat="1" applyFont="1" applyFill="1" applyBorder="1" applyProtection="1"/>
    <xf numFmtId="166" fontId="19" fillId="0" borderId="1" xfId="0" applyNumberFormat="1" applyFont="1" applyFill="1" applyBorder="1" applyAlignment="1"/>
    <xf numFmtId="166" fontId="7" fillId="0" borderId="0" xfId="0" applyNumberFormat="1" applyFont="1" applyAlignment="1">
      <alignment vertical="center"/>
    </xf>
    <xf numFmtId="166" fontId="8" fillId="0" borderId="6" xfId="1" applyNumberFormat="1" applyFont="1" applyBorder="1" applyProtection="1"/>
    <xf numFmtId="166" fontId="8" fillId="0" borderId="1" xfId="1" applyNumberFormat="1" applyFont="1" applyFill="1" applyBorder="1" applyProtection="1"/>
    <xf numFmtId="166" fontId="32" fillId="0" borderId="0" xfId="0" applyNumberFormat="1" applyFont="1" applyAlignment="1">
      <alignment vertical="center"/>
    </xf>
    <xf numFmtId="166" fontId="5" fillId="0" borderId="3" xfId="1" applyNumberFormat="1" applyFont="1" applyFill="1" applyBorder="1" applyAlignment="1" applyProtection="1">
      <alignment horizontal="center" vertical="center" wrapText="1"/>
    </xf>
    <xf numFmtId="166" fontId="7" fillId="22" borderId="0" xfId="0" applyNumberFormat="1" applyFont="1" applyFill="1" applyAlignment="1">
      <alignment vertical="center"/>
    </xf>
    <xf numFmtId="166" fontId="4" fillId="3" borderId="3" xfId="1" applyNumberFormat="1" applyFont="1" applyFill="1" applyBorder="1" applyProtection="1"/>
    <xf numFmtId="0" fontId="12" fillId="3" borderId="1" xfId="0" applyFont="1" applyFill="1" applyBorder="1" applyAlignment="1"/>
    <xf numFmtId="166" fontId="0" fillId="3" borderId="1" xfId="1" applyNumberFormat="1" applyFont="1" applyFill="1" applyBorder="1" applyProtection="1"/>
    <xf numFmtId="166" fontId="4" fillId="3" borderId="1" xfId="1" applyNumberFormat="1" applyFont="1" applyFill="1" applyBorder="1" applyProtection="1"/>
    <xf numFmtId="166" fontId="4" fillId="3" borderId="6" xfId="1" applyNumberFormat="1" applyFont="1" applyFill="1" applyBorder="1" applyProtection="1"/>
    <xf numFmtId="0" fontId="0" fillId="3" borderId="0" xfId="0" applyFill="1" applyAlignment="1">
      <alignment vertical="center"/>
    </xf>
    <xf numFmtId="166" fontId="1" fillId="3" borderId="1" xfId="1" applyNumberFormat="1" applyFont="1" applyFill="1" applyBorder="1" applyProtection="1"/>
    <xf numFmtId="166" fontId="4" fillId="3" borderId="1" xfId="0" applyNumberFormat="1" applyFont="1" applyFill="1" applyBorder="1" applyAlignment="1"/>
    <xf numFmtId="166" fontId="5" fillId="0" borderId="3" xfId="1" applyNumberFormat="1" applyFont="1" applyFill="1" applyBorder="1" applyAlignment="1" applyProtection="1">
      <alignment horizontal="center" vertical="center" wrapText="1"/>
    </xf>
    <xf numFmtId="0" fontId="6" fillId="21" borderId="1" xfId="0" applyFont="1" applyFill="1" applyBorder="1" applyAlignment="1"/>
    <xf numFmtId="0" fontId="22" fillId="21" borderId="1" xfId="0" applyFont="1" applyFill="1" applyBorder="1" applyAlignment="1">
      <alignment vertical="center"/>
    </xf>
    <xf numFmtId="166" fontId="23" fillId="21" borderId="1" xfId="1" applyNumberFormat="1" applyFont="1" applyFill="1" applyBorder="1" applyProtection="1">
      <protection locked="0"/>
    </xf>
    <xf numFmtId="166" fontId="24" fillId="21" borderId="1" xfId="1" applyNumberFormat="1" applyFont="1" applyFill="1" applyBorder="1" applyProtection="1">
      <protection locked="0"/>
    </xf>
    <xf numFmtId="166" fontId="4" fillId="5" borderId="1" xfId="1" applyNumberFormat="1" applyFont="1" applyFill="1" applyBorder="1" applyProtection="1"/>
    <xf numFmtId="166" fontId="19" fillId="21" borderId="1" xfId="1" applyNumberFormat="1" applyFont="1" applyFill="1" applyBorder="1" applyProtection="1"/>
    <xf numFmtId="166" fontId="4" fillId="21" borderId="1" xfId="0" applyNumberFormat="1" applyFont="1" applyFill="1" applyBorder="1" applyAlignment="1"/>
    <xf numFmtId="166" fontId="4" fillId="0" borderId="1" xfId="1" applyNumberFormat="1" applyFont="1" applyBorder="1" applyProtection="1"/>
    <xf numFmtId="166" fontId="4" fillId="21" borderId="1" xfId="1" applyNumberFormat="1" applyFont="1" applyFill="1" applyBorder="1" applyProtection="1"/>
    <xf numFmtId="166" fontId="19" fillId="5" borderId="1" xfId="0" applyNumberFormat="1" applyFont="1" applyFill="1" applyBorder="1" applyAlignment="1"/>
    <xf numFmtId="166" fontId="19" fillId="0" borderId="1" xfId="1" applyNumberFormat="1" applyFont="1" applyBorder="1" applyProtection="1"/>
    <xf numFmtId="166" fontId="19" fillId="0" borderId="0" xfId="1" applyNumberFormat="1" applyFont="1" applyProtection="1"/>
    <xf numFmtId="0" fontId="5" fillId="0" borderId="1" xfId="0" applyFont="1" applyFill="1" applyBorder="1" applyAlignment="1"/>
    <xf numFmtId="0" fontId="5" fillId="5" borderId="1" xfId="0" applyFont="1" applyFill="1" applyBorder="1" applyAlignment="1"/>
    <xf numFmtId="0" fontId="5" fillId="21" borderId="1" xfId="0" applyFont="1" applyFill="1" applyBorder="1" applyAlignment="1"/>
    <xf numFmtId="0" fontId="19" fillId="5" borderId="1" xfId="0" applyFont="1" applyFill="1" applyBorder="1" applyAlignment="1">
      <alignment vertical="center"/>
    </xf>
    <xf numFmtId="3" fontId="19" fillId="0" borderId="1" xfId="0" applyNumberFormat="1" applyFont="1" applyBorder="1" applyAlignment="1">
      <alignment vertical="center"/>
    </xf>
    <xf numFmtId="166" fontId="19" fillId="0" borderId="3" xfId="1" applyNumberFormat="1" applyFont="1" applyFill="1" applyBorder="1" applyProtection="1"/>
    <xf numFmtId="0" fontId="33" fillId="0" borderId="0" xfId="0" applyFont="1" applyAlignment="1">
      <alignment vertical="center"/>
    </xf>
    <xf numFmtId="166" fontId="5" fillId="0" borderId="3" xfId="1" applyNumberFormat="1" applyFont="1" applyFill="1" applyBorder="1" applyAlignment="1" applyProtection="1">
      <alignment horizontal="center" vertical="center" wrapText="1"/>
    </xf>
    <xf numFmtId="166" fontId="35" fillId="0" borderId="0" xfId="1" applyNumberFormat="1" applyFont="1" applyBorder="1" applyProtection="1">
      <protection locked="0"/>
    </xf>
    <xf numFmtId="166" fontId="8" fillId="0" borderId="1" xfId="1" applyNumberFormat="1" applyFont="1" applyFill="1" applyBorder="1" applyAlignment="1" applyProtection="1">
      <alignment horizontal="center" vertical="center"/>
    </xf>
    <xf numFmtId="166" fontId="8" fillId="5" borderId="1" xfId="1" applyNumberFormat="1" applyFont="1" applyFill="1" applyBorder="1" applyProtection="1"/>
    <xf numFmtId="166" fontId="8" fillId="21" borderId="1" xfId="1" applyNumberFormat="1" applyFont="1" applyFill="1" applyBorder="1" applyProtection="1"/>
    <xf numFmtId="0" fontId="8" fillId="5" borderId="1" xfId="0" applyFont="1" applyFill="1" applyBorder="1" applyAlignment="1">
      <alignment vertical="center"/>
    </xf>
    <xf numFmtId="166" fontId="8" fillId="0" borderId="1" xfId="1" applyNumberFormat="1" applyFont="1" applyBorder="1" applyProtection="1"/>
    <xf numFmtId="166" fontId="34" fillId="0" borderId="0" xfId="0" applyNumberFormat="1" applyFont="1" applyAlignment="1">
      <alignment vertical="center"/>
    </xf>
    <xf numFmtId="166" fontId="5" fillId="0" borderId="3" xfId="1" applyNumberFormat="1" applyFont="1" applyFill="1" applyBorder="1" applyAlignment="1" applyProtection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5" fillId="0" borderId="3" xfId="1" applyNumberFormat="1" applyFont="1" applyFill="1" applyBorder="1" applyAlignment="1" applyProtection="1">
      <alignment horizontal="center" vertical="center" wrapText="1"/>
    </xf>
    <xf numFmtId="0" fontId="37" fillId="0" borderId="0" xfId="0" applyFont="1" applyAlignment="1">
      <alignment vertical="center"/>
    </xf>
    <xf numFmtId="166" fontId="5" fillId="0" borderId="3" xfId="1" applyNumberFormat="1" applyFont="1" applyFill="1" applyBorder="1" applyAlignment="1" applyProtection="1">
      <alignment horizontal="center" vertical="center" wrapText="1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40" fillId="0" borderId="4" xfId="0" applyFont="1" applyFill="1" applyBorder="1" applyAlignment="1"/>
    <xf numFmtId="166" fontId="19" fillId="0" borderId="1" xfId="0" applyNumberFormat="1" applyFont="1" applyBorder="1" applyAlignment="1"/>
    <xf numFmtId="0" fontId="40" fillId="0" borderId="0" xfId="0" applyFont="1" applyFill="1" applyBorder="1" applyAlignment="1"/>
    <xf numFmtId="0" fontId="40" fillId="0" borderId="1" xfId="0" applyFont="1" applyFill="1" applyBorder="1" applyAlignment="1"/>
    <xf numFmtId="166" fontId="19" fillId="0" borderId="3" xfId="1" applyNumberFormat="1" applyFont="1" applyBorder="1" applyProtection="1"/>
    <xf numFmtId="166" fontId="1" fillId="0" borderId="1" xfId="1" applyNumberFormat="1" applyFont="1" applyBorder="1" applyProtection="1"/>
    <xf numFmtId="166" fontId="19" fillId="22" borderId="1" xfId="0" applyNumberFormat="1" applyFont="1" applyFill="1" applyBorder="1" applyAlignment="1"/>
    <xf numFmtId="0" fontId="1" fillId="0" borderId="1" xfId="0" applyFont="1" applyBorder="1" applyAlignment="1">
      <alignment vertical="center"/>
    </xf>
    <xf numFmtId="166" fontId="5" fillId="0" borderId="3" xfId="1" applyNumberFormat="1" applyFont="1" applyFill="1" applyBorder="1" applyAlignment="1" applyProtection="1">
      <alignment horizontal="center" vertical="center" wrapText="1"/>
    </xf>
    <xf numFmtId="166" fontId="5" fillId="0" borderId="3" xfId="1" applyNumberFormat="1" applyFont="1" applyFill="1" applyBorder="1" applyAlignment="1" applyProtection="1">
      <alignment horizontal="center" vertical="center" wrapText="1"/>
    </xf>
    <xf numFmtId="166" fontId="5" fillId="0" borderId="3" xfId="1" applyNumberFormat="1" applyFont="1" applyFill="1" applyBorder="1" applyAlignment="1" applyProtection="1">
      <alignment horizontal="center" vertical="center" wrapText="1"/>
    </xf>
    <xf numFmtId="0" fontId="0" fillId="0" borderId="0" xfId="0" applyNumberFormat="1"/>
    <xf numFmtId="166" fontId="5" fillId="0" borderId="3" xfId="1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66" fontId="15" fillId="0" borderId="0" xfId="1" applyNumberFormat="1" applyFont="1" applyFill="1" applyBorder="1" applyProtection="1">
      <protection locked="0"/>
    </xf>
    <xf numFmtId="166" fontId="14" fillId="0" borderId="0" xfId="1" applyNumberFormat="1" applyFont="1" applyFill="1" applyBorder="1" applyProtection="1">
      <protection locked="0"/>
    </xf>
    <xf numFmtId="166" fontId="13" fillId="0" borderId="0" xfId="0" applyNumberFormat="1" applyFont="1" applyFill="1" applyBorder="1" applyAlignment="1">
      <alignment vertical="center"/>
    </xf>
    <xf numFmtId="166" fontId="5" fillId="0" borderId="3" xfId="1" applyNumberFormat="1" applyFont="1" applyFill="1" applyBorder="1" applyAlignment="1" applyProtection="1">
      <alignment horizontal="center" vertical="center" wrapText="1"/>
    </xf>
    <xf numFmtId="0" fontId="36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vertical="center"/>
    </xf>
    <xf numFmtId="166" fontId="24" fillId="0" borderId="1" xfId="1" applyNumberFormat="1" applyFont="1" applyFill="1" applyBorder="1" applyProtection="1">
      <protection locked="0"/>
    </xf>
    <xf numFmtId="166" fontId="19" fillId="21" borderId="1" xfId="1" applyNumberFormat="1" applyFont="1" applyFill="1" applyBorder="1" applyAlignment="1" applyProtection="1">
      <alignment horizontal="center" vertical="center"/>
    </xf>
    <xf numFmtId="166" fontId="5" fillId="0" borderId="3" xfId="1" applyNumberFormat="1" applyFont="1" applyFill="1" applyBorder="1" applyAlignment="1" applyProtection="1">
      <alignment horizontal="center" vertical="center" wrapText="1"/>
    </xf>
    <xf numFmtId="166" fontId="5" fillId="0" borderId="3" xfId="1" applyNumberFormat="1" applyFont="1" applyFill="1" applyBorder="1" applyAlignment="1" applyProtection="1">
      <alignment horizontal="center" vertical="center" wrapText="1"/>
    </xf>
    <xf numFmtId="0" fontId="36" fillId="0" borderId="1" xfId="0" applyFont="1" applyFill="1" applyBorder="1" applyAlignment="1">
      <alignment horizontal="left" vertical="center"/>
    </xf>
    <xf numFmtId="169" fontId="36" fillId="0" borderId="1" xfId="2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1" xfId="0" applyFont="1" applyFill="1" applyBorder="1" applyAlignment="1">
      <alignment vertical="center"/>
    </xf>
    <xf numFmtId="14" fontId="41" fillId="0" borderId="1" xfId="3" applyNumberFormat="1" applyFont="1" applyFill="1" applyBorder="1"/>
    <xf numFmtId="166" fontId="5" fillId="0" borderId="3" xfId="1" applyNumberFormat="1" applyFont="1" applyFill="1" applyBorder="1" applyAlignment="1" applyProtection="1">
      <alignment horizontal="center" vertical="center" wrapText="1"/>
    </xf>
    <xf numFmtId="14" fontId="36" fillId="0" borderId="1" xfId="0" applyNumberFormat="1" applyFont="1" applyFill="1" applyBorder="1" applyAlignment="1">
      <alignment vertical="center"/>
    </xf>
    <xf numFmtId="3" fontId="36" fillId="0" borderId="1" xfId="1" applyNumberFormat="1" applyFont="1" applyFill="1" applyBorder="1" applyAlignment="1" applyProtection="1">
      <alignment horizontal="right"/>
    </xf>
    <xf numFmtId="0" fontId="36" fillId="5" borderId="1" xfId="0" applyFont="1" applyFill="1" applyBorder="1" applyAlignment="1">
      <alignment vertical="center"/>
    </xf>
    <xf numFmtId="0" fontId="36" fillId="19" borderId="1" xfId="0" applyFont="1" applyFill="1" applyBorder="1" applyAlignment="1">
      <alignment vertical="center"/>
    </xf>
    <xf numFmtId="0" fontId="36" fillId="23" borderId="1" xfId="0" applyFont="1" applyFill="1" applyBorder="1" applyAlignment="1">
      <alignment vertical="center"/>
    </xf>
    <xf numFmtId="164" fontId="36" fillId="23" borderId="1" xfId="4" applyFont="1" applyFill="1" applyBorder="1" applyAlignment="1">
      <alignment vertical="center"/>
    </xf>
    <xf numFmtId="3" fontId="36" fillId="0" borderId="1" xfId="1" applyNumberFormat="1" applyFont="1" applyFill="1" applyBorder="1" applyAlignment="1" applyProtection="1">
      <alignment horizontal="right" vertical="center"/>
    </xf>
    <xf numFmtId="166" fontId="36" fillId="0" borderId="1" xfId="1" applyNumberFormat="1" applyFont="1" applyFill="1" applyBorder="1" applyAlignment="1" applyProtection="1">
      <alignment vertical="center"/>
    </xf>
    <xf numFmtId="0" fontId="42" fillId="21" borderId="1" xfId="0" applyFont="1" applyFill="1" applyBorder="1" applyAlignment="1">
      <alignment vertical="center"/>
    </xf>
    <xf numFmtId="166" fontId="36" fillId="0" borderId="1" xfId="0" applyNumberFormat="1" applyFont="1" applyFill="1" applyBorder="1" applyAlignment="1">
      <alignment vertical="center"/>
    </xf>
    <xf numFmtId="166" fontId="43" fillId="0" borderId="1" xfId="0" applyNumberFormat="1" applyFont="1" applyFill="1" applyBorder="1" applyAlignment="1">
      <alignment vertical="center"/>
    </xf>
    <xf numFmtId="166" fontId="36" fillId="0" borderId="1" xfId="1" applyNumberFormat="1" applyFont="1" applyFill="1" applyBorder="1" applyAlignment="1">
      <alignment vertical="center"/>
    </xf>
    <xf numFmtId="167" fontId="36" fillId="0" borderId="1" xfId="0" applyNumberFormat="1" applyFont="1" applyFill="1" applyBorder="1" applyAlignment="1">
      <alignment vertical="center"/>
    </xf>
    <xf numFmtId="0" fontId="36" fillId="12" borderId="1" xfId="0" applyFont="1" applyFill="1" applyBorder="1" applyAlignment="1">
      <alignment vertical="center"/>
    </xf>
    <xf numFmtId="166" fontId="36" fillId="12" borderId="1" xfId="1" applyNumberFormat="1" applyFont="1" applyFill="1" applyBorder="1" applyAlignment="1" applyProtection="1">
      <alignment vertical="center"/>
    </xf>
    <xf numFmtId="0" fontId="36" fillId="12" borderId="1" xfId="0" applyFont="1" applyFill="1" applyBorder="1" applyAlignment="1">
      <alignment horizontal="left" vertical="center"/>
    </xf>
    <xf numFmtId="0" fontId="36" fillId="0" borderId="1" xfId="2" applyFont="1" applyFill="1" applyBorder="1" applyAlignment="1">
      <alignment vertical="center"/>
    </xf>
    <xf numFmtId="169" fontId="36" fillId="0" borderId="1" xfId="2" applyNumberFormat="1" applyFont="1" applyFill="1" applyBorder="1" applyAlignment="1">
      <alignment vertical="center" wrapText="1"/>
    </xf>
    <xf numFmtId="0" fontId="36" fillId="0" borderId="1" xfId="2" applyFont="1" applyFill="1" applyBorder="1" applyAlignment="1" applyProtection="1">
      <alignment vertical="center"/>
    </xf>
    <xf numFmtId="169" fontId="36" fillId="0" borderId="1" xfId="2" applyNumberFormat="1" applyFont="1" applyFill="1" applyBorder="1" applyAlignment="1" applyProtection="1">
      <alignment vertical="center"/>
    </xf>
    <xf numFmtId="169" fontId="36" fillId="0" borderId="1" xfId="2" applyNumberFormat="1" applyFont="1" applyFill="1" applyBorder="1" applyAlignment="1" applyProtection="1">
      <alignment vertical="center" wrapText="1"/>
    </xf>
    <xf numFmtId="166" fontId="36" fillId="0" borderId="1" xfId="1" applyNumberFormat="1" applyFont="1" applyFill="1" applyBorder="1" applyAlignment="1">
      <alignment horizontal="left" vertical="center" wrapText="1"/>
    </xf>
    <xf numFmtId="166" fontId="36" fillId="0" borderId="1" xfId="1" applyNumberFormat="1" applyFont="1" applyFill="1" applyBorder="1" applyAlignment="1">
      <alignment horizontal="right"/>
    </xf>
    <xf numFmtId="170" fontId="36" fillId="0" borderId="1" xfId="6" applyNumberFormat="1" applyFont="1" applyFill="1" applyBorder="1" applyAlignment="1">
      <alignment horizontal="right" wrapText="1"/>
    </xf>
    <xf numFmtId="0" fontId="36" fillId="0" borderId="1" xfId="0" applyFont="1" applyFill="1" applyBorder="1" applyAlignment="1">
      <alignment horizontal="right"/>
    </xf>
    <xf numFmtId="170" fontId="36" fillId="0" borderId="1" xfId="6" applyNumberFormat="1" applyFont="1" applyFill="1" applyBorder="1" applyAlignment="1" applyProtection="1">
      <alignment horizontal="right" wrapText="1"/>
    </xf>
    <xf numFmtId="166" fontId="36" fillId="0" borderId="1" xfId="0" applyNumberFormat="1" applyFont="1" applyFill="1" applyBorder="1" applyAlignment="1">
      <alignment horizontal="left" vertical="center"/>
    </xf>
    <xf numFmtId="166" fontId="5" fillId="0" borderId="3" xfId="1" applyNumberFormat="1" applyFont="1" applyFill="1" applyBorder="1" applyAlignment="1" applyProtection="1">
      <alignment horizontal="center" vertical="center" wrapText="1"/>
    </xf>
    <xf numFmtId="0" fontId="36" fillId="0" borderId="1" xfId="0" applyFont="1" applyFill="1" applyBorder="1"/>
    <xf numFmtId="166" fontId="36" fillId="0" borderId="1" xfId="1" applyNumberFormat="1" applyFont="1" applyFill="1" applyBorder="1" applyAlignment="1">
      <alignment horizontal="right" vertical="center"/>
    </xf>
    <xf numFmtId="166" fontId="36" fillId="0" borderId="1" xfId="0" applyNumberFormat="1" applyFont="1" applyFill="1" applyBorder="1" applyAlignment="1">
      <alignment horizontal="right" vertical="center"/>
    </xf>
    <xf numFmtId="0" fontId="36" fillId="0" borderId="1" xfId="0" applyFont="1" applyFill="1" applyBorder="1" applyAlignment="1">
      <alignment horizontal="right" vertical="center"/>
    </xf>
    <xf numFmtId="170" fontId="36" fillId="0" borderId="1" xfId="6" applyNumberFormat="1" applyFont="1" applyFill="1" applyBorder="1" applyAlignment="1">
      <alignment horizontal="right" vertical="center" wrapText="1"/>
    </xf>
    <xf numFmtId="170" fontId="36" fillId="0" borderId="1" xfId="6" applyNumberFormat="1" applyFont="1" applyFill="1" applyBorder="1" applyAlignment="1" applyProtection="1">
      <alignment horizontal="right" vertical="center" wrapText="1"/>
    </xf>
    <xf numFmtId="170" fontId="36" fillId="0" borderId="1" xfId="6" applyNumberFormat="1" applyFont="1" applyFill="1" applyBorder="1" applyAlignment="1">
      <alignment horizontal="right" vertical="center"/>
    </xf>
    <xf numFmtId="0" fontId="36" fillId="0" borderId="1" xfId="2" applyFont="1" applyFill="1" applyBorder="1" applyAlignment="1" applyProtection="1"/>
    <xf numFmtId="0" fontId="36" fillId="0" borderId="1" xfId="0" applyFont="1" applyFill="1" applyBorder="1" applyAlignment="1"/>
    <xf numFmtId="0" fontId="36" fillId="0" borderId="1" xfId="0" applyFont="1" applyBorder="1" applyAlignment="1">
      <alignment vertical="center"/>
    </xf>
    <xf numFmtId="0" fontId="36" fillId="0" borderId="1" xfId="0" applyFont="1" applyBorder="1"/>
    <xf numFmtId="166" fontId="36" fillId="0" borderId="1" xfId="1" applyNumberFormat="1" applyFont="1" applyBorder="1"/>
    <xf numFmtId="0" fontId="36" fillId="0" borderId="1" xfId="0" applyFont="1" applyBorder="1" applyAlignment="1"/>
    <xf numFmtId="169" fontId="36" fillId="0" borderId="1" xfId="2" applyNumberFormat="1" applyFont="1" applyFill="1" applyBorder="1" applyAlignment="1">
      <alignment vertical="top"/>
    </xf>
    <xf numFmtId="170" fontId="36" fillId="0" borderId="1" xfId="6" applyNumberFormat="1" applyFont="1" applyFill="1" applyBorder="1" applyAlignment="1">
      <alignment horizontal="right" vertical="top" wrapText="1"/>
    </xf>
    <xf numFmtId="171" fontId="36" fillId="0" borderId="1" xfId="2" applyNumberFormat="1" applyFont="1" applyFill="1" applyBorder="1" applyAlignment="1"/>
    <xf numFmtId="166" fontId="36" fillId="0" borderId="1" xfId="1" applyNumberFormat="1" applyFont="1" applyFill="1" applyBorder="1" applyAlignment="1"/>
    <xf numFmtId="166" fontId="36" fillId="0" borderId="1" xfId="0" applyNumberFormat="1" applyFont="1" applyFill="1" applyBorder="1" applyAlignment="1"/>
    <xf numFmtId="170" fontId="36" fillId="0" borderId="1" xfId="6" applyNumberFormat="1" applyFont="1" applyFill="1" applyBorder="1" applyAlignment="1" applyProtection="1">
      <alignment wrapText="1"/>
    </xf>
    <xf numFmtId="170" fontId="36" fillId="0" borderId="1" xfId="6" applyNumberFormat="1" applyFont="1" applyFill="1" applyBorder="1" applyAlignment="1">
      <alignment wrapText="1"/>
    </xf>
    <xf numFmtId="169" fontId="36" fillId="0" borderId="1" xfId="2" applyNumberFormat="1" applyFont="1" applyFill="1" applyBorder="1" applyAlignment="1">
      <alignment wrapText="1"/>
    </xf>
    <xf numFmtId="0" fontId="36" fillId="0" borderId="1" xfId="0" applyFont="1" applyBorder="1" applyAlignment="1">
      <alignment horizontal="center" vertical="center"/>
    </xf>
    <xf numFmtId="0" fontId="36" fillId="12" borderId="1" xfId="0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/>
    </xf>
    <xf numFmtId="3" fontId="34" fillId="0" borderId="0" xfId="0" applyNumberFormat="1" applyFont="1"/>
    <xf numFmtId="3" fontId="44" fillId="24" borderId="1" xfId="1" applyNumberFormat="1" applyFont="1" applyFill="1" applyBorder="1" applyAlignment="1" applyProtection="1">
      <alignment horizontal="right" vertical="center"/>
    </xf>
    <xf numFmtId="0" fontId="45" fillId="0" borderId="0" xfId="0" applyFont="1"/>
    <xf numFmtId="0" fontId="43" fillId="0" borderId="1" xfId="0" applyFont="1" applyFill="1" applyBorder="1" applyAlignment="1">
      <alignment vertical="center"/>
    </xf>
    <xf numFmtId="166" fontId="5" fillId="0" borderId="3" xfId="1" applyNumberFormat="1" applyFont="1" applyFill="1" applyBorder="1" applyAlignment="1" applyProtection="1">
      <alignment horizontal="center" vertical="center" wrapText="1"/>
    </xf>
    <xf numFmtId="169" fontId="43" fillId="0" borderId="1" xfId="2" applyNumberFormat="1" applyFont="1" applyFill="1" applyBorder="1" applyAlignment="1">
      <alignment vertical="center"/>
    </xf>
    <xf numFmtId="170" fontId="43" fillId="0" borderId="1" xfId="6" applyNumberFormat="1" applyFont="1" applyFill="1" applyBorder="1" applyAlignment="1">
      <alignment horizontal="right" vertical="center" wrapText="1"/>
    </xf>
    <xf numFmtId="170" fontId="43" fillId="0" borderId="1" xfId="6" applyNumberFormat="1" applyFont="1" applyFill="1" applyBorder="1" applyAlignment="1">
      <alignment horizontal="right" wrapText="1"/>
    </xf>
    <xf numFmtId="166" fontId="43" fillId="0" borderId="1" xfId="1" applyNumberFormat="1" applyFont="1" applyFill="1" applyBorder="1" applyAlignment="1">
      <alignment vertical="center"/>
    </xf>
    <xf numFmtId="169" fontId="43" fillId="0" borderId="1" xfId="2" applyNumberFormat="1" applyFont="1" applyFill="1" applyBorder="1" applyAlignment="1">
      <alignment vertical="center" wrapText="1"/>
    </xf>
    <xf numFmtId="0" fontId="43" fillId="0" borderId="1" xfId="0" applyFont="1" applyFill="1" applyBorder="1" applyAlignment="1">
      <alignment horizontal="left" vertical="center"/>
    </xf>
    <xf numFmtId="0" fontId="43" fillId="0" borderId="1" xfId="0" applyFont="1" applyFill="1" applyBorder="1" applyAlignment="1">
      <alignment horizontal="center" vertical="center"/>
    </xf>
    <xf numFmtId="166" fontId="43" fillId="0" borderId="1" xfId="1" applyNumberFormat="1" applyFont="1" applyFill="1" applyBorder="1" applyAlignment="1">
      <alignment horizontal="right" vertical="center"/>
    </xf>
    <xf numFmtId="0" fontId="43" fillId="0" borderId="1" xfId="0" applyFont="1" applyFill="1" applyBorder="1" applyAlignment="1">
      <alignment horizontal="right"/>
    </xf>
    <xf numFmtId="0" fontId="43" fillId="0" borderId="1" xfId="0" applyFont="1" applyBorder="1" applyAlignment="1">
      <alignment vertical="center"/>
    </xf>
    <xf numFmtId="0" fontId="43" fillId="0" borderId="1" xfId="0" applyFont="1" applyBorder="1"/>
    <xf numFmtId="0" fontId="43" fillId="0" borderId="1" xfId="2" applyFont="1" applyFill="1" applyBorder="1" applyAlignment="1" applyProtection="1"/>
    <xf numFmtId="0" fontId="43" fillId="0" borderId="1" xfId="0" applyFont="1" applyFill="1" applyBorder="1" applyAlignment="1">
      <alignment horizontal="right" vertical="center"/>
    </xf>
    <xf numFmtId="166" fontId="43" fillId="0" borderId="1" xfId="1" applyNumberFormat="1" applyFont="1" applyFill="1" applyBorder="1" applyAlignment="1">
      <alignment horizontal="right"/>
    </xf>
    <xf numFmtId="166" fontId="43" fillId="0" borderId="1" xfId="0" applyNumberFormat="1" applyFont="1" applyFill="1" applyBorder="1" applyAlignment="1">
      <alignment horizontal="right"/>
    </xf>
    <xf numFmtId="0" fontId="43" fillId="0" borderId="1" xfId="2" applyFont="1" applyFill="1" applyBorder="1" applyAlignment="1">
      <alignment horizontal="left" vertical="center"/>
    </xf>
    <xf numFmtId="3" fontId="43" fillId="0" borderId="1" xfId="1" applyNumberFormat="1" applyFont="1" applyFill="1" applyBorder="1" applyAlignment="1" applyProtection="1">
      <alignment horizontal="right" vertical="center"/>
    </xf>
    <xf numFmtId="3" fontId="43" fillId="0" borderId="1" xfId="1" applyNumberFormat="1" applyFont="1" applyFill="1" applyBorder="1" applyAlignment="1" applyProtection="1">
      <alignment horizontal="right"/>
    </xf>
    <xf numFmtId="0" fontId="43" fillId="0" borderId="1" xfId="0" applyFont="1" applyBorder="1" applyAlignment="1">
      <alignment horizontal="center" vertical="center"/>
    </xf>
    <xf numFmtId="0" fontId="43" fillId="0" borderId="1" xfId="0" applyFont="1" applyFill="1" applyBorder="1" applyAlignment="1"/>
    <xf numFmtId="170" fontId="43" fillId="0" borderId="1" xfId="6" applyNumberFormat="1" applyFont="1" applyFill="1" applyBorder="1" applyAlignment="1">
      <alignment horizontal="right" vertical="center"/>
    </xf>
    <xf numFmtId="0" fontId="0" fillId="25" borderId="0" xfId="0" applyFill="1" applyAlignment="1">
      <alignment vertical="center"/>
    </xf>
    <xf numFmtId="166" fontId="2" fillId="25" borderId="0" xfId="0" applyNumberFormat="1" applyFont="1" applyFill="1" applyAlignment="1">
      <alignment vertical="center"/>
    </xf>
    <xf numFmtId="166" fontId="34" fillId="25" borderId="0" xfId="0" applyNumberFormat="1" applyFont="1" applyFill="1" applyAlignment="1">
      <alignment vertical="center"/>
    </xf>
    <xf numFmtId="166" fontId="32" fillId="25" borderId="0" xfId="0" applyNumberFormat="1" applyFont="1" applyFill="1" applyAlignment="1">
      <alignment vertical="center"/>
    </xf>
    <xf numFmtId="3" fontId="0" fillId="25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46" fillId="0" borderId="1" xfId="0" applyFont="1" applyFill="1" applyBorder="1" applyAlignment="1">
      <alignment vertical="center"/>
    </xf>
    <xf numFmtId="0" fontId="36" fillId="0" borderId="1" xfId="0" applyFont="1" applyFill="1" applyBorder="1" applyAlignment="1">
      <alignment horizontal="left"/>
    </xf>
    <xf numFmtId="166" fontId="36" fillId="0" borderId="1" xfId="1" applyNumberFormat="1" applyFont="1" applyFill="1" applyBorder="1" applyAlignment="1" applyProtection="1"/>
    <xf numFmtId="171" fontId="36" fillId="0" borderId="1" xfId="2" applyNumberFormat="1" applyFont="1" applyFill="1" applyBorder="1" applyAlignment="1">
      <alignment horizontal="left"/>
    </xf>
    <xf numFmtId="172" fontId="36" fillId="0" borderId="1" xfId="0" applyNumberFormat="1" applyFont="1" applyFill="1" applyBorder="1" applyAlignment="1"/>
    <xf numFmtId="172" fontId="36" fillId="0" borderId="1" xfId="0" applyNumberFormat="1" applyFont="1" applyBorder="1" applyAlignment="1"/>
    <xf numFmtId="172" fontId="36" fillId="0" borderId="1" xfId="2" applyNumberFormat="1" applyFont="1" applyFill="1" applyBorder="1" applyAlignment="1"/>
    <xf numFmtId="172" fontId="36" fillId="0" borderId="1" xfId="2" applyNumberFormat="1" applyFont="1" applyFill="1" applyBorder="1" applyAlignment="1">
      <alignment wrapText="1"/>
    </xf>
    <xf numFmtId="169" fontId="36" fillId="0" borderId="1" xfId="2" applyNumberFormat="1" applyFont="1" applyFill="1" applyBorder="1" applyAlignment="1"/>
    <xf numFmtId="0" fontId="36" fillId="0" borderId="1" xfId="2" applyFont="1" applyFill="1" applyBorder="1" applyAlignment="1"/>
    <xf numFmtId="169" fontId="36" fillId="0" borderId="1" xfId="2" applyNumberFormat="1" applyFont="1" applyFill="1" applyBorder="1" applyAlignment="1">
      <alignment horizontal="left"/>
    </xf>
    <xf numFmtId="172" fontId="36" fillId="0" borderId="1" xfId="2" applyNumberFormat="1" applyFont="1" applyFill="1" applyBorder="1" applyAlignment="1" applyProtection="1">
      <alignment wrapText="1"/>
    </xf>
    <xf numFmtId="169" fontId="36" fillId="0" borderId="1" xfId="2" applyNumberFormat="1" applyFont="1" applyFill="1" applyBorder="1" applyAlignment="1" applyProtection="1"/>
    <xf numFmtId="169" fontId="36" fillId="0" borderId="1" xfId="2" applyNumberFormat="1" applyFont="1" applyFill="1" applyBorder="1" applyAlignment="1" applyProtection="1">
      <alignment wrapText="1"/>
    </xf>
    <xf numFmtId="166" fontId="46" fillId="0" borderId="1" xfId="0" applyNumberFormat="1" applyFont="1" applyFill="1" applyBorder="1" applyAlignment="1">
      <alignment vertical="center"/>
    </xf>
    <xf numFmtId="172" fontId="36" fillId="5" borderId="1" xfId="2" applyNumberFormat="1" applyFont="1" applyFill="1" applyBorder="1" applyAlignment="1">
      <alignment wrapText="1"/>
    </xf>
    <xf numFmtId="0" fontId="36" fillId="5" borderId="1" xfId="0" applyFont="1" applyFill="1" applyBorder="1" applyAlignment="1"/>
    <xf numFmtId="169" fontId="36" fillId="5" borderId="1" xfId="2" applyNumberFormat="1" applyFont="1" applyFill="1" applyBorder="1" applyAlignment="1">
      <alignment wrapText="1"/>
    </xf>
    <xf numFmtId="164" fontId="36" fillId="0" borderId="1" xfId="4" applyFont="1" applyFill="1" applyBorder="1" applyAlignment="1"/>
    <xf numFmtId="166" fontId="36" fillId="0" borderId="1" xfId="0" applyNumberFormat="1" applyFont="1" applyFill="1" applyBorder="1" applyAlignment="1">
      <alignment horizontal="right"/>
    </xf>
    <xf numFmtId="169" fontId="36" fillId="0" borderId="1" xfId="0" applyNumberFormat="1" applyFont="1" applyFill="1" applyBorder="1" applyAlignment="1">
      <alignment vertical="center"/>
    </xf>
    <xf numFmtId="166" fontId="36" fillId="0" borderId="1" xfId="1" applyNumberFormat="1" applyFont="1" applyFill="1" applyBorder="1" applyAlignment="1">
      <alignment horizontal="left"/>
    </xf>
    <xf numFmtId="171" fontId="36" fillId="0" borderId="1" xfId="2" applyNumberFormat="1" applyFont="1" applyFill="1" applyBorder="1" applyAlignment="1">
      <alignment horizontal="center"/>
    </xf>
    <xf numFmtId="172" fontId="36" fillId="12" borderId="1" xfId="0" applyNumberFormat="1" applyFont="1" applyFill="1" applyBorder="1" applyAlignment="1"/>
    <xf numFmtId="172" fontId="43" fillId="0" borderId="1" xfId="0" applyNumberFormat="1" applyFont="1" applyFill="1" applyBorder="1" applyAlignment="1"/>
    <xf numFmtId="172" fontId="43" fillId="0" borderId="1" xfId="2" applyNumberFormat="1" applyFont="1" applyFill="1" applyBorder="1" applyAlignment="1"/>
    <xf numFmtId="172" fontId="43" fillId="0" borderId="1" xfId="2" applyNumberFormat="1" applyFont="1" applyFill="1" applyBorder="1" applyAlignment="1">
      <alignment wrapText="1"/>
    </xf>
    <xf numFmtId="0" fontId="36" fillId="0" borderId="1" xfId="2" applyFont="1" applyFill="1" applyBorder="1" applyAlignment="1">
      <alignment horizontal="right"/>
    </xf>
    <xf numFmtId="170" fontId="36" fillId="0" borderId="1" xfId="6" applyNumberFormat="1" applyFont="1" applyFill="1" applyBorder="1" applyAlignment="1">
      <alignment horizontal="right" vertical="top"/>
    </xf>
    <xf numFmtId="166" fontId="36" fillId="0" borderId="1" xfId="1" applyNumberFormat="1" applyFont="1" applyBorder="1" applyAlignment="1">
      <alignment horizontal="right"/>
    </xf>
    <xf numFmtId="170" fontId="36" fillId="5" borderId="1" xfId="6" applyNumberFormat="1" applyFont="1" applyFill="1" applyBorder="1" applyAlignment="1">
      <alignment horizontal="right" wrapText="1"/>
    </xf>
    <xf numFmtId="169" fontId="36" fillId="0" borderId="1" xfId="2" applyNumberFormat="1" applyFont="1" applyFill="1" applyBorder="1" applyAlignment="1">
      <alignment horizontal="right" wrapText="1"/>
    </xf>
    <xf numFmtId="169" fontId="36" fillId="0" borderId="1" xfId="2" applyNumberFormat="1" applyFont="1" applyFill="1" applyBorder="1" applyAlignment="1">
      <alignment horizontal="right"/>
    </xf>
    <xf numFmtId="170" fontId="36" fillId="0" borderId="1" xfId="6" applyNumberFormat="1" applyFont="1" applyFill="1" applyBorder="1" applyAlignment="1">
      <alignment horizontal="right"/>
    </xf>
    <xf numFmtId="164" fontId="36" fillId="0" borderId="1" xfId="4" applyFont="1" applyFill="1" applyBorder="1" applyAlignment="1">
      <alignment horizontal="right" vertical="center"/>
    </xf>
    <xf numFmtId="0" fontId="36" fillId="0" borderId="1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8" fontId="5" fillId="0" borderId="11" xfId="0" applyNumberFormat="1" applyFont="1" applyFill="1" applyBorder="1" applyAlignment="1">
      <alignment horizontal="center" vertical="center"/>
    </xf>
    <xf numFmtId="168" fontId="5" fillId="0" borderId="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6" fontId="5" fillId="0" borderId="11" xfId="1" applyNumberFormat="1" applyFont="1" applyFill="1" applyBorder="1" applyAlignment="1" applyProtection="1">
      <alignment horizontal="center" vertical="center" wrapText="1"/>
    </xf>
    <xf numFmtId="166" fontId="5" fillId="0" borderId="3" xfId="1" applyNumberFormat="1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170" fontId="36" fillId="0" borderId="1" xfId="6" applyNumberFormat="1" applyFont="1" applyFill="1" applyBorder="1" applyAlignment="1">
      <alignment horizontal="left" vertical="center" wrapText="1"/>
    </xf>
    <xf numFmtId="166" fontId="36" fillId="0" borderId="1" xfId="1" applyNumberFormat="1" applyFont="1" applyFill="1" applyBorder="1" applyAlignment="1">
      <alignment horizontal="left" vertical="center"/>
    </xf>
    <xf numFmtId="0" fontId="36" fillId="0" borderId="1" xfId="0" applyFont="1" applyBorder="1" applyAlignment="1">
      <alignment horizontal="left"/>
    </xf>
    <xf numFmtId="171" fontId="36" fillId="0" borderId="1" xfId="2" applyNumberFormat="1" applyFont="1" applyFill="1" applyBorder="1" applyAlignment="1">
      <alignment horizontal="center" vertical="center"/>
    </xf>
    <xf numFmtId="164" fontId="36" fillId="0" borderId="1" xfId="4" applyFont="1" applyFill="1" applyBorder="1" applyAlignment="1">
      <alignment horizontal="left" vertical="center"/>
    </xf>
    <xf numFmtId="170" fontId="36" fillId="0" borderId="1" xfId="6" applyNumberFormat="1" applyFont="1" applyFill="1" applyBorder="1" applyAlignment="1" applyProtection="1">
      <alignment horizontal="left" vertical="center" wrapText="1"/>
    </xf>
    <xf numFmtId="3" fontId="36" fillId="0" borderId="1" xfId="1" applyNumberFormat="1" applyFont="1" applyFill="1" applyBorder="1" applyAlignment="1" applyProtection="1">
      <alignment horizontal="left" vertical="center"/>
    </xf>
    <xf numFmtId="166" fontId="36" fillId="0" borderId="1" xfId="0" applyNumberFormat="1" applyFont="1" applyFill="1" applyBorder="1" applyAlignment="1">
      <alignment horizontal="left"/>
    </xf>
    <xf numFmtId="171" fontId="36" fillId="0" borderId="1" xfId="2" applyNumberFormat="1" applyFont="1" applyFill="1" applyBorder="1" applyAlignment="1">
      <alignment horizontal="left" vertical="top"/>
    </xf>
    <xf numFmtId="0" fontId="36" fillId="0" borderId="1" xfId="2" applyFont="1" applyFill="1" applyBorder="1" applyAlignment="1" applyProtection="1">
      <alignment horizontal="left"/>
    </xf>
    <xf numFmtId="164" fontId="36" fillId="0" borderId="1" xfId="4" applyFont="1" applyFill="1" applyBorder="1" applyAlignment="1">
      <alignment horizontal="left" vertical="center" wrapText="1"/>
    </xf>
    <xf numFmtId="169" fontId="36" fillId="0" borderId="1" xfId="2" applyNumberFormat="1" applyFont="1" applyFill="1" applyBorder="1" applyAlignment="1">
      <alignment horizontal="left" vertical="center"/>
    </xf>
    <xf numFmtId="164" fontId="36" fillId="0" borderId="1" xfId="4" applyFont="1" applyFill="1" applyBorder="1" applyAlignment="1">
      <alignment horizontal="left"/>
    </xf>
    <xf numFmtId="169" fontId="36" fillId="0" borderId="1" xfId="2" applyNumberFormat="1" applyFont="1" applyFill="1" applyBorder="1" applyAlignment="1" applyProtection="1">
      <alignment horizontal="left"/>
    </xf>
    <xf numFmtId="169" fontId="36" fillId="0" borderId="1" xfId="2" applyNumberFormat="1" applyFont="1" applyFill="1" applyBorder="1" applyAlignment="1" applyProtection="1">
      <alignment horizontal="left" vertical="center"/>
    </xf>
    <xf numFmtId="3" fontId="36" fillId="12" borderId="1" xfId="1" applyNumberFormat="1" applyFont="1" applyFill="1" applyBorder="1" applyAlignment="1" applyProtection="1">
      <alignment horizontal="center" vertical="center"/>
    </xf>
    <xf numFmtId="10" fontId="34" fillId="0" borderId="0" xfId="7" applyNumberFormat="1" applyFont="1"/>
    <xf numFmtId="0" fontId="2" fillId="0" borderId="0" xfId="0" applyFont="1"/>
    <xf numFmtId="168" fontId="5" fillId="0" borderId="11" xfId="0" applyNumberFormat="1" applyFont="1" applyFill="1" applyBorder="1" applyAlignment="1">
      <alignment horizontal="center" vertical="center"/>
    </xf>
    <xf numFmtId="168" fontId="5" fillId="0" borderId="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6" fontId="5" fillId="0" borderId="11" xfId="1" applyNumberFormat="1" applyFont="1" applyFill="1" applyBorder="1" applyAlignment="1" applyProtection="1">
      <alignment horizontal="center" vertical="center" wrapText="1"/>
    </xf>
    <xf numFmtId="166" fontId="5" fillId="0" borderId="3" xfId="1" applyNumberFormat="1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2" fontId="36" fillId="0" borderId="1" xfId="0" applyNumberFormat="1" applyFont="1" applyFill="1" applyBorder="1" applyAlignment="1">
      <alignment vertical="center"/>
    </xf>
    <xf numFmtId="164" fontId="36" fillId="0" borderId="1" xfId="4" applyFont="1" applyFill="1" applyBorder="1" applyAlignment="1" applyProtection="1">
      <alignment horizontal="right"/>
    </xf>
    <xf numFmtId="164" fontId="36" fillId="12" borderId="1" xfId="4" applyFont="1" applyFill="1" applyBorder="1" applyAlignment="1" applyProtection="1">
      <alignment horizontal="right"/>
    </xf>
    <xf numFmtId="164" fontId="36" fillId="0" borderId="1" xfId="4" applyFont="1" applyFill="1" applyBorder="1" applyAlignment="1">
      <alignment horizontal="right"/>
    </xf>
    <xf numFmtId="164" fontId="36" fillId="0" borderId="1" xfId="4" applyFont="1" applyBorder="1" applyAlignment="1">
      <alignment horizontal="right"/>
    </xf>
    <xf numFmtId="0" fontId="36" fillId="0" borderId="1" xfId="0" applyFont="1" applyBorder="1" applyAlignment="1">
      <alignment horizontal="right"/>
    </xf>
    <xf numFmtId="164" fontId="36" fillId="5" borderId="1" xfId="4" applyFont="1" applyFill="1" applyBorder="1" applyAlignment="1">
      <alignment horizontal="right" wrapText="1"/>
    </xf>
    <xf numFmtId="164" fontId="36" fillId="5" borderId="1" xfId="4" applyFont="1" applyFill="1" applyBorder="1" applyAlignment="1">
      <alignment horizontal="right"/>
    </xf>
    <xf numFmtId="164" fontId="36" fillId="0" borderId="1" xfId="4" applyFont="1" applyFill="1" applyBorder="1" applyAlignment="1">
      <alignment horizontal="right" wrapText="1"/>
    </xf>
    <xf numFmtId="164" fontId="36" fillId="0" borderId="1" xfId="4" applyFont="1" applyFill="1" applyBorder="1" applyAlignment="1" applyProtection="1">
      <alignment horizontal="right" wrapText="1"/>
    </xf>
    <xf numFmtId="169" fontId="36" fillId="5" borderId="1" xfId="2" applyNumberFormat="1" applyFont="1" applyFill="1" applyBorder="1" applyAlignment="1">
      <alignment horizontal="left" vertical="center"/>
    </xf>
    <xf numFmtId="170" fontId="36" fillId="0" borderId="1" xfId="6" applyNumberFormat="1" applyFont="1" applyFill="1" applyBorder="1" applyAlignment="1" applyProtection="1">
      <alignment horizontal="left" wrapText="1"/>
    </xf>
    <xf numFmtId="164" fontId="36" fillId="0" borderId="1" xfId="4" applyFont="1" applyFill="1" applyBorder="1" applyAlignment="1">
      <alignment horizontal="left" wrapText="1"/>
    </xf>
    <xf numFmtId="164" fontId="0" fillId="0" borderId="0" xfId="0" applyNumberFormat="1"/>
    <xf numFmtId="0" fontId="22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0" fontId="5" fillId="9" borderId="11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8" fontId="5" fillId="0" borderId="11" xfId="0" applyNumberFormat="1" applyFont="1" applyFill="1" applyBorder="1" applyAlignment="1">
      <alignment horizontal="center" vertical="center"/>
    </xf>
    <xf numFmtId="168" fontId="5" fillId="0" borderId="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6" fontId="5" fillId="0" borderId="11" xfId="1" applyNumberFormat="1" applyFont="1" applyFill="1" applyBorder="1" applyAlignment="1" applyProtection="1">
      <alignment horizontal="center" vertical="center" wrapText="1"/>
    </xf>
    <xf numFmtId="166" fontId="5" fillId="0" borderId="3" xfId="1" applyNumberFormat="1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" fillId="14" borderId="2" xfId="0" applyFont="1" applyFill="1" applyBorder="1" applyAlignment="1">
      <alignment horizontal="center" vertical="center"/>
    </xf>
    <xf numFmtId="0" fontId="5" fillId="14" borderId="7" xfId="0" applyFont="1" applyFill="1" applyBorder="1" applyAlignment="1">
      <alignment horizontal="center" vertical="center"/>
    </xf>
    <xf numFmtId="0" fontId="5" fillId="14" borderId="8" xfId="0" applyFont="1" applyFill="1" applyBorder="1" applyAlignment="1">
      <alignment horizontal="center" vertical="center"/>
    </xf>
    <xf numFmtId="0" fontId="5" fillId="15" borderId="11" xfId="0" applyFont="1" applyFill="1" applyBorder="1" applyAlignment="1">
      <alignment horizontal="center" vertical="center"/>
    </xf>
    <xf numFmtId="0" fontId="5" fillId="15" borderId="3" xfId="0" applyFont="1" applyFill="1" applyBorder="1" applyAlignment="1">
      <alignment horizontal="center" vertical="center"/>
    </xf>
    <xf numFmtId="0" fontId="5" fillId="16" borderId="11" xfId="0" applyFont="1" applyFill="1" applyBorder="1" applyAlignment="1">
      <alignment horizontal="center" vertical="center"/>
    </xf>
    <xf numFmtId="0" fontId="5" fillId="16" borderId="3" xfId="0" applyFont="1" applyFill="1" applyBorder="1" applyAlignment="1">
      <alignment horizontal="center" vertical="center"/>
    </xf>
    <xf numFmtId="0" fontId="36" fillId="20" borderId="1" xfId="0" applyFont="1" applyFill="1" applyBorder="1" applyAlignment="1">
      <alignment horizontal="center" vertical="center"/>
    </xf>
    <xf numFmtId="164" fontId="36" fillId="20" borderId="1" xfId="4" applyFont="1" applyFill="1" applyBorder="1" applyAlignment="1">
      <alignment vertical="center"/>
    </xf>
    <xf numFmtId="0" fontId="36" fillId="20" borderId="1" xfId="0" applyFont="1" applyFill="1" applyBorder="1" applyAlignment="1">
      <alignment horizontal="left" vertical="center"/>
    </xf>
    <xf numFmtId="0" fontId="43" fillId="20" borderId="1" xfId="0" applyFont="1" applyFill="1" applyBorder="1" applyAlignment="1">
      <alignment horizontal="center" vertical="center"/>
    </xf>
  </cellXfs>
  <cellStyles count="8">
    <cellStyle name="Excel Built-in Comma" xfId="6" xr:uid="{00000000-0005-0000-0000-000000000000}"/>
    <cellStyle name="Excel Built-in Normal" xfId="2" xr:uid="{00000000-0005-0000-0000-000001000000}"/>
    <cellStyle name="Milliers" xfId="1" builtinId="3"/>
    <cellStyle name="Milliers [0]" xfId="4" builtinId="6"/>
    <cellStyle name="Milliers 3" xfId="5" xr:uid="{00000000-0005-0000-0000-000004000000}"/>
    <cellStyle name="Normal" xfId="0" builtinId="0"/>
    <cellStyle name="Normal_Total expenses by date" xfId="3" xr:uid="{00000000-0005-0000-0000-000006000000}"/>
    <cellStyle name="Pourcentage" xfId="7" builtinId="5"/>
  </cellStyles>
  <dxfs count="2">
    <dxf>
      <numFmt numFmtId="164" formatCode="_-* #,##0\ _F_C_F_A_-;\-* #,##0\ _F_C_F_A_-;_-* &quot;-&quot;\ _F_C_F_A_-;_-@_-"/>
    </dxf>
    <dxf>
      <numFmt numFmtId="164" formatCode="_-* #,##0\ _F_C_F_A_-;\-* #,##0\ _F_C_F_A_-;_-* &quot;-&quot;\ _F_C_F_A_-;_-@_-"/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COMPTA_CREPIN%20du%2031-08-20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Fichier%20comptable-ted%20(1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ralff\AppData\Local\Microsoft\Windows\INetCache\Content.Outlook\BTO9MOI8\RAPPORT%20FINANCIER%20JUILLET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Fichier_comptable_Dalia_au_21_Aout_2020%20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Comptabilit&#233;%20Evariste%20du%2021%20ao&#251;t%202020%20vf%20OK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Compta_21_08_20_%20Herick%20_Harmonis&#233;e(3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Comptabilit&#233;%20i23c%20au%2019%20Ao&#251;t%202020%20corrig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COMPTA%20PALF%20JB%20actualis&#233;e%20ce%2021.08.20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Fichier_%20comptable_%20Jospin%20A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P29-Comptabilit&#233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Fichier%20comptable-Shely%20A%20(1)%20(1)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TA_CREPIN"/>
      <sheetName val="Type de dépenses"/>
      <sheetName val="Liste1"/>
      <sheetName val="COMPTA_CREPIN (2)"/>
      <sheetName val="Feuil2"/>
    </sheetNames>
    <sheetDataSet>
      <sheetData sheetId="0" refreshError="1">
        <row r="3050">
          <cell r="F3050">
            <v>1500</v>
          </cell>
        </row>
        <row r="3051">
          <cell r="F3051">
            <v>1500</v>
          </cell>
        </row>
        <row r="3052">
          <cell r="F3052">
            <v>1000</v>
          </cell>
        </row>
        <row r="3053">
          <cell r="F3053">
            <v>1000</v>
          </cell>
        </row>
        <row r="3054">
          <cell r="F3054">
            <v>1000</v>
          </cell>
        </row>
        <row r="3055">
          <cell r="F3055">
            <v>1500</v>
          </cell>
        </row>
        <row r="3056">
          <cell r="F3056">
            <v>1500</v>
          </cell>
        </row>
        <row r="3057">
          <cell r="F3057">
            <v>1000</v>
          </cell>
        </row>
        <row r="3058">
          <cell r="F3058">
            <v>1000</v>
          </cell>
        </row>
        <row r="3059">
          <cell r="F3059">
            <v>2000</v>
          </cell>
        </row>
        <row r="3060">
          <cell r="F3060">
            <v>1000</v>
          </cell>
        </row>
        <row r="3061">
          <cell r="F3061">
            <v>1000</v>
          </cell>
        </row>
        <row r="3062">
          <cell r="F3062">
            <v>1500</v>
          </cell>
        </row>
        <row r="3063">
          <cell r="F3063">
            <v>1500</v>
          </cell>
        </row>
        <row r="3064">
          <cell r="F3064">
            <v>1000</v>
          </cell>
        </row>
        <row r="3065">
          <cell r="F3065">
            <v>1000</v>
          </cell>
        </row>
        <row r="3066">
          <cell r="F3066">
            <v>1500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compta ted"/>
    </sheetNames>
    <sheetDataSet>
      <sheetData sheetId="0" refreshError="1"/>
      <sheetData sheetId="1" refreshError="1">
        <row r="11">
          <cell r="E11">
            <v>10000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OR"/>
      <sheetName val="Feuil31"/>
      <sheetName val="DATAS"/>
      <sheetName val="COMPTE  PRINCIPAL"/>
      <sheetName val="RAPPROCHEMENT CP"/>
      <sheetName val="SOUS -COMPTE"/>
      <sheetName val="RAPPROCHEMENT SC"/>
      <sheetName val="CAISSE"/>
      <sheetName val="POURCENTAGE PROJECT"/>
      <sheetName val="TABLEA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I3">
            <v>705838</v>
          </cell>
        </row>
        <row r="16">
          <cell r="I16">
            <v>17673343.99927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ta Dalia"/>
      <sheetName val="Type de dépenses"/>
      <sheetName val="Feuil3"/>
      <sheetName val="Compta Dalia (2)"/>
      <sheetName val="Feuil1"/>
    </sheetNames>
    <sheetDataSet>
      <sheetData sheetId="0" refreshError="1"/>
      <sheetData sheetId="1" refreshError="1"/>
      <sheetData sheetId="2" refreshError="1"/>
      <sheetData sheetId="3" refreshError="1">
        <row r="1905">
          <cell r="F1905">
            <v>15000</v>
          </cell>
        </row>
        <row r="1908">
          <cell r="E1908">
            <v>15000</v>
          </cell>
        </row>
        <row r="1909">
          <cell r="E1909">
            <v>50000</v>
          </cell>
        </row>
        <row r="1911">
          <cell r="E1911">
            <v>44600</v>
          </cell>
        </row>
        <row r="1917">
          <cell r="E1917">
            <v>10000</v>
          </cell>
        </row>
        <row r="1919">
          <cell r="F1919">
            <v>1635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ta"/>
      <sheetName val="Feuil2"/>
      <sheetName val="Type de dépenses"/>
      <sheetName val="compta (2)"/>
      <sheetName val="Feuil1"/>
      <sheetName val="compta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556">
          <cell r="E2556">
            <v>10000</v>
          </cell>
        </row>
        <row r="2557">
          <cell r="E2557">
            <v>10000</v>
          </cell>
        </row>
        <row r="2558">
          <cell r="E2558">
            <v>10000</v>
          </cell>
        </row>
        <row r="2559">
          <cell r="F2559">
            <v>21000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ta"/>
      <sheetName val="Feuil2"/>
      <sheetName val="Feuil3"/>
      <sheetName val="compta (2)"/>
      <sheetName val="Feuil1"/>
    </sheetNames>
    <sheetDataSet>
      <sheetData sheetId="0" refreshError="1"/>
      <sheetData sheetId="1" refreshError="1"/>
      <sheetData sheetId="2" refreshError="1"/>
      <sheetData sheetId="3" refreshError="1">
        <row r="2521">
          <cell r="E2521">
            <v>60000</v>
          </cell>
        </row>
        <row r="2522">
          <cell r="F2522">
            <v>180000</v>
          </cell>
        </row>
        <row r="2523">
          <cell r="F2523">
            <v>120000</v>
          </cell>
        </row>
        <row r="2524">
          <cell r="F2524">
            <v>2700</v>
          </cell>
        </row>
        <row r="2525">
          <cell r="E2525">
            <v>25000</v>
          </cell>
        </row>
        <row r="2526">
          <cell r="F2526">
            <v>15000</v>
          </cell>
        </row>
        <row r="2527">
          <cell r="E2527">
            <v>30000</v>
          </cell>
        </row>
        <row r="2528">
          <cell r="F2528">
            <v>15000</v>
          </cell>
        </row>
        <row r="2529">
          <cell r="E2529">
            <v>210000</v>
          </cell>
        </row>
        <row r="2530">
          <cell r="F2530">
            <v>10000</v>
          </cell>
        </row>
        <row r="2531">
          <cell r="F2531">
            <v>60000</v>
          </cell>
        </row>
        <row r="2532">
          <cell r="F2532">
            <v>4500</v>
          </cell>
        </row>
        <row r="2533">
          <cell r="F2533">
            <v>125000</v>
          </cell>
        </row>
        <row r="2534">
          <cell r="F2534">
            <v>49900</v>
          </cell>
        </row>
      </sheetData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COMPTA_I23C"/>
      <sheetName val="Feuil2"/>
      <sheetName val="Feuil1"/>
      <sheetName val="COMPTA_I23C (2)"/>
      <sheetName val="Cumul transport"/>
      <sheetName val="ACHAT BOISSON"/>
      <sheetName val="Cumul transport (2)"/>
      <sheetName val="Cumul transport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171">
          <cell r="E4171">
            <v>90000</v>
          </cell>
        </row>
        <row r="4172">
          <cell r="E4172">
            <v>100000</v>
          </cell>
        </row>
        <row r="4174">
          <cell r="E4174">
            <v>100000</v>
          </cell>
        </row>
        <row r="4178">
          <cell r="E4178">
            <v>20000</v>
          </cell>
        </row>
        <row r="4180">
          <cell r="E4180">
            <v>150000</v>
          </cell>
        </row>
        <row r="4181">
          <cell r="E4181">
            <v>235000</v>
          </cell>
        </row>
      </sheetData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1 (2)"/>
      <sheetName val="cumul transport local"/>
      <sheetName val="Feuil2"/>
      <sheetName val="Feuil3"/>
    </sheetNames>
    <sheetDataSet>
      <sheetData sheetId="0" refreshError="1"/>
      <sheetData sheetId="1" refreshError="1">
        <row r="2684">
          <cell r="E2684">
            <v>110000</v>
          </cell>
        </row>
        <row r="2689">
          <cell r="E2689">
            <v>40000</v>
          </cell>
        </row>
        <row r="2691">
          <cell r="E2691">
            <v>125000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ta Jospin"/>
      <sheetName val="Feuil1"/>
      <sheetName val="Compta Jospin (2)"/>
      <sheetName val="Feuil4"/>
    </sheetNames>
    <sheetDataSet>
      <sheetData sheetId="0" refreshError="1"/>
      <sheetData sheetId="1" refreshError="1"/>
      <sheetData sheetId="2" refreshError="1">
        <row r="1583">
          <cell r="E1583">
            <v>15000</v>
          </cell>
        </row>
        <row r="1584">
          <cell r="E1584">
            <v>40000</v>
          </cell>
        </row>
        <row r="1587">
          <cell r="E1587">
            <v>41400</v>
          </cell>
        </row>
        <row r="1592">
          <cell r="F1592">
            <v>950</v>
          </cell>
        </row>
      </sheetData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COMPT-P29"/>
      <sheetName val="Feuil2"/>
      <sheetName val="Feuil1"/>
      <sheetName val="COMPT-P29 (2)"/>
      <sheetName val="cumul transport local"/>
      <sheetName val="Cumul achat bois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90">
          <cell r="E190">
            <v>40000</v>
          </cell>
        </row>
        <row r="191">
          <cell r="E191">
            <v>110000</v>
          </cell>
        </row>
        <row r="196">
          <cell r="E196">
            <v>116600</v>
          </cell>
        </row>
        <row r="201">
          <cell r="E201">
            <v>25000</v>
          </cell>
        </row>
        <row r="202">
          <cell r="E202">
            <v>150000</v>
          </cell>
        </row>
        <row r="204">
          <cell r="E204">
            <v>214000</v>
          </cell>
        </row>
        <row r="207">
          <cell r="E207">
            <v>100000</v>
          </cell>
        </row>
        <row r="215">
          <cell r="E215">
            <v>100000</v>
          </cell>
        </row>
      </sheetData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compta shely"/>
      <sheetName val="Feuil3"/>
    </sheetNames>
    <sheetDataSet>
      <sheetData sheetId="0" refreshError="1"/>
      <sheetData sheetId="1" refreshError="1">
        <row r="90">
          <cell r="E90">
            <v>10000</v>
          </cell>
        </row>
        <row r="97">
          <cell r="E97">
            <v>5000</v>
          </cell>
        </row>
        <row r="100">
          <cell r="E100">
            <v>10000</v>
          </cell>
        </row>
      </sheetData>
      <sheetData sheetId="2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J2018-3" refreshedDate="44691.529851157407" createdVersion="3" refreshedVersion="3" minRefreshableVersion="3" recordCount="240" xr:uid="{00000000-000A-0000-FFFF-FFFF00000000}">
  <cacheSource type="worksheet">
    <worksheetSource ref="A11:O251" sheet="DATA  AVRIL 2022"/>
  </cacheSource>
  <cacheFields count="15">
    <cacheField name="Date" numFmtId="172">
      <sharedItems containsSemiMixedTypes="0" containsNonDate="0" containsDate="1" containsString="0" minDate="2022-04-01T00:00:00" maxDate="2022-05-01T00:00:00"/>
    </cacheField>
    <cacheField name="Details" numFmtId="0">
      <sharedItems/>
    </cacheField>
    <cacheField name="Type de dépenses" numFmtId="0">
      <sharedItems containsBlank="1" count="19">
        <m/>
        <s v="Versement"/>
        <s v="Telephone"/>
        <s v="Jail visits"/>
        <s v="Lawyer Fees"/>
        <s v="Bank Fees"/>
        <s v="Travel Subsistence"/>
        <s v="Transport"/>
        <s v="Personnel"/>
        <s v="Services"/>
        <s v="Bonus"/>
        <s v="Transfer Fees"/>
        <s v="Office Materials"/>
        <s v="Rent &amp; Utilities"/>
        <s v="Flight"/>
        <s v="Internet"/>
        <s v="Equipement "/>
        <s v="Court Fees"/>
        <s v="Trust Building"/>
      </sharedItems>
    </cacheField>
    <cacheField name="Departement" numFmtId="0">
      <sharedItems containsBlank="1"/>
    </cacheField>
    <cacheField name="Received" numFmtId="0">
      <sharedItems containsString="0" containsBlank="1" containsNumber="1" containsInteger="1" minValue="3000" maxValue="2000000"/>
    </cacheField>
    <cacheField name="Spent" numFmtId="0">
      <sharedItems containsString="0" containsBlank="1" containsNumber="1" containsInteger="1" minValue="900" maxValue="2000000"/>
    </cacheField>
    <cacheField name="Balance" numFmtId="166">
      <sharedItems containsSemiMixedTypes="0" containsString="0" containsNumber="1" containsInteger="1" minValue="22699658" maxValue="32821037"/>
    </cacheField>
    <cacheField name="Name" numFmtId="0">
      <sharedItems containsBlank="1" count="14">
        <m/>
        <s v="Caisse"/>
        <s v="Godfré"/>
        <s v="Paule"/>
        <s v="BCI-Sous Compte"/>
        <s v="Hurielle"/>
        <s v="P29"/>
        <s v="BCI"/>
        <s v="i23c"/>
        <s v="Tiffany"/>
        <s v="Merveille"/>
        <s v="Evariste"/>
        <s v="Crépin"/>
        <s v="Grace"/>
      </sharedItems>
    </cacheField>
    <cacheField name="Receipt" numFmtId="0">
      <sharedItems containsBlank="1" containsMixedTypes="1" containsNumber="1" containsInteger="1" minValue="3643639" maxValue="3643657"/>
    </cacheField>
    <cacheField name="Donor" numFmtId="0">
      <sharedItems containsBlank="1" count="3">
        <m/>
        <s v="Wildcat"/>
        <s v="UE"/>
      </sharedItems>
    </cacheField>
    <cacheField name="Project" numFmtId="0">
      <sharedItems containsBlank="1" count="3">
        <m/>
        <s v="RALFF"/>
        <s v="PALF"/>
      </sharedItems>
    </cacheField>
    <cacheField name="Country" numFmtId="0">
      <sharedItems/>
    </cacheField>
    <cacheField name="N°Pièce" numFmtId="0">
      <sharedItems containsNonDate="0" containsString="0" containsBlank="1"/>
    </cacheField>
    <cacheField name="Code budgetaire" numFmtId="0">
      <sharedItems containsBlank="1"/>
    </cacheField>
    <cacheField name="Contrôle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0">
  <r>
    <d v="2022-04-01T00:00:00"/>
    <s v="Solde au 01/04/2022"/>
    <x v="0"/>
    <m/>
    <m/>
    <m/>
    <n v="31829567"/>
    <x v="0"/>
    <m/>
    <x v="0"/>
    <x v="0"/>
    <s v="CONGO"/>
    <m/>
    <m/>
    <m/>
  </r>
  <r>
    <d v="2022-04-01T00:00:00"/>
    <s v="Paule"/>
    <x v="1"/>
    <m/>
    <m/>
    <n v="5000"/>
    <n v="31824567"/>
    <x v="1"/>
    <m/>
    <x v="0"/>
    <x v="0"/>
    <s v="CONGO"/>
    <m/>
    <m/>
    <m/>
  </r>
  <r>
    <d v="2022-04-01T00:00:00"/>
    <s v="Achat credit  teléphonique MTN/PALF/Prémière partie Avril 2022/Investigation"/>
    <x v="2"/>
    <s v="Investigation"/>
    <m/>
    <n v="20000"/>
    <n v="31804567"/>
    <x v="1"/>
    <s v="Oui"/>
    <x v="1"/>
    <x v="1"/>
    <s v="CONGO"/>
    <m/>
    <s v="4.6"/>
    <m/>
  </r>
  <r>
    <d v="2022-04-01T00:00:00"/>
    <s v="Godfré"/>
    <x v="1"/>
    <m/>
    <m/>
    <n v="92000"/>
    <n v="31712567"/>
    <x v="1"/>
    <m/>
    <x v="0"/>
    <x v="0"/>
    <s v="CONGO"/>
    <m/>
    <m/>
    <m/>
  </r>
  <r>
    <d v="2022-04-01T00:00:00"/>
    <s v="Reçu caisse"/>
    <x v="1"/>
    <m/>
    <n v="92000"/>
    <m/>
    <n v="31804567"/>
    <x v="2"/>
    <m/>
    <x v="0"/>
    <x v="0"/>
    <s v="CONGO"/>
    <m/>
    <m/>
    <m/>
  </r>
  <r>
    <d v="2022-04-01T00:00:00"/>
    <s v="Reçu caisse"/>
    <x v="1"/>
    <m/>
    <n v="5000"/>
    <m/>
    <n v="31809567"/>
    <x v="3"/>
    <m/>
    <x v="0"/>
    <x v="0"/>
    <s v="CONGO"/>
    <m/>
    <m/>
    <m/>
  </r>
  <r>
    <d v="2022-04-01T00:00:00"/>
    <s v="Cumul frais de Jail Visits du mois d'Avril 2022/Paule"/>
    <x v="3"/>
    <s v="Legal"/>
    <m/>
    <n v="3000"/>
    <n v="31806567"/>
    <x v="3"/>
    <s v="Décharge"/>
    <x v="1"/>
    <x v="2"/>
    <s v="CONGO"/>
    <m/>
    <m/>
    <m/>
  </r>
  <r>
    <d v="2022-04-01T00:00:00"/>
    <s v="Achat credit  teléphonique MTN/PALF/Prémière partie Avril 2022/Legal"/>
    <x v="2"/>
    <s v="Legal"/>
    <m/>
    <n v="37000"/>
    <n v="31769567"/>
    <x v="1"/>
    <s v="Oui"/>
    <x v="1"/>
    <x v="1"/>
    <s v="CONGO"/>
    <m/>
    <s v="4.6"/>
    <m/>
  </r>
  <r>
    <d v="2022-04-01T00:00:00"/>
    <s v="Achat credit  teléphonique MTN/PALF/Prémière partie Avril 2022/Legal Volontaire"/>
    <x v="2"/>
    <s v="Legal"/>
    <m/>
    <n v="42000"/>
    <n v="31727567"/>
    <x v="1"/>
    <s v="Oui"/>
    <x v="1"/>
    <x v="2"/>
    <s v="CONGO"/>
    <m/>
    <m/>
    <m/>
  </r>
  <r>
    <d v="2022-04-01T00:00:00"/>
    <s v="Achat credit  teléphonique MTN/PALF/Prémière partie Avril 2022/Investigation"/>
    <x v="2"/>
    <s v="Investigation"/>
    <m/>
    <n v="48000"/>
    <n v="31679567"/>
    <x v="1"/>
    <s v="Oui"/>
    <x v="1"/>
    <x v="1"/>
    <s v="CONGO"/>
    <m/>
    <s v="4.6"/>
    <m/>
  </r>
  <r>
    <d v="2022-04-01T00:00:00"/>
    <s v="Achat credit  teléphonique MTN/PALF/Prémière partie Avril 2022/Media"/>
    <x v="2"/>
    <s v="Media"/>
    <m/>
    <n v="5000"/>
    <n v="31674567"/>
    <x v="1"/>
    <s v="Oui"/>
    <x v="1"/>
    <x v="1"/>
    <s v="CONGO"/>
    <m/>
    <s v="4.6"/>
    <m/>
  </r>
  <r>
    <d v="2022-04-01T00:00:00"/>
    <s v="Achat credit  teléphonique Airtel/PALF/Prémière partie Avril 2022/Management"/>
    <x v="2"/>
    <s v="Management "/>
    <m/>
    <n v="26000"/>
    <n v="31648567"/>
    <x v="1"/>
    <s v="Oui"/>
    <x v="1"/>
    <x v="1"/>
    <s v="CONGO"/>
    <m/>
    <s v="4.6"/>
    <m/>
  </r>
  <r>
    <d v="2022-04-01T00:00:00"/>
    <s v="Achat credit  teléphonique Airtel/PALF/Prémière partie Avril 2022/Legal"/>
    <x v="2"/>
    <s v="Legal"/>
    <m/>
    <n v="5000"/>
    <n v="31643567"/>
    <x v="1"/>
    <s v="Oui"/>
    <x v="1"/>
    <x v="1"/>
    <s v="CONGO"/>
    <m/>
    <s v="4.6"/>
    <m/>
  </r>
  <r>
    <d v="2022-04-01T00:00:00"/>
    <s v="Achat credit  teléphonique Airtel/PALF/Prémière partie Avril 2022/Investigation"/>
    <x v="2"/>
    <s v="Investigation"/>
    <m/>
    <n v="32000"/>
    <n v="31611567"/>
    <x v="1"/>
    <s v="Oui"/>
    <x v="1"/>
    <x v="1"/>
    <s v="CONGO"/>
    <m/>
    <s v="4.6"/>
    <m/>
  </r>
  <r>
    <d v="2022-04-01T00:00:00"/>
    <s v="Achat credit  teléphonique Airtel/PALF/Prémière partie Avril 2022/Media"/>
    <x v="2"/>
    <s v="Media"/>
    <m/>
    <n v="11000"/>
    <n v="31600567"/>
    <x v="1"/>
    <s v="Oui"/>
    <x v="1"/>
    <x v="1"/>
    <s v="CONGO"/>
    <m/>
    <s v="4.6"/>
    <m/>
  </r>
  <r>
    <d v="2022-04-01T00:00:00"/>
    <s v="Paiement Honoraire Me LOCKO/Mois de Mars 2022"/>
    <x v="4"/>
    <s v="Legal"/>
    <m/>
    <n v="150000"/>
    <n v="31450567"/>
    <x v="4"/>
    <n v="3643642"/>
    <x v="2"/>
    <x v="1"/>
    <s v="CONGO"/>
    <m/>
    <s v="5.2.1"/>
    <m/>
  </r>
  <r>
    <d v="2022-04-01T00:00:00"/>
    <s v="Frais Bancaire / Compte 56"/>
    <x v="5"/>
    <s v="Office"/>
    <m/>
    <n v="14701"/>
    <n v="31435866"/>
    <x v="4"/>
    <s v="Relevé"/>
    <x v="1"/>
    <x v="1"/>
    <s v="CONGO"/>
    <m/>
    <s v="5.6"/>
    <m/>
  </r>
  <r>
    <d v="2022-04-02T00:00:00"/>
    <s v="HURIELLE - CONGO Frais d'Hotel du 31 Mars-02 Avril 2022 à Dolisie"/>
    <x v="6"/>
    <s v="Legal"/>
    <m/>
    <n v="30000"/>
    <n v="31405866"/>
    <x v="5"/>
    <s v="Oui"/>
    <x v="1"/>
    <x v="2"/>
    <s v="CONGO"/>
    <m/>
    <m/>
    <m/>
  </r>
  <r>
    <d v="2022-04-02T00:00:00"/>
    <s v="Achat Billet Océan du Nord de Dolisie-Brazzaville /Hurielle"/>
    <x v="7"/>
    <s v="Legal"/>
    <m/>
    <n v="10000"/>
    <n v="31395866"/>
    <x v="5"/>
    <s v="Oui"/>
    <x v="1"/>
    <x v="2"/>
    <s v="CONGO"/>
    <m/>
    <m/>
    <m/>
  </r>
  <r>
    <d v="2022-04-03T00:00:00"/>
    <s v="Achat billet aller (Brazzaville-Pointe Noire)Godfré"/>
    <x v="7"/>
    <s v="Legal"/>
    <m/>
    <n v="15000"/>
    <n v="31380866"/>
    <x v="2"/>
    <s v="Oui"/>
    <x v="1"/>
    <x v="1"/>
    <s v="CONGO"/>
    <m/>
    <s v="2.2"/>
    <m/>
  </r>
  <r>
    <d v="2022-04-04T00:00:00"/>
    <s v="Reglement loyer Tiffany mois d'Avril 2022/400USD"/>
    <x v="8"/>
    <s v="Management "/>
    <m/>
    <n v="235829"/>
    <n v="31145037"/>
    <x v="1"/>
    <s v="Oui"/>
    <x v="1"/>
    <x v="2"/>
    <s v="CONGO"/>
    <m/>
    <m/>
    <m/>
  </r>
  <r>
    <d v="2022-04-04T00:00:00"/>
    <s v="Paule"/>
    <x v="1"/>
    <m/>
    <m/>
    <n v="15000"/>
    <n v="31130037"/>
    <x v="1"/>
    <m/>
    <x v="0"/>
    <x v="0"/>
    <s v="CONGO"/>
    <m/>
    <m/>
    <m/>
  </r>
  <r>
    <d v="2022-04-04T00:00:00"/>
    <s v="P29"/>
    <x v="1"/>
    <m/>
    <m/>
    <n v="145000"/>
    <n v="30985037"/>
    <x v="1"/>
    <m/>
    <x v="0"/>
    <x v="0"/>
    <s v="CONGO"/>
    <m/>
    <m/>
    <m/>
  </r>
  <r>
    <d v="2022-04-04T00:00:00"/>
    <s v="Reçu caisse"/>
    <x v="1"/>
    <m/>
    <n v="15000"/>
    <m/>
    <n v="31000037"/>
    <x v="3"/>
    <m/>
    <x v="0"/>
    <x v="0"/>
    <s v="CONGO"/>
    <m/>
    <m/>
    <m/>
  </r>
  <r>
    <d v="2022-04-04T00:00:00"/>
    <s v="Recu de caisse"/>
    <x v="1"/>
    <m/>
    <n v="145000"/>
    <m/>
    <n v="31145037"/>
    <x v="6"/>
    <m/>
    <x v="0"/>
    <x v="0"/>
    <s v="CONGO"/>
    <m/>
    <m/>
    <m/>
  </r>
  <r>
    <d v="2022-04-04T00:00:00"/>
    <s v="GODFRE - CONGO Food Allowance du 04 au 06 Avril à Pointe-Noire"/>
    <x v="6"/>
    <s v="Legal"/>
    <m/>
    <n v="20000"/>
    <n v="31125037"/>
    <x v="2"/>
    <s v="Décharge"/>
    <x v="1"/>
    <x v="1"/>
    <s v="CONGO"/>
    <m/>
    <s v="1.3.2"/>
    <m/>
  </r>
  <r>
    <d v="2022-04-04T00:00:00"/>
    <s v="Achat billet brazzaville-makoua /P29"/>
    <x v="7"/>
    <s v="Investigation"/>
    <m/>
    <n v="12000"/>
    <n v="31113037"/>
    <x v="6"/>
    <s v="Oui"/>
    <x v="1"/>
    <x v="1"/>
    <s v="CONGO"/>
    <m/>
    <s v="2.2"/>
    <m/>
  </r>
  <r>
    <d v="2022-04-04T00:00:00"/>
    <s v="Frais de mission Me Anicet MOUSSAHOU-GOMA  à Pointe Noire du 04 au 06 - 04- 2022"/>
    <x v="4"/>
    <s v="Legal"/>
    <m/>
    <n v="111000"/>
    <n v="31002037"/>
    <x v="1"/>
    <s v="Oui"/>
    <x v="2"/>
    <x v="1"/>
    <s v="CONGO"/>
    <m/>
    <s v="5.2.2"/>
    <m/>
  </r>
  <r>
    <d v="2022-04-05T00:00:00"/>
    <s v="I23C"/>
    <x v="1"/>
    <m/>
    <m/>
    <n v="181000"/>
    <n v="30821037"/>
    <x v="1"/>
    <m/>
    <x v="0"/>
    <x v="0"/>
    <s v="CONGO"/>
    <m/>
    <m/>
    <m/>
  </r>
  <r>
    <d v="2022-04-05T00:00:00"/>
    <s v="BCI-3654477/34"/>
    <x v="1"/>
    <m/>
    <n v="2000000"/>
    <m/>
    <n v="32821037"/>
    <x v="1"/>
    <m/>
    <x v="0"/>
    <x v="0"/>
    <s v="CONGO"/>
    <m/>
    <m/>
    <m/>
  </r>
  <r>
    <d v="2022-04-05T00:00:00"/>
    <s v="Tiffany"/>
    <x v="1"/>
    <m/>
    <m/>
    <n v="800000"/>
    <n v="32021037"/>
    <x v="1"/>
    <m/>
    <x v="0"/>
    <x v="0"/>
    <s v="CONGO"/>
    <m/>
    <m/>
    <m/>
  </r>
  <r>
    <d v="2022-04-05T00:00:00"/>
    <s v="Avance entretien jardin Bureau PALF"/>
    <x v="9"/>
    <s v="Office"/>
    <m/>
    <n v="5000"/>
    <n v="32016037"/>
    <x v="1"/>
    <s v="Oui"/>
    <x v="1"/>
    <x v="2"/>
    <s v="CONGO"/>
    <m/>
    <m/>
    <m/>
  </r>
  <r>
    <d v="2022-04-05T00:00:00"/>
    <s v="Retrait especes/appro caisse/bord n°3654477"/>
    <x v="1"/>
    <m/>
    <m/>
    <n v="2000000"/>
    <n v="30016037"/>
    <x v="7"/>
    <m/>
    <x v="0"/>
    <x v="0"/>
    <s v="CONGO"/>
    <m/>
    <m/>
    <m/>
  </r>
  <r>
    <d v="2022-04-05T00:00:00"/>
    <s v="P29 - CONGO Food allowance mission du 05 au 12/04/22"/>
    <x v="6"/>
    <s v="Investigation"/>
    <m/>
    <n v="70000"/>
    <n v="29946037"/>
    <x v="6"/>
    <s v="Decharge"/>
    <x v="1"/>
    <x v="1"/>
    <s v="CONGO"/>
    <m/>
    <s v="1.3.2"/>
    <m/>
  </r>
  <r>
    <d v="2022-04-05T00:00:00"/>
    <s v="Réçu caisse"/>
    <x v="1"/>
    <m/>
    <n v="181000"/>
    <m/>
    <n v="30127037"/>
    <x v="8"/>
    <m/>
    <x v="0"/>
    <x v="0"/>
    <s v="CONGO"/>
    <m/>
    <m/>
    <m/>
  </r>
  <r>
    <d v="2022-04-05T00:00:00"/>
    <s v="Reçu Caisse/ Tiffany"/>
    <x v="1"/>
    <m/>
    <n v="800000"/>
    <m/>
    <n v="30927037"/>
    <x v="9"/>
    <m/>
    <x v="0"/>
    <x v="0"/>
    <s v="CONGO"/>
    <m/>
    <m/>
    <m/>
  </r>
  <r>
    <d v="2022-04-06T00:00:00"/>
    <s v="Achat billet Brazzaville-Pointe Noire/I23C"/>
    <x v="7"/>
    <s v="Investigation"/>
    <m/>
    <n v="15000"/>
    <n v="30912037"/>
    <x v="8"/>
    <s v="Oui"/>
    <x v="1"/>
    <x v="1"/>
    <s v="CONGO"/>
    <m/>
    <s v="2.2"/>
    <m/>
  </r>
  <r>
    <d v="2022-04-06T00:00:00"/>
    <s v="GODFRE - CONGO Frais d'Hotel du 04 au 06 Avril 2022 - Pointe noire"/>
    <x v="6"/>
    <s v="Legal"/>
    <m/>
    <n v="30000"/>
    <n v="30882037"/>
    <x v="2"/>
    <s v="Oui"/>
    <x v="1"/>
    <x v="1"/>
    <s v="CONGO"/>
    <m/>
    <s v="1.3.2"/>
    <m/>
  </r>
  <r>
    <d v="2022-04-06T00:00:00"/>
    <s v="Merveille"/>
    <x v="1"/>
    <m/>
    <m/>
    <n v="20000"/>
    <n v="30862037"/>
    <x v="1"/>
    <m/>
    <x v="0"/>
    <x v="0"/>
    <s v="CONGO"/>
    <m/>
    <m/>
    <m/>
  </r>
  <r>
    <d v="2022-04-06T00:00:00"/>
    <s v="Cumul Frais bancaire/Compte 34"/>
    <x v="5"/>
    <s v="Office"/>
    <m/>
    <n v="23345"/>
    <n v="30838692"/>
    <x v="7"/>
    <s v="Relevé"/>
    <x v="1"/>
    <x v="2"/>
    <s v="CONGO"/>
    <m/>
    <m/>
    <m/>
  </r>
  <r>
    <d v="2022-04-06T00:00:00"/>
    <s v="Reçu caisse"/>
    <x v="1"/>
    <m/>
    <n v="20000"/>
    <m/>
    <n v="30858692"/>
    <x v="10"/>
    <m/>
    <x v="0"/>
    <x v="0"/>
    <s v="CONGO"/>
    <m/>
    <m/>
    <m/>
  </r>
  <r>
    <d v="2022-04-06T00:00:00"/>
    <s v="I23C - CONGO Food allowance mission du 6 au 13 avril 2022"/>
    <x v="6"/>
    <s v="Investigation"/>
    <m/>
    <n v="70000"/>
    <n v="30788692"/>
    <x v="8"/>
    <s v="Décharge"/>
    <x v="1"/>
    <x v="1"/>
    <s v="CONGO"/>
    <m/>
    <s v="1.3.2"/>
    <m/>
  </r>
  <r>
    <d v="2022-04-06T00:00:00"/>
    <s v="Achat billet retour Pointe Noire - Brazzaville/Godfre"/>
    <x v="7"/>
    <s v="Legal"/>
    <m/>
    <n v="15000"/>
    <n v="30773692"/>
    <x v="2"/>
    <s v="Oui"/>
    <x v="1"/>
    <x v="1"/>
    <s v="CONGO"/>
    <m/>
    <s v="2.2"/>
    <m/>
  </r>
  <r>
    <d v="2022-04-07T00:00:00"/>
    <s v="Bonus média/condamnation d'un trafiquant de perroquet le 24/03/2022 au TGI d'OYO"/>
    <x v="10"/>
    <s v="Media"/>
    <m/>
    <n v="29000"/>
    <n v="30744692"/>
    <x v="1"/>
    <s v="Décharge"/>
    <x v="1"/>
    <x v="2"/>
    <s v="CONGO"/>
    <m/>
    <m/>
    <m/>
  </r>
  <r>
    <d v="2022-04-07T00:00:00"/>
    <s v="Bonus média/condamnation de deux trafiquants de produits Faunique le 01/04/2022 au TGI de Dolisie"/>
    <x v="10"/>
    <s v="Media"/>
    <m/>
    <n v="29000"/>
    <n v="30715692"/>
    <x v="1"/>
    <s v="Décharge"/>
    <x v="1"/>
    <x v="2"/>
    <s v="CONGO"/>
    <m/>
    <m/>
    <m/>
  </r>
  <r>
    <d v="2022-04-07T00:00:00"/>
    <s v="P29"/>
    <x v="1"/>
    <m/>
    <m/>
    <n v="100000"/>
    <n v="30615692"/>
    <x v="1"/>
    <m/>
    <x v="0"/>
    <x v="0"/>
    <s v="CONGO"/>
    <m/>
    <m/>
    <m/>
  </r>
  <r>
    <d v="2022-04-07T00:00:00"/>
    <s v="Hurielle"/>
    <x v="1"/>
    <m/>
    <m/>
    <n v="15000"/>
    <n v="30600692"/>
    <x v="1"/>
    <m/>
    <x v="0"/>
    <x v="0"/>
    <s v="CONGO"/>
    <m/>
    <m/>
    <m/>
  </r>
  <r>
    <d v="2022-04-07T00:00:00"/>
    <s v="Reçu caisse"/>
    <x v="1"/>
    <m/>
    <n v="15000"/>
    <m/>
    <n v="30615692"/>
    <x v="5"/>
    <m/>
    <x v="0"/>
    <x v="0"/>
    <s v="CONGO"/>
    <m/>
    <m/>
    <m/>
  </r>
  <r>
    <d v="2022-04-07T00:00:00"/>
    <s v="Reçu de caisse"/>
    <x v="1"/>
    <m/>
    <n v="100000"/>
    <m/>
    <n v="30715692"/>
    <x v="6"/>
    <m/>
    <x v="0"/>
    <x v="0"/>
    <s v="CONGO"/>
    <m/>
    <m/>
    <m/>
  </r>
  <r>
    <d v="2022-04-28T00:00:00"/>
    <s v="Cumul frais de transport local mois d'Avril 2022/ Evariste LELOUSSI"/>
    <x v="7"/>
    <s v="Media"/>
    <m/>
    <n v="36000"/>
    <n v="30679692"/>
    <x v="11"/>
    <s v="Décharge"/>
    <x v="1"/>
    <x v="1"/>
    <s v="CONGO"/>
    <m/>
    <s v="2.2"/>
    <m/>
  </r>
  <r>
    <d v="2022-04-07T00:00:00"/>
    <s v="Frais de transfert charden Farell à P29"/>
    <x v="11"/>
    <s v="Office"/>
    <m/>
    <n v="3000"/>
    <n v="30676692"/>
    <x v="1"/>
    <s v="Oui"/>
    <x v="2"/>
    <x v="1"/>
    <s v="CONGO"/>
    <m/>
    <s v="5.6"/>
    <m/>
  </r>
  <r>
    <d v="2022-04-08T00:00:00"/>
    <s v="Paiement CNSS prémier trimestre /Janvier,Février et Mars 2022/Evariste LELOUSSI"/>
    <x v="8"/>
    <s v="Media"/>
    <m/>
    <n v="104643"/>
    <n v="30572049"/>
    <x v="4"/>
    <n v="3643639"/>
    <x v="2"/>
    <x v="1"/>
    <s v="CONGO"/>
    <m/>
    <s v="1.1.1.4"/>
    <m/>
  </r>
  <r>
    <d v="2022-04-08T00:00:00"/>
    <s v="Paiement CNSS prémier trimestre /Janvier,Février et Mars 2022/Crépin IBOUILI IBOUILI"/>
    <x v="8"/>
    <s v="Legal"/>
    <m/>
    <n v="221454"/>
    <n v="30350595"/>
    <x v="4"/>
    <n v="3643639"/>
    <x v="2"/>
    <x v="1"/>
    <s v="CONGO"/>
    <m/>
    <s v="1.1.1.7"/>
    <m/>
  </r>
  <r>
    <d v="2022-04-08T00:00:00"/>
    <s v="Paiement CNSS prémier trimestre /Janvier,Février et Mars 2022/Godfre MALONGA"/>
    <x v="8"/>
    <s v="Legal"/>
    <m/>
    <n v="103493"/>
    <n v="30247102"/>
    <x v="4"/>
    <n v="3643639"/>
    <x v="2"/>
    <x v="1"/>
    <s v="CONGO"/>
    <m/>
    <s v="1.1.1.7"/>
    <m/>
  </r>
  <r>
    <d v="2022-04-08T00:00:00"/>
    <s v="Paiement CNSS prémier trimestre /Janvier,Février et Mars 2022/Merveille MAHANGA"/>
    <x v="8"/>
    <s v="Management "/>
    <m/>
    <n v="167724"/>
    <n v="30079378"/>
    <x v="4"/>
    <n v="3643639"/>
    <x v="2"/>
    <x v="1"/>
    <s v="CONGO"/>
    <m/>
    <s v="1.1.2.1"/>
    <m/>
  </r>
  <r>
    <d v="2022-04-08T00:00:00"/>
    <s v="Paiement CNSS prémier trimestre /Janvier,Février et Mars 2022/Grace MOLENDE"/>
    <x v="8"/>
    <s v="Management "/>
    <m/>
    <n v="215485"/>
    <n v="29863893"/>
    <x v="4"/>
    <n v="3643639"/>
    <x v="2"/>
    <x v="1"/>
    <s v="CONGO"/>
    <m/>
    <s v="1.1.2.1"/>
    <m/>
  </r>
  <r>
    <d v="2022-04-08T00:00:00"/>
    <s v="P29 - CONGO Paiement 3 nuitées du 05 au 08/04/22 Makoua"/>
    <x v="6"/>
    <s v="Investigation"/>
    <m/>
    <n v="45000"/>
    <n v="29818893"/>
    <x v="6"/>
    <s v="Oui"/>
    <x v="1"/>
    <x v="1"/>
    <s v="CONGO"/>
    <m/>
    <s v="1.3.2"/>
    <m/>
  </r>
  <r>
    <d v="2022-04-08T00:00:00"/>
    <s v="I23C"/>
    <x v="1"/>
    <m/>
    <m/>
    <n v="100000"/>
    <n v="29718893"/>
    <x v="1"/>
    <m/>
    <x v="0"/>
    <x v="0"/>
    <s v="CONGO"/>
    <m/>
    <m/>
    <m/>
  </r>
  <r>
    <d v="2022-04-08T00:00:00"/>
    <s v="Réçu caisse"/>
    <x v="1"/>
    <m/>
    <n v="100000"/>
    <m/>
    <n v="29818893"/>
    <x v="8"/>
    <m/>
    <x v="0"/>
    <x v="0"/>
    <s v="CONGO"/>
    <m/>
    <m/>
    <m/>
  </r>
  <r>
    <d v="2022-04-08T00:00:00"/>
    <s v="Achat billet makoua-owando/P29"/>
    <x v="7"/>
    <s v="Investigation"/>
    <m/>
    <n v="5000"/>
    <n v="29813893"/>
    <x v="6"/>
    <s v="Oui"/>
    <x v="1"/>
    <x v="1"/>
    <s v="CONGO"/>
    <m/>
    <s v="2.2"/>
    <m/>
  </r>
  <r>
    <d v="2022-04-08T00:00:00"/>
    <s v="Frais de transfert charden Farell à I23C"/>
    <x v="11"/>
    <s v="Office"/>
    <m/>
    <n v="3000"/>
    <n v="29810893"/>
    <x v="1"/>
    <s v="Oui"/>
    <x v="2"/>
    <x v="1"/>
    <s v="CONGO"/>
    <m/>
    <s v="5.6"/>
    <m/>
  </r>
  <r>
    <d v="2022-04-09T00:00:00"/>
    <s v="Taxi Grand marché-Nzassi (départ pour Nzassi)/I23C"/>
    <x v="7"/>
    <s v="Investigation"/>
    <m/>
    <n v="5000"/>
    <n v="29805893"/>
    <x v="8"/>
    <s v="Oui"/>
    <x v="1"/>
    <x v="1"/>
    <s v="CONGO"/>
    <m/>
    <s v="2.2"/>
    <m/>
  </r>
  <r>
    <d v="2022-04-09T00:00:00"/>
    <s v="Taxi Nzassi - Pointe Noire (départ pour Pointe Noire)/I23C"/>
    <x v="7"/>
    <s v="Investigation"/>
    <m/>
    <n v="5000"/>
    <n v="29800893"/>
    <x v="8"/>
    <s v="Oui"/>
    <x v="1"/>
    <x v="1"/>
    <s v="CONGO"/>
    <m/>
    <s v="2.2"/>
    <m/>
  </r>
  <r>
    <d v="2022-04-10T00:00:00"/>
    <s v="P29 - CONGO Paiement de 2 nuitées du 08 au 10/04/22 Owando"/>
    <x v="6"/>
    <s v="Investigation"/>
    <m/>
    <n v="30000"/>
    <n v="29770893"/>
    <x v="6"/>
    <s v="Oui"/>
    <x v="1"/>
    <x v="1"/>
    <s v="CONGO"/>
    <m/>
    <s v="1.3.2"/>
    <m/>
  </r>
  <r>
    <d v="2022-04-10T00:00:00"/>
    <s v="Achat billet owando-oyo/P29"/>
    <x v="7"/>
    <s v="Investigation"/>
    <m/>
    <n v="5000"/>
    <n v="29765893"/>
    <x v="6"/>
    <s v="Oui"/>
    <x v="1"/>
    <x v="1"/>
    <s v="CONGO"/>
    <m/>
    <s v="2.2"/>
    <m/>
  </r>
  <r>
    <d v="2022-04-11T00:00:00"/>
    <s v="I23C - CONGO Paiement hôtel 5 nuitées du 6 au 11 avril 2022 Pointe Noire"/>
    <x v="6"/>
    <s v="Investigation"/>
    <m/>
    <n v="75000"/>
    <n v="29690893"/>
    <x v="8"/>
    <s v="Oui"/>
    <x v="1"/>
    <x v="1"/>
    <s v="CONGO"/>
    <m/>
    <s v="1.3.2"/>
    <m/>
  </r>
  <r>
    <d v="2022-04-11T00:00:00"/>
    <s v="Godfré"/>
    <x v="1"/>
    <m/>
    <m/>
    <n v="40000"/>
    <n v="29650893"/>
    <x v="1"/>
    <m/>
    <x v="0"/>
    <x v="0"/>
    <s v="CONGO"/>
    <m/>
    <m/>
    <m/>
  </r>
  <r>
    <d v="2022-04-11T00:00:00"/>
    <s v="Reçu caisse"/>
    <x v="1"/>
    <m/>
    <n v="40000"/>
    <m/>
    <n v="29690893"/>
    <x v="2"/>
    <m/>
    <x v="0"/>
    <x v="0"/>
    <s v="CONGO"/>
    <m/>
    <m/>
    <m/>
  </r>
  <r>
    <d v="2022-04-11T00:00:00"/>
    <s v="Achat billet Pointe Noire - Dolisie/I23C"/>
    <x v="7"/>
    <s v="Investigation"/>
    <m/>
    <n v="5000"/>
    <n v="29685893"/>
    <x v="8"/>
    <s v="Oui"/>
    <x v="1"/>
    <x v="1"/>
    <s v="CONGO"/>
    <m/>
    <s v="2.2"/>
    <m/>
  </r>
  <r>
    <d v="2022-04-11T00:00:00"/>
    <s v="Achat 03 cartouches d'encre  SP311 pour l' imprimante Ricoh"/>
    <x v="12"/>
    <s v="Office"/>
    <m/>
    <n v="240000"/>
    <n v="29445893"/>
    <x v="1"/>
    <s v="Oui"/>
    <x v="2"/>
    <x v="1"/>
    <s v="CONGO"/>
    <m/>
    <s v="4.3"/>
    <m/>
  </r>
  <r>
    <d v="2022-04-11T00:00:00"/>
    <s v="Achat Founitures de Bureau (enveloppe dl,stylo,agrafes et carnet reçu)"/>
    <x v="12"/>
    <s v="Office"/>
    <m/>
    <n v="16500"/>
    <n v="29429393"/>
    <x v="1"/>
    <s v="Oui"/>
    <x v="1"/>
    <x v="1"/>
    <s v="CONGO"/>
    <m/>
    <s v="4.3"/>
    <m/>
  </r>
  <r>
    <d v="2022-04-11T00:00:00"/>
    <s v="Achat 04 Bonbonnes d'eau minerale/bureau"/>
    <x v="12"/>
    <s v="Office"/>
    <m/>
    <n v="13500"/>
    <n v="29415893"/>
    <x v="1"/>
    <s v="Oui"/>
    <x v="1"/>
    <x v="1"/>
    <s v="CONGO"/>
    <m/>
    <s v="4.3"/>
    <m/>
  </r>
  <r>
    <d v="2022-04-11T00:00:00"/>
    <s v="Achat produit d'entretien bureau/lait,sucre,vigor nescafé,papier toilette,sac poubelle"/>
    <x v="12"/>
    <s v="Office"/>
    <m/>
    <n v="28250"/>
    <n v="29387643"/>
    <x v="1"/>
    <s v="Oui"/>
    <x v="1"/>
    <x v="1"/>
    <s v="CONGO"/>
    <m/>
    <s v="4.3"/>
    <m/>
  </r>
  <r>
    <d v="2022-04-12T00:00:00"/>
    <s v="Achat billet oyo-brazzaville/P29"/>
    <x v="7"/>
    <s v="Investigation"/>
    <m/>
    <n v="7000"/>
    <n v="29380643"/>
    <x v="6"/>
    <s v="Oui"/>
    <x v="1"/>
    <x v="1"/>
    <s v="CONGO"/>
    <m/>
    <s v="2.2"/>
    <m/>
  </r>
  <r>
    <d v="2022-04-12T00:00:00"/>
    <s v="P29 - CONGO Paiement de 2 nuitées du 10 au 12/04/22 Oyo"/>
    <x v="6"/>
    <s v="Investigation"/>
    <m/>
    <n v="30000"/>
    <n v="29350643"/>
    <x v="6"/>
    <s v="Oui"/>
    <x v="1"/>
    <x v="1"/>
    <s v="CONGO"/>
    <m/>
    <s v="1.3.2"/>
    <m/>
  </r>
  <r>
    <d v="2022-04-12T00:00:00"/>
    <s v="Paule"/>
    <x v="1"/>
    <m/>
    <m/>
    <n v="15000"/>
    <n v="29335643"/>
    <x v="1"/>
    <m/>
    <x v="0"/>
    <x v="0"/>
    <s v="CONGO"/>
    <m/>
    <m/>
    <m/>
  </r>
  <r>
    <d v="2022-04-12T00:00:00"/>
    <s v="Reçu caisse"/>
    <x v="1"/>
    <m/>
    <n v="15000"/>
    <m/>
    <n v="29350643"/>
    <x v="3"/>
    <m/>
    <x v="0"/>
    <x v="0"/>
    <s v="CONGO"/>
    <m/>
    <m/>
    <m/>
  </r>
  <r>
    <d v="2022-04-12T00:00:00"/>
    <s v="Achat billet Dolisie - Brazzaville/I23C"/>
    <x v="7"/>
    <s v="Investigation"/>
    <m/>
    <n v="10000"/>
    <n v="29340643"/>
    <x v="8"/>
    <s v="Oui"/>
    <x v="1"/>
    <x v="1"/>
    <s v="CONGO"/>
    <m/>
    <s v="2.2"/>
    <m/>
  </r>
  <r>
    <d v="2022-04-13T00:00:00"/>
    <s v="I23C - CONGO Paiement Hôtel 2 nuitées du 11 au 13 avril 2022 Dolisie"/>
    <x v="6"/>
    <s v="Investigation"/>
    <m/>
    <n v="30000"/>
    <n v="29310643"/>
    <x v="8"/>
    <s v="Oui"/>
    <x v="1"/>
    <x v="1"/>
    <s v="CONGO"/>
    <m/>
    <s v="1.3.2"/>
    <m/>
  </r>
  <r>
    <d v="2022-04-13T00:00:00"/>
    <s v="Hurielle"/>
    <x v="1"/>
    <m/>
    <m/>
    <n v="15000"/>
    <n v="29295643"/>
    <x v="1"/>
    <m/>
    <x v="0"/>
    <x v="0"/>
    <s v="CONGO"/>
    <m/>
    <m/>
    <m/>
  </r>
  <r>
    <d v="2022-04-13T00:00:00"/>
    <s v="Godfré"/>
    <x v="1"/>
    <m/>
    <m/>
    <n v="202000"/>
    <n v="29093643"/>
    <x v="1"/>
    <m/>
    <x v="0"/>
    <x v="0"/>
    <s v="CONGO"/>
    <m/>
    <m/>
    <m/>
  </r>
  <r>
    <d v="2022-04-13T00:00:00"/>
    <s v="P29"/>
    <x v="1"/>
    <m/>
    <m/>
    <n v="200000"/>
    <n v="28893643"/>
    <x v="1"/>
    <m/>
    <x v="0"/>
    <x v="0"/>
    <s v="CONGO"/>
    <m/>
    <m/>
    <m/>
  </r>
  <r>
    <d v="2022-04-13T00:00:00"/>
    <s v="Impression en couleur des documents(16 copies) en couleurs"/>
    <x v="12"/>
    <s v="Office"/>
    <m/>
    <n v="3200"/>
    <n v="28890443"/>
    <x v="1"/>
    <s v="Oui"/>
    <x v="1"/>
    <x v="2"/>
    <s v="CONGO"/>
    <m/>
    <m/>
    <m/>
  </r>
  <r>
    <d v="2022-04-13T00:00:00"/>
    <s v="Reçu caisse"/>
    <x v="1"/>
    <m/>
    <n v="202000"/>
    <m/>
    <n v="29092443"/>
    <x v="2"/>
    <m/>
    <x v="0"/>
    <x v="0"/>
    <s v="CONGO"/>
    <m/>
    <m/>
    <m/>
  </r>
  <r>
    <d v="2022-04-13T00:00:00"/>
    <s v="Reçu caisse"/>
    <x v="1"/>
    <m/>
    <n v="15000"/>
    <m/>
    <n v="29107443"/>
    <x v="5"/>
    <m/>
    <x v="0"/>
    <x v="0"/>
    <s v="CONGO"/>
    <m/>
    <m/>
    <m/>
  </r>
  <r>
    <d v="2022-04-13T00:00:00"/>
    <s v="Recu de caisse/Avance sur Salaire"/>
    <x v="1"/>
    <m/>
    <n v="200000"/>
    <m/>
    <n v="29307443"/>
    <x v="6"/>
    <m/>
    <x v="0"/>
    <x v="0"/>
    <s v="CONGO"/>
    <m/>
    <m/>
    <m/>
  </r>
  <r>
    <d v="2022-04-13T00:00:00"/>
    <s v="Solde Honoraire Contrat N°42-OYO / Me Hélène /Cas NGATSONGO Fabrice/3643646"/>
    <x v="4"/>
    <s v="Legal"/>
    <m/>
    <n v="300000"/>
    <n v="29007443"/>
    <x v="4"/>
    <n v="3643646"/>
    <x v="2"/>
    <x v="1"/>
    <s v="CONGO"/>
    <m/>
    <s v="5.2.2"/>
    <m/>
  </r>
  <r>
    <d v="2022-04-13T00:00:00"/>
    <s v="Solde  honoraires contrat n°41/Brazzaville/maitre Scrutin cas NGATSE Serge /3643647"/>
    <x v="4"/>
    <s v="Legal"/>
    <m/>
    <n v="300000"/>
    <n v="28707443"/>
    <x v="4"/>
    <n v="3643647"/>
    <x v="2"/>
    <x v="1"/>
    <s v="CONGO"/>
    <m/>
    <s v="5.2.2"/>
    <m/>
  </r>
  <r>
    <d v="2022-04-14T00:00:00"/>
    <s v="GODFRE - CONGO Food Allowance du 14 au 16 Avril 2022 à Dolisie"/>
    <x v="6"/>
    <s v="Legal"/>
    <m/>
    <n v="20000"/>
    <n v="28687443"/>
    <x v="2"/>
    <s v="Décharge"/>
    <x v="1"/>
    <x v="1"/>
    <s v="CONGO"/>
    <m/>
    <s v="1.3.2"/>
    <m/>
  </r>
  <r>
    <d v="2022-04-14T00:00:00"/>
    <s v="Achat billet Aller/ Brazzaville-Dolisie/Godfre"/>
    <x v="7"/>
    <s v="Legal"/>
    <m/>
    <n v="10000"/>
    <n v="28677443"/>
    <x v="2"/>
    <s v="Oui"/>
    <x v="1"/>
    <x v="1"/>
    <s v="CONGO"/>
    <m/>
    <s v="2.2"/>
    <m/>
  </r>
  <r>
    <d v="2022-04-14T00:00:00"/>
    <s v="Achat produit pharmaceutiques pour detenu (MANGUILA ALEXIS)"/>
    <x v="3"/>
    <s v="Legal"/>
    <m/>
    <n v="58950"/>
    <n v="28618493"/>
    <x v="2"/>
    <s v="Oui"/>
    <x v="1"/>
    <x v="2"/>
    <s v="CONGO"/>
    <m/>
    <m/>
    <m/>
  </r>
  <r>
    <d v="2022-04-15T00:00:00"/>
    <s v="BCI-3654474/34"/>
    <x v="1"/>
    <m/>
    <n v="1000000"/>
    <m/>
    <n v="29618493"/>
    <x v="1"/>
    <m/>
    <x v="0"/>
    <x v="0"/>
    <s v="CONGO"/>
    <m/>
    <m/>
    <m/>
  </r>
  <r>
    <d v="2022-04-15T00:00:00"/>
    <s v="I23C"/>
    <x v="1"/>
    <m/>
    <m/>
    <n v="100000"/>
    <n v="29518493"/>
    <x v="1"/>
    <m/>
    <x v="0"/>
    <x v="0"/>
    <s v="CONGO"/>
    <m/>
    <m/>
    <m/>
  </r>
  <r>
    <d v="2022-04-15T00:00:00"/>
    <s v="P29"/>
    <x v="1"/>
    <m/>
    <m/>
    <n v="100000"/>
    <n v="29418493"/>
    <x v="1"/>
    <m/>
    <x v="0"/>
    <x v="0"/>
    <s v="CONGO"/>
    <m/>
    <m/>
    <m/>
  </r>
  <r>
    <d v="2022-04-15T00:00:00"/>
    <s v="Crépin"/>
    <x v="1"/>
    <m/>
    <m/>
    <n v="121000"/>
    <n v="29297493"/>
    <x v="1"/>
    <m/>
    <x v="0"/>
    <x v="0"/>
    <s v="CONGO"/>
    <m/>
    <m/>
    <m/>
  </r>
  <r>
    <d v="2022-04-15T00:00:00"/>
    <s v="Solde sur Entretien general Jardin/ Alain"/>
    <x v="9"/>
    <s v="Office"/>
    <m/>
    <n v="15000"/>
    <n v="29282493"/>
    <x v="1"/>
    <s v="Oui"/>
    <x v="1"/>
    <x v="2"/>
    <s v="CONGO"/>
    <m/>
    <m/>
    <m/>
  </r>
  <r>
    <d v="2022-04-15T00:00:00"/>
    <s v="Achat credit  teléphonique MTN/PALF/Deuxième partie Avril 2022/Legal volontaire"/>
    <x v="2"/>
    <s v="Legal"/>
    <m/>
    <n v="20000"/>
    <n v="29262493"/>
    <x v="1"/>
    <s v="Oui"/>
    <x v="1"/>
    <x v="2"/>
    <s v="CONGO"/>
    <m/>
    <m/>
    <m/>
  </r>
  <r>
    <d v="2022-04-15T00:00:00"/>
    <s v="Achat billet Brazzaville - Pointe Noire/I23C"/>
    <x v="7"/>
    <s v="Investigation"/>
    <m/>
    <n v="15000"/>
    <n v="29247493"/>
    <x v="8"/>
    <s v="Oui"/>
    <x v="1"/>
    <x v="1"/>
    <s v="CONGO"/>
    <m/>
    <s v="2.2"/>
    <m/>
  </r>
  <r>
    <d v="2022-04-15T00:00:00"/>
    <s v="Retrait especes/appro caisse/bord n°3654474"/>
    <x v="1"/>
    <m/>
    <m/>
    <n v="1000000"/>
    <n v="28247493"/>
    <x v="7"/>
    <m/>
    <x v="0"/>
    <x v="0"/>
    <s v="CONGO"/>
    <m/>
    <m/>
    <m/>
  </r>
  <r>
    <d v="2022-04-15T00:00:00"/>
    <s v="Cumul frais de Jails visits d'Avril 2022/Godfré"/>
    <x v="3"/>
    <s v="Legal"/>
    <m/>
    <n v="7000"/>
    <n v="28240493"/>
    <x v="2"/>
    <s v="Décharge"/>
    <x v="1"/>
    <x v="2"/>
    <s v="CONGO"/>
    <m/>
    <m/>
    <m/>
  </r>
  <r>
    <d v="2022-04-15T00:00:00"/>
    <s v="Réçu caisse"/>
    <x v="1"/>
    <m/>
    <n v="100000"/>
    <m/>
    <n v="28340493"/>
    <x v="8"/>
    <m/>
    <x v="0"/>
    <x v="0"/>
    <s v="CONGO"/>
    <m/>
    <m/>
    <m/>
  </r>
  <r>
    <d v="2022-04-15T00:00:00"/>
    <s v="Reçu de la caisse"/>
    <x v="1"/>
    <m/>
    <n v="121000"/>
    <m/>
    <n v="28461493"/>
    <x v="12"/>
    <m/>
    <x v="0"/>
    <x v="0"/>
    <s v="CONGO"/>
    <m/>
    <m/>
    <m/>
  </r>
  <r>
    <d v="2022-04-15T00:00:00"/>
    <s v="Reçu de caisse"/>
    <x v="1"/>
    <m/>
    <n v="100000"/>
    <m/>
    <n v="28561493"/>
    <x v="6"/>
    <m/>
    <x v="0"/>
    <x v="0"/>
    <s v="CONGO"/>
    <m/>
    <m/>
    <m/>
  </r>
  <r>
    <d v="2022-04-15T00:00:00"/>
    <s v="Reglement facture d'eau periode mars avril 2022/Bureau PALF"/>
    <x v="13"/>
    <s v="Office"/>
    <m/>
    <n v="12750"/>
    <n v="28548743"/>
    <x v="1"/>
    <s v="Oui"/>
    <x v="1"/>
    <x v="1"/>
    <s v="CONGO"/>
    <m/>
    <s v="4.4"/>
    <m/>
  </r>
  <r>
    <d v="2022-04-15T00:00:00"/>
    <s v="Achat credit  teléphonique MTN/PALF/Deuxième partie Avril 2022/Management"/>
    <x v="2"/>
    <s v="Management "/>
    <m/>
    <n v="15000"/>
    <n v="28533743"/>
    <x v="1"/>
    <s v="Oui"/>
    <x v="1"/>
    <x v="1"/>
    <s v="CONGO"/>
    <m/>
    <s v="4.6"/>
    <m/>
  </r>
  <r>
    <d v="2022-04-15T00:00:00"/>
    <s v="Achat credit  teléphonique MTN/PALF/Deuxième partie Avril 2022/Legal"/>
    <x v="2"/>
    <s v="Legal"/>
    <m/>
    <n v="15000"/>
    <n v="28518743"/>
    <x v="1"/>
    <s v="Oui"/>
    <x v="1"/>
    <x v="1"/>
    <s v="CONGO"/>
    <m/>
    <s v="4.6"/>
    <m/>
  </r>
  <r>
    <d v="2022-04-15T00:00:00"/>
    <s v="Achat credit  teléphonique MTN/PALF/Deuxième partie Avril 2022/Investigation"/>
    <x v="2"/>
    <s v="Investigation"/>
    <m/>
    <n v="20000"/>
    <n v="28498743"/>
    <x v="1"/>
    <s v="Oui"/>
    <x v="1"/>
    <x v="1"/>
    <s v="CONGO"/>
    <m/>
    <s v="4.6"/>
    <m/>
  </r>
  <r>
    <d v="2022-04-15T00:00:00"/>
    <s v="Achat credit  teléphonique MTN/PALF/Deuxième partie Avril 2022/Management"/>
    <x v="2"/>
    <s v="Media"/>
    <m/>
    <n v="10000"/>
    <n v="28488743"/>
    <x v="1"/>
    <s v="Oui"/>
    <x v="1"/>
    <x v="1"/>
    <s v="CONGO"/>
    <m/>
    <s v="4.6"/>
    <m/>
  </r>
  <r>
    <d v="2022-04-15T00:00:00"/>
    <s v="Achat credit  teléphonique Airtel/PALF/Deuxième partie Avril 2022/Management"/>
    <x v="2"/>
    <s v="Management "/>
    <m/>
    <n v="5000"/>
    <n v="28483743"/>
    <x v="1"/>
    <s v="Oui"/>
    <x v="1"/>
    <x v="1"/>
    <s v="CONGO"/>
    <m/>
    <s v="4.6"/>
    <m/>
  </r>
  <r>
    <d v="2022-04-15T00:00:00"/>
    <s v="Achat credit  teléphonique Airtel/PALF/Deuxième partie Avril 2022/Legal"/>
    <x v="2"/>
    <s v="Legal"/>
    <m/>
    <n v="5000"/>
    <n v="28478743"/>
    <x v="1"/>
    <s v="Oui"/>
    <x v="1"/>
    <x v="1"/>
    <s v="CONGO"/>
    <m/>
    <s v="4.6"/>
    <m/>
  </r>
  <r>
    <d v="2022-04-15T00:00:00"/>
    <s v="Achat credit  teléphonique Airtel/PALF/Deuxième partie Avril 2022/Investigation"/>
    <x v="2"/>
    <s v="Investigation"/>
    <m/>
    <n v="10000"/>
    <n v="28468743"/>
    <x v="1"/>
    <s v="Oui"/>
    <x v="1"/>
    <x v="1"/>
    <s v="CONGO"/>
    <m/>
    <s v="4.6"/>
    <m/>
  </r>
  <r>
    <d v="2022-04-16T00:00:00"/>
    <s v="GODFRE - CONGO Frais d'Hotel du 14 au 16 Avril 2022 à Dolisie"/>
    <x v="6"/>
    <s v="Legal"/>
    <m/>
    <n v="30000"/>
    <n v="28438743"/>
    <x v="2"/>
    <s v="Oui"/>
    <x v="1"/>
    <x v="1"/>
    <s v="CONGO"/>
    <m/>
    <s v="1.3.2"/>
    <m/>
  </r>
  <r>
    <d v="2022-04-16T00:00:00"/>
    <s v="Achat billet retour/Dolisie-Brazzaville/Godfre"/>
    <x v="7"/>
    <s v="Legal"/>
    <m/>
    <n v="10000"/>
    <n v="28428743"/>
    <x v="2"/>
    <s v="Oui"/>
    <x v="1"/>
    <x v="1"/>
    <s v="CONGO"/>
    <m/>
    <s v="2.2"/>
    <m/>
  </r>
  <r>
    <d v="2022-04-17T00:00:00"/>
    <s v="Achat billet Brazzaville - Makoua"/>
    <x v="7"/>
    <s v="Investigation"/>
    <m/>
    <n v="12000"/>
    <n v="28416743"/>
    <x v="6"/>
    <s v="Oui"/>
    <x v="1"/>
    <x v="1"/>
    <s v="CONGO"/>
    <m/>
    <s v="2.2"/>
    <m/>
  </r>
  <r>
    <d v="2022-04-18T00:00:00"/>
    <s v="I23C - CONGO Food allowance mission du 18 au 22 avril 2022"/>
    <x v="6"/>
    <s v="Investigation"/>
    <m/>
    <n v="40000"/>
    <n v="28376743"/>
    <x v="8"/>
    <s v="Décharge"/>
    <x v="1"/>
    <x v="1"/>
    <s v="CONGO"/>
    <m/>
    <s v="1.3.2"/>
    <m/>
  </r>
  <r>
    <d v="2022-04-18T00:00:00"/>
    <s v="P29 - CONGO Food allowance mission du 18 au 22-04-22"/>
    <x v="6"/>
    <s v="Investigation"/>
    <m/>
    <n v="40000"/>
    <n v="28336743"/>
    <x v="6"/>
    <s v="Decharge"/>
    <x v="1"/>
    <x v="1"/>
    <s v="CONGO"/>
    <m/>
    <s v="1.3.2"/>
    <m/>
  </r>
  <r>
    <d v="2022-04-18T00:00:00"/>
    <s v="Billet: Brazzaville-Pointe-Noire/Crepin"/>
    <x v="7"/>
    <s v="Management "/>
    <m/>
    <n v="15000"/>
    <n v="28321743"/>
    <x v="12"/>
    <s v="Oui"/>
    <x v="1"/>
    <x v="1"/>
    <s v="CONGO"/>
    <m/>
    <s v="2.2"/>
    <m/>
  </r>
  <r>
    <d v="2022-04-19T00:00:00"/>
    <s v="Paule"/>
    <x v="1"/>
    <m/>
    <m/>
    <n v="15000"/>
    <n v="28306743"/>
    <x v="1"/>
    <m/>
    <x v="0"/>
    <x v="0"/>
    <s v="CONGO"/>
    <m/>
    <m/>
    <m/>
  </r>
  <r>
    <d v="2022-04-19T00:00:00"/>
    <s v="Hurielle"/>
    <x v="1"/>
    <m/>
    <m/>
    <n v="15000"/>
    <n v="28291743"/>
    <x v="1"/>
    <m/>
    <x v="0"/>
    <x v="0"/>
    <s v="CONGO"/>
    <m/>
    <m/>
    <m/>
  </r>
  <r>
    <d v="2022-04-19T00:00:00"/>
    <s v="Godfré/Avance salaire"/>
    <x v="1"/>
    <m/>
    <m/>
    <n v="60000"/>
    <n v="28231743"/>
    <x v="1"/>
    <m/>
    <x v="0"/>
    <x v="0"/>
    <s v="CONGO"/>
    <m/>
    <m/>
    <m/>
  </r>
  <r>
    <d v="2022-04-19T00:00:00"/>
    <s v="Bonus media/ condamnation de deux trafiquant de produit faunique au TGI de Dolisie"/>
    <x v="10"/>
    <s v="Media"/>
    <m/>
    <n v="10000"/>
    <n v="28221743"/>
    <x v="1"/>
    <s v="Décharge"/>
    <x v="1"/>
    <x v="2"/>
    <s v="CONGO"/>
    <m/>
    <m/>
    <m/>
  </r>
  <r>
    <d v="2022-04-19T00:00:00"/>
    <s v="Reçu caisse"/>
    <x v="1"/>
    <m/>
    <n v="60000"/>
    <m/>
    <n v="28281743"/>
    <x v="2"/>
    <m/>
    <x v="0"/>
    <x v="0"/>
    <s v="CONGO"/>
    <m/>
    <m/>
    <m/>
  </r>
  <r>
    <d v="2022-04-19T00:00:00"/>
    <s v="Reçu caisse"/>
    <x v="1"/>
    <m/>
    <n v="15000"/>
    <m/>
    <n v="28296743"/>
    <x v="3"/>
    <m/>
    <x v="0"/>
    <x v="0"/>
    <s v="CONGO"/>
    <m/>
    <m/>
    <m/>
  </r>
  <r>
    <d v="2022-04-19T00:00:00"/>
    <s v="Reçu caisse"/>
    <x v="1"/>
    <m/>
    <n v="15000"/>
    <m/>
    <n v="28311743"/>
    <x v="5"/>
    <m/>
    <x v="0"/>
    <x v="0"/>
    <s v="CONGO"/>
    <m/>
    <m/>
    <m/>
  </r>
  <r>
    <d v="2022-04-20T00:00:00"/>
    <s v="P29 - CONGO Paiement de 2 nuitées du 18 au 20-04-22 Makoua"/>
    <x v="6"/>
    <s v="Investigation"/>
    <m/>
    <n v="30000"/>
    <n v="28281743"/>
    <x v="6"/>
    <s v="Oui"/>
    <x v="1"/>
    <x v="1"/>
    <s v="CONGO"/>
    <m/>
    <s v="1.3.2"/>
    <m/>
  </r>
  <r>
    <d v="2022-04-20T00:00:00"/>
    <s v="Achat billet makoua-gamboma/P29"/>
    <x v="7"/>
    <s v="Investigation"/>
    <m/>
    <n v="10000"/>
    <n v="28271743"/>
    <x v="6"/>
    <s v="Oui"/>
    <x v="1"/>
    <x v="1"/>
    <s v="CONGO"/>
    <m/>
    <s v="2.2"/>
    <m/>
  </r>
  <r>
    <d v="2022-04-20T00:00:00"/>
    <s v="P29"/>
    <x v="1"/>
    <m/>
    <m/>
    <n v="53000"/>
    <n v="28218743"/>
    <x v="1"/>
    <m/>
    <x v="0"/>
    <x v="0"/>
    <s v="CONGO"/>
    <m/>
    <m/>
    <m/>
  </r>
  <r>
    <d v="2022-04-20T00:00:00"/>
    <s v="I23C"/>
    <x v="1"/>
    <m/>
    <m/>
    <n v="68000"/>
    <n v="28150743"/>
    <x v="1"/>
    <m/>
    <x v="0"/>
    <x v="0"/>
    <s v="CONGO"/>
    <m/>
    <m/>
    <m/>
  </r>
  <r>
    <d v="2022-04-20T00:00:00"/>
    <s v="Crépin"/>
    <x v="1"/>
    <m/>
    <m/>
    <n v="170000"/>
    <n v="27980743"/>
    <x v="1"/>
    <m/>
    <x v="0"/>
    <x v="0"/>
    <s v="CONGO"/>
    <m/>
    <m/>
    <m/>
  </r>
  <r>
    <d v="2022-04-20T00:00:00"/>
    <s v="Bonus media/audience du 20 avril 2022 au TGI de Brazzaville"/>
    <x v="10"/>
    <s v="Media"/>
    <m/>
    <n v="29000"/>
    <n v="27951743"/>
    <x v="1"/>
    <s v="Décharge"/>
    <x v="1"/>
    <x v="2"/>
    <s v="CONGO"/>
    <m/>
    <m/>
    <m/>
  </r>
  <r>
    <d v="2022-04-20T00:00:00"/>
    <s v="Evariste"/>
    <x v="1"/>
    <m/>
    <m/>
    <n v="15000"/>
    <n v="27936743"/>
    <x v="1"/>
    <m/>
    <x v="0"/>
    <x v="0"/>
    <s v="CONGO"/>
    <m/>
    <m/>
    <m/>
  </r>
  <r>
    <d v="2022-04-20T00:00:00"/>
    <s v="Réçu caisse"/>
    <x v="1"/>
    <m/>
    <n v="68000"/>
    <m/>
    <n v="28004743"/>
    <x v="8"/>
    <m/>
    <x v="0"/>
    <x v="0"/>
    <s v="CONGO"/>
    <m/>
    <m/>
    <m/>
  </r>
  <r>
    <d v="2022-04-19T00:00:00"/>
    <s v="CREPIN - CONGO Food Allowance du 19 au 23 avril à Pointe-Noire"/>
    <x v="6"/>
    <s v="Management "/>
    <m/>
    <n v="40000"/>
    <n v="27964743"/>
    <x v="12"/>
    <s v="Décharge"/>
    <x v="1"/>
    <x v="1"/>
    <s v="CONGO"/>
    <m/>
    <s v="1.3.2"/>
    <m/>
  </r>
  <r>
    <d v="2022-04-20T00:00:00"/>
    <s v="Reçu de la caisse"/>
    <x v="1"/>
    <m/>
    <n v="170000"/>
    <m/>
    <n v="28134743"/>
    <x v="12"/>
    <m/>
    <x v="0"/>
    <x v="0"/>
    <s v="CONGO"/>
    <m/>
    <m/>
    <m/>
  </r>
  <r>
    <d v="2022-04-20T00:00:00"/>
    <s v="Reçu de la caisse"/>
    <x v="1"/>
    <m/>
    <n v="15000"/>
    <m/>
    <n v="28149743"/>
    <x v="11"/>
    <m/>
    <x v="0"/>
    <x v="0"/>
    <s v="CONGO"/>
    <m/>
    <m/>
    <m/>
  </r>
  <r>
    <d v="2022-04-20T00:00:00"/>
    <s v="Reçu de caisse"/>
    <x v="1"/>
    <m/>
    <n v="53000"/>
    <m/>
    <n v="28202743"/>
    <x v="6"/>
    <m/>
    <x v="0"/>
    <x v="0"/>
    <s v="CONGO"/>
    <m/>
    <m/>
    <m/>
  </r>
  <r>
    <d v="2022-04-20T00:00:00"/>
    <s v="Frais de transfert charden farell à I23C et P29"/>
    <x v="11"/>
    <s v="Office"/>
    <m/>
    <n v="8730"/>
    <n v="28194013"/>
    <x v="1"/>
    <s v="Oui"/>
    <x v="2"/>
    <x v="1"/>
    <s v="CONGO"/>
    <m/>
    <s v="5.6"/>
    <m/>
  </r>
  <r>
    <d v="2022-04-21T00:00:00"/>
    <s v="Taxi Pointe Noire - Nzassi (départ pour Nzassi)/I23C"/>
    <x v="7"/>
    <s v="Investigation"/>
    <m/>
    <n v="5000"/>
    <n v="28189013"/>
    <x v="8"/>
    <s v="Oui"/>
    <x v="1"/>
    <x v="1"/>
    <s v="CONGO"/>
    <m/>
    <s v="2.2"/>
    <m/>
  </r>
  <r>
    <d v="2022-04-21T00:00:00"/>
    <s v="Achat billet Pointe Noire - Brazzaville/I23C"/>
    <x v="7"/>
    <s v="Investigation"/>
    <m/>
    <n v="15000"/>
    <n v="28174013"/>
    <x v="8"/>
    <s v="Oui"/>
    <x v="1"/>
    <x v="1"/>
    <s v="CONGO"/>
    <m/>
    <s v="2.2"/>
    <m/>
  </r>
  <r>
    <d v="2022-04-20T00:00:00"/>
    <s v="Frais de l'impression de 3 pages du mandat d'arrêt en couleur"/>
    <x v="12"/>
    <s v="Operation"/>
    <m/>
    <n v="900"/>
    <n v="28173113"/>
    <x v="12"/>
    <s v="Oui"/>
    <x v="1"/>
    <x v="2"/>
    <s v="CONGO"/>
    <m/>
    <m/>
    <m/>
  </r>
  <r>
    <d v="2022-04-21T00:00:00"/>
    <s v="Achat carburant de la BJ qui avait servi à l'opération"/>
    <x v="7"/>
    <s v="Operation"/>
    <m/>
    <n v="50000"/>
    <n v="28123113"/>
    <x v="12"/>
    <s v="Oui"/>
    <x v="1"/>
    <x v="2"/>
    <s v="CONGO"/>
    <m/>
    <m/>
    <m/>
  </r>
  <r>
    <d v="2022-04-21T00:00:00"/>
    <s v="Frais d'Expédition des documents _ Mondat d'arrêt de Landry (ACC)"/>
    <x v="14"/>
    <s v="Legal"/>
    <m/>
    <n v="1500"/>
    <n v="28121613"/>
    <x v="13"/>
    <s v="Oui"/>
    <x v="1"/>
    <x v="2"/>
    <s v="CONGO"/>
    <m/>
    <m/>
    <m/>
  </r>
  <r>
    <d v="2022-04-21T00:00:00"/>
    <s v="Frais de location du taxi aller et retour pour à Nzassi et la période d'attente"/>
    <x v="7"/>
    <s v="Operation"/>
    <m/>
    <n v="16000"/>
    <n v="28105613"/>
    <x v="12"/>
    <s v="Oui"/>
    <x v="1"/>
    <x v="2"/>
    <s v="CONGO"/>
    <m/>
    <m/>
    <m/>
  </r>
  <r>
    <d v="2022-04-21T00:00:00"/>
    <s v="Raffraichissement pour 11 gendarmes et 1 angent PALF en attendant le top de l'opération"/>
    <x v="6"/>
    <s v="Operation"/>
    <m/>
    <n v="7300"/>
    <n v="28098313"/>
    <x v="12"/>
    <s v="Oui"/>
    <x v="1"/>
    <x v="2"/>
    <s v="CONGO"/>
    <m/>
    <m/>
    <m/>
  </r>
  <r>
    <d v="2022-04-22T00:00:00"/>
    <s v="I23C - CONGO Paiement 4 nuitées du 18 au 22 avril 2022 Pointe Noire"/>
    <x v="6"/>
    <s v="Investigation"/>
    <m/>
    <n v="60000"/>
    <n v="28038313"/>
    <x v="8"/>
    <s v="Oui"/>
    <x v="1"/>
    <x v="1"/>
    <s v="CONGO"/>
    <m/>
    <s v="1.3.2"/>
    <m/>
  </r>
  <r>
    <d v="2022-04-22T00:00:00"/>
    <s v="P29 - CONGO Paiement de 2 nuitées du 20 au 22-04-22 Gamboma"/>
    <x v="6"/>
    <s v="Investigation"/>
    <m/>
    <n v="30000"/>
    <n v="28008313"/>
    <x v="6"/>
    <s v="Oui"/>
    <x v="1"/>
    <x v="1"/>
    <s v="CONGO"/>
    <m/>
    <s v="1.3.2"/>
    <m/>
  </r>
  <r>
    <d v="2022-04-21T00:00:00"/>
    <s v="Bonus de 11 gendarmes"/>
    <x v="10"/>
    <s v="Operation"/>
    <m/>
    <n v="110000"/>
    <n v="27898313"/>
    <x v="12"/>
    <s v="Oui"/>
    <x v="1"/>
    <x v="2"/>
    <s v="CONGO"/>
    <m/>
    <m/>
    <m/>
  </r>
  <r>
    <d v="2022-04-22T00:00:00"/>
    <s v="Achat billet gamboma-brazzaville/P29"/>
    <x v="7"/>
    <s v="Investigation"/>
    <m/>
    <n v="8000"/>
    <n v="27890313"/>
    <x v="6"/>
    <s v="Oui"/>
    <x v="1"/>
    <x v="1"/>
    <s v="CONGO"/>
    <m/>
    <s v="2.2"/>
    <m/>
  </r>
  <r>
    <d v="2022-04-22T00:00:00"/>
    <s v="Crépin"/>
    <x v="1"/>
    <m/>
    <m/>
    <n v="45000"/>
    <n v="27845313"/>
    <x v="1"/>
    <m/>
    <x v="0"/>
    <x v="0"/>
    <s v="CONGO"/>
    <m/>
    <m/>
    <m/>
  </r>
  <r>
    <d v="2022-04-22T00:00:00"/>
    <s v="Hurielle"/>
    <x v="1"/>
    <m/>
    <m/>
    <n v="3000"/>
    <n v="27842313"/>
    <x v="1"/>
    <m/>
    <x v="0"/>
    <x v="0"/>
    <s v="CONGO"/>
    <m/>
    <m/>
    <m/>
  </r>
  <r>
    <d v="2022-04-22T00:00:00"/>
    <s v="Godfre"/>
    <x v="1"/>
    <m/>
    <m/>
    <n v="92000"/>
    <n v="27750313"/>
    <x v="1"/>
    <m/>
    <x v="0"/>
    <x v="0"/>
    <s v="CONGO"/>
    <m/>
    <m/>
    <m/>
  </r>
  <r>
    <d v="2022-04-22T00:00:00"/>
    <s v="Reçu caisse"/>
    <x v="1"/>
    <m/>
    <n v="92000"/>
    <m/>
    <n v="27842313"/>
    <x v="2"/>
    <m/>
    <x v="0"/>
    <x v="0"/>
    <s v="CONGO"/>
    <m/>
    <m/>
    <m/>
  </r>
  <r>
    <d v="2022-04-22T00:00:00"/>
    <s v="Reçu de caisse"/>
    <x v="1"/>
    <m/>
    <n v="45000"/>
    <m/>
    <n v="27887313"/>
    <x v="12"/>
    <m/>
    <x v="0"/>
    <x v="0"/>
    <s v="CONGO"/>
    <m/>
    <m/>
    <m/>
  </r>
  <r>
    <d v="2022-04-22T00:00:00"/>
    <s v="Reçu caisse"/>
    <x v="1"/>
    <m/>
    <n v="3000"/>
    <m/>
    <n v="27890313"/>
    <x v="5"/>
    <m/>
    <x v="0"/>
    <x v="0"/>
    <s v="CONGO"/>
    <m/>
    <m/>
    <m/>
  </r>
  <r>
    <d v="2022-04-22T00:00:00"/>
    <s v="Cumul frais de Jail Visits du mois d'Avril 2022/Hurielle"/>
    <x v="3"/>
    <s v="Legal"/>
    <m/>
    <n v="4000"/>
    <n v="27886313"/>
    <x v="5"/>
    <s v="Décharge"/>
    <x v="1"/>
    <x v="2"/>
    <s v="CONGO"/>
    <m/>
    <m/>
    <m/>
  </r>
  <r>
    <d v="2022-04-22T00:00:00"/>
    <s v="Frais de mission Me Anicet  MOUSSAHOU-GOMA  à Pointe Noire du 25 au 27 Avril  2022"/>
    <x v="4"/>
    <s v="Legal"/>
    <m/>
    <n v="111000"/>
    <n v="27775313"/>
    <x v="1"/>
    <s v="Oui"/>
    <x v="2"/>
    <x v="1"/>
    <s v="CONGO"/>
    <m/>
    <s v="5.2.2"/>
    <m/>
  </r>
  <r>
    <d v="2022-04-22T00:00:00"/>
    <s v="Frais de transfert charden farell à Crepin"/>
    <x v="11"/>
    <s v="Office"/>
    <m/>
    <n v="1350"/>
    <n v="27773963"/>
    <x v="1"/>
    <s v="Oui"/>
    <x v="2"/>
    <x v="1"/>
    <s v="CONGO"/>
    <m/>
    <s v="5.6"/>
    <m/>
  </r>
  <r>
    <d v="2022-04-22T00:00:00"/>
    <s v="Billet: Pointe Noire-Brazzaville /Crepin"/>
    <x v="7"/>
    <s v="Management "/>
    <m/>
    <n v="15000"/>
    <n v="27758963"/>
    <x v="12"/>
    <s v="Oui"/>
    <x v="1"/>
    <x v="1"/>
    <s v="CONGO"/>
    <m/>
    <s v="2.2"/>
    <m/>
  </r>
  <r>
    <d v="2022-04-23T00:00:00"/>
    <s v="CREPIN - CONGO Frais d'Hotel 04 Nuitées du 19 au 23 avril à Pointe-Noire"/>
    <x v="6"/>
    <s v="Management "/>
    <m/>
    <n v="60000"/>
    <n v="27698963"/>
    <x v="12"/>
    <s v="Oui"/>
    <x v="1"/>
    <x v="1"/>
    <s v="CONGO"/>
    <m/>
    <s v="1.3.2"/>
    <m/>
  </r>
  <r>
    <d v="2022-04-24T00:00:00"/>
    <s v="Achat billet aller(Brazzaville-Pointe-Noire)/Godfré"/>
    <x v="7"/>
    <s v="Legal"/>
    <m/>
    <n v="15000"/>
    <n v="27683963"/>
    <x v="2"/>
    <s v="Oui"/>
    <x v="1"/>
    <x v="1"/>
    <s v="CONGO"/>
    <m/>
    <s v="2.2"/>
    <m/>
  </r>
  <r>
    <d v="2022-04-25T00:00:00"/>
    <s v="Paiement salaire mois d'Avril 2022/Tiffany GOBERT"/>
    <x v="8"/>
    <s v="Management "/>
    <m/>
    <n v="1311914"/>
    <n v="26372049"/>
    <x v="4"/>
    <n v="3643653"/>
    <x v="2"/>
    <x v="1"/>
    <s v="CONGO"/>
    <m/>
    <s v="1.1.1.1"/>
    <m/>
  </r>
  <r>
    <d v="2022-04-25T00:00:00"/>
    <s v="Paiement salaire mois d'Avril 2022/Evariste LELOUSSI"/>
    <x v="8"/>
    <s v="Media"/>
    <m/>
    <n v="234309"/>
    <n v="26137740"/>
    <x v="4"/>
    <n v="3643652"/>
    <x v="2"/>
    <x v="1"/>
    <s v="CONGO"/>
    <m/>
    <s v="1.1.1.4"/>
    <m/>
  </r>
  <r>
    <d v="2022-04-25T00:00:00"/>
    <s v="Paiement salaire mois d'Avril 2022/MALONGA Godfre"/>
    <x v="8"/>
    <s v="Legal"/>
    <m/>
    <n v="193600"/>
    <n v="25944140"/>
    <x v="4"/>
    <n v="3643650"/>
    <x v="2"/>
    <x v="1"/>
    <s v="CONGO"/>
    <m/>
    <s v="1.1.1.7"/>
    <m/>
  </r>
  <r>
    <d v="2022-04-25T00:00:00"/>
    <s v="Paiement salaire mois d'Avril 2022/IBOUILI IBOUILI Crepin"/>
    <x v="8"/>
    <s v="Legal"/>
    <m/>
    <n v="357982"/>
    <n v="25586158"/>
    <x v="4"/>
    <n v="3643649"/>
    <x v="2"/>
    <x v="1"/>
    <s v="CONGO"/>
    <m/>
    <s v="1.1.1.7"/>
    <m/>
  </r>
  <r>
    <d v="2022-04-25T00:00:00"/>
    <s v="Paiement salaire mois d'Avril 2022/Merveille MAHANGA"/>
    <x v="8"/>
    <s v="Management "/>
    <m/>
    <n v="300000"/>
    <n v="25286158"/>
    <x v="4"/>
    <n v="3643651"/>
    <x v="2"/>
    <x v="1"/>
    <s v="CONGO"/>
    <m/>
    <s v="1.1.2.1"/>
    <m/>
  </r>
  <r>
    <d v="2022-04-25T00:00:00"/>
    <s v="Paiement salaire mois d'Avril 2022/MOLENDE Grace"/>
    <x v="8"/>
    <s v="Management "/>
    <m/>
    <n v="350000"/>
    <n v="24936158"/>
    <x v="4"/>
    <s v="Virement"/>
    <x v="2"/>
    <x v="1"/>
    <s v="CONGO"/>
    <m/>
    <s v="1.1.2.1"/>
    <m/>
  </r>
  <r>
    <d v="2022-04-25T00:00:00"/>
    <s v="GODFRE - CONGO Food Allowance du 25 au 27 Avril 2022"/>
    <x v="6"/>
    <s v="Legal"/>
    <m/>
    <n v="20000"/>
    <n v="24916158"/>
    <x v="2"/>
    <s v="Décharge"/>
    <x v="1"/>
    <x v="1"/>
    <s v="CONGO"/>
    <m/>
    <s v="1.3.2"/>
    <m/>
  </r>
  <r>
    <d v="2022-04-25T00:00:00"/>
    <s v="Cumul frais de transport local mois de Avril 2022/Merveille"/>
    <x v="7"/>
    <s v="Management "/>
    <m/>
    <n v="20000"/>
    <n v="24896158"/>
    <x v="10"/>
    <s v="Décharge"/>
    <x v="1"/>
    <x v="1"/>
    <s v="CONGO"/>
    <m/>
    <s v="2.2"/>
    <m/>
  </r>
  <r>
    <d v="2022-04-25T00:00:00"/>
    <s v="Achat billet Brazzaville-Dolisie (mission pour Dolisie)/I23C"/>
    <x v="7"/>
    <s v="Investigation"/>
    <m/>
    <n v="10000"/>
    <n v="24886158"/>
    <x v="8"/>
    <s v="Oui"/>
    <x v="1"/>
    <x v="1"/>
    <s v="CONGO"/>
    <m/>
    <s v="2.2"/>
    <m/>
  </r>
  <r>
    <d v="2022-04-25T00:00:00"/>
    <s v="Billet: Brazzaville-Oyo /crepin"/>
    <x v="7"/>
    <s v="Management "/>
    <m/>
    <n v="7000"/>
    <n v="24879158"/>
    <x v="12"/>
    <s v="Oui"/>
    <x v="1"/>
    <x v="1"/>
    <s v="CONGO"/>
    <m/>
    <s v="2.2"/>
    <m/>
  </r>
  <r>
    <d v="2022-04-25T00:00:00"/>
    <s v="BCI-3654474/34"/>
    <x v="1"/>
    <m/>
    <n v="2000000"/>
    <m/>
    <n v="26879158"/>
    <x v="1"/>
    <m/>
    <x v="0"/>
    <x v="0"/>
    <s v="CONGO"/>
    <m/>
    <m/>
    <m/>
  </r>
  <r>
    <d v="2022-04-25T00:00:00"/>
    <s v="Paule"/>
    <x v="1"/>
    <m/>
    <m/>
    <n v="15000"/>
    <n v="26864158"/>
    <x v="1"/>
    <m/>
    <x v="0"/>
    <x v="0"/>
    <s v="CONGO"/>
    <m/>
    <m/>
    <m/>
  </r>
  <r>
    <d v="2022-04-25T00:00:00"/>
    <s v="Hurielle"/>
    <x v="1"/>
    <m/>
    <m/>
    <n v="15000"/>
    <n v="26849158"/>
    <x v="1"/>
    <m/>
    <x v="0"/>
    <x v="0"/>
    <s v="CONGO"/>
    <m/>
    <m/>
    <m/>
  </r>
  <r>
    <d v="2022-04-25T00:00:00"/>
    <s v="P29"/>
    <x v="1"/>
    <m/>
    <m/>
    <n v="138000"/>
    <n v="26711158"/>
    <x v="1"/>
    <m/>
    <x v="0"/>
    <x v="0"/>
    <s v="CONGO"/>
    <m/>
    <m/>
    <m/>
  </r>
  <r>
    <d v="2022-04-25T00:00:00"/>
    <s v="Crépin"/>
    <x v="1"/>
    <m/>
    <m/>
    <n v="126000"/>
    <n v="26585158"/>
    <x v="1"/>
    <m/>
    <x v="0"/>
    <x v="0"/>
    <s v="CONGO"/>
    <m/>
    <m/>
    <m/>
  </r>
  <r>
    <d v="2022-04-25T00:00:00"/>
    <s v="I23C"/>
    <x v="1"/>
    <m/>
    <m/>
    <n v="83000"/>
    <n v="26502158"/>
    <x v="1"/>
    <m/>
    <x v="0"/>
    <x v="0"/>
    <s v="CONGO"/>
    <m/>
    <m/>
    <m/>
  </r>
  <r>
    <d v="2022-04-25T00:00:00"/>
    <s v="Bonus media/reinsertion un condamné à la maison d'arret de Pointe-Noire le 21 Avril 2022"/>
    <x v="10"/>
    <s v="Media"/>
    <m/>
    <n v="29000"/>
    <n v="26473158"/>
    <x v="1"/>
    <s v="Décharge"/>
    <x v="1"/>
    <x v="2"/>
    <s v="CONGO"/>
    <m/>
    <m/>
    <m/>
  </r>
  <r>
    <d v="2022-04-25T00:00:00"/>
    <s v="Bonus media/audience du 25 Avril 2022 à Pointe - Noire"/>
    <x v="10"/>
    <s v="Media"/>
    <m/>
    <n v="29000"/>
    <n v="26444158"/>
    <x v="1"/>
    <s v="Décharge"/>
    <x v="1"/>
    <x v="2"/>
    <s v="CONGO"/>
    <m/>
    <m/>
    <m/>
  </r>
  <r>
    <d v="2022-04-25T00:00:00"/>
    <s v="Reglement prestation Entretien bureau Mois d'Avril   2022/Odile"/>
    <x v="9"/>
    <s v="Office"/>
    <m/>
    <n v="75625"/>
    <n v="26368533"/>
    <x v="1"/>
    <s v="Oui"/>
    <x v="1"/>
    <x v="2"/>
    <s v="CONGO"/>
    <m/>
    <m/>
    <m/>
  </r>
  <r>
    <d v="2022-04-25T00:00:00"/>
    <s v="Bonus Operation à pointe Noire /Crépin"/>
    <x v="10"/>
    <s v="Operation"/>
    <m/>
    <n v="30000"/>
    <n v="26338533"/>
    <x v="1"/>
    <s v="Décharge"/>
    <x v="1"/>
    <x v="2"/>
    <s v="CONGO"/>
    <m/>
    <m/>
    <m/>
  </r>
  <r>
    <d v="2022-04-25T00:00:00"/>
    <s v="Bonus mois de mars 2022/Crépin"/>
    <x v="10"/>
    <s v="Legal"/>
    <m/>
    <n v="20000"/>
    <n v="26318533"/>
    <x v="1"/>
    <s v="Décharge"/>
    <x v="1"/>
    <x v="2"/>
    <s v="CONGO"/>
    <m/>
    <m/>
    <m/>
  </r>
  <r>
    <d v="2022-04-25T00:00:00"/>
    <s v="Bonus mois de mars 2022/Evariste"/>
    <x v="10"/>
    <s v="Media"/>
    <m/>
    <n v="20000"/>
    <n v="26298533"/>
    <x v="1"/>
    <s v="Décharge"/>
    <x v="1"/>
    <x v="2"/>
    <s v="CONGO"/>
    <m/>
    <m/>
    <m/>
  </r>
  <r>
    <d v="2022-04-25T00:00:00"/>
    <s v="Retrait especes/appro caisse/bord n°3654478"/>
    <x v="1"/>
    <m/>
    <m/>
    <n v="2000000"/>
    <n v="24298533"/>
    <x v="7"/>
    <m/>
    <x v="0"/>
    <x v="0"/>
    <s v="CONGO"/>
    <m/>
    <m/>
    <m/>
  </r>
  <r>
    <d v="2022-04-25T00:00:00"/>
    <s v="Achat 04 cartouches d'encre hp 305 noire et couleur"/>
    <x v="12"/>
    <s v="Office"/>
    <m/>
    <n v="40000"/>
    <n v="24258533"/>
    <x v="1"/>
    <s v="Oui"/>
    <x v="1"/>
    <x v="1"/>
    <s v="CONGO"/>
    <m/>
    <s v="4.3"/>
    <m/>
  </r>
  <r>
    <d v="2022-04-25T00:00:00"/>
    <s v="Reglément Facture Congo Telecom Redevance Avril 2022"/>
    <x v="15"/>
    <s v="Office"/>
    <m/>
    <n v="89175"/>
    <n v="24169358"/>
    <x v="1"/>
    <s v="Oui"/>
    <x v="1"/>
    <x v="1"/>
    <s v="CONGO"/>
    <m/>
    <s v="4.5"/>
    <m/>
  </r>
  <r>
    <d v="2022-04-25T00:00:00"/>
    <s v="Achat Dateur (Founiture Bureau)"/>
    <x v="12"/>
    <s v="Management "/>
    <m/>
    <n v="1000"/>
    <n v="24168358"/>
    <x v="13"/>
    <s v="Oui"/>
    <x v="1"/>
    <x v="2"/>
    <s v="CONGO"/>
    <m/>
    <m/>
    <m/>
  </r>
  <r>
    <d v="2022-04-25T00:00:00"/>
    <s v="Réçu caisse"/>
    <x v="1"/>
    <m/>
    <n v="83000"/>
    <m/>
    <n v="24251358"/>
    <x v="8"/>
    <m/>
    <x v="0"/>
    <x v="0"/>
    <s v="CONGO"/>
    <m/>
    <m/>
    <m/>
  </r>
  <r>
    <d v="2022-04-25T00:00:00"/>
    <s v="Reçu de caisse"/>
    <x v="1"/>
    <m/>
    <n v="126000"/>
    <m/>
    <n v="24377358"/>
    <x v="12"/>
    <m/>
    <x v="0"/>
    <x v="0"/>
    <s v="CONGO"/>
    <m/>
    <m/>
    <m/>
  </r>
  <r>
    <d v="2022-04-25T00:00:00"/>
    <s v="Reçu caisse"/>
    <x v="1"/>
    <m/>
    <n v="15000"/>
    <m/>
    <n v="24392358"/>
    <x v="3"/>
    <m/>
    <x v="0"/>
    <x v="0"/>
    <s v="CONGO"/>
    <m/>
    <m/>
    <m/>
  </r>
  <r>
    <d v="2022-04-25T00:00:00"/>
    <s v="Reçu caisse"/>
    <x v="1"/>
    <m/>
    <n v="15000"/>
    <m/>
    <n v="24407358"/>
    <x v="5"/>
    <m/>
    <x v="0"/>
    <x v="0"/>
    <s v="CONGO"/>
    <m/>
    <m/>
    <m/>
  </r>
  <r>
    <d v="2022-04-25T00:00:00"/>
    <s v="Recu de caisse"/>
    <x v="1"/>
    <m/>
    <n v="138000"/>
    <m/>
    <n v="24545358"/>
    <x v="6"/>
    <m/>
    <x v="0"/>
    <x v="0"/>
    <s v="CONGO"/>
    <m/>
    <m/>
    <m/>
  </r>
  <r>
    <d v="2022-04-25T00:00:00"/>
    <s v="Frais de mission maitre Hélène NANITELAMIO à oyo du 27 au 29/04/2022"/>
    <x v="4"/>
    <s v="Legal"/>
    <m/>
    <n v="70000"/>
    <n v="24475358"/>
    <x v="1"/>
    <s v="Oui"/>
    <x v="2"/>
    <x v="1"/>
    <s v="CONGO"/>
    <m/>
    <s v="5.2.2"/>
    <m/>
  </r>
  <r>
    <d v="2022-04-26T00:00:00"/>
    <s v="P29 - CONGO Food allowance mission du 26 au 28-04-2022"/>
    <x v="6"/>
    <s v="Investigation"/>
    <m/>
    <n v="20000"/>
    <n v="24455358"/>
    <x v="6"/>
    <s v="Decharge"/>
    <x v="1"/>
    <x v="1"/>
    <s v="CONGO"/>
    <m/>
    <s v="1.3.2"/>
    <m/>
  </r>
  <r>
    <d v="2022-04-26T00:00:00"/>
    <s v="Achat billet brazzaville-djambala/P29"/>
    <x v="7"/>
    <s v="Investigation"/>
    <m/>
    <n v="6000"/>
    <n v="24449358"/>
    <x v="6"/>
    <s v="Oui"/>
    <x v="1"/>
    <x v="1"/>
    <s v="CONGO"/>
    <m/>
    <s v="2.2"/>
    <m/>
  </r>
  <r>
    <d v="2022-04-26T00:00:00"/>
    <s v="I23C - CONGO Food allowance mission Dolisie du 26 au 28 avril 2022"/>
    <x v="6"/>
    <s v="Investigation"/>
    <m/>
    <n v="20000"/>
    <n v="24429358"/>
    <x v="8"/>
    <s v="Décharge"/>
    <x v="1"/>
    <x v="1"/>
    <s v="CONGO"/>
    <m/>
    <s v="1.3.2"/>
    <m/>
  </r>
  <r>
    <d v="2022-04-26T00:00:00"/>
    <s v="Cumul Frais de Transport Local mois d'Avril 2022/Tiffany"/>
    <x v="7"/>
    <s v="Management "/>
    <m/>
    <n v="6000"/>
    <n v="24423358"/>
    <x v="9"/>
    <s v="Décharge"/>
    <x v="1"/>
    <x v="1"/>
    <s v="CONGO"/>
    <m/>
    <s v="2.2"/>
    <m/>
  </r>
  <r>
    <d v="2022-04-26T00:00:00"/>
    <s v="Achat imprimante EPSON/bureau"/>
    <x v="16"/>
    <s v="Office"/>
    <m/>
    <n v="150000"/>
    <n v="24273358"/>
    <x v="1"/>
    <s v="Oui"/>
    <x v="2"/>
    <x v="1"/>
    <s v="CONGO"/>
    <m/>
    <s v="3.2"/>
    <m/>
  </r>
  <r>
    <d v="2022-04-26T00:00:00"/>
    <s v="Paiement frais d'execution du mandat d'amener"/>
    <x v="17"/>
    <s v="Legal"/>
    <m/>
    <n v="30000"/>
    <n v="24243358"/>
    <x v="2"/>
    <s v="Oui"/>
    <x v="1"/>
    <x v="2"/>
    <s v="CONGO"/>
    <m/>
    <m/>
    <m/>
  </r>
  <r>
    <d v="2022-04-27T00:00:00"/>
    <s v="GODFRE - CONGO Frais d'hôtel du 25 au 27 à PNR"/>
    <x v="6"/>
    <s v="Legal"/>
    <m/>
    <n v="30000"/>
    <n v="24213358"/>
    <x v="2"/>
    <s v="Oui"/>
    <x v="1"/>
    <x v="1"/>
    <s v="CONGO"/>
    <m/>
    <s v="1.3.2"/>
    <m/>
  </r>
  <r>
    <d v="2022-04-27T00:00:00"/>
    <s v="Cumul frais de transport local d'Avril 2022/Godfré"/>
    <x v="7"/>
    <s v="Legal"/>
    <m/>
    <n v="40200"/>
    <n v="24173158"/>
    <x v="2"/>
    <s v="Décharge"/>
    <x v="1"/>
    <x v="1"/>
    <s v="CONGO"/>
    <m/>
    <s v="2.2"/>
    <m/>
  </r>
  <r>
    <d v="2022-04-27T00:00:00"/>
    <s v="Achat billet retour/Pointe Noire-Brazzaville/Godfre"/>
    <x v="7"/>
    <s v="Legal"/>
    <m/>
    <n v="15000"/>
    <n v="24158158"/>
    <x v="2"/>
    <s v="Oui"/>
    <x v="1"/>
    <x v="1"/>
    <s v="CONGO"/>
    <m/>
    <s v="2.2"/>
    <m/>
  </r>
  <r>
    <d v="2022-04-27T00:00:00"/>
    <s v="Achat billet Dolisie-Brazzaville (retour à Brazzaville)/I23C"/>
    <x v="7"/>
    <s v="Investigation"/>
    <m/>
    <n v="10000"/>
    <n v="24148158"/>
    <x v="8"/>
    <s v="Oui"/>
    <x v="1"/>
    <x v="1"/>
    <s v="CONGO"/>
    <m/>
    <s v="2.2"/>
    <m/>
  </r>
  <r>
    <d v="2022-04-27T00:00:00"/>
    <s v="Cumul frais trust Bulding mois d'Avril/I23C"/>
    <x v="18"/>
    <s v="Investigation"/>
    <m/>
    <n v="40000"/>
    <n v="24108158"/>
    <x v="8"/>
    <s v="Décharge"/>
    <x v="1"/>
    <x v="2"/>
    <s v="CONGO"/>
    <m/>
    <m/>
    <m/>
  </r>
  <r>
    <d v="2022-04-27T00:00:00"/>
    <s v="Cumul frais de Trust Building mois d'Avril 2022/P29"/>
    <x v="18"/>
    <s v="Investigation"/>
    <m/>
    <n v="42000"/>
    <n v="24066158"/>
    <x v="6"/>
    <s v="Decharge"/>
    <x v="1"/>
    <x v="2"/>
    <s v="CONGO"/>
    <m/>
    <m/>
    <m/>
  </r>
  <r>
    <d v="2022-04-27T00:00:00"/>
    <s v="Achat Credit + Carte Sim"/>
    <x v="2"/>
    <s v="Management "/>
    <m/>
    <n v="10500"/>
    <n v="24055658"/>
    <x v="9"/>
    <s v="Oui"/>
    <x v="1"/>
    <x v="1"/>
    <s v="CONGO"/>
    <m/>
    <s v="4.6"/>
    <m/>
  </r>
  <r>
    <d v="2022-04-28T00:00:00"/>
    <s v="I23C - CONGO Paiement 2 nuitées du 26 au 28/04/2022 à Dolisie"/>
    <x v="6"/>
    <s v="Investigation"/>
    <m/>
    <n v="30000"/>
    <n v="24025658"/>
    <x v="8"/>
    <s v="Oui"/>
    <x v="1"/>
    <x v="1"/>
    <s v="CONGO"/>
    <m/>
    <s v="1.3.2"/>
    <m/>
  </r>
  <r>
    <d v="2022-04-28T00:00:00"/>
    <s v="P29 - CONGO Paiement 2 nuitées du 26 au 28-04-2022 à djambala"/>
    <x v="6"/>
    <s v="Investigation"/>
    <m/>
    <n v="30000"/>
    <n v="23995658"/>
    <x v="6"/>
    <s v="Oui"/>
    <x v="1"/>
    <x v="1"/>
    <s v="CONGO"/>
    <m/>
    <s v="1.3.2"/>
    <m/>
  </r>
  <r>
    <d v="2022-04-28T00:00:00"/>
    <s v="Cumul frais transport local mois d'Avril 2022/I23C"/>
    <x v="7"/>
    <s v="Investigation"/>
    <m/>
    <n v="77500"/>
    <n v="23918158"/>
    <x v="8"/>
    <s v="Décharge"/>
    <x v="1"/>
    <x v="1"/>
    <s v="CONGO"/>
    <m/>
    <s v="2.2"/>
    <m/>
  </r>
  <r>
    <d v="2022-04-26T00:00:00"/>
    <s v="CREPIN - CONGO Food-Allowance du 26 au 29 avril 2022 à Oyo"/>
    <x v="6"/>
    <s v="Management "/>
    <m/>
    <n v="30000"/>
    <n v="23888158"/>
    <x v="12"/>
    <s v="Décharge"/>
    <x v="1"/>
    <x v="1"/>
    <s v="CONGO"/>
    <m/>
    <s v="1.3.2"/>
    <m/>
  </r>
  <r>
    <d v="2022-04-28T00:00:00"/>
    <s v="Achat billet djambala-ngo/P29"/>
    <x v="7"/>
    <s v="Investigation"/>
    <m/>
    <n v="4000"/>
    <n v="23884158"/>
    <x v="6"/>
    <s v="Oui"/>
    <x v="1"/>
    <x v="1"/>
    <s v="CONGO"/>
    <m/>
    <s v="2.2"/>
    <m/>
  </r>
  <r>
    <d v="2022-04-28T00:00:00"/>
    <s v="Achat billet ngo-brazzaville/P29"/>
    <x v="7"/>
    <s v="Investigation"/>
    <m/>
    <n v="5000"/>
    <n v="23879158"/>
    <x v="6"/>
    <s v="Oui"/>
    <x v="1"/>
    <x v="1"/>
    <s v="CONGO"/>
    <m/>
    <s v="2.2"/>
    <m/>
  </r>
  <r>
    <d v="2022-04-28T00:00:00"/>
    <s v="Cumul frais de Transport Local mois d'Avril 2022/P29"/>
    <x v="7"/>
    <s v="Investigation"/>
    <m/>
    <n v="54500"/>
    <n v="23824658"/>
    <x v="6"/>
    <s v="Decharge"/>
    <x v="1"/>
    <x v="1"/>
    <s v="CONGO"/>
    <m/>
    <s v="2.2"/>
    <m/>
  </r>
  <r>
    <d v="2022-04-28T00:00:00"/>
    <s v="Evariste"/>
    <x v="1"/>
    <m/>
    <m/>
    <n v="15000"/>
    <n v="23809658"/>
    <x v="1"/>
    <m/>
    <x v="0"/>
    <x v="0"/>
    <s v="CONGO"/>
    <m/>
    <m/>
    <m/>
  </r>
  <r>
    <d v="2022-04-28T00:00:00"/>
    <s v="Bonus media reinsertation d'un condamné à la maison d'arret de Pointe - Noire du 21/04/2022"/>
    <x v="10"/>
    <s v="Media"/>
    <m/>
    <n v="10000"/>
    <n v="23799658"/>
    <x v="1"/>
    <s v="Décharge"/>
    <x v="1"/>
    <x v="2"/>
    <s v="CONGO"/>
    <m/>
    <m/>
    <m/>
  </r>
  <r>
    <d v="2022-04-28T00:00:00"/>
    <s v="Bonus média audience du 28/04/2022 à Oyo"/>
    <x v="10"/>
    <s v="Media"/>
    <m/>
    <n v="29000"/>
    <n v="23770658"/>
    <x v="1"/>
    <s v="Décharge"/>
    <x v="1"/>
    <x v="2"/>
    <s v="CONGO"/>
    <m/>
    <m/>
    <m/>
  </r>
  <r>
    <d v="2022-04-28T00:00:00"/>
    <s v="Billet: Oyo-Brazzaville /Crepin"/>
    <x v="7"/>
    <s v="Management "/>
    <m/>
    <n v="7000"/>
    <n v="23763658"/>
    <x v="12"/>
    <s v="Oui"/>
    <x v="1"/>
    <x v="1"/>
    <s v="CONGO"/>
    <m/>
    <s v="2.2"/>
    <m/>
  </r>
  <r>
    <d v="2022-04-28T00:00:00"/>
    <s v="Reçu de la caisse"/>
    <x v="1"/>
    <m/>
    <n v="15000"/>
    <m/>
    <n v="23778658"/>
    <x v="11"/>
    <m/>
    <x v="0"/>
    <x v="0"/>
    <s v="CONGO"/>
    <m/>
    <m/>
    <m/>
  </r>
  <r>
    <d v="2022-04-29T00:00:00"/>
    <s v="Reglement facture honoraire du mois d'Avril 2022/I23C/chq n°3643654"/>
    <x v="8"/>
    <s v="Investigation"/>
    <m/>
    <n v="245000"/>
    <n v="23533658"/>
    <x v="4"/>
    <n v="3643657"/>
    <x v="2"/>
    <x v="1"/>
    <s v="CONGO"/>
    <m/>
    <s v="1.1.1.9"/>
    <m/>
  </r>
  <r>
    <d v="2022-04-29T00:00:00"/>
    <s v="Reglement facture honoraire du mois d'Avril  2022/P29/chq n°3643657"/>
    <x v="8"/>
    <s v="Investigation"/>
    <m/>
    <n v="500000"/>
    <n v="23033658"/>
    <x v="4"/>
    <n v="3643654"/>
    <x v="2"/>
    <x v="1"/>
    <s v="CONGO"/>
    <m/>
    <s v="1.1.1.9"/>
    <m/>
  </r>
  <r>
    <d v="2022-04-28T00:00:00"/>
    <s v="Cumul frais de Jail Visits Mois de Avril 2022/Crépin"/>
    <x v="3"/>
    <s v="Legal"/>
    <m/>
    <n v="25000"/>
    <n v="23008658"/>
    <x v="12"/>
    <s v="Décharge"/>
    <x v="1"/>
    <x v="2"/>
    <s v="CONGO"/>
    <m/>
    <m/>
    <m/>
  </r>
  <r>
    <d v="2022-04-29T00:00:00"/>
    <s v="CREPIN - CONGO Frais d'Hotel 03 Nuitées du 26 au 29 avril 2022 à Oyo"/>
    <x v="6"/>
    <s v="Management "/>
    <m/>
    <n v="45000"/>
    <n v="22963658"/>
    <x v="12"/>
    <s v="Oui"/>
    <x v="1"/>
    <x v="1"/>
    <s v="CONGO"/>
    <m/>
    <s v="1.3.2"/>
    <m/>
  </r>
  <r>
    <d v="2022-04-29T00:00:00"/>
    <s v="Cumul Frais de transport local Mois d'Avril 2022/Crépin"/>
    <x v="7"/>
    <s v="Management "/>
    <m/>
    <n v="34000"/>
    <n v="22929658"/>
    <x v="12"/>
    <s v="Décharge"/>
    <x v="1"/>
    <x v="1"/>
    <s v="CONGO"/>
    <m/>
    <s v="2.2"/>
    <m/>
  </r>
  <r>
    <d v="2022-04-29T00:00:00"/>
    <s v="Grace"/>
    <x v="1"/>
    <m/>
    <m/>
    <n v="10000"/>
    <n v="22919658"/>
    <x v="1"/>
    <m/>
    <x v="0"/>
    <x v="0"/>
    <s v="CONGO"/>
    <m/>
    <m/>
    <m/>
  </r>
  <r>
    <d v="2022-04-29T00:00:00"/>
    <s v="Paule"/>
    <x v="1"/>
    <m/>
    <m/>
    <n v="15000"/>
    <n v="22904658"/>
    <x v="1"/>
    <m/>
    <x v="0"/>
    <x v="0"/>
    <s v="CONGO"/>
    <m/>
    <m/>
    <m/>
  </r>
  <r>
    <d v="2022-04-29T00:00:00"/>
    <s v="P29"/>
    <x v="1"/>
    <m/>
    <m/>
    <n v="138000"/>
    <n v="22766658"/>
    <x v="1"/>
    <m/>
    <x v="0"/>
    <x v="0"/>
    <s v="CONGO"/>
    <m/>
    <m/>
    <m/>
  </r>
  <r>
    <d v="2022-04-29T00:00:00"/>
    <s v="I23C"/>
    <x v="1"/>
    <m/>
    <m/>
    <n v="67000"/>
    <n v="22699658"/>
    <x v="1"/>
    <m/>
    <x v="0"/>
    <x v="0"/>
    <s v="CONGO"/>
    <m/>
    <m/>
    <m/>
  </r>
  <r>
    <d v="2022-04-29T00:00:00"/>
    <s v="P29/Retour caisse /avance sur salaire"/>
    <x v="1"/>
    <m/>
    <n v="100000"/>
    <m/>
    <n v="22799658"/>
    <x v="1"/>
    <m/>
    <x v="0"/>
    <x v="0"/>
    <s v="CONGO"/>
    <m/>
    <m/>
    <m/>
  </r>
  <r>
    <d v="2022-04-29T00:00:00"/>
    <s v="Reçu Caisse "/>
    <x v="1"/>
    <m/>
    <n v="10000"/>
    <m/>
    <n v="22809658"/>
    <x v="13"/>
    <m/>
    <x v="0"/>
    <x v="0"/>
    <s v="CONGO"/>
    <m/>
    <m/>
    <m/>
  </r>
  <r>
    <d v="2022-04-29T00:00:00"/>
    <s v="Réçu caisse"/>
    <x v="1"/>
    <m/>
    <n v="67000"/>
    <m/>
    <n v="22876658"/>
    <x v="8"/>
    <m/>
    <x v="0"/>
    <x v="0"/>
    <s v="CONGO"/>
    <m/>
    <m/>
    <m/>
  </r>
  <r>
    <d v="2022-04-29T00:00:00"/>
    <s v="Reçu caisse"/>
    <x v="1"/>
    <m/>
    <n v="15000"/>
    <m/>
    <n v="22891658"/>
    <x v="3"/>
    <m/>
    <x v="0"/>
    <x v="0"/>
    <s v="CONGO"/>
    <m/>
    <m/>
    <m/>
  </r>
  <r>
    <d v="2022-04-29T00:00:00"/>
    <s v="Cumul frais de Ration Journalière mois d'Avril 2022/Paule"/>
    <x v="6"/>
    <s v="Legal"/>
    <m/>
    <n v="20000"/>
    <n v="22871658"/>
    <x v="3"/>
    <s v="Décharge"/>
    <x v="1"/>
    <x v="2"/>
    <s v="CONGO"/>
    <m/>
    <m/>
    <m/>
  </r>
  <r>
    <d v="2022-04-29T00:00:00"/>
    <s v="Cumul frais de Transport local mois d'Avril 2022"/>
    <x v="7"/>
    <s v="Legal"/>
    <m/>
    <n v="49500"/>
    <n v="22822158"/>
    <x v="3"/>
    <s v="Décharge"/>
    <x v="1"/>
    <x v="2"/>
    <s v="CONGO"/>
    <m/>
    <m/>
    <m/>
  </r>
  <r>
    <d v="2022-04-29T00:00:00"/>
    <s v="Cumul frais de Ration journalière du mois d'Avril 2022/Hurielle"/>
    <x v="6"/>
    <s v="Legal"/>
    <m/>
    <n v="19000"/>
    <n v="22803158"/>
    <x v="5"/>
    <s v="Décharge"/>
    <x v="1"/>
    <x v="2"/>
    <s v="CONGO"/>
    <m/>
    <m/>
    <m/>
  </r>
  <r>
    <d v="2022-04-29T00:00:00"/>
    <s v="Retour caisse/Retour sur Salairee 1ere Tranche"/>
    <x v="1"/>
    <m/>
    <m/>
    <n v="100000"/>
    <n v="22703158"/>
    <x v="6"/>
    <m/>
    <x v="0"/>
    <x v="0"/>
    <s v="CONGO"/>
    <m/>
    <m/>
    <m/>
  </r>
  <r>
    <d v="2022-04-29T00:00:00"/>
    <s v="Recu de caisse"/>
    <x v="1"/>
    <m/>
    <n v="138000"/>
    <m/>
    <n v="22841158"/>
    <x v="6"/>
    <m/>
    <x v="0"/>
    <x v="0"/>
    <s v="CONGO"/>
    <m/>
    <m/>
    <m/>
  </r>
  <r>
    <d v="2022-04-30T00:00:00"/>
    <s v="Cumul frais de Transport local mois de Avril 2022/Grace MOLENDE"/>
    <x v="7"/>
    <s v="Management "/>
    <m/>
    <n v="8000"/>
    <n v="22833158"/>
    <x v="13"/>
    <s v="Décharge"/>
    <x v="1"/>
    <x v="1"/>
    <s v="CONGO"/>
    <m/>
    <s v="2.2"/>
    <m/>
  </r>
  <r>
    <d v="2022-04-30T00:00:00"/>
    <s v="Hurielle"/>
    <x v="1"/>
    <m/>
    <m/>
    <n v="50000"/>
    <n v="22783158"/>
    <x v="1"/>
    <m/>
    <x v="0"/>
    <x v="0"/>
    <s v="CONGO"/>
    <m/>
    <m/>
    <m/>
  </r>
  <r>
    <d v="2022-04-30T00:00:00"/>
    <s v="Reçu caisse"/>
    <x v="1"/>
    <m/>
    <n v="50000"/>
    <m/>
    <n v="22833158"/>
    <x v="5"/>
    <m/>
    <x v="0"/>
    <x v="0"/>
    <s v="CONGO"/>
    <m/>
    <m/>
    <m/>
  </r>
  <r>
    <d v="2022-04-30T00:00:00"/>
    <s v="Achat Billet Océan du Nord Brazzaville-Oyo/Hurielle"/>
    <x v="7"/>
    <s v="Legal"/>
    <m/>
    <n v="7000"/>
    <n v="22826158"/>
    <x v="5"/>
    <s v="Oui"/>
    <x v="1"/>
    <x v="2"/>
    <s v="CONGO"/>
    <m/>
    <m/>
    <m/>
  </r>
  <r>
    <d v="2022-04-30T00:00:00"/>
    <s v="Cumul frais de Transport Local du mois d'Avril 2022/Hurielle"/>
    <x v="7"/>
    <s v="Legal"/>
    <m/>
    <n v="51500"/>
    <n v="22774658"/>
    <x v="5"/>
    <s v="Décharge"/>
    <x v="1"/>
    <x v="2"/>
    <s v="CONGO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Tableau croisé dynamique2" cacheId="2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16:D20" firstHeaderRow="1" firstDataRow="2" firstDataCol="1"/>
  <pivotFields count="15">
    <pivotField numFmtId="172" showAll="0"/>
    <pivotField showAll="0"/>
    <pivotField showAll="0"/>
    <pivotField showAll="0"/>
    <pivotField showAll="0"/>
    <pivotField dataField="1" showAll="0"/>
    <pivotField numFmtId="166" showAll="0"/>
    <pivotField showAll="0"/>
    <pivotField showAll="0"/>
    <pivotField axis="axisCol" showAll="0">
      <items count="4">
        <item x="2"/>
        <item x="1"/>
        <item x="0"/>
        <item t="default"/>
      </items>
    </pivotField>
    <pivotField axis="axisRow" showAll="0">
      <items count="4">
        <item x="2"/>
        <item x="1"/>
        <item h="1" x="0"/>
        <item t="default"/>
      </items>
    </pivotField>
    <pivotField showAll="0"/>
    <pivotField showAll="0"/>
    <pivotField showAll="0"/>
    <pivotField showAll="0"/>
  </pivotFields>
  <rowFields count="1">
    <field x="10"/>
  </rowFields>
  <rowItems count="3">
    <i>
      <x/>
    </i>
    <i>
      <x v="1"/>
    </i>
    <i t="grand">
      <x/>
    </i>
  </rowItems>
  <colFields count="1">
    <field x="9"/>
  </colFields>
  <colItems count="3">
    <i>
      <x/>
    </i>
    <i>
      <x v="1"/>
    </i>
    <i t="grand">
      <x/>
    </i>
  </colItems>
  <dataFields count="1">
    <dataField name="Somme de Spent" fld="5" baseField="0" baseItem="0" numFmtId="16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eau croisé dynamique1" cacheId="2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B6" firstHeaderRow="1" firstDataRow="1" firstDataCol="1"/>
  <pivotFields count="15">
    <pivotField numFmtId="172" showAll="0"/>
    <pivotField showAll="0"/>
    <pivotField showAll="0"/>
    <pivotField showAll="0"/>
    <pivotField showAll="0"/>
    <pivotField dataField="1" showAll="0"/>
    <pivotField numFmtId="166" showAll="0"/>
    <pivotField showAll="0"/>
    <pivotField showAll="0"/>
    <pivotField axis="axisRow" showAll="0">
      <items count="4">
        <item x="2"/>
        <item x="1"/>
        <item h="1" x="0"/>
        <item t="default"/>
      </items>
    </pivotField>
    <pivotField showAll="0"/>
    <pivotField showAll="0"/>
    <pivotField showAll="0"/>
    <pivotField showAll="0"/>
    <pivotField showAll="0"/>
  </pivotFields>
  <rowFields count="1">
    <field x="9"/>
  </rowFields>
  <rowItems count="3">
    <i>
      <x/>
    </i>
    <i>
      <x v="1"/>
    </i>
    <i t="grand">
      <x/>
    </i>
  </rowItems>
  <colItems count="1">
    <i/>
  </colItems>
  <dataFields count="1">
    <dataField name="Somme de Spent" fld="5" baseField="0" baseItem="0" numFmtId="164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eau croisé dynamique3" cacheId="2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AM19" firstHeaderRow="1" firstDataRow="3" firstDataCol="1"/>
  <pivotFields count="15">
    <pivotField numFmtId="172" showAll="0"/>
    <pivotField showAll="0"/>
    <pivotField axis="axisCol" showAll="0">
      <items count="20">
        <item x="5"/>
        <item x="10"/>
        <item x="17"/>
        <item x="16"/>
        <item x="14"/>
        <item x="15"/>
        <item x="3"/>
        <item x="4"/>
        <item x="12"/>
        <item x="8"/>
        <item x="13"/>
        <item x="9"/>
        <item x="2"/>
        <item x="11"/>
        <item x="7"/>
        <item x="6"/>
        <item x="18"/>
        <item x="1"/>
        <item x="0"/>
        <item t="default"/>
      </items>
    </pivotField>
    <pivotField showAll="0"/>
    <pivotField dataField="1" showAll="0"/>
    <pivotField dataField="1" showAll="0"/>
    <pivotField numFmtId="166" showAll="0"/>
    <pivotField axis="axisRow" showAll="0">
      <items count="15">
        <item x="7"/>
        <item x="4"/>
        <item x="1"/>
        <item x="12"/>
        <item x="11"/>
        <item x="2"/>
        <item x="13"/>
        <item x="5"/>
        <item x="8"/>
        <item x="10"/>
        <item x="6"/>
        <item x="3"/>
        <item x="9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2">
    <field x="2"/>
    <field x="-2"/>
  </colFields>
  <colItems count="38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>
      <x v="8"/>
      <x/>
    </i>
    <i r="1" i="1">
      <x v="1"/>
    </i>
    <i>
      <x v="9"/>
      <x/>
    </i>
    <i r="1" i="1">
      <x v="1"/>
    </i>
    <i>
      <x v="10"/>
      <x/>
    </i>
    <i r="1" i="1">
      <x v="1"/>
    </i>
    <i>
      <x v="11"/>
      <x/>
    </i>
    <i r="1" i="1">
      <x v="1"/>
    </i>
    <i>
      <x v="12"/>
      <x/>
    </i>
    <i r="1" i="1">
      <x v="1"/>
    </i>
    <i>
      <x v="13"/>
      <x/>
    </i>
    <i r="1" i="1">
      <x v="1"/>
    </i>
    <i>
      <x v="14"/>
      <x/>
    </i>
    <i r="1" i="1">
      <x v="1"/>
    </i>
    <i>
      <x v="15"/>
      <x/>
    </i>
    <i r="1" i="1">
      <x v="1"/>
    </i>
    <i>
      <x v="16"/>
      <x/>
    </i>
    <i r="1" i="1">
      <x v="1"/>
    </i>
    <i>
      <x v="17"/>
      <x/>
    </i>
    <i r="1" i="1">
      <x v="1"/>
    </i>
    <i t="grand">
      <x/>
    </i>
    <i t="grand" i="1">
      <x/>
    </i>
  </colItems>
  <dataFields count="2">
    <dataField name="Somme de Spent" fld="5" baseField="0" baseItem="0"/>
    <dataField name="Somme de Received" fld="4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3:Q697"/>
  <sheetViews>
    <sheetView zoomScale="73" zoomScaleNormal="73" workbookViewId="0">
      <pane xSplit="1" topLeftCell="E1" activePane="topRight" state="frozen"/>
      <selection pane="topRight" activeCell="M25" sqref="M25"/>
    </sheetView>
  </sheetViews>
  <sheetFormatPr baseColWidth="10" defaultColWidth="11.42578125" defaultRowHeight="15" x14ac:dyDescent="0.25"/>
  <cols>
    <col min="1" max="1" width="43.140625" style="5" customWidth="1"/>
    <col min="2" max="2" width="25.7109375" style="5" customWidth="1"/>
    <col min="3" max="3" width="28.28515625" style="5" customWidth="1"/>
    <col min="4" max="4" width="29.42578125" style="5" customWidth="1"/>
    <col min="5" max="5" width="19.5703125" style="5" customWidth="1"/>
    <col min="6" max="6" width="21" style="5" customWidth="1"/>
    <col min="7" max="7" width="36.28515625" style="5" customWidth="1"/>
    <col min="8" max="8" width="20.5703125" style="5" customWidth="1"/>
    <col min="9" max="9" width="19.7109375" style="5" customWidth="1"/>
    <col min="10" max="10" width="16.7109375" style="5" customWidth="1"/>
    <col min="11" max="11" width="18.7109375" style="5" customWidth="1"/>
    <col min="12" max="12" width="16" style="48" customWidth="1"/>
    <col min="13" max="13" width="18.7109375" style="48" customWidth="1"/>
    <col min="14" max="14" width="14.140625" style="48" customWidth="1"/>
    <col min="15" max="15" width="14.85546875" style="48" customWidth="1"/>
    <col min="16" max="16" width="11.42578125" style="5"/>
    <col min="17" max="17" width="2.85546875" style="272" customWidth="1"/>
    <col min="18" max="16384" width="11.42578125" style="5"/>
  </cols>
  <sheetData>
    <row r="3" spans="1:17" ht="15.75" x14ac:dyDescent="0.25">
      <c r="A3" s="6" t="s">
        <v>37</v>
      </c>
      <c r="B3" s="6" t="s">
        <v>1</v>
      </c>
      <c r="C3" s="6">
        <v>44652</v>
      </c>
      <c r="D3" s="7" t="s">
        <v>38</v>
      </c>
      <c r="E3" s="7" t="s">
        <v>39</v>
      </c>
      <c r="F3" s="7" t="s">
        <v>40</v>
      </c>
      <c r="G3" s="7" t="s">
        <v>41</v>
      </c>
      <c r="H3" s="6">
        <v>44681</v>
      </c>
      <c r="I3" s="7" t="s">
        <v>42</v>
      </c>
      <c r="K3" s="47"/>
      <c r="L3" s="47" t="s">
        <v>43</v>
      </c>
      <c r="M3" s="47" t="s">
        <v>44</v>
      </c>
      <c r="N3" s="47" t="s">
        <v>45</v>
      </c>
      <c r="O3" s="47" t="s">
        <v>46</v>
      </c>
      <c r="Q3" s="5"/>
    </row>
    <row r="4" spans="1:17" ht="16.5" x14ac:dyDescent="0.3">
      <c r="A4" s="60" t="str">
        <f>K4</f>
        <v>BCI</v>
      </c>
      <c r="B4" s="61" t="s">
        <v>47</v>
      </c>
      <c r="C4" s="63">
        <v>9177780</v>
      </c>
      <c r="D4" s="63">
        <f>+L4</f>
        <v>0</v>
      </c>
      <c r="E4" s="63">
        <f>+N4</f>
        <v>23345</v>
      </c>
      <c r="F4" s="63">
        <f>+M4</f>
        <v>5000000</v>
      </c>
      <c r="G4" s="63">
        <f t="shared" ref="G4:G15" si="0">+O4</f>
        <v>0</v>
      </c>
      <c r="H4" s="63">
        <v>4154435</v>
      </c>
      <c r="I4" s="63">
        <f>+C4+D4-E4-F4+G4</f>
        <v>4154435</v>
      </c>
      <c r="J4" s="9">
        <f>I4-H4</f>
        <v>0</v>
      </c>
      <c r="K4" s="47" t="s">
        <v>24</v>
      </c>
      <c r="L4" s="49">
        <v>0</v>
      </c>
      <c r="M4" s="49">
        <v>5000000</v>
      </c>
      <c r="N4" s="49">
        <v>23345</v>
      </c>
      <c r="O4" s="49">
        <v>0</v>
      </c>
      <c r="Q4" s="5"/>
    </row>
    <row r="5" spans="1:17" ht="16.5" x14ac:dyDescent="0.3">
      <c r="A5" s="60" t="str">
        <f t="shared" ref="A5:A18" si="1">K5</f>
        <v>BCI-Sous Compte</v>
      </c>
      <c r="B5" s="61" t="s">
        <v>47</v>
      </c>
      <c r="C5" s="63">
        <v>21521261</v>
      </c>
      <c r="D5" s="63">
        <f t="shared" ref="D5:D18" si="2">+L5</f>
        <v>0</v>
      </c>
      <c r="E5" s="63">
        <f t="shared" ref="E5:E18" si="3">+N5</f>
        <v>5070305</v>
      </c>
      <c r="F5" s="63">
        <f t="shared" ref="F5:F18" si="4">+M5</f>
        <v>0</v>
      </c>
      <c r="G5" s="63">
        <f t="shared" si="0"/>
        <v>0</v>
      </c>
      <c r="H5" s="63">
        <v>16450956</v>
      </c>
      <c r="I5" s="63">
        <f>+C5+D5-E5-F5+G5</f>
        <v>16450956</v>
      </c>
      <c r="J5" s="9">
        <f t="shared" ref="J5:J12" si="5">I5-H5</f>
        <v>0</v>
      </c>
      <c r="K5" s="47" t="s">
        <v>158</v>
      </c>
      <c r="L5" s="49">
        <v>0</v>
      </c>
      <c r="M5" s="49">
        <v>0</v>
      </c>
      <c r="N5" s="49">
        <v>5070305</v>
      </c>
      <c r="O5" s="49">
        <v>0</v>
      </c>
      <c r="Q5" s="5"/>
    </row>
    <row r="6" spans="1:17" ht="16.5" x14ac:dyDescent="0.3">
      <c r="A6" s="60" t="str">
        <f t="shared" si="1"/>
        <v>Caisse</v>
      </c>
      <c r="B6" s="61" t="s">
        <v>25</v>
      </c>
      <c r="C6" s="63">
        <v>1160022</v>
      </c>
      <c r="D6" s="63">
        <f t="shared" si="2"/>
        <v>5100000</v>
      </c>
      <c r="E6" s="63">
        <f t="shared" si="3"/>
        <v>1822909</v>
      </c>
      <c r="F6" s="63">
        <f t="shared" si="4"/>
        <v>3474000</v>
      </c>
      <c r="G6" s="63">
        <f t="shared" si="0"/>
        <v>0</v>
      </c>
      <c r="H6" s="63">
        <v>963113</v>
      </c>
      <c r="I6" s="63">
        <f>+C6+D6-E6-F6+G6</f>
        <v>963113</v>
      </c>
      <c r="J6" s="108">
        <f t="shared" si="5"/>
        <v>0</v>
      </c>
      <c r="K6" s="47" t="s">
        <v>25</v>
      </c>
      <c r="L6" s="49">
        <v>5100000</v>
      </c>
      <c r="M6" s="49">
        <v>3474000</v>
      </c>
      <c r="N6" s="49">
        <v>1822909</v>
      </c>
      <c r="O6" s="49">
        <v>0</v>
      </c>
      <c r="Q6" s="5"/>
    </row>
    <row r="7" spans="1:17" ht="16.5" x14ac:dyDescent="0.3">
      <c r="A7" s="60" t="str">
        <f t="shared" si="1"/>
        <v>Crépin</v>
      </c>
      <c r="B7" s="61" t="s">
        <v>164</v>
      </c>
      <c r="C7" s="63">
        <v>22050</v>
      </c>
      <c r="D7" s="63">
        <f t="shared" si="2"/>
        <v>462000</v>
      </c>
      <c r="E7" s="63">
        <f t="shared" si="3"/>
        <v>462200</v>
      </c>
      <c r="F7" s="63">
        <f t="shared" si="4"/>
        <v>0</v>
      </c>
      <c r="G7" s="63">
        <f t="shared" si="0"/>
        <v>0</v>
      </c>
      <c r="H7" s="63">
        <v>21850</v>
      </c>
      <c r="I7" s="63">
        <f>+C7+D7-E7-F7+G7</f>
        <v>21850</v>
      </c>
      <c r="J7" s="9">
        <f t="shared" si="5"/>
        <v>0</v>
      </c>
      <c r="K7" s="47" t="s">
        <v>48</v>
      </c>
      <c r="L7" s="49">
        <v>462000</v>
      </c>
      <c r="M7" s="49">
        <v>0</v>
      </c>
      <c r="N7" s="49">
        <v>462200</v>
      </c>
      <c r="O7" s="49">
        <v>0</v>
      </c>
      <c r="Q7" s="5"/>
    </row>
    <row r="8" spans="1:17" ht="16.5" x14ac:dyDescent="0.3">
      <c r="A8" s="60" t="str">
        <f t="shared" si="1"/>
        <v>Evariste</v>
      </c>
      <c r="B8" s="61" t="s">
        <v>165</v>
      </c>
      <c r="C8" s="63">
        <v>13995</v>
      </c>
      <c r="D8" s="63">
        <f t="shared" si="2"/>
        <v>30000</v>
      </c>
      <c r="E8" s="63">
        <f t="shared" si="3"/>
        <v>36000</v>
      </c>
      <c r="F8" s="63">
        <f t="shared" si="4"/>
        <v>0</v>
      </c>
      <c r="G8" s="63">
        <f t="shared" si="0"/>
        <v>0</v>
      </c>
      <c r="H8" s="63">
        <v>7995</v>
      </c>
      <c r="I8" s="63">
        <f t="shared" ref="I8" si="6">+C8+D8-E8-F8+G8</f>
        <v>7995</v>
      </c>
      <c r="J8" s="9">
        <f t="shared" si="5"/>
        <v>0</v>
      </c>
      <c r="K8" s="47" t="s">
        <v>31</v>
      </c>
      <c r="L8" s="49">
        <v>30000</v>
      </c>
      <c r="M8" s="49">
        <v>0</v>
      </c>
      <c r="N8" s="49">
        <v>36000</v>
      </c>
      <c r="O8" s="49">
        <v>0</v>
      </c>
      <c r="Q8" s="5"/>
    </row>
    <row r="9" spans="1:17" ht="16.5" x14ac:dyDescent="0.3">
      <c r="A9" s="60" t="str">
        <f t="shared" si="1"/>
        <v>Godfré</v>
      </c>
      <c r="B9" s="61" t="s">
        <v>164</v>
      </c>
      <c r="C9" s="63">
        <v>36485</v>
      </c>
      <c r="D9" s="63">
        <f t="shared" si="2"/>
        <v>486000</v>
      </c>
      <c r="E9" s="63">
        <f t="shared" si="3"/>
        <v>366150</v>
      </c>
      <c r="F9" s="63">
        <f t="shared" si="4"/>
        <v>0</v>
      </c>
      <c r="G9" s="63">
        <f t="shared" si="0"/>
        <v>0</v>
      </c>
      <c r="H9" s="63">
        <v>156335</v>
      </c>
      <c r="I9" s="63">
        <f>+C9+D9-E9-F9+G9</f>
        <v>156335</v>
      </c>
      <c r="J9" s="9">
        <f t="shared" si="5"/>
        <v>0</v>
      </c>
      <c r="K9" s="47" t="s">
        <v>153</v>
      </c>
      <c r="L9" s="49">
        <v>486000</v>
      </c>
      <c r="M9" s="49">
        <v>0</v>
      </c>
      <c r="N9" s="49">
        <v>366150</v>
      </c>
      <c r="O9" s="49">
        <v>0</v>
      </c>
      <c r="Q9" s="5"/>
    </row>
    <row r="10" spans="1:17" ht="16.5" x14ac:dyDescent="0.3">
      <c r="A10" s="60" t="str">
        <f t="shared" si="1"/>
        <v>I55S</v>
      </c>
      <c r="B10" s="124" t="s">
        <v>4</v>
      </c>
      <c r="C10" s="126">
        <v>233614</v>
      </c>
      <c r="D10" s="126">
        <f t="shared" si="2"/>
        <v>0</v>
      </c>
      <c r="E10" s="126">
        <f t="shared" si="3"/>
        <v>0</v>
      </c>
      <c r="F10" s="126">
        <f t="shared" si="4"/>
        <v>0</v>
      </c>
      <c r="G10" s="126">
        <f t="shared" si="0"/>
        <v>0</v>
      </c>
      <c r="H10" s="126">
        <v>233614</v>
      </c>
      <c r="I10" s="126">
        <f>+C10+D10-E10-F10+G10</f>
        <v>233614</v>
      </c>
      <c r="J10" s="9">
        <f t="shared" si="5"/>
        <v>0</v>
      </c>
      <c r="K10" s="47" t="s">
        <v>85</v>
      </c>
      <c r="L10" s="49">
        <v>0</v>
      </c>
      <c r="M10" s="49">
        <v>0</v>
      </c>
      <c r="N10" s="49">
        <v>0</v>
      </c>
      <c r="O10" s="49">
        <v>0</v>
      </c>
      <c r="Q10" s="5"/>
    </row>
    <row r="11" spans="1:17" ht="16.5" x14ac:dyDescent="0.3">
      <c r="A11" s="60" t="str">
        <f t="shared" si="1"/>
        <v>I73X</v>
      </c>
      <c r="B11" s="124" t="s">
        <v>4</v>
      </c>
      <c r="C11" s="126">
        <v>249769</v>
      </c>
      <c r="D11" s="126">
        <f t="shared" si="2"/>
        <v>0</v>
      </c>
      <c r="E11" s="126">
        <f t="shared" si="3"/>
        <v>0</v>
      </c>
      <c r="F11" s="126">
        <f t="shared" si="4"/>
        <v>0</v>
      </c>
      <c r="G11" s="126">
        <f t="shared" si="0"/>
        <v>0</v>
      </c>
      <c r="H11" s="126">
        <v>249769</v>
      </c>
      <c r="I11" s="126">
        <f t="shared" ref="I11:I14" si="7">+C11+D11-E11-F11+G11</f>
        <v>249769</v>
      </c>
      <c r="J11" s="9">
        <f t="shared" si="5"/>
        <v>0</v>
      </c>
      <c r="K11" s="47" t="s">
        <v>84</v>
      </c>
      <c r="L11" s="49">
        <v>0</v>
      </c>
      <c r="M11" s="49">
        <v>0</v>
      </c>
      <c r="N11" s="49">
        <v>0</v>
      </c>
      <c r="O11" s="49">
        <v>0</v>
      </c>
      <c r="Q11" s="5"/>
    </row>
    <row r="12" spans="1:17" ht="16.5" x14ac:dyDescent="0.3">
      <c r="A12" s="60" t="str">
        <f t="shared" si="1"/>
        <v>Grace</v>
      </c>
      <c r="B12" s="104" t="s">
        <v>2</v>
      </c>
      <c r="C12" s="63">
        <v>10700</v>
      </c>
      <c r="D12" s="63">
        <f t="shared" si="2"/>
        <v>10000</v>
      </c>
      <c r="E12" s="63">
        <f t="shared" si="3"/>
        <v>10500</v>
      </c>
      <c r="F12" s="63">
        <f t="shared" si="4"/>
        <v>0</v>
      </c>
      <c r="G12" s="63">
        <f t="shared" si="0"/>
        <v>0</v>
      </c>
      <c r="H12" s="63">
        <v>10200</v>
      </c>
      <c r="I12" s="63">
        <f t="shared" si="7"/>
        <v>10200</v>
      </c>
      <c r="J12" s="9">
        <f t="shared" si="5"/>
        <v>0</v>
      </c>
      <c r="K12" s="47" t="s">
        <v>152</v>
      </c>
      <c r="L12" s="49">
        <v>10000</v>
      </c>
      <c r="M12" s="49">
        <v>0</v>
      </c>
      <c r="N12" s="49">
        <v>10500</v>
      </c>
      <c r="O12" s="49">
        <v>0</v>
      </c>
      <c r="Q12" s="5"/>
    </row>
    <row r="13" spans="1:17" ht="16.5" x14ac:dyDescent="0.3">
      <c r="A13" s="60" t="str">
        <f t="shared" si="1"/>
        <v>Hurielle</v>
      </c>
      <c r="B13" s="371" t="s">
        <v>164</v>
      </c>
      <c r="C13" s="63">
        <v>52000</v>
      </c>
      <c r="D13" s="63">
        <f t="shared" si="2"/>
        <v>113000</v>
      </c>
      <c r="E13" s="63">
        <f t="shared" si="3"/>
        <v>121500</v>
      </c>
      <c r="F13" s="63">
        <f t="shared" si="4"/>
        <v>0</v>
      </c>
      <c r="G13" s="63">
        <f t="shared" si="0"/>
        <v>0</v>
      </c>
      <c r="H13" s="63">
        <v>43500</v>
      </c>
      <c r="I13" s="63">
        <f t="shared" si="7"/>
        <v>43500</v>
      </c>
      <c r="J13" s="9">
        <f>I13-H13</f>
        <v>0</v>
      </c>
      <c r="K13" s="47" t="s">
        <v>215</v>
      </c>
      <c r="L13" s="49">
        <v>113000</v>
      </c>
      <c r="M13" s="49">
        <v>0</v>
      </c>
      <c r="N13" s="49">
        <v>121500</v>
      </c>
      <c r="O13" s="49">
        <v>0</v>
      </c>
      <c r="Q13" s="5"/>
    </row>
    <row r="14" spans="1:17" ht="16.5" x14ac:dyDescent="0.3">
      <c r="A14" s="60" t="str">
        <f t="shared" si="1"/>
        <v>I23C</v>
      </c>
      <c r="B14" s="372" t="s">
        <v>4</v>
      </c>
      <c r="C14" s="63">
        <v>116050</v>
      </c>
      <c r="D14" s="63">
        <f t="shared" si="2"/>
        <v>599000</v>
      </c>
      <c r="E14" s="63">
        <f t="shared" si="3"/>
        <v>537500</v>
      </c>
      <c r="F14" s="63">
        <f t="shared" si="4"/>
        <v>0</v>
      </c>
      <c r="G14" s="63">
        <f t="shared" si="0"/>
        <v>0</v>
      </c>
      <c r="H14" s="63">
        <v>177550</v>
      </c>
      <c r="I14" s="63">
        <f t="shared" si="7"/>
        <v>177550</v>
      </c>
      <c r="J14" s="9">
        <f t="shared" ref="J14:J15" si="8">I14-H14</f>
        <v>0</v>
      </c>
      <c r="K14" s="47" t="s">
        <v>30</v>
      </c>
      <c r="L14" s="49">
        <v>599000</v>
      </c>
      <c r="M14" s="49">
        <v>0</v>
      </c>
      <c r="N14" s="49">
        <v>537500</v>
      </c>
      <c r="O14" s="49">
        <v>0</v>
      </c>
      <c r="Q14" s="5"/>
    </row>
    <row r="15" spans="1:17" ht="16.5" x14ac:dyDescent="0.3">
      <c r="A15" s="60" t="str">
        <f t="shared" si="1"/>
        <v>Merveille</v>
      </c>
      <c r="B15" s="371" t="s">
        <v>2</v>
      </c>
      <c r="C15" s="63">
        <v>4400</v>
      </c>
      <c r="D15" s="63">
        <f t="shared" si="2"/>
        <v>20000</v>
      </c>
      <c r="E15" s="63">
        <f t="shared" si="3"/>
        <v>20000</v>
      </c>
      <c r="F15" s="63">
        <f t="shared" si="4"/>
        <v>0</v>
      </c>
      <c r="G15" s="63">
        <f t="shared" si="0"/>
        <v>0</v>
      </c>
      <c r="H15" s="63">
        <v>4400</v>
      </c>
      <c r="I15" s="63">
        <f>+C15+D15-E15-F15+G15</f>
        <v>4400</v>
      </c>
      <c r="J15" s="9">
        <f t="shared" si="8"/>
        <v>0</v>
      </c>
      <c r="K15" s="47" t="s">
        <v>94</v>
      </c>
      <c r="L15" s="49">
        <v>20000</v>
      </c>
      <c r="M15" s="49">
        <v>0</v>
      </c>
      <c r="N15" s="49">
        <v>20000</v>
      </c>
      <c r="O15" s="49">
        <v>0</v>
      </c>
      <c r="Q15" s="5"/>
    </row>
    <row r="16" spans="1:17" ht="16.5" x14ac:dyDescent="0.3">
      <c r="A16" s="60" t="str">
        <f t="shared" si="1"/>
        <v>P29</v>
      </c>
      <c r="B16" s="371" t="s">
        <v>4</v>
      </c>
      <c r="C16" s="63">
        <v>16200</v>
      </c>
      <c r="D16" s="63">
        <f t="shared" si="2"/>
        <v>874000</v>
      </c>
      <c r="E16" s="63">
        <f t="shared" si="3"/>
        <v>495500</v>
      </c>
      <c r="F16" s="63">
        <f t="shared" si="4"/>
        <v>100000</v>
      </c>
      <c r="G16" s="63">
        <f>+O16</f>
        <v>0</v>
      </c>
      <c r="H16" s="63">
        <v>294700</v>
      </c>
      <c r="I16" s="63">
        <f>+C16+D16-E16-F16+G16</f>
        <v>294700</v>
      </c>
      <c r="J16" s="9">
        <f>I16-H16</f>
        <v>0</v>
      </c>
      <c r="K16" s="47" t="s">
        <v>29</v>
      </c>
      <c r="L16" s="49">
        <v>874000</v>
      </c>
      <c r="M16" s="49">
        <v>100000</v>
      </c>
      <c r="N16" s="49">
        <v>495500</v>
      </c>
      <c r="O16" s="49">
        <v>0</v>
      </c>
      <c r="Q16" s="5"/>
    </row>
    <row r="17" spans="1:17" ht="16.5" x14ac:dyDescent="0.3">
      <c r="A17" s="60" t="str">
        <f t="shared" si="1"/>
        <v>Paule</v>
      </c>
      <c r="B17" s="61" t="s">
        <v>164</v>
      </c>
      <c r="C17" s="63">
        <v>6000</v>
      </c>
      <c r="D17" s="63">
        <f t="shared" si="2"/>
        <v>80000</v>
      </c>
      <c r="E17" s="63">
        <f t="shared" si="3"/>
        <v>72500</v>
      </c>
      <c r="F17" s="63">
        <f t="shared" si="4"/>
        <v>0</v>
      </c>
      <c r="G17" s="63">
        <f>+O17</f>
        <v>0</v>
      </c>
      <c r="H17" s="63">
        <v>13500</v>
      </c>
      <c r="I17" s="63">
        <f>+C17+D17-E17-F17+G17</f>
        <v>13500</v>
      </c>
      <c r="J17" s="9">
        <f>I17-H17</f>
        <v>0</v>
      </c>
      <c r="K17" s="47" t="s">
        <v>214</v>
      </c>
      <c r="L17" s="49">
        <v>80000</v>
      </c>
      <c r="M17" s="49">
        <v>0</v>
      </c>
      <c r="N17" s="49">
        <v>72500</v>
      </c>
      <c r="O17" s="49">
        <v>0</v>
      </c>
      <c r="Q17" s="5"/>
    </row>
    <row r="18" spans="1:17" ht="16.5" x14ac:dyDescent="0.3">
      <c r="A18" s="60" t="str">
        <f t="shared" si="1"/>
        <v>Tiffany</v>
      </c>
      <c r="B18" s="61" t="s">
        <v>2</v>
      </c>
      <c r="C18" s="63">
        <v>-790759</v>
      </c>
      <c r="D18" s="63">
        <f t="shared" si="2"/>
        <v>800000</v>
      </c>
      <c r="E18" s="63">
        <f t="shared" si="3"/>
        <v>16500</v>
      </c>
      <c r="F18" s="63">
        <f t="shared" si="4"/>
        <v>0</v>
      </c>
      <c r="G18" s="63">
        <f t="shared" ref="G18" si="9">+O18</f>
        <v>0</v>
      </c>
      <c r="H18" s="63">
        <v>-7259</v>
      </c>
      <c r="I18" s="63">
        <f t="shared" ref="I18" si="10">+C18+D18-E18-F18+G18</f>
        <v>-7259</v>
      </c>
      <c r="J18" s="9">
        <f t="shared" ref="J18" si="11">I18-H18</f>
        <v>0</v>
      </c>
      <c r="K18" s="47" t="s">
        <v>114</v>
      </c>
      <c r="L18" s="49">
        <v>800000</v>
      </c>
      <c r="M18" s="49">
        <v>0</v>
      </c>
      <c r="N18" s="49">
        <v>16500</v>
      </c>
      <c r="O18" s="49">
        <v>0</v>
      </c>
      <c r="Q18" s="5"/>
    </row>
    <row r="19" spans="1:17" ht="16.5" x14ac:dyDescent="0.3">
      <c r="A19" s="10" t="s">
        <v>51</v>
      </c>
      <c r="B19" s="11"/>
      <c r="C19" s="12">
        <f t="shared" ref="C19:I19" si="12">SUM(C4:C18)</f>
        <v>31829567</v>
      </c>
      <c r="D19" s="59">
        <f t="shared" si="12"/>
        <v>8574000</v>
      </c>
      <c r="E19" s="59">
        <f t="shared" si="12"/>
        <v>9054909</v>
      </c>
      <c r="F19" s="59">
        <f t="shared" si="12"/>
        <v>8574000</v>
      </c>
      <c r="G19" s="59">
        <f t="shared" si="12"/>
        <v>0</v>
      </c>
      <c r="H19" s="59">
        <f t="shared" si="12"/>
        <v>22774658</v>
      </c>
      <c r="I19" s="59">
        <f t="shared" si="12"/>
        <v>22774658</v>
      </c>
      <c r="J19" s="9">
        <f>I19-H19</f>
        <v>0</v>
      </c>
      <c r="K19" s="3"/>
      <c r="L19" s="49">
        <f>+SUM(L4:L18)</f>
        <v>8574000</v>
      </c>
      <c r="M19" s="49">
        <f>+SUM(M4:M18)</f>
        <v>8574000</v>
      </c>
      <c r="N19" s="49">
        <f>+SUM(N4:N18)</f>
        <v>9054909</v>
      </c>
      <c r="O19" s="49">
        <f>+SUM(O4:O18)</f>
        <v>0</v>
      </c>
      <c r="Q19" s="5"/>
    </row>
    <row r="20" spans="1:17" ht="16.5" x14ac:dyDescent="0.3">
      <c r="A20" s="10"/>
      <c r="B20" s="11"/>
      <c r="C20" s="12"/>
      <c r="D20" s="13"/>
      <c r="E20" s="12"/>
      <c r="F20" s="13"/>
      <c r="G20" s="12"/>
      <c r="H20" s="12"/>
      <c r="I20" s="143" t="b">
        <f>I19=D22</f>
        <v>1</v>
      </c>
      <c r="L20" s="5"/>
      <c r="M20" s="5"/>
      <c r="N20" s="5"/>
      <c r="O20" s="5"/>
      <c r="Q20" s="5"/>
    </row>
    <row r="21" spans="1:17" ht="16.5" x14ac:dyDescent="0.3">
      <c r="A21" s="10" t="s">
        <v>221</v>
      </c>
      <c r="B21" s="11" t="s">
        <v>222</v>
      </c>
      <c r="C21" s="12" t="s">
        <v>223</v>
      </c>
      <c r="D21" s="12" t="s">
        <v>224</v>
      </c>
      <c r="E21" s="12" t="s">
        <v>52</v>
      </c>
      <c r="F21" s="12"/>
      <c r="G21" s="12">
        <f>+D19-F19</f>
        <v>0</v>
      </c>
      <c r="H21" s="12"/>
      <c r="I21" s="12"/>
      <c r="Q21" s="5"/>
    </row>
    <row r="22" spans="1:17" ht="16.5" x14ac:dyDescent="0.3">
      <c r="A22" s="14">
        <f>C19</f>
        <v>31829567</v>
      </c>
      <c r="B22" s="15">
        <f>G19</f>
        <v>0</v>
      </c>
      <c r="C22" s="12">
        <f>E19</f>
        <v>9054909</v>
      </c>
      <c r="D22" s="12">
        <f>A22+B22-C22</f>
        <v>22774658</v>
      </c>
      <c r="E22" s="13">
        <f>I19-D22</f>
        <v>0</v>
      </c>
      <c r="F22" s="12"/>
      <c r="G22" s="12"/>
      <c r="H22" s="12"/>
      <c r="I22" s="12"/>
      <c r="Q22" s="5"/>
    </row>
    <row r="23" spans="1:17" ht="16.5" x14ac:dyDescent="0.3">
      <c r="A23" s="14"/>
      <c r="B23" s="15"/>
      <c r="C23" s="12"/>
      <c r="D23" s="12"/>
      <c r="E23" s="13"/>
      <c r="F23" s="12"/>
      <c r="G23" s="12"/>
      <c r="H23" s="12"/>
      <c r="I23" s="12"/>
      <c r="Q23" s="5"/>
    </row>
    <row r="24" spans="1:17" x14ac:dyDescent="0.2">
      <c r="A24" s="16" t="s">
        <v>53</v>
      </c>
      <c r="B24" s="16"/>
      <c r="C24" s="16"/>
      <c r="D24" s="17"/>
      <c r="E24" s="17"/>
      <c r="F24" s="17"/>
      <c r="G24" s="17"/>
      <c r="H24" s="17"/>
      <c r="I24" s="17"/>
      <c r="Q24" s="5"/>
    </row>
    <row r="25" spans="1:17" x14ac:dyDescent="0.2">
      <c r="A25" s="18" t="s">
        <v>225</v>
      </c>
      <c r="B25" s="18"/>
      <c r="C25" s="18"/>
      <c r="D25" s="18"/>
      <c r="E25" s="18"/>
      <c r="F25" s="18"/>
      <c r="G25" s="18"/>
      <c r="H25" s="18"/>
      <c r="I25" s="18"/>
      <c r="J25" s="18"/>
      <c r="Q25" s="5"/>
    </row>
    <row r="26" spans="1:17" x14ac:dyDescent="0.2">
      <c r="A26" s="19"/>
      <c r="B26" s="20"/>
      <c r="C26" s="21"/>
      <c r="D26" s="21"/>
      <c r="E26" s="21"/>
      <c r="F26" s="21"/>
      <c r="G26" s="21"/>
      <c r="H26" s="20"/>
      <c r="I26" s="20"/>
      <c r="Q26" s="5"/>
    </row>
    <row r="27" spans="1:17" x14ac:dyDescent="0.2">
      <c r="A27" s="342" t="s">
        <v>54</v>
      </c>
      <c r="B27" s="344" t="s">
        <v>55</v>
      </c>
      <c r="C27" s="346" t="s">
        <v>226</v>
      </c>
      <c r="D27" s="348" t="s">
        <v>56</v>
      </c>
      <c r="E27" s="349"/>
      <c r="F27" s="349"/>
      <c r="G27" s="350"/>
      <c r="H27" s="351" t="s">
        <v>57</v>
      </c>
      <c r="I27" s="353" t="s">
        <v>58</v>
      </c>
      <c r="J27" s="20"/>
      <c r="Q27" s="5"/>
    </row>
    <row r="28" spans="1:17" ht="28.5" customHeight="1" x14ac:dyDescent="0.25">
      <c r="A28" s="343"/>
      <c r="B28" s="345"/>
      <c r="C28" s="347"/>
      <c r="D28" s="22" t="s">
        <v>24</v>
      </c>
      <c r="E28" s="22" t="s">
        <v>25</v>
      </c>
      <c r="F28" s="347" t="s">
        <v>124</v>
      </c>
      <c r="G28" s="22" t="s">
        <v>59</v>
      </c>
      <c r="H28" s="352"/>
      <c r="I28" s="354"/>
      <c r="J28" s="355" t="s">
        <v>227</v>
      </c>
      <c r="K28" s="155"/>
      <c r="Q28" s="5"/>
    </row>
    <row r="29" spans="1:17" x14ac:dyDescent="0.2">
      <c r="A29" s="24"/>
      <c r="B29" s="25" t="s">
        <v>60</v>
      </c>
      <c r="C29" s="26"/>
      <c r="D29" s="26"/>
      <c r="E29" s="26"/>
      <c r="F29" s="26"/>
      <c r="G29" s="26"/>
      <c r="H29" s="26"/>
      <c r="I29" s="27"/>
      <c r="J29" s="356"/>
      <c r="K29" s="155"/>
      <c r="Q29" s="5"/>
    </row>
    <row r="30" spans="1:17" x14ac:dyDescent="0.2">
      <c r="A30" s="130" t="s">
        <v>128</v>
      </c>
      <c r="B30" s="135" t="s">
        <v>48</v>
      </c>
      <c r="C30" s="33">
        <f>+C7</f>
        <v>22050</v>
      </c>
      <c r="D30" s="32"/>
      <c r="E30" s="33">
        <f>+D7</f>
        <v>462000</v>
      </c>
      <c r="F30" s="33"/>
      <c r="G30" s="33"/>
      <c r="H30" s="57">
        <f t="shared" ref="H30:H41" si="13">+F7</f>
        <v>0</v>
      </c>
      <c r="I30" s="33">
        <f t="shared" ref="I30:I41" si="14">+E7</f>
        <v>462200</v>
      </c>
      <c r="J30" s="31">
        <f t="shared" ref="J30:J31" si="15">+SUM(C30:G30)-(H30+I30)</f>
        <v>21850</v>
      </c>
      <c r="K30" s="156" t="b">
        <f t="shared" ref="K30:K41" si="16">J30=I7</f>
        <v>1</v>
      </c>
      <c r="Q30" s="5"/>
    </row>
    <row r="31" spans="1:17" x14ac:dyDescent="0.2">
      <c r="A31" s="130" t="str">
        <f>+A30</f>
        <v>AVRIL</v>
      </c>
      <c r="B31" s="135" t="s">
        <v>31</v>
      </c>
      <c r="C31" s="33">
        <f t="shared" ref="C31:C32" si="17">+C8</f>
        <v>13995</v>
      </c>
      <c r="D31" s="32"/>
      <c r="E31" s="33">
        <f t="shared" ref="E31:E32" si="18">+D8</f>
        <v>30000</v>
      </c>
      <c r="F31" s="33"/>
      <c r="G31" s="33"/>
      <c r="H31" s="57">
        <f t="shared" si="13"/>
        <v>0</v>
      </c>
      <c r="I31" s="33">
        <f t="shared" si="14"/>
        <v>36000</v>
      </c>
      <c r="J31" s="107">
        <f t="shared" si="15"/>
        <v>7995</v>
      </c>
      <c r="K31" s="156" t="b">
        <f t="shared" si="16"/>
        <v>1</v>
      </c>
      <c r="Q31" s="5"/>
    </row>
    <row r="32" spans="1:17" x14ac:dyDescent="0.2">
      <c r="A32" s="130" t="str">
        <f t="shared" ref="A32:A37" si="19">+A31</f>
        <v>AVRIL</v>
      </c>
      <c r="B32" s="136" t="s">
        <v>153</v>
      </c>
      <c r="C32" s="33">
        <f t="shared" si="17"/>
        <v>36485</v>
      </c>
      <c r="D32" s="127"/>
      <c r="E32" s="33">
        <f t="shared" si="18"/>
        <v>486000</v>
      </c>
      <c r="F32" s="53"/>
      <c r="G32" s="53"/>
      <c r="H32" s="57">
        <f t="shared" si="13"/>
        <v>0</v>
      </c>
      <c r="I32" s="33">
        <f t="shared" si="14"/>
        <v>366150</v>
      </c>
      <c r="J32" s="132">
        <f>+SUM(C32:G32)-(H32+I32)</f>
        <v>156335</v>
      </c>
      <c r="K32" s="156" t="b">
        <f t="shared" si="16"/>
        <v>1</v>
      </c>
      <c r="Q32" s="5"/>
    </row>
    <row r="33" spans="1:17" x14ac:dyDescent="0.2">
      <c r="A33" s="130" t="str">
        <f t="shared" si="19"/>
        <v>AVRIL</v>
      </c>
      <c r="B33" s="137" t="s">
        <v>85</v>
      </c>
      <c r="C33" s="128">
        <f>+C10</f>
        <v>233614</v>
      </c>
      <c r="D33" s="131"/>
      <c r="E33" s="128">
        <f>+D10</f>
        <v>0</v>
      </c>
      <c r="F33" s="146"/>
      <c r="G33" s="146"/>
      <c r="H33" s="180">
        <f t="shared" si="13"/>
        <v>0</v>
      </c>
      <c r="I33" s="128">
        <f t="shared" si="14"/>
        <v>0</v>
      </c>
      <c r="J33" s="129">
        <f>+SUM(C33:G33)-(H33+I33)</f>
        <v>233614</v>
      </c>
      <c r="K33" s="156" t="b">
        <f t="shared" si="16"/>
        <v>1</v>
      </c>
      <c r="Q33" s="5"/>
    </row>
    <row r="34" spans="1:17" x14ac:dyDescent="0.2">
      <c r="A34" s="130" t="str">
        <f t="shared" si="19"/>
        <v>AVRIL</v>
      </c>
      <c r="B34" s="137" t="s">
        <v>84</v>
      </c>
      <c r="C34" s="128">
        <f>+C11</f>
        <v>249769</v>
      </c>
      <c r="D34" s="131"/>
      <c r="E34" s="128">
        <f>+D11</f>
        <v>0</v>
      </c>
      <c r="F34" s="146"/>
      <c r="G34" s="146"/>
      <c r="H34" s="180">
        <f t="shared" si="13"/>
        <v>0</v>
      </c>
      <c r="I34" s="128">
        <f t="shared" si="14"/>
        <v>0</v>
      </c>
      <c r="J34" s="129">
        <f t="shared" ref="J34:J41" si="20">+SUM(C34:G34)-(H34+I34)</f>
        <v>249769</v>
      </c>
      <c r="K34" s="156" t="b">
        <f t="shared" si="16"/>
        <v>1</v>
      </c>
      <c r="Q34" s="5"/>
    </row>
    <row r="35" spans="1:17" x14ac:dyDescent="0.2">
      <c r="A35" s="130" t="str">
        <f t="shared" si="19"/>
        <v>AVRIL</v>
      </c>
      <c r="B35" s="135" t="s">
        <v>152</v>
      </c>
      <c r="C35" s="33">
        <f>+C12</f>
        <v>10700</v>
      </c>
      <c r="D35" s="32"/>
      <c r="E35" s="33">
        <f>+D12</f>
        <v>10000</v>
      </c>
      <c r="F35" s="33"/>
      <c r="G35" s="110"/>
      <c r="H35" s="57">
        <f t="shared" si="13"/>
        <v>0</v>
      </c>
      <c r="I35" s="33">
        <f t="shared" si="14"/>
        <v>10500</v>
      </c>
      <c r="J35" s="31">
        <f t="shared" si="20"/>
        <v>10200</v>
      </c>
      <c r="K35" s="156" t="b">
        <f t="shared" si="16"/>
        <v>1</v>
      </c>
      <c r="Q35" s="5"/>
    </row>
    <row r="36" spans="1:17" x14ac:dyDescent="0.2">
      <c r="A36" s="130" t="str">
        <f t="shared" si="19"/>
        <v>AVRIL</v>
      </c>
      <c r="B36" s="135" t="s">
        <v>215</v>
      </c>
      <c r="C36" s="33">
        <f t="shared" ref="C36:C39" si="21">+C13</f>
        <v>52000</v>
      </c>
      <c r="D36" s="32"/>
      <c r="E36" s="33">
        <f t="shared" ref="E36:E41" si="22">+D13</f>
        <v>113000</v>
      </c>
      <c r="F36" s="33"/>
      <c r="G36" s="110"/>
      <c r="H36" s="57">
        <f t="shared" si="13"/>
        <v>0</v>
      </c>
      <c r="I36" s="33">
        <f t="shared" si="14"/>
        <v>121500</v>
      </c>
      <c r="J36" s="31">
        <f t="shared" si="20"/>
        <v>43500</v>
      </c>
      <c r="K36" s="156" t="b">
        <f t="shared" si="16"/>
        <v>1</v>
      </c>
      <c r="Q36" s="5"/>
    </row>
    <row r="37" spans="1:17" x14ac:dyDescent="0.2">
      <c r="A37" s="130" t="str">
        <f t="shared" si="19"/>
        <v>AVRIL</v>
      </c>
      <c r="B37" s="135" t="s">
        <v>30</v>
      </c>
      <c r="C37" s="33">
        <f t="shared" si="21"/>
        <v>116050</v>
      </c>
      <c r="D37" s="32"/>
      <c r="E37" s="33">
        <f t="shared" si="22"/>
        <v>599000</v>
      </c>
      <c r="F37" s="33"/>
      <c r="G37" s="110"/>
      <c r="H37" s="57">
        <f t="shared" si="13"/>
        <v>0</v>
      </c>
      <c r="I37" s="33">
        <f t="shared" si="14"/>
        <v>537500</v>
      </c>
      <c r="J37" s="31">
        <f t="shared" si="20"/>
        <v>177550</v>
      </c>
      <c r="K37" s="156" t="b">
        <f t="shared" si="16"/>
        <v>1</v>
      </c>
      <c r="Q37" s="5"/>
    </row>
    <row r="38" spans="1:17" x14ac:dyDescent="0.2">
      <c r="A38" s="130" t="str">
        <f>+A36</f>
        <v>AVRIL</v>
      </c>
      <c r="B38" s="135" t="s">
        <v>94</v>
      </c>
      <c r="C38" s="33">
        <f t="shared" si="21"/>
        <v>4400</v>
      </c>
      <c r="D38" s="32"/>
      <c r="E38" s="33">
        <f t="shared" si="22"/>
        <v>20000</v>
      </c>
      <c r="F38" s="33"/>
      <c r="G38" s="110"/>
      <c r="H38" s="57">
        <f t="shared" si="13"/>
        <v>0</v>
      </c>
      <c r="I38" s="33">
        <f t="shared" si="14"/>
        <v>20000</v>
      </c>
      <c r="J38" s="31">
        <f t="shared" si="20"/>
        <v>4400</v>
      </c>
      <c r="K38" s="156" t="b">
        <f t="shared" si="16"/>
        <v>1</v>
      </c>
      <c r="Q38" s="5"/>
    </row>
    <row r="39" spans="1:17" x14ac:dyDescent="0.2">
      <c r="A39" s="130" t="str">
        <f>+A37</f>
        <v>AVRIL</v>
      </c>
      <c r="B39" s="135" t="s">
        <v>29</v>
      </c>
      <c r="C39" s="33">
        <f t="shared" si="21"/>
        <v>16200</v>
      </c>
      <c r="D39" s="32"/>
      <c r="E39" s="33">
        <f t="shared" si="22"/>
        <v>874000</v>
      </c>
      <c r="F39" s="33"/>
      <c r="G39" s="110"/>
      <c r="H39" s="57">
        <f t="shared" si="13"/>
        <v>100000</v>
      </c>
      <c r="I39" s="33">
        <f t="shared" si="14"/>
        <v>495500</v>
      </c>
      <c r="J39" s="31">
        <f t="shared" si="20"/>
        <v>294700</v>
      </c>
      <c r="K39" s="156" t="b">
        <f t="shared" si="16"/>
        <v>1</v>
      </c>
      <c r="Q39" s="5"/>
    </row>
    <row r="40" spans="1:17" x14ac:dyDescent="0.2">
      <c r="A40" s="130" t="str">
        <f>+A38</f>
        <v>AVRIL</v>
      </c>
      <c r="B40" s="135" t="s">
        <v>214</v>
      </c>
      <c r="C40" s="33">
        <f>+C17</f>
        <v>6000</v>
      </c>
      <c r="D40" s="32"/>
      <c r="E40" s="33">
        <f t="shared" si="22"/>
        <v>80000</v>
      </c>
      <c r="F40" s="33"/>
      <c r="G40" s="110"/>
      <c r="H40" s="57">
        <f t="shared" si="13"/>
        <v>0</v>
      </c>
      <c r="I40" s="33">
        <f t="shared" si="14"/>
        <v>72500</v>
      </c>
      <c r="J40" s="31">
        <f t="shared" si="20"/>
        <v>13500</v>
      </c>
      <c r="K40" s="156" t="b">
        <f t="shared" si="16"/>
        <v>1</v>
      </c>
      <c r="Q40" s="5"/>
    </row>
    <row r="41" spans="1:17" x14ac:dyDescent="0.2">
      <c r="A41" s="130" t="str">
        <f>+A39</f>
        <v>AVRIL</v>
      </c>
      <c r="B41" s="136" t="s">
        <v>114</v>
      </c>
      <c r="C41" s="33">
        <f t="shared" ref="C41" si="23">+C18</f>
        <v>-790759</v>
      </c>
      <c r="D41" s="127"/>
      <c r="E41" s="33">
        <f t="shared" si="22"/>
        <v>800000</v>
      </c>
      <c r="F41" s="53"/>
      <c r="G41" s="147"/>
      <c r="H41" s="57">
        <f t="shared" si="13"/>
        <v>0</v>
      </c>
      <c r="I41" s="33">
        <f t="shared" si="14"/>
        <v>16500</v>
      </c>
      <c r="J41" s="31">
        <f t="shared" si="20"/>
        <v>-7259</v>
      </c>
      <c r="K41" s="156" t="b">
        <f t="shared" si="16"/>
        <v>1</v>
      </c>
      <c r="Q41" s="5"/>
    </row>
    <row r="42" spans="1:17" x14ac:dyDescent="0.2">
      <c r="A42" s="35" t="s">
        <v>61</v>
      </c>
      <c r="B42" s="36"/>
      <c r="C42" s="36"/>
      <c r="D42" s="36"/>
      <c r="E42" s="36"/>
      <c r="F42" s="36"/>
      <c r="G42" s="36"/>
      <c r="H42" s="36"/>
      <c r="I42" s="36"/>
      <c r="J42" s="37"/>
      <c r="K42" s="155"/>
      <c r="Q42" s="5"/>
    </row>
    <row r="43" spans="1:17" x14ac:dyDescent="0.2">
      <c r="A43" s="130" t="str">
        <f>+A41</f>
        <v>AVRIL</v>
      </c>
      <c r="B43" s="38" t="s">
        <v>62</v>
      </c>
      <c r="C43" s="39">
        <f>+C6</f>
        <v>1160022</v>
      </c>
      <c r="D43" s="51"/>
      <c r="E43" s="51">
        <f>D6</f>
        <v>5100000</v>
      </c>
      <c r="F43" s="51"/>
      <c r="G43" s="133"/>
      <c r="H43" s="53">
        <f>+F6</f>
        <v>3474000</v>
      </c>
      <c r="I43" s="134">
        <f>+E6</f>
        <v>1822909</v>
      </c>
      <c r="J43" s="46">
        <f>+SUM(C43:G43)-(H43+I43)</f>
        <v>963113</v>
      </c>
      <c r="K43" s="156" t="b">
        <f>J43=I6</f>
        <v>1</v>
      </c>
      <c r="Q43" s="5"/>
    </row>
    <row r="44" spans="1:17" x14ac:dyDescent="0.2">
      <c r="A44" s="44" t="s">
        <v>63</v>
      </c>
      <c r="B44" s="25"/>
      <c r="C44" s="36"/>
      <c r="D44" s="25"/>
      <c r="E44" s="25"/>
      <c r="F44" s="25"/>
      <c r="G44" s="25"/>
      <c r="H44" s="25"/>
      <c r="I44" s="25"/>
      <c r="J44" s="37"/>
      <c r="K44" s="155"/>
      <c r="Q44" s="5"/>
    </row>
    <row r="45" spans="1:17" x14ac:dyDescent="0.2">
      <c r="A45" s="130" t="str">
        <f>+A43</f>
        <v>AVRIL</v>
      </c>
      <c r="B45" s="38" t="s">
        <v>167</v>
      </c>
      <c r="C45" s="133">
        <f>+C4</f>
        <v>9177780</v>
      </c>
      <c r="D45" s="140">
        <f>+G4</f>
        <v>0</v>
      </c>
      <c r="E45" s="51"/>
      <c r="F45" s="51"/>
      <c r="G45" s="51"/>
      <c r="H45" s="53">
        <f>+F4</f>
        <v>5000000</v>
      </c>
      <c r="I45" s="55">
        <f>+E4</f>
        <v>23345</v>
      </c>
      <c r="J45" s="46">
        <f>+SUM(C45:G45)-(H45+I45)</f>
        <v>4154435</v>
      </c>
      <c r="K45" s="156" t="b">
        <f>+J45=I4</f>
        <v>1</v>
      </c>
      <c r="Q45" s="5"/>
    </row>
    <row r="46" spans="1:17" x14ac:dyDescent="0.2">
      <c r="A46" s="130" t="str">
        <f t="shared" ref="A46" si="24">+A45</f>
        <v>AVRIL</v>
      </c>
      <c r="B46" s="38" t="s">
        <v>65</v>
      </c>
      <c r="C46" s="133">
        <f>+C5</f>
        <v>21521261</v>
      </c>
      <c r="D46" s="51">
        <f>+G5</f>
        <v>0</v>
      </c>
      <c r="E46" s="50"/>
      <c r="F46" s="50"/>
      <c r="G46" s="50"/>
      <c r="H46" s="33">
        <f>+F5</f>
        <v>0</v>
      </c>
      <c r="I46" s="52">
        <f>+E5</f>
        <v>5070305</v>
      </c>
      <c r="J46" s="46">
        <f>SUM(C46:G46)-(H46+I46)</f>
        <v>16450956</v>
      </c>
      <c r="K46" s="156" t="b">
        <f>+J46=I5</f>
        <v>1</v>
      </c>
      <c r="Q46" s="5"/>
    </row>
    <row r="47" spans="1:17" ht="15.75" x14ac:dyDescent="0.25">
      <c r="C47" s="151">
        <f>SUM(C30:C46)</f>
        <v>31829567</v>
      </c>
      <c r="I47" s="149">
        <f>SUM(I30:I46)</f>
        <v>9054909</v>
      </c>
      <c r="J47" s="111">
        <f>+SUM(J30:J46)</f>
        <v>22774658</v>
      </c>
      <c r="K47" s="5" t="b">
        <f>J47=I19</f>
        <v>1</v>
      </c>
      <c r="Q47" s="5"/>
    </row>
    <row r="48" spans="1:17" ht="15.75" x14ac:dyDescent="0.25">
      <c r="A48" s="267"/>
      <c r="B48" s="267"/>
      <c r="C48" s="268"/>
      <c r="D48" s="267"/>
      <c r="E48" s="267"/>
      <c r="F48" s="267"/>
      <c r="G48" s="267"/>
      <c r="H48" s="267"/>
      <c r="I48" s="269"/>
      <c r="J48" s="270"/>
      <c r="K48" s="267"/>
      <c r="L48" s="271"/>
      <c r="M48" s="271"/>
      <c r="N48" s="271"/>
      <c r="O48" s="271"/>
      <c r="P48" s="267"/>
      <c r="Q48" s="5"/>
    </row>
    <row r="51" spans="1:17" ht="15.75" x14ac:dyDescent="0.25">
      <c r="A51" s="6" t="s">
        <v>37</v>
      </c>
      <c r="B51" s="6" t="s">
        <v>1</v>
      </c>
      <c r="C51" s="6">
        <v>44621</v>
      </c>
      <c r="D51" s="7" t="s">
        <v>38</v>
      </c>
      <c r="E51" s="7" t="s">
        <v>39</v>
      </c>
      <c r="F51" s="7" t="s">
        <v>40</v>
      </c>
      <c r="G51" s="7" t="s">
        <v>41</v>
      </c>
      <c r="H51" s="6">
        <v>44651</v>
      </c>
      <c r="I51" s="7" t="s">
        <v>42</v>
      </c>
      <c r="K51" s="47"/>
      <c r="L51" s="47" t="s">
        <v>43</v>
      </c>
      <c r="M51" s="47" t="s">
        <v>44</v>
      </c>
      <c r="N51" s="47" t="s">
        <v>45</v>
      </c>
      <c r="O51" s="47" t="s">
        <v>46</v>
      </c>
      <c r="Q51" s="5"/>
    </row>
    <row r="52" spans="1:17" ht="16.5" x14ac:dyDescent="0.3">
      <c r="A52" s="60" t="str">
        <f>K52</f>
        <v>BCI</v>
      </c>
      <c r="B52" s="61" t="s">
        <v>47</v>
      </c>
      <c r="C52" s="63">
        <v>888683</v>
      </c>
      <c r="D52" s="63">
        <f>+L52</f>
        <v>0</v>
      </c>
      <c r="E52" s="63">
        <f>+N52</f>
        <v>543345</v>
      </c>
      <c r="F52" s="63">
        <f>+M52</f>
        <v>2600000</v>
      </c>
      <c r="G52" s="63">
        <f t="shared" ref="G52:G63" si="25">+O52</f>
        <v>11432442</v>
      </c>
      <c r="H52" s="63">
        <v>9177780</v>
      </c>
      <c r="I52" s="63">
        <f>+C52+D52-E52-F52+G52</f>
        <v>9177780</v>
      </c>
      <c r="J52" s="9">
        <f>I52-H52</f>
        <v>0</v>
      </c>
      <c r="K52" s="47" t="s">
        <v>24</v>
      </c>
      <c r="L52" s="49">
        <v>0</v>
      </c>
      <c r="M52" s="49">
        <v>2600000</v>
      </c>
      <c r="N52" s="49">
        <v>543345</v>
      </c>
      <c r="O52" s="49">
        <v>11432442</v>
      </c>
      <c r="Q52" s="5"/>
    </row>
    <row r="53" spans="1:17" ht="16.5" x14ac:dyDescent="0.3">
      <c r="A53" s="60" t="str">
        <f t="shared" ref="A53:A66" si="26">K53</f>
        <v>BCI-Sous Compte</v>
      </c>
      <c r="B53" s="61" t="s">
        <v>47</v>
      </c>
      <c r="C53" s="63">
        <v>882502</v>
      </c>
      <c r="D53" s="63">
        <f t="shared" ref="D53:D66" si="27">+L53</f>
        <v>0</v>
      </c>
      <c r="E53" s="63">
        <f t="shared" ref="E53:E66" si="28">+N53</f>
        <v>6117606</v>
      </c>
      <c r="F53" s="63">
        <f t="shared" ref="F53:F66" si="29">+M53</f>
        <v>1600000</v>
      </c>
      <c r="G53" s="63">
        <f t="shared" si="25"/>
        <v>28356365</v>
      </c>
      <c r="H53" s="63">
        <v>21521261</v>
      </c>
      <c r="I53" s="63">
        <f>+C53+D53-E53-F53+G53</f>
        <v>21521261</v>
      </c>
      <c r="J53" s="9">
        <f t="shared" ref="J53:J60" si="30">I53-H53</f>
        <v>0</v>
      </c>
      <c r="K53" s="47" t="s">
        <v>158</v>
      </c>
      <c r="L53" s="49">
        <v>0</v>
      </c>
      <c r="M53" s="49">
        <v>1600000</v>
      </c>
      <c r="N53" s="49">
        <v>6117606</v>
      </c>
      <c r="O53" s="49">
        <v>28356365</v>
      </c>
      <c r="Q53" s="5"/>
    </row>
    <row r="54" spans="1:17" ht="16.5" x14ac:dyDescent="0.3">
      <c r="A54" s="60" t="str">
        <f t="shared" si="26"/>
        <v>Caisse</v>
      </c>
      <c r="B54" s="61" t="s">
        <v>25</v>
      </c>
      <c r="C54" s="63">
        <v>797106</v>
      </c>
      <c r="D54" s="63">
        <f t="shared" si="27"/>
        <v>4270000</v>
      </c>
      <c r="E54" s="63">
        <f t="shared" si="28"/>
        <v>2099084</v>
      </c>
      <c r="F54" s="63">
        <f t="shared" si="29"/>
        <v>1808000</v>
      </c>
      <c r="G54" s="63">
        <f t="shared" si="25"/>
        <v>0</v>
      </c>
      <c r="H54" s="63">
        <v>1160022</v>
      </c>
      <c r="I54" s="63">
        <f>+C54+D54-E54-F54+G54</f>
        <v>1160022</v>
      </c>
      <c r="J54" s="108">
        <f t="shared" si="30"/>
        <v>0</v>
      </c>
      <c r="K54" s="47" t="s">
        <v>25</v>
      </c>
      <c r="L54" s="49">
        <v>4270000</v>
      </c>
      <c r="M54" s="49">
        <v>1808000</v>
      </c>
      <c r="N54" s="49">
        <v>2099084</v>
      </c>
      <c r="O54" s="49">
        <v>0</v>
      </c>
      <c r="Q54" s="5"/>
    </row>
    <row r="55" spans="1:17" ht="16.5" x14ac:dyDescent="0.3">
      <c r="A55" s="60" t="str">
        <f t="shared" si="26"/>
        <v>Crépin</v>
      </c>
      <c r="B55" s="61" t="s">
        <v>164</v>
      </c>
      <c r="C55" s="63">
        <v>56050</v>
      </c>
      <c r="D55" s="63">
        <f t="shared" si="27"/>
        <v>0</v>
      </c>
      <c r="E55" s="63">
        <f t="shared" si="28"/>
        <v>4000</v>
      </c>
      <c r="F55" s="63">
        <f t="shared" si="29"/>
        <v>30000</v>
      </c>
      <c r="G55" s="63">
        <f t="shared" si="25"/>
        <v>0</v>
      </c>
      <c r="H55" s="63">
        <v>22050</v>
      </c>
      <c r="I55" s="63">
        <f>+C55+D55-E55-F55+G55</f>
        <v>22050</v>
      </c>
      <c r="J55" s="9">
        <f t="shared" si="30"/>
        <v>0</v>
      </c>
      <c r="K55" s="47" t="s">
        <v>48</v>
      </c>
      <c r="L55" s="49">
        <v>0</v>
      </c>
      <c r="M55" s="49">
        <v>30000</v>
      </c>
      <c r="N55" s="49">
        <v>4000</v>
      </c>
      <c r="O55" s="49">
        <v>0</v>
      </c>
      <c r="Q55" s="5"/>
    </row>
    <row r="56" spans="1:17" ht="16.5" x14ac:dyDescent="0.3">
      <c r="A56" s="60" t="str">
        <f t="shared" si="26"/>
        <v>Evariste</v>
      </c>
      <c r="B56" s="61" t="s">
        <v>165</v>
      </c>
      <c r="C56" s="63">
        <v>21495</v>
      </c>
      <c r="D56" s="63">
        <f t="shared" si="27"/>
        <v>139000</v>
      </c>
      <c r="E56" s="63">
        <f t="shared" si="28"/>
        <v>146500</v>
      </c>
      <c r="F56" s="63">
        <f t="shared" si="29"/>
        <v>0</v>
      </c>
      <c r="G56" s="63">
        <f t="shared" si="25"/>
        <v>0</v>
      </c>
      <c r="H56" s="63">
        <v>13995</v>
      </c>
      <c r="I56" s="63">
        <f t="shared" ref="I56" si="31">+C56+D56-E56-F56+G56</f>
        <v>13995</v>
      </c>
      <c r="J56" s="9">
        <f t="shared" si="30"/>
        <v>0</v>
      </c>
      <c r="K56" s="47" t="s">
        <v>31</v>
      </c>
      <c r="L56" s="49">
        <v>139000</v>
      </c>
      <c r="M56" s="49">
        <v>0</v>
      </c>
      <c r="N56" s="49">
        <v>146500</v>
      </c>
      <c r="O56" s="49">
        <v>0</v>
      </c>
      <c r="Q56" s="5"/>
    </row>
    <row r="57" spans="1:17" ht="16.5" x14ac:dyDescent="0.3">
      <c r="A57" s="60" t="str">
        <f t="shared" si="26"/>
        <v>Godfré</v>
      </c>
      <c r="B57" s="61" t="s">
        <v>164</v>
      </c>
      <c r="C57" s="63">
        <v>113185</v>
      </c>
      <c r="D57" s="63">
        <f t="shared" si="27"/>
        <v>188000</v>
      </c>
      <c r="E57" s="63">
        <f t="shared" si="28"/>
        <v>224700</v>
      </c>
      <c r="F57" s="63">
        <f t="shared" si="29"/>
        <v>40000</v>
      </c>
      <c r="G57" s="63">
        <f t="shared" si="25"/>
        <v>0</v>
      </c>
      <c r="H57" s="63">
        <v>36485</v>
      </c>
      <c r="I57" s="63">
        <f>+C57+D57-E57-F57+G57</f>
        <v>36485</v>
      </c>
      <c r="J57" s="9">
        <f t="shared" si="30"/>
        <v>0</v>
      </c>
      <c r="K57" s="47" t="s">
        <v>153</v>
      </c>
      <c r="L57" s="49">
        <v>188000</v>
      </c>
      <c r="M57" s="49">
        <v>40000</v>
      </c>
      <c r="N57" s="49">
        <v>224700</v>
      </c>
      <c r="O57" s="49">
        <v>0</v>
      </c>
      <c r="Q57" s="5"/>
    </row>
    <row r="58" spans="1:17" ht="16.5" x14ac:dyDescent="0.3">
      <c r="A58" s="60" t="str">
        <f t="shared" si="26"/>
        <v>I55S</v>
      </c>
      <c r="B58" s="124" t="s">
        <v>4</v>
      </c>
      <c r="C58" s="126">
        <v>233614</v>
      </c>
      <c r="D58" s="126">
        <f t="shared" si="27"/>
        <v>0</v>
      </c>
      <c r="E58" s="126">
        <f t="shared" si="28"/>
        <v>0</v>
      </c>
      <c r="F58" s="126">
        <f t="shared" si="29"/>
        <v>0</v>
      </c>
      <c r="G58" s="126">
        <f t="shared" si="25"/>
        <v>0</v>
      </c>
      <c r="H58" s="126">
        <v>233614</v>
      </c>
      <c r="I58" s="126">
        <f>+C58+D58-E58-F58+G58</f>
        <v>233614</v>
      </c>
      <c r="J58" s="9">
        <f t="shared" si="30"/>
        <v>0</v>
      </c>
      <c r="K58" s="47" t="s">
        <v>85</v>
      </c>
      <c r="L58" s="49">
        <v>0</v>
      </c>
      <c r="M58" s="49">
        <v>0</v>
      </c>
      <c r="N58" s="49">
        <v>0</v>
      </c>
      <c r="O58" s="49">
        <v>0</v>
      </c>
      <c r="Q58" s="5"/>
    </row>
    <row r="59" spans="1:17" ht="16.5" x14ac:dyDescent="0.3">
      <c r="A59" s="60" t="str">
        <f t="shared" si="26"/>
        <v>I73X</v>
      </c>
      <c r="B59" s="124" t="s">
        <v>4</v>
      </c>
      <c r="C59" s="126">
        <v>249769</v>
      </c>
      <c r="D59" s="126">
        <f t="shared" si="27"/>
        <v>0</v>
      </c>
      <c r="E59" s="126">
        <f t="shared" si="28"/>
        <v>0</v>
      </c>
      <c r="F59" s="126">
        <f t="shared" si="29"/>
        <v>0</v>
      </c>
      <c r="G59" s="126">
        <f t="shared" si="25"/>
        <v>0</v>
      </c>
      <c r="H59" s="126">
        <v>249769</v>
      </c>
      <c r="I59" s="126">
        <f t="shared" ref="I59:I62" si="32">+C59+D59-E59-F59+G59</f>
        <v>249769</v>
      </c>
      <c r="J59" s="9">
        <f t="shared" si="30"/>
        <v>0</v>
      </c>
      <c r="K59" s="47" t="s">
        <v>84</v>
      </c>
      <c r="L59" s="49">
        <v>0</v>
      </c>
      <c r="M59" s="49">
        <v>0</v>
      </c>
      <c r="N59" s="49">
        <v>0</v>
      </c>
      <c r="O59" s="49">
        <v>0</v>
      </c>
      <c r="Q59" s="5"/>
    </row>
    <row r="60" spans="1:17" ht="16.5" x14ac:dyDescent="0.3">
      <c r="A60" s="60" t="str">
        <f t="shared" si="26"/>
        <v>Grace</v>
      </c>
      <c r="B60" s="104" t="s">
        <v>2</v>
      </c>
      <c r="C60" s="63">
        <v>20700</v>
      </c>
      <c r="D60" s="63">
        <f t="shared" si="27"/>
        <v>0</v>
      </c>
      <c r="E60" s="63">
        <f t="shared" si="28"/>
        <v>10000</v>
      </c>
      <c r="F60" s="63">
        <f t="shared" si="29"/>
        <v>0</v>
      </c>
      <c r="G60" s="63">
        <f t="shared" si="25"/>
        <v>0</v>
      </c>
      <c r="H60" s="63">
        <v>10700</v>
      </c>
      <c r="I60" s="63">
        <f t="shared" si="32"/>
        <v>10700</v>
      </c>
      <c r="J60" s="9">
        <f t="shared" si="30"/>
        <v>0</v>
      </c>
      <c r="K60" s="47" t="s">
        <v>152</v>
      </c>
      <c r="L60" s="49">
        <v>0</v>
      </c>
      <c r="M60" s="49">
        <v>0</v>
      </c>
      <c r="N60" s="49">
        <v>10000</v>
      </c>
      <c r="O60" s="49">
        <v>0</v>
      </c>
      <c r="Q60" s="5"/>
    </row>
    <row r="61" spans="1:17" ht="16.5" x14ac:dyDescent="0.3">
      <c r="A61" s="60" t="str">
        <f t="shared" si="26"/>
        <v>Hurielle</v>
      </c>
      <c r="B61" s="61" t="s">
        <v>164</v>
      </c>
      <c r="C61" s="63">
        <v>0</v>
      </c>
      <c r="D61" s="63">
        <f t="shared" si="27"/>
        <v>135000</v>
      </c>
      <c r="E61" s="63">
        <f t="shared" si="28"/>
        <v>83000</v>
      </c>
      <c r="F61" s="63">
        <f t="shared" si="29"/>
        <v>0</v>
      </c>
      <c r="G61" s="63">
        <f t="shared" si="25"/>
        <v>0</v>
      </c>
      <c r="H61" s="63">
        <v>52000</v>
      </c>
      <c r="I61" s="63">
        <f t="shared" si="32"/>
        <v>52000</v>
      </c>
      <c r="J61" s="9">
        <f>I61-H61</f>
        <v>0</v>
      </c>
      <c r="K61" s="47" t="s">
        <v>215</v>
      </c>
      <c r="L61" s="49">
        <v>135000</v>
      </c>
      <c r="M61" s="49">
        <v>0</v>
      </c>
      <c r="N61" s="49">
        <v>83000</v>
      </c>
      <c r="O61" s="49">
        <v>0</v>
      </c>
      <c r="Q61" s="5"/>
    </row>
    <row r="62" spans="1:17" ht="16.5" x14ac:dyDescent="0.3">
      <c r="A62" s="60" t="str">
        <f t="shared" si="26"/>
        <v>I23C</v>
      </c>
      <c r="B62" s="104" t="s">
        <v>4</v>
      </c>
      <c r="C62" s="63">
        <v>15550</v>
      </c>
      <c r="D62" s="63">
        <f t="shared" si="27"/>
        <v>747000</v>
      </c>
      <c r="E62" s="63">
        <f t="shared" si="28"/>
        <v>646500</v>
      </c>
      <c r="F62" s="63">
        <f t="shared" si="29"/>
        <v>0</v>
      </c>
      <c r="G62" s="63">
        <f t="shared" si="25"/>
        <v>0</v>
      </c>
      <c r="H62" s="63">
        <v>116050</v>
      </c>
      <c r="I62" s="63">
        <f t="shared" si="32"/>
        <v>116050</v>
      </c>
      <c r="J62" s="9">
        <f t="shared" ref="J62:J63" si="33">I62-H62</f>
        <v>0</v>
      </c>
      <c r="K62" s="47" t="s">
        <v>30</v>
      </c>
      <c r="L62" s="49">
        <v>747000</v>
      </c>
      <c r="M62" s="49">
        <v>0</v>
      </c>
      <c r="N62" s="49">
        <v>646500</v>
      </c>
      <c r="O62" s="49">
        <v>0</v>
      </c>
      <c r="Q62" s="5"/>
    </row>
    <row r="63" spans="1:17" ht="16.5" x14ac:dyDescent="0.3">
      <c r="A63" s="60" t="str">
        <f t="shared" si="26"/>
        <v>Merveille</v>
      </c>
      <c r="B63" s="61" t="s">
        <v>2</v>
      </c>
      <c r="C63" s="63">
        <v>4800</v>
      </c>
      <c r="D63" s="63">
        <f t="shared" si="27"/>
        <v>20000</v>
      </c>
      <c r="E63" s="63">
        <f t="shared" si="28"/>
        <v>20400</v>
      </c>
      <c r="F63" s="63">
        <f t="shared" si="29"/>
        <v>0</v>
      </c>
      <c r="G63" s="63">
        <f t="shared" si="25"/>
        <v>0</v>
      </c>
      <c r="H63" s="63">
        <v>4400</v>
      </c>
      <c r="I63" s="63">
        <f>+C63+D63-E63-F63+G63</f>
        <v>4400</v>
      </c>
      <c r="J63" s="9">
        <f t="shared" si="33"/>
        <v>0</v>
      </c>
      <c r="K63" s="47" t="s">
        <v>94</v>
      </c>
      <c r="L63" s="49">
        <v>20000</v>
      </c>
      <c r="M63" s="49">
        <v>0</v>
      </c>
      <c r="N63" s="49">
        <v>20400</v>
      </c>
      <c r="O63" s="49"/>
      <c r="Q63" s="5"/>
    </row>
    <row r="64" spans="1:17" ht="16.5" x14ac:dyDescent="0.3">
      <c r="A64" s="60" t="str">
        <f t="shared" si="26"/>
        <v>P29</v>
      </c>
      <c r="B64" s="61" t="s">
        <v>4</v>
      </c>
      <c r="C64" s="63">
        <v>136200</v>
      </c>
      <c r="D64" s="63">
        <f t="shared" si="27"/>
        <v>380000</v>
      </c>
      <c r="E64" s="63">
        <f t="shared" si="28"/>
        <v>500000</v>
      </c>
      <c r="F64" s="63">
        <f t="shared" si="29"/>
        <v>0</v>
      </c>
      <c r="G64" s="63">
        <f>+O64</f>
        <v>0</v>
      </c>
      <c r="H64" s="63">
        <v>16200</v>
      </c>
      <c r="I64" s="63">
        <f>+C64+D64-E64-F64+G64</f>
        <v>16200</v>
      </c>
      <c r="J64" s="9">
        <f>I64-H64</f>
        <v>0</v>
      </c>
      <c r="K64" s="47" t="s">
        <v>29</v>
      </c>
      <c r="L64" s="49">
        <v>380000</v>
      </c>
      <c r="M64" s="49">
        <v>0</v>
      </c>
      <c r="N64" s="49">
        <v>500000</v>
      </c>
      <c r="O64" s="49">
        <v>0</v>
      </c>
      <c r="Q64" s="5"/>
    </row>
    <row r="65" spans="1:17" ht="16.5" x14ac:dyDescent="0.3">
      <c r="A65" s="60" t="str">
        <f t="shared" si="26"/>
        <v>Paule</v>
      </c>
      <c r="B65" s="61" t="s">
        <v>164</v>
      </c>
      <c r="C65" s="63">
        <v>0</v>
      </c>
      <c r="D65" s="63">
        <f t="shared" si="27"/>
        <v>129000</v>
      </c>
      <c r="E65" s="63">
        <f t="shared" si="28"/>
        <v>123000</v>
      </c>
      <c r="F65" s="63">
        <f t="shared" si="29"/>
        <v>0</v>
      </c>
      <c r="G65" s="63">
        <f>+O65</f>
        <v>0</v>
      </c>
      <c r="H65" s="63">
        <v>6000</v>
      </c>
      <c r="I65" s="63">
        <f>+C65+D65-E65-F65+G65</f>
        <v>6000</v>
      </c>
      <c r="J65" s="9">
        <f>I65-H65</f>
        <v>0</v>
      </c>
      <c r="K65" s="47" t="s">
        <v>214</v>
      </c>
      <c r="L65" s="49">
        <v>129000</v>
      </c>
      <c r="M65" s="49">
        <v>0</v>
      </c>
      <c r="N65" s="49">
        <v>123000</v>
      </c>
      <c r="O65" s="49">
        <v>0</v>
      </c>
      <c r="Q65" s="5"/>
    </row>
    <row r="66" spans="1:17" ht="16.5" x14ac:dyDescent="0.3">
      <c r="A66" s="60" t="str">
        <f t="shared" si="26"/>
        <v>Tiffany</v>
      </c>
      <c r="B66" s="61" t="s">
        <v>2</v>
      </c>
      <c r="C66" s="63">
        <v>-36737</v>
      </c>
      <c r="D66" s="63">
        <f t="shared" si="27"/>
        <v>70000</v>
      </c>
      <c r="E66" s="63">
        <f t="shared" si="28"/>
        <v>824022</v>
      </c>
      <c r="F66" s="63">
        <f t="shared" si="29"/>
        <v>0</v>
      </c>
      <c r="G66" s="63">
        <f t="shared" ref="G66" si="34">+O66</f>
        <v>0</v>
      </c>
      <c r="H66" s="63">
        <v>-790759</v>
      </c>
      <c r="I66" s="63">
        <f t="shared" ref="I66" si="35">+C66+D66-E66-F66+G66</f>
        <v>-790759</v>
      </c>
      <c r="J66" s="9">
        <f t="shared" ref="J66" si="36">I66-H66</f>
        <v>0</v>
      </c>
      <c r="K66" s="47" t="s">
        <v>114</v>
      </c>
      <c r="L66" s="49">
        <v>70000</v>
      </c>
      <c r="M66" s="49">
        <v>0</v>
      </c>
      <c r="N66" s="49">
        <v>824022</v>
      </c>
      <c r="O66" s="49">
        <v>0</v>
      </c>
      <c r="Q66" s="5"/>
    </row>
    <row r="67" spans="1:17" ht="16.5" x14ac:dyDescent="0.3">
      <c r="A67" s="10" t="s">
        <v>51</v>
      </c>
      <c r="B67" s="11"/>
      <c r="C67" s="12">
        <f t="shared" ref="C67:I67" si="37">SUM(C52:C66)</f>
        <v>3382917</v>
      </c>
      <c r="D67" s="59">
        <f t="shared" si="37"/>
        <v>6078000</v>
      </c>
      <c r="E67" s="59">
        <f t="shared" si="37"/>
        <v>11342157</v>
      </c>
      <c r="F67" s="59">
        <f t="shared" si="37"/>
        <v>6078000</v>
      </c>
      <c r="G67" s="59">
        <f t="shared" si="37"/>
        <v>39788807</v>
      </c>
      <c r="H67" s="59">
        <f t="shared" si="37"/>
        <v>31829567</v>
      </c>
      <c r="I67" s="59">
        <f t="shared" si="37"/>
        <v>31829567</v>
      </c>
      <c r="J67" s="9">
        <f>I67-H67</f>
        <v>0</v>
      </c>
      <c r="K67" s="3"/>
      <c r="L67" s="49">
        <f>+SUM(L52:L66)</f>
        <v>6078000</v>
      </c>
      <c r="M67" s="49">
        <f>+SUM(M52:M66)</f>
        <v>6078000</v>
      </c>
      <c r="N67" s="49">
        <f>+SUM(N52:N66)</f>
        <v>11342157</v>
      </c>
      <c r="O67" s="49">
        <f>+SUM(O52:O66)</f>
        <v>39788807</v>
      </c>
      <c r="Q67" s="5"/>
    </row>
    <row r="68" spans="1:17" ht="16.5" x14ac:dyDescent="0.3">
      <c r="A68" s="10"/>
      <c r="B68" s="11"/>
      <c r="C68" s="12"/>
      <c r="D68" s="13"/>
      <c r="E68" s="12"/>
      <c r="F68" s="13"/>
      <c r="G68" s="12"/>
      <c r="H68" s="12"/>
      <c r="I68" s="143" t="b">
        <f>I67=D70</f>
        <v>1</v>
      </c>
      <c r="L68" s="5"/>
      <c r="M68" s="5"/>
      <c r="N68" s="5"/>
      <c r="O68" s="5"/>
      <c r="Q68" s="5"/>
    </row>
    <row r="69" spans="1:17" ht="16.5" x14ac:dyDescent="0.3">
      <c r="A69" s="10" t="s">
        <v>207</v>
      </c>
      <c r="B69" s="11" t="s">
        <v>208</v>
      </c>
      <c r="C69" s="12" t="s">
        <v>212</v>
      </c>
      <c r="D69" s="12" t="s">
        <v>209</v>
      </c>
      <c r="E69" s="12" t="s">
        <v>52</v>
      </c>
      <c r="F69" s="12"/>
      <c r="G69" s="12">
        <f>+D67-F67</f>
        <v>0</v>
      </c>
      <c r="H69" s="12"/>
      <c r="I69" s="12"/>
      <c r="Q69" s="5"/>
    </row>
    <row r="70" spans="1:17" ht="16.5" x14ac:dyDescent="0.3">
      <c r="A70" s="14">
        <f>C67</f>
        <v>3382917</v>
      </c>
      <c r="B70" s="15">
        <f>G67</f>
        <v>39788807</v>
      </c>
      <c r="C70" s="12">
        <f>E67</f>
        <v>11342157</v>
      </c>
      <c r="D70" s="12">
        <f>A70+B70-C70</f>
        <v>31829567</v>
      </c>
      <c r="E70" s="13">
        <f>I67-D70</f>
        <v>0</v>
      </c>
      <c r="F70" s="12"/>
      <c r="G70" s="12"/>
      <c r="H70" s="12"/>
      <c r="I70" s="12"/>
      <c r="Q70" s="5"/>
    </row>
    <row r="71" spans="1:17" ht="16.5" x14ac:dyDescent="0.3">
      <c r="A71" s="14"/>
      <c r="B71" s="15"/>
      <c r="C71" s="12"/>
      <c r="D71" s="12"/>
      <c r="E71" s="13"/>
      <c r="F71" s="12"/>
      <c r="G71" s="12"/>
      <c r="H71" s="12"/>
      <c r="I71" s="12"/>
      <c r="Q71" s="5"/>
    </row>
    <row r="72" spans="1:17" x14ac:dyDescent="0.2">
      <c r="A72" s="16" t="s">
        <v>53</v>
      </c>
      <c r="B72" s="16"/>
      <c r="C72" s="16"/>
      <c r="D72" s="17"/>
      <c r="E72" s="17"/>
      <c r="F72" s="17"/>
      <c r="G72" s="17"/>
      <c r="H72" s="17"/>
      <c r="I72" s="17"/>
      <c r="Q72" s="5"/>
    </row>
    <row r="73" spans="1:17" x14ac:dyDescent="0.2">
      <c r="A73" s="18" t="s">
        <v>210</v>
      </c>
      <c r="B73" s="18"/>
      <c r="C73" s="18"/>
      <c r="D73" s="18"/>
      <c r="E73" s="18"/>
      <c r="F73" s="18"/>
      <c r="G73" s="18"/>
      <c r="H73" s="18"/>
      <c r="I73" s="18"/>
      <c r="J73" s="18"/>
      <c r="Q73" s="5"/>
    </row>
    <row r="74" spans="1:17" x14ac:dyDescent="0.2">
      <c r="A74" s="19"/>
      <c r="B74" s="20"/>
      <c r="C74" s="21"/>
      <c r="D74" s="21"/>
      <c r="E74" s="21"/>
      <c r="F74" s="21"/>
      <c r="G74" s="21"/>
      <c r="H74" s="20"/>
      <c r="I74" s="20"/>
      <c r="Q74" s="5"/>
    </row>
    <row r="75" spans="1:17" x14ac:dyDescent="0.2">
      <c r="A75" s="313" t="s">
        <v>54</v>
      </c>
      <c r="B75" s="315" t="s">
        <v>55</v>
      </c>
      <c r="C75" s="317" t="s">
        <v>211</v>
      </c>
      <c r="D75" s="319" t="s">
        <v>56</v>
      </c>
      <c r="E75" s="320"/>
      <c r="F75" s="320"/>
      <c r="G75" s="321"/>
      <c r="H75" s="322" t="s">
        <v>57</v>
      </c>
      <c r="I75" s="309" t="s">
        <v>58</v>
      </c>
      <c r="J75" s="20"/>
      <c r="Q75" s="5"/>
    </row>
    <row r="76" spans="1:17" ht="28.5" customHeight="1" x14ac:dyDescent="0.25">
      <c r="A76" s="314"/>
      <c r="B76" s="316"/>
      <c r="C76" s="318"/>
      <c r="D76" s="22" t="s">
        <v>24</v>
      </c>
      <c r="E76" s="22" t="s">
        <v>25</v>
      </c>
      <c r="F76" s="318" t="s">
        <v>124</v>
      </c>
      <c r="G76" s="22" t="s">
        <v>59</v>
      </c>
      <c r="H76" s="323"/>
      <c r="I76" s="310"/>
      <c r="J76" s="311" t="s">
        <v>206</v>
      </c>
      <c r="K76" s="155"/>
      <c r="Q76" s="5"/>
    </row>
    <row r="77" spans="1:17" x14ac:dyDescent="0.2">
      <c r="A77" s="24"/>
      <c r="B77" s="25" t="s">
        <v>60</v>
      </c>
      <c r="C77" s="26"/>
      <c r="D77" s="26"/>
      <c r="E77" s="26"/>
      <c r="F77" s="26"/>
      <c r="G77" s="26"/>
      <c r="H77" s="26"/>
      <c r="I77" s="27"/>
      <c r="J77" s="312"/>
      <c r="K77" s="155"/>
      <c r="Q77" s="5"/>
    </row>
    <row r="78" spans="1:17" x14ac:dyDescent="0.2">
      <c r="A78" s="130" t="s">
        <v>121</v>
      </c>
      <c r="B78" s="135" t="s">
        <v>48</v>
      </c>
      <c r="C78" s="33">
        <f>+C55</f>
        <v>56050</v>
      </c>
      <c r="D78" s="32"/>
      <c r="E78" s="33">
        <f>+D55</f>
        <v>0</v>
      </c>
      <c r="F78" s="33"/>
      <c r="G78" s="33"/>
      <c r="H78" s="57">
        <f t="shared" ref="H78:H88" si="38">+F55</f>
        <v>30000</v>
      </c>
      <c r="I78" s="33">
        <f t="shared" ref="I78:I88" si="39">+E55</f>
        <v>4000</v>
      </c>
      <c r="J78" s="31">
        <f t="shared" ref="J78:J79" si="40">+SUM(C78:G78)-(H78+I78)</f>
        <v>22050</v>
      </c>
      <c r="K78" s="156" t="b">
        <f t="shared" ref="K78:K88" si="41">J78=I55</f>
        <v>1</v>
      </c>
      <c r="Q78" s="5"/>
    </row>
    <row r="79" spans="1:17" x14ac:dyDescent="0.2">
      <c r="A79" s="130" t="str">
        <f>+A78</f>
        <v>MARS</v>
      </c>
      <c r="B79" s="135" t="s">
        <v>31</v>
      </c>
      <c r="C79" s="33">
        <f t="shared" ref="C79:C80" si="42">+C56</f>
        <v>21495</v>
      </c>
      <c r="D79" s="32"/>
      <c r="E79" s="33">
        <f t="shared" ref="E79:E80" si="43">+D56</f>
        <v>139000</v>
      </c>
      <c r="F79" s="33"/>
      <c r="G79" s="33"/>
      <c r="H79" s="57">
        <f t="shared" si="38"/>
        <v>0</v>
      </c>
      <c r="I79" s="33">
        <f t="shared" si="39"/>
        <v>146500</v>
      </c>
      <c r="J79" s="107">
        <f t="shared" si="40"/>
        <v>13995</v>
      </c>
      <c r="K79" s="156" t="b">
        <f t="shared" si="41"/>
        <v>1</v>
      </c>
      <c r="Q79" s="5"/>
    </row>
    <row r="80" spans="1:17" x14ac:dyDescent="0.2">
      <c r="A80" s="130" t="str">
        <f t="shared" ref="A80:A85" si="44">+A79</f>
        <v>MARS</v>
      </c>
      <c r="B80" s="136" t="s">
        <v>153</v>
      </c>
      <c r="C80" s="33">
        <f t="shared" si="42"/>
        <v>113185</v>
      </c>
      <c r="D80" s="127"/>
      <c r="E80" s="33">
        <f t="shared" si="43"/>
        <v>188000</v>
      </c>
      <c r="F80" s="53"/>
      <c r="G80" s="53"/>
      <c r="H80" s="57">
        <f t="shared" si="38"/>
        <v>40000</v>
      </c>
      <c r="I80" s="33">
        <f t="shared" si="39"/>
        <v>224700</v>
      </c>
      <c r="J80" s="132">
        <f>+SUM(C80:G80)-(H80+I80)</f>
        <v>36485</v>
      </c>
      <c r="K80" s="156" t="b">
        <f t="shared" si="41"/>
        <v>1</v>
      </c>
      <c r="Q80" s="5"/>
    </row>
    <row r="81" spans="1:17" x14ac:dyDescent="0.2">
      <c r="A81" s="130" t="str">
        <f t="shared" si="44"/>
        <v>MARS</v>
      </c>
      <c r="B81" s="137" t="s">
        <v>85</v>
      </c>
      <c r="C81" s="128">
        <f>+C58</f>
        <v>233614</v>
      </c>
      <c r="D81" s="131"/>
      <c r="E81" s="128">
        <f>+D58</f>
        <v>0</v>
      </c>
      <c r="F81" s="146"/>
      <c r="G81" s="146"/>
      <c r="H81" s="180">
        <f t="shared" si="38"/>
        <v>0</v>
      </c>
      <c r="I81" s="128">
        <f t="shared" si="39"/>
        <v>0</v>
      </c>
      <c r="J81" s="129">
        <f>+SUM(C81:G81)-(H81+I81)</f>
        <v>233614</v>
      </c>
      <c r="K81" s="156" t="b">
        <f t="shared" si="41"/>
        <v>1</v>
      </c>
      <c r="Q81" s="5"/>
    </row>
    <row r="82" spans="1:17" x14ac:dyDescent="0.2">
      <c r="A82" s="130" t="str">
        <f t="shared" si="44"/>
        <v>MARS</v>
      </c>
      <c r="B82" s="137" t="s">
        <v>84</v>
      </c>
      <c r="C82" s="128">
        <f>+C59</f>
        <v>249769</v>
      </c>
      <c r="D82" s="131"/>
      <c r="E82" s="128">
        <f>+D59</f>
        <v>0</v>
      </c>
      <c r="F82" s="146"/>
      <c r="G82" s="146"/>
      <c r="H82" s="180">
        <f t="shared" si="38"/>
        <v>0</v>
      </c>
      <c r="I82" s="128">
        <f t="shared" si="39"/>
        <v>0</v>
      </c>
      <c r="J82" s="129">
        <f t="shared" ref="J82:J89" si="45">+SUM(C82:G82)-(H82+I82)</f>
        <v>249769</v>
      </c>
      <c r="K82" s="156" t="b">
        <f t="shared" si="41"/>
        <v>1</v>
      </c>
      <c r="Q82" s="5"/>
    </row>
    <row r="83" spans="1:17" x14ac:dyDescent="0.2">
      <c r="A83" s="130" t="str">
        <f t="shared" si="44"/>
        <v>MARS</v>
      </c>
      <c r="B83" s="135" t="s">
        <v>152</v>
      </c>
      <c r="C83" s="33">
        <f>+C60</f>
        <v>20700</v>
      </c>
      <c r="D83" s="32"/>
      <c r="E83" s="33">
        <f>+D60</f>
        <v>0</v>
      </c>
      <c r="F83" s="33"/>
      <c r="G83" s="110"/>
      <c r="H83" s="57">
        <f t="shared" si="38"/>
        <v>0</v>
      </c>
      <c r="I83" s="33">
        <f t="shared" si="39"/>
        <v>10000</v>
      </c>
      <c r="J83" s="31">
        <f t="shared" si="45"/>
        <v>10700</v>
      </c>
      <c r="K83" s="156" t="b">
        <f t="shared" si="41"/>
        <v>1</v>
      </c>
      <c r="Q83" s="5"/>
    </row>
    <row r="84" spans="1:17" x14ac:dyDescent="0.2">
      <c r="A84" s="130" t="str">
        <f t="shared" si="44"/>
        <v>MARS</v>
      </c>
      <c r="B84" s="135" t="s">
        <v>215</v>
      </c>
      <c r="C84" s="33">
        <f t="shared" ref="C84:C87" si="46">+C61</f>
        <v>0</v>
      </c>
      <c r="D84" s="32"/>
      <c r="E84" s="33">
        <f t="shared" ref="E84:E89" si="47">+D61</f>
        <v>135000</v>
      </c>
      <c r="F84" s="33"/>
      <c r="G84" s="110"/>
      <c r="H84" s="57">
        <f t="shared" si="38"/>
        <v>0</v>
      </c>
      <c r="I84" s="33">
        <f t="shared" si="39"/>
        <v>83000</v>
      </c>
      <c r="J84" s="31">
        <f t="shared" si="45"/>
        <v>52000</v>
      </c>
      <c r="K84" s="156" t="b">
        <f t="shared" si="41"/>
        <v>1</v>
      </c>
      <c r="Q84" s="5"/>
    </row>
    <row r="85" spans="1:17" x14ac:dyDescent="0.2">
      <c r="A85" s="130" t="str">
        <f t="shared" si="44"/>
        <v>MARS</v>
      </c>
      <c r="B85" s="135" t="s">
        <v>30</v>
      </c>
      <c r="C85" s="33">
        <f t="shared" si="46"/>
        <v>15550</v>
      </c>
      <c r="D85" s="32"/>
      <c r="E85" s="33">
        <f t="shared" si="47"/>
        <v>747000</v>
      </c>
      <c r="F85" s="33"/>
      <c r="G85" s="110"/>
      <c r="H85" s="57">
        <f t="shared" si="38"/>
        <v>0</v>
      </c>
      <c r="I85" s="33">
        <f t="shared" si="39"/>
        <v>646500</v>
      </c>
      <c r="J85" s="31">
        <f t="shared" si="45"/>
        <v>116050</v>
      </c>
      <c r="K85" s="156" t="b">
        <f t="shared" si="41"/>
        <v>1</v>
      </c>
      <c r="Q85" s="5"/>
    </row>
    <row r="86" spans="1:17" x14ac:dyDescent="0.2">
      <c r="A86" s="130" t="str">
        <f>+A84</f>
        <v>MARS</v>
      </c>
      <c r="B86" s="135" t="s">
        <v>94</v>
      </c>
      <c r="C86" s="33">
        <f t="shared" si="46"/>
        <v>4800</v>
      </c>
      <c r="D86" s="32"/>
      <c r="E86" s="33">
        <f t="shared" si="47"/>
        <v>20000</v>
      </c>
      <c r="F86" s="33"/>
      <c r="G86" s="110"/>
      <c r="H86" s="57">
        <f t="shared" si="38"/>
        <v>0</v>
      </c>
      <c r="I86" s="33">
        <f t="shared" si="39"/>
        <v>20400</v>
      </c>
      <c r="J86" s="31">
        <f t="shared" si="45"/>
        <v>4400</v>
      </c>
      <c r="K86" s="156" t="b">
        <f t="shared" si="41"/>
        <v>1</v>
      </c>
      <c r="Q86" s="5"/>
    </row>
    <row r="87" spans="1:17" x14ac:dyDescent="0.2">
      <c r="A87" s="130" t="str">
        <f>+A85</f>
        <v>MARS</v>
      </c>
      <c r="B87" s="135" t="s">
        <v>29</v>
      </c>
      <c r="C87" s="33">
        <f t="shared" si="46"/>
        <v>136200</v>
      </c>
      <c r="D87" s="32"/>
      <c r="E87" s="33">
        <f t="shared" si="47"/>
        <v>380000</v>
      </c>
      <c r="F87" s="33"/>
      <c r="G87" s="110"/>
      <c r="H87" s="57">
        <f t="shared" si="38"/>
        <v>0</v>
      </c>
      <c r="I87" s="33">
        <f t="shared" si="39"/>
        <v>500000</v>
      </c>
      <c r="J87" s="31">
        <f t="shared" si="45"/>
        <v>16200</v>
      </c>
      <c r="K87" s="156" t="b">
        <f t="shared" si="41"/>
        <v>1</v>
      </c>
      <c r="Q87" s="5"/>
    </row>
    <row r="88" spans="1:17" x14ac:dyDescent="0.2">
      <c r="A88" s="130" t="str">
        <f>+A86</f>
        <v>MARS</v>
      </c>
      <c r="B88" s="135" t="s">
        <v>214</v>
      </c>
      <c r="C88" s="33">
        <f>+C65</f>
        <v>0</v>
      </c>
      <c r="D88" s="32"/>
      <c r="E88" s="33">
        <f t="shared" si="47"/>
        <v>129000</v>
      </c>
      <c r="F88" s="33"/>
      <c r="G88" s="110"/>
      <c r="H88" s="57">
        <f t="shared" si="38"/>
        <v>0</v>
      </c>
      <c r="I88" s="33">
        <f t="shared" si="39"/>
        <v>123000</v>
      </c>
      <c r="J88" s="31">
        <f t="shared" ref="J88" si="48">+SUM(C88:G88)-(H88+I88)</f>
        <v>6000</v>
      </c>
      <c r="K88" s="156" t="b">
        <f t="shared" si="41"/>
        <v>1</v>
      </c>
      <c r="Q88" s="5"/>
    </row>
    <row r="89" spans="1:17" x14ac:dyDescent="0.2">
      <c r="A89" s="130" t="str">
        <f>+A87</f>
        <v>MARS</v>
      </c>
      <c r="B89" s="136" t="s">
        <v>114</v>
      </c>
      <c r="C89" s="33">
        <f t="shared" ref="C89" si="49">+C66</f>
        <v>-36737</v>
      </c>
      <c r="D89" s="127"/>
      <c r="E89" s="33">
        <f t="shared" si="47"/>
        <v>70000</v>
      </c>
      <c r="F89" s="53"/>
      <c r="G89" s="147"/>
      <c r="H89" s="57">
        <f t="shared" ref="H89" si="50">+F66</f>
        <v>0</v>
      </c>
      <c r="I89" s="33">
        <f t="shared" ref="I89" si="51">+E66</f>
        <v>824022</v>
      </c>
      <c r="J89" s="31">
        <f t="shared" si="45"/>
        <v>-790759</v>
      </c>
      <c r="K89" s="156" t="b">
        <f t="shared" ref="K89" si="52">J89=I66</f>
        <v>1</v>
      </c>
      <c r="Q89" s="5"/>
    </row>
    <row r="90" spans="1:17" x14ac:dyDescent="0.2">
      <c r="A90" s="35" t="s">
        <v>61</v>
      </c>
      <c r="B90" s="36"/>
      <c r="C90" s="36"/>
      <c r="D90" s="36"/>
      <c r="E90" s="36"/>
      <c r="F90" s="36"/>
      <c r="G90" s="36"/>
      <c r="H90" s="36"/>
      <c r="I90" s="36"/>
      <c r="J90" s="37"/>
      <c r="K90" s="155"/>
      <c r="Q90" s="5"/>
    </row>
    <row r="91" spans="1:17" x14ac:dyDescent="0.2">
      <c r="A91" s="130" t="str">
        <f>+A89</f>
        <v>MARS</v>
      </c>
      <c r="B91" s="38" t="s">
        <v>62</v>
      </c>
      <c r="C91" s="39">
        <f>+C54</f>
        <v>797106</v>
      </c>
      <c r="D91" s="51"/>
      <c r="E91" s="51">
        <f>D54</f>
        <v>4270000</v>
      </c>
      <c r="F91" s="51"/>
      <c r="G91" s="133"/>
      <c r="H91" s="53">
        <f>+F54</f>
        <v>1808000</v>
      </c>
      <c r="I91" s="134">
        <f>+E54</f>
        <v>2099084</v>
      </c>
      <c r="J91" s="46">
        <f>+SUM(C91:G91)-(H91+I91)</f>
        <v>1160022</v>
      </c>
      <c r="K91" s="156" t="b">
        <f>J91=I54</f>
        <v>1</v>
      </c>
      <c r="Q91" s="5"/>
    </row>
    <row r="92" spans="1:17" x14ac:dyDescent="0.2">
      <c r="A92" s="44" t="s">
        <v>63</v>
      </c>
      <c r="B92" s="25"/>
      <c r="C92" s="36"/>
      <c r="D92" s="25"/>
      <c r="E92" s="25"/>
      <c r="F92" s="25"/>
      <c r="G92" s="25"/>
      <c r="H92" s="25"/>
      <c r="I92" s="25"/>
      <c r="J92" s="37"/>
      <c r="K92" s="155"/>
      <c r="Q92" s="5"/>
    </row>
    <row r="93" spans="1:17" x14ac:dyDescent="0.2">
      <c r="A93" s="130" t="str">
        <f>+A91</f>
        <v>MARS</v>
      </c>
      <c r="B93" s="38" t="s">
        <v>167</v>
      </c>
      <c r="C93" s="133">
        <f>+C52</f>
        <v>888683</v>
      </c>
      <c r="D93" s="140">
        <f>+G52</f>
        <v>11432442</v>
      </c>
      <c r="E93" s="51"/>
      <c r="F93" s="51"/>
      <c r="G93" s="51"/>
      <c r="H93" s="53">
        <f>+F52</f>
        <v>2600000</v>
      </c>
      <c r="I93" s="55">
        <f>+E52</f>
        <v>543345</v>
      </c>
      <c r="J93" s="46">
        <f>+SUM(C93:G93)-(H93+I93)</f>
        <v>9177780</v>
      </c>
      <c r="K93" s="156" t="b">
        <f>+J93=I52</f>
        <v>1</v>
      </c>
      <c r="Q93" s="5"/>
    </row>
    <row r="94" spans="1:17" x14ac:dyDescent="0.2">
      <c r="A94" s="130" t="str">
        <f t="shared" ref="A94" si="53">+A93</f>
        <v>MARS</v>
      </c>
      <c r="B94" s="38" t="s">
        <v>65</v>
      </c>
      <c r="C94" s="133">
        <f>+C53</f>
        <v>882502</v>
      </c>
      <c r="D94" s="51">
        <f>+G53</f>
        <v>28356365</v>
      </c>
      <c r="E94" s="50"/>
      <c r="F94" s="50"/>
      <c r="G94" s="50"/>
      <c r="H94" s="33">
        <f>+F53</f>
        <v>1600000</v>
      </c>
      <c r="I94" s="52">
        <f>+E53</f>
        <v>6117606</v>
      </c>
      <c r="J94" s="46">
        <f>SUM(C94:G94)-(H94+I94)</f>
        <v>21521261</v>
      </c>
      <c r="K94" s="156" t="b">
        <f>+J94=I53</f>
        <v>1</v>
      </c>
      <c r="Q94" s="5"/>
    </row>
    <row r="95" spans="1:17" ht="15.75" x14ac:dyDescent="0.25">
      <c r="C95" s="151">
        <f>SUM(C78:C94)</f>
        <v>3382917</v>
      </c>
      <c r="I95" s="149">
        <f>SUM(I78:I94)</f>
        <v>11342157</v>
      </c>
      <c r="J95" s="111">
        <f>+SUM(J78:J94)</f>
        <v>31829567</v>
      </c>
      <c r="K95" s="5" t="b">
        <f>J95=I67</f>
        <v>1</v>
      </c>
      <c r="Q95" s="5"/>
    </row>
    <row r="96" spans="1:17" ht="15.75" x14ac:dyDescent="0.25">
      <c r="A96" s="267"/>
      <c r="B96" s="267"/>
      <c r="C96" s="268"/>
      <c r="D96" s="267"/>
      <c r="E96" s="267"/>
      <c r="F96" s="267"/>
      <c r="G96" s="267"/>
      <c r="H96" s="267"/>
      <c r="I96" s="269"/>
      <c r="J96" s="270"/>
      <c r="K96" s="267"/>
      <c r="L96" s="271"/>
      <c r="M96" s="271"/>
      <c r="N96" s="271"/>
      <c r="O96" s="271"/>
      <c r="P96" s="267"/>
      <c r="Q96" s="5"/>
    </row>
    <row r="100" spans="1:17" ht="15.75" x14ac:dyDescent="0.25">
      <c r="A100" s="6" t="s">
        <v>37</v>
      </c>
      <c r="B100" s="6" t="s">
        <v>1</v>
      </c>
      <c r="C100" s="6">
        <v>44593</v>
      </c>
      <c r="D100" s="7" t="s">
        <v>38</v>
      </c>
      <c r="E100" s="7" t="s">
        <v>39</v>
      </c>
      <c r="F100" s="7" t="s">
        <v>40</v>
      </c>
      <c r="G100" s="7" t="s">
        <v>41</v>
      </c>
      <c r="H100" s="6">
        <v>44620</v>
      </c>
      <c r="I100" s="7" t="s">
        <v>42</v>
      </c>
      <c r="K100" s="47"/>
      <c r="L100" s="47" t="s">
        <v>43</v>
      </c>
      <c r="M100" s="47" t="s">
        <v>44</v>
      </c>
      <c r="N100" s="47" t="s">
        <v>45</v>
      </c>
      <c r="O100" s="47" t="s">
        <v>46</v>
      </c>
      <c r="Q100" s="5"/>
    </row>
    <row r="101" spans="1:17" ht="16.5" x14ac:dyDescent="0.3">
      <c r="A101" s="60" t="str">
        <f>+K101</f>
        <v>B52</v>
      </c>
      <c r="B101" s="61" t="s">
        <v>4</v>
      </c>
      <c r="C101" s="63">
        <v>500</v>
      </c>
      <c r="D101" s="63">
        <f t="shared" ref="D101:D114" si="54">+L101</f>
        <v>50000</v>
      </c>
      <c r="E101" s="63">
        <f>+N101</f>
        <v>50500</v>
      </c>
      <c r="F101" s="63">
        <f>+M101</f>
        <v>0</v>
      </c>
      <c r="G101" s="63">
        <f t="shared" ref="G101:G112" si="55">+O101</f>
        <v>0</v>
      </c>
      <c r="H101" s="63">
        <v>0</v>
      </c>
      <c r="I101" s="63">
        <f>+C101+D101-E101-F101+G101</f>
        <v>0</v>
      </c>
      <c r="J101" s="9">
        <f>I101-H101</f>
        <v>0</v>
      </c>
      <c r="K101" s="47" t="s">
        <v>173</v>
      </c>
      <c r="L101" s="49">
        <v>50000</v>
      </c>
      <c r="M101" s="49">
        <v>0</v>
      </c>
      <c r="N101" s="49">
        <v>50500</v>
      </c>
      <c r="O101" s="49">
        <v>0</v>
      </c>
      <c r="Q101" s="5"/>
    </row>
    <row r="102" spans="1:17" ht="16.5" x14ac:dyDescent="0.3">
      <c r="A102" s="60" t="str">
        <f>+K102</f>
        <v>BCI</v>
      </c>
      <c r="B102" s="61" t="s">
        <v>47</v>
      </c>
      <c r="C102" s="63">
        <v>2172028</v>
      </c>
      <c r="D102" s="63">
        <f t="shared" si="54"/>
        <v>0</v>
      </c>
      <c r="E102" s="63">
        <f>+N102</f>
        <v>283345</v>
      </c>
      <c r="F102" s="63">
        <f>+M102</f>
        <v>1000000</v>
      </c>
      <c r="G102" s="63">
        <f t="shared" si="55"/>
        <v>0</v>
      </c>
      <c r="H102" s="63">
        <v>888683</v>
      </c>
      <c r="I102" s="63">
        <f>+C102+D102-E102-F102+G102</f>
        <v>888683</v>
      </c>
      <c r="J102" s="9">
        <f t="shared" ref="J102:J109" si="56">I102-H102</f>
        <v>0</v>
      </c>
      <c r="K102" s="47" t="s">
        <v>24</v>
      </c>
      <c r="L102" s="49">
        <v>0</v>
      </c>
      <c r="M102" s="49">
        <v>1000000</v>
      </c>
      <c r="N102" s="49">
        <v>283345</v>
      </c>
      <c r="O102" s="49">
        <v>0</v>
      </c>
      <c r="Q102" s="5"/>
    </row>
    <row r="103" spans="1:17" ht="16.5" x14ac:dyDescent="0.3">
      <c r="A103" s="60" t="str">
        <f t="shared" ref="A103:A105" si="57">+K103</f>
        <v>BCI-Sous Compte</v>
      </c>
      <c r="B103" s="61" t="s">
        <v>47</v>
      </c>
      <c r="C103" s="63">
        <v>14143094</v>
      </c>
      <c r="D103" s="63">
        <f t="shared" si="54"/>
        <v>0</v>
      </c>
      <c r="E103" s="63">
        <f>+N103</f>
        <v>4260592</v>
      </c>
      <c r="F103" s="63">
        <f>+M103</f>
        <v>9000000</v>
      </c>
      <c r="G103" s="63">
        <f t="shared" si="55"/>
        <v>0</v>
      </c>
      <c r="H103" s="63">
        <v>882502</v>
      </c>
      <c r="I103" s="63">
        <f>+C103+D103-E103-F103+G103</f>
        <v>882502</v>
      </c>
      <c r="J103" s="108">
        <f t="shared" si="56"/>
        <v>0</v>
      </c>
      <c r="K103" s="47" t="s">
        <v>158</v>
      </c>
      <c r="L103" s="49">
        <v>0</v>
      </c>
      <c r="M103" s="49">
        <v>9000000</v>
      </c>
      <c r="N103" s="49">
        <v>4260592</v>
      </c>
      <c r="O103" s="49">
        <v>0</v>
      </c>
      <c r="Q103" s="5"/>
    </row>
    <row r="104" spans="1:17" ht="16.5" x14ac:dyDescent="0.3">
      <c r="A104" s="60" t="str">
        <f t="shared" si="57"/>
        <v>Caisse</v>
      </c>
      <c r="B104" s="61" t="s">
        <v>25</v>
      </c>
      <c r="C104" s="63">
        <v>580885</v>
      </c>
      <c r="D104" s="63">
        <f t="shared" si="54"/>
        <v>10511000</v>
      </c>
      <c r="E104" s="63">
        <f t="shared" ref="E104" si="58">+N104</f>
        <v>2520779</v>
      </c>
      <c r="F104" s="63">
        <f t="shared" ref="F104:F112" si="59">+M104</f>
        <v>7774000</v>
      </c>
      <c r="G104" s="63">
        <f t="shared" si="55"/>
        <v>0</v>
      </c>
      <c r="H104" s="63">
        <v>797106</v>
      </c>
      <c r="I104" s="63">
        <f>+C104+D104-E104-F104+G104</f>
        <v>797106</v>
      </c>
      <c r="J104" s="9">
        <f t="shared" si="56"/>
        <v>0</v>
      </c>
      <c r="K104" s="47" t="s">
        <v>25</v>
      </c>
      <c r="L104" s="49">
        <v>10511000</v>
      </c>
      <c r="M104" s="49">
        <v>7774000</v>
      </c>
      <c r="N104" s="49">
        <v>2520779</v>
      </c>
      <c r="O104" s="49">
        <v>0</v>
      </c>
      <c r="Q104" s="5"/>
    </row>
    <row r="105" spans="1:17" ht="16.5" x14ac:dyDescent="0.3">
      <c r="A105" s="60" t="str">
        <f t="shared" si="57"/>
        <v>Crépin</v>
      </c>
      <c r="B105" s="61" t="s">
        <v>164</v>
      </c>
      <c r="C105" s="63">
        <v>9000</v>
      </c>
      <c r="D105" s="63">
        <f t="shared" si="54"/>
        <v>2509000</v>
      </c>
      <c r="E105" s="63">
        <f>+N105</f>
        <v>2021950</v>
      </c>
      <c r="F105" s="63">
        <f t="shared" si="59"/>
        <v>440000</v>
      </c>
      <c r="G105" s="63">
        <f t="shared" si="55"/>
        <v>0</v>
      </c>
      <c r="H105" s="63">
        <v>56050</v>
      </c>
      <c r="I105" s="63">
        <f t="shared" ref="I105" si="60">+C105+D105-E105-F105+G105</f>
        <v>56050</v>
      </c>
      <c r="J105" s="9">
        <f t="shared" si="56"/>
        <v>0</v>
      </c>
      <c r="K105" s="47" t="s">
        <v>48</v>
      </c>
      <c r="L105" s="49">
        <v>2509000</v>
      </c>
      <c r="M105" s="49">
        <v>440000</v>
      </c>
      <c r="N105" s="49">
        <v>2021950</v>
      </c>
      <c r="O105" s="49">
        <v>0</v>
      </c>
      <c r="Q105" s="5"/>
    </row>
    <row r="106" spans="1:17" ht="16.5" x14ac:dyDescent="0.3">
      <c r="A106" s="60" t="str">
        <f>K106</f>
        <v>Evariste</v>
      </c>
      <c r="B106" s="61" t="s">
        <v>165</v>
      </c>
      <c r="C106" s="63">
        <v>8645</v>
      </c>
      <c r="D106" s="63">
        <f t="shared" si="54"/>
        <v>614000</v>
      </c>
      <c r="E106" s="63">
        <f t="shared" ref="E106" si="61">+N106</f>
        <v>601150</v>
      </c>
      <c r="F106" s="63">
        <f t="shared" si="59"/>
        <v>0</v>
      </c>
      <c r="G106" s="63">
        <f t="shared" si="55"/>
        <v>0</v>
      </c>
      <c r="H106" s="63">
        <v>21495</v>
      </c>
      <c r="I106" s="63">
        <f>+C106+D106-E106-F106+G106</f>
        <v>21495</v>
      </c>
      <c r="J106" s="9">
        <f t="shared" si="56"/>
        <v>0</v>
      </c>
      <c r="K106" s="47" t="s">
        <v>31</v>
      </c>
      <c r="L106" s="49">
        <v>614000</v>
      </c>
      <c r="M106" s="49">
        <v>0</v>
      </c>
      <c r="N106" s="49">
        <v>601150</v>
      </c>
      <c r="O106" s="49">
        <v>0</v>
      </c>
      <c r="Q106" s="5"/>
    </row>
    <row r="107" spans="1:17" ht="16.5" x14ac:dyDescent="0.3">
      <c r="A107" s="123" t="str">
        <f t="shared" ref="A107:A114" si="62">+K107</f>
        <v>I55S</v>
      </c>
      <c r="B107" s="124" t="s">
        <v>4</v>
      </c>
      <c r="C107" s="126">
        <v>233614</v>
      </c>
      <c r="D107" s="126">
        <f t="shared" si="54"/>
        <v>0</v>
      </c>
      <c r="E107" s="126">
        <f>+N107</f>
        <v>0</v>
      </c>
      <c r="F107" s="126">
        <f t="shared" si="59"/>
        <v>0</v>
      </c>
      <c r="G107" s="126">
        <f t="shared" si="55"/>
        <v>0</v>
      </c>
      <c r="H107" s="126">
        <v>233614</v>
      </c>
      <c r="I107" s="126">
        <f>+C107+D107-E107-F107+G107</f>
        <v>233614</v>
      </c>
      <c r="J107" s="9">
        <f t="shared" si="56"/>
        <v>0</v>
      </c>
      <c r="K107" s="47" t="s">
        <v>85</v>
      </c>
      <c r="L107" s="49">
        <v>0</v>
      </c>
      <c r="M107" s="49">
        <v>0</v>
      </c>
      <c r="N107" s="49">
        <v>0</v>
      </c>
      <c r="O107" s="49">
        <v>0</v>
      </c>
      <c r="Q107" s="5"/>
    </row>
    <row r="108" spans="1:17" ht="16.5" x14ac:dyDescent="0.3">
      <c r="A108" s="123" t="str">
        <f t="shared" si="62"/>
        <v>I73X</v>
      </c>
      <c r="B108" s="124" t="s">
        <v>4</v>
      </c>
      <c r="C108" s="126">
        <v>249769</v>
      </c>
      <c r="D108" s="126">
        <f t="shared" si="54"/>
        <v>0</v>
      </c>
      <c r="E108" s="126">
        <f>+N108</f>
        <v>0</v>
      </c>
      <c r="F108" s="126">
        <f t="shared" si="59"/>
        <v>0</v>
      </c>
      <c r="G108" s="126">
        <f t="shared" si="55"/>
        <v>0</v>
      </c>
      <c r="H108" s="126">
        <v>249769</v>
      </c>
      <c r="I108" s="126">
        <f t="shared" ref="I108:I111" si="63">+C108+D108-E108-F108+G108</f>
        <v>249769</v>
      </c>
      <c r="J108" s="9">
        <f t="shared" si="56"/>
        <v>0</v>
      </c>
      <c r="K108" s="47" t="s">
        <v>84</v>
      </c>
      <c r="L108" s="49">
        <v>0</v>
      </c>
      <c r="M108" s="49">
        <v>0</v>
      </c>
      <c r="N108" s="49">
        <v>0</v>
      </c>
      <c r="O108" s="49">
        <v>0</v>
      </c>
      <c r="Q108" s="5"/>
    </row>
    <row r="109" spans="1:17" ht="16.5" x14ac:dyDescent="0.3">
      <c r="A109" s="60" t="str">
        <f t="shared" si="62"/>
        <v>Godfré</v>
      </c>
      <c r="B109" s="104" t="s">
        <v>164</v>
      </c>
      <c r="C109" s="63">
        <v>79935</v>
      </c>
      <c r="D109" s="63">
        <f t="shared" si="54"/>
        <v>1202000</v>
      </c>
      <c r="E109" s="179">
        <f t="shared" ref="E109" si="64">+N109</f>
        <v>1118750</v>
      </c>
      <c r="F109" s="63">
        <f t="shared" si="59"/>
        <v>50000</v>
      </c>
      <c r="G109" s="63">
        <f t="shared" si="55"/>
        <v>0</v>
      </c>
      <c r="H109" s="63">
        <v>113185</v>
      </c>
      <c r="I109" s="63">
        <f t="shared" si="63"/>
        <v>113185</v>
      </c>
      <c r="J109" s="9">
        <f t="shared" si="56"/>
        <v>0</v>
      </c>
      <c r="K109" s="47" t="s">
        <v>153</v>
      </c>
      <c r="L109" s="49">
        <v>1202000</v>
      </c>
      <c r="M109" s="49">
        <v>50000</v>
      </c>
      <c r="N109" s="49">
        <v>1118750</v>
      </c>
      <c r="O109" s="49">
        <v>0</v>
      </c>
      <c r="Q109" s="5"/>
    </row>
    <row r="110" spans="1:17" ht="16.5" x14ac:dyDescent="0.3">
      <c r="A110" s="60" t="str">
        <f t="shared" si="62"/>
        <v>Grace</v>
      </c>
      <c r="B110" s="61" t="s">
        <v>2</v>
      </c>
      <c r="C110" s="63">
        <v>19800</v>
      </c>
      <c r="D110" s="63">
        <f t="shared" si="54"/>
        <v>3247000</v>
      </c>
      <c r="E110" s="179">
        <f>+N110</f>
        <v>1165100</v>
      </c>
      <c r="F110" s="63">
        <f t="shared" si="59"/>
        <v>2081000</v>
      </c>
      <c r="G110" s="63">
        <f t="shared" si="55"/>
        <v>0</v>
      </c>
      <c r="H110" s="63">
        <v>20700</v>
      </c>
      <c r="I110" s="63">
        <f t="shared" si="63"/>
        <v>20700</v>
      </c>
      <c r="J110" s="9">
        <f>I110-H110</f>
        <v>0</v>
      </c>
      <c r="K110" s="47" t="s">
        <v>152</v>
      </c>
      <c r="L110" s="49">
        <v>3247000</v>
      </c>
      <c r="M110" s="49">
        <v>2081000</v>
      </c>
      <c r="N110" s="49">
        <v>1165100</v>
      </c>
      <c r="O110" s="49">
        <v>0</v>
      </c>
      <c r="Q110" s="5"/>
    </row>
    <row r="111" spans="1:17" ht="16.5" x14ac:dyDescent="0.3">
      <c r="A111" s="60" t="str">
        <f t="shared" si="62"/>
        <v>I23C</v>
      </c>
      <c r="B111" s="104" t="s">
        <v>4</v>
      </c>
      <c r="C111" s="63">
        <v>30550</v>
      </c>
      <c r="D111" s="63">
        <f t="shared" si="54"/>
        <v>1493000</v>
      </c>
      <c r="E111" s="179">
        <f t="shared" ref="E111:E114" si="65">+N111</f>
        <v>1238000</v>
      </c>
      <c r="F111" s="63">
        <f t="shared" si="59"/>
        <v>270000</v>
      </c>
      <c r="G111" s="63">
        <f t="shared" si="55"/>
        <v>0</v>
      </c>
      <c r="H111" s="63">
        <v>15550</v>
      </c>
      <c r="I111" s="63">
        <f t="shared" si="63"/>
        <v>15550</v>
      </c>
      <c r="J111" s="9">
        <f t="shared" ref="J111:J112" si="66">I111-H111</f>
        <v>0</v>
      </c>
      <c r="K111" s="47" t="s">
        <v>30</v>
      </c>
      <c r="L111" s="49">
        <v>1493000</v>
      </c>
      <c r="M111" s="49">
        <v>270000</v>
      </c>
      <c r="N111" s="49">
        <v>1238000</v>
      </c>
      <c r="O111" s="49">
        <v>0</v>
      </c>
      <c r="Q111" s="5"/>
    </row>
    <row r="112" spans="1:17" ht="16.5" x14ac:dyDescent="0.3">
      <c r="A112" s="60" t="str">
        <f t="shared" si="62"/>
        <v>Merveille</v>
      </c>
      <c r="B112" s="61" t="s">
        <v>2</v>
      </c>
      <c r="C112" s="63">
        <v>13000</v>
      </c>
      <c r="D112" s="63">
        <f t="shared" si="54"/>
        <v>50000</v>
      </c>
      <c r="E112" s="179">
        <f t="shared" si="65"/>
        <v>58200</v>
      </c>
      <c r="F112" s="63">
        <f t="shared" si="59"/>
        <v>0</v>
      </c>
      <c r="G112" s="63">
        <f t="shared" si="55"/>
        <v>0</v>
      </c>
      <c r="H112" s="63">
        <v>4800</v>
      </c>
      <c r="I112" s="63">
        <f>+C112+D112-E112-F112+G112</f>
        <v>4800</v>
      </c>
      <c r="J112" s="9">
        <f t="shared" si="66"/>
        <v>0</v>
      </c>
      <c r="K112" s="47" t="s">
        <v>94</v>
      </c>
      <c r="L112" s="49">
        <v>50000</v>
      </c>
      <c r="M112" s="49">
        <v>0</v>
      </c>
      <c r="N112" s="49">
        <v>58200</v>
      </c>
      <c r="O112" s="49"/>
      <c r="Q112" s="5"/>
    </row>
    <row r="113" spans="1:17" ht="16.5" x14ac:dyDescent="0.3">
      <c r="A113" s="60" t="str">
        <f t="shared" si="62"/>
        <v>P29</v>
      </c>
      <c r="B113" s="61" t="s">
        <v>4</v>
      </c>
      <c r="C113" s="63">
        <v>55700</v>
      </c>
      <c r="D113" s="63">
        <f t="shared" si="54"/>
        <v>1029000</v>
      </c>
      <c r="E113" s="179">
        <f t="shared" si="65"/>
        <v>648500</v>
      </c>
      <c r="F113" s="63">
        <f>+M113</f>
        <v>300000</v>
      </c>
      <c r="G113" s="63">
        <f>+O113</f>
        <v>0</v>
      </c>
      <c r="H113" s="63">
        <v>136200</v>
      </c>
      <c r="I113" s="63">
        <f>+C113+D113-E113-F113+G113</f>
        <v>136200</v>
      </c>
      <c r="J113" s="9">
        <f>I113-H113</f>
        <v>0</v>
      </c>
      <c r="K113" s="47" t="s">
        <v>29</v>
      </c>
      <c r="L113" s="49">
        <v>1029000</v>
      </c>
      <c r="M113" s="49">
        <v>300000</v>
      </c>
      <c r="N113" s="49">
        <v>648500</v>
      </c>
      <c r="O113" s="49">
        <v>0</v>
      </c>
      <c r="Q113" s="5"/>
    </row>
    <row r="114" spans="1:17" ht="16.5" x14ac:dyDescent="0.3">
      <c r="A114" s="60" t="str">
        <f t="shared" si="62"/>
        <v>Tiffany</v>
      </c>
      <c r="B114" s="61" t="s">
        <v>2</v>
      </c>
      <c r="C114" s="63">
        <v>-36237</v>
      </c>
      <c r="D114" s="63">
        <f t="shared" si="54"/>
        <v>210000</v>
      </c>
      <c r="E114" s="179">
        <f t="shared" si="65"/>
        <v>210500</v>
      </c>
      <c r="F114" s="63">
        <f t="shared" ref="F114" si="67">+M114</f>
        <v>0</v>
      </c>
      <c r="G114" s="63">
        <f t="shared" ref="G114" si="68">+O114</f>
        <v>0</v>
      </c>
      <c r="H114" s="63">
        <v>-36737</v>
      </c>
      <c r="I114" s="63">
        <f t="shared" ref="I114" si="69">+C114+D114-E114-F114+G114</f>
        <v>-36737</v>
      </c>
      <c r="J114" s="9">
        <f t="shared" ref="J114" si="70">I114-H114</f>
        <v>0</v>
      </c>
      <c r="K114" s="47" t="s">
        <v>114</v>
      </c>
      <c r="L114" s="49">
        <v>210000</v>
      </c>
      <c r="M114" s="49">
        <v>0</v>
      </c>
      <c r="N114" s="49">
        <v>210500</v>
      </c>
      <c r="O114" s="49">
        <v>0</v>
      </c>
      <c r="Q114" s="5"/>
    </row>
    <row r="115" spans="1:17" ht="16.5" x14ac:dyDescent="0.3">
      <c r="A115" s="10" t="s">
        <v>51</v>
      </c>
      <c r="B115" s="11"/>
      <c r="C115" s="12">
        <f t="shared" ref="C115:I115" si="71">SUM(C101:C114)</f>
        <v>17560283</v>
      </c>
      <c r="D115" s="59">
        <f t="shared" si="71"/>
        <v>20915000</v>
      </c>
      <c r="E115" s="59">
        <f t="shared" si="71"/>
        <v>14177366</v>
      </c>
      <c r="F115" s="59">
        <f t="shared" si="71"/>
        <v>20915000</v>
      </c>
      <c r="G115" s="59">
        <f t="shared" si="71"/>
        <v>0</v>
      </c>
      <c r="H115" s="59">
        <f t="shared" si="71"/>
        <v>3382917</v>
      </c>
      <c r="I115" s="59">
        <f t="shared" si="71"/>
        <v>3382917</v>
      </c>
      <c r="J115" s="9">
        <f>I115-H115</f>
        <v>0</v>
      </c>
      <c r="K115" s="3"/>
      <c r="L115" s="49">
        <f>+SUM(L101:L114)</f>
        <v>20915000</v>
      </c>
      <c r="M115" s="49">
        <f>+SUM(M101:M114)</f>
        <v>20915000</v>
      </c>
      <c r="N115" s="49">
        <f>+SUM(N101:N114)</f>
        <v>14177366</v>
      </c>
      <c r="O115" s="49">
        <f>+SUM(O101:O114)</f>
        <v>0</v>
      </c>
      <c r="Q115" s="5"/>
    </row>
    <row r="116" spans="1:17" ht="16.5" x14ac:dyDescent="0.3">
      <c r="A116" s="10"/>
      <c r="B116" s="11"/>
      <c r="C116" s="12"/>
      <c r="D116" s="13"/>
      <c r="E116" s="12"/>
      <c r="F116" s="13"/>
      <c r="G116" s="12"/>
      <c r="H116" s="12"/>
      <c r="I116" s="143" t="b">
        <f>I115=D118</f>
        <v>1</v>
      </c>
      <c r="L116" s="5"/>
      <c r="M116" s="5"/>
      <c r="N116" s="5"/>
      <c r="O116" s="5"/>
      <c r="Q116" s="5"/>
    </row>
    <row r="117" spans="1:17" ht="16.5" x14ac:dyDescent="0.3">
      <c r="A117" s="10" t="s">
        <v>199</v>
      </c>
      <c r="B117" s="11" t="s">
        <v>200</v>
      </c>
      <c r="C117" s="12" t="s">
        <v>201</v>
      </c>
      <c r="D117" s="12" t="s">
        <v>213</v>
      </c>
      <c r="E117" s="12" t="s">
        <v>52</v>
      </c>
      <c r="F117" s="12"/>
      <c r="G117" s="12">
        <f>+D115-F115</f>
        <v>0</v>
      </c>
      <c r="H117" s="12"/>
      <c r="I117" s="12"/>
      <c r="Q117" s="5"/>
    </row>
    <row r="118" spans="1:17" ht="16.5" x14ac:dyDescent="0.3">
      <c r="A118" s="14">
        <f>C115</f>
        <v>17560283</v>
      </c>
      <c r="B118" s="15">
        <f>G115</f>
        <v>0</v>
      </c>
      <c r="C118" s="12">
        <f>E115</f>
        <v>14177366</v>
      </c>
      <c r="D118" s="12">
        <f>A118+B118-C118</f>
        <v>3382917</v>
      </c>
      <c r="E118" s="13">
        <f>I115-D118</f>
        <v>0</v>
      </c>
      <c r="F118" s="12"/>
      <c r="G118" s="12"/>
      <c r="H118" s="12"/>
      <c r="I118" s="12"/>
      <c r="Q118" s="5"/>
    </row>
    <row r="119" spans="1:17" ht="16.5" x14ac:dyDescent="0.3">
      <c r="A119" s="14"/>
      <c r="B119" s="15"/>
      <c r="C119" s="12"/>
      <c r="D119" s="12"/>
      <c r="E119" s="13"/>
      <c r="F119" s="12"/>
      <c r="G119" s="12"/>
      <c r="H119" s="12"/>
      <c r="I119" s="12"/>
      <c r="Q119" s="5"/>
    </row>
    <row r="120" spans="1:17" x14ac:dyDescent="0.2">
      <c r="A120" s="16" t="s">
        <v>53</v>
      </c>
      <c r="B120" s="16"/>
      <c r="C120" s="16"/>
      <c r="D120" s="17"/>
      <c r="E120" s="17"/>
      <c r="F120" s="17"/>
      <c r="G120" s="17"/>
      <c r="H120" s="17"/>
      <c r="I120" s="17"/>
      <c r="Q120" s="5"/>
    </row>
    <row r="121" spans="1:17" x14ac:dyDescent="0.2">
      <c r="A121" s="18" t="s">
        <v>203</v>
      </c>
      <c r="B121" s="18"/>
      <c r="C121" s="18"/>
      <c r="D121" s="18"/>
      <c r="E121" s="18"/>
      <c r="F121" s="18"/>
      <c r="G121" s="18"/>
      <c r="H121" s="18"/>
      <c r="I121" s="18"/>
      <c r="J121" s="18"/>
      <c r="Q121" s="5"/>
    </row>
    <row r="122" spans="1:17" x14ac:dyDescent="0.2">
      <c r="A122" s="19"/>
      <c r="B122" s="20"/>
      <c r="C122" s="21"/>
      <c r="D122" s="21"/>
      <c r="E122" s="21"/>
      <c r="F122" s="21"/>
      <c r="G122" s="21"/>
      <c r="H122" s="20"/>
      <c r="I122" s="20"/>
      <c r="Q122" s="5"/>
    </row>
    <row r="123" spans="1:17" x14ac:dyDescent="0.2">
      <c r="A123" s="313" t="s">
        <v>54</v>
      </c>
      <c r="B123" s="315" t="s">
        <v>55</v>
      </c>
      <c r="C123" s="317" t="s">
        <v>202</v>
      </c>
      <c r="D123" s="319" t="s">
        <v>56</v>
      </c>
      <c r="E123" s="320"/>
      <c r="F123" s="320"/>
      <c r="G123" s="321"/>
      <c r="H123" s="322" t="s">
        <v>57</v>
      </c>
      <c r="I123" s="309" t="s">
        <v>58</v>
      </c>
      <c r="J123" s="20"/>
      <c r="Q123" s="5"/>
    </row>
    <row r="124" spans="1:17" ht="28.5" customHeight="1" x14ac:dyDescent="0.25">
      <c r="A124" s="314"/>
      <c r="B124" s="316"/>
      <c r="C124" s="318"/>
      <c r="D124" s="22" t="s">
        <v>24</v>
      </c>
      <c r="E124" s="22" t="s">
        <v>25</v>
      </c>
      <c r="F124" s="318" t="s">
        <v>124</v>
      </c>
      <c r="G124" s="22" t="s">
        <v>59</v>
      </c>
      <c r="H124" s="323"/>
      <c r="I124" s="310"/>
      <c r="J124" s="311" t="s">
        <v>204</v>
      </c>
      <c r="K124" s="155"/>
      <c r="Q124" s="5"/>
    </row>
    <row r="125" spans="1:17" x14ac:dyDescent="0.2">
      <c r="A125" s="24"/>
      <c r="B125" s="25" t="s">
        <v>60</v>
      </c>
      <c r="C125" s="26"/>
      <c r="D125" s="26"/>
      <c r="E125" s="26"/>
      <c r="F125" s="26"/>
      <c r="G125" s="26"/>
      <c r="H125" s="26"/>
      <c r="I125" s="27"/>
      <c r="J125" s="312"/>
      <c r="K125" s="155"/>
      <c r="Q125" s="5"/>
    </row>
    <row r="126" spans="1:17" x14ac:dyDescent="0.2">
      <c r="A126" s="130" t="s">
        <v>116</v>
      </c>
      <c r="B126" s="135" t="s">
        <v>173</v>
      </c>
      <c r="C126" s="33">
        <f>+C101</f>
        <v>500</v>
      </c>
      <c r="D126" s="32"/>
      <c r="E126" s="33">
        <f>+D101</f>
        <v>50000</v>
      </c>
      <c r="F126" s="33"/>
      <c r="G126" s="33"/>
      <c r="H126" s="57">
        <f>+F101</f>
        <v>0</v>
      </c>
      <c r="I126" s="33">
        <f>+E101</f>
        <v>50500</v>
      </c>
      <c r="J126" s="31">
        <f t="shared" ref="J126:J127" si="72">+SUM(C126:G126)-(H126+I126)</f>
        <v>0</v>
      </c>
      <c r="K126" s="156" t="b">
        <f>J126=I101</f>
        <v>1</v>
      </c>
      <c r="Q126" s="5"/>
    </row>
    <row r="127" spans="1:17" x14ac:dyDescent="0.2">
      <c r="A127" s="130" t="str">
        <f>+A126</f>
        <v>FEVRIER</v>
      </c>
      <c r="B127" s="135" t="s">
        <v>48</v>
      </c>
      <c r="C127" s="33">
        <f>+C105</f>
        <v>9000</v>
      </c>
      <c r="D127" s="32"/>
      <c r="E127" s="33">
        <f>+D105</f>
        <v>2509000</v>
      </c>
      <c r="F127" s="33"/>
      <c r="G127" s="33"/>
      <c r="H127" s="57">
        <f>+F105</f>
        <v>440000</v>
      </c>
      <c r="I127" s="33">
        <f>+E105</f>
        <v>2021950</v>
      </c>
      <c r="J127" s="107">
        <f t="shared" si="72"/>
        <v>56050</v>
      </c>
      <c r="K127" s="156" t="b">
        <f t="shared" ref="K127:K136" si="73">J127=I105</f>
        <v>1</v>
      </c>
      <c r="Q127" s="5"/>
    </row>
    <row r="128" spans="1:17" x14ac:dyDescent="0.2">
      <c r="A128" s="130" t="str">
        <f t="shared" ref="A128:A136" si="74">+A127</f>
        <v>FEVRIER</v>
      </c>
      <c r="B128" s="136" t="s">
        <v>31</v>
      </c>
      <c r="C128" s="33">
        <f>+C106</f>
        <v>8645</v>
      </c>
      <c r="D128" s="127"/>
      <c r="E128" s="33">
        <f>+D106</f>
        <v>614000</v>
      </c>
      <c r="F128" s="53"/>
      <c r="G128" s="53"/>
      <c r="H128" s="57">
        <f>+F106</f>
        <v>0</v>
      </c>
      <c r="I128" s="33">
        <f>+E106</f>
        <v>601150</v>
      </c>
      <c r="J128" s="132">
        <f>+SUM(C128:G128)-(H128+I128)</f>
        <v>21495</v>
      </c>
      <c r="K128" s="156" t="b">
        <f t="shared" si="73"/>
        <v>1</v>
      </c>
      <c r="Q128" s="5"/>
    </row>
    <row r="129" spans="1:17" x14ac:dyDescent="0.2">
      <c r="A129" s="130" t="str">
        <f t="shared" si="74"/>
        <v>FEVRIER</v>
      </c>
      <c r="B129" s="137" t="s">
        <v>85</v>
      </c>
      <c r="C129" s="128">
        <f>+C107</f>
        <v>233614</v>
      </c>
      <c r="D129" s="131"/>
      <c r="E129" s="128">
        <f>+D107</f>
        <v>0</v>
      </c>
      <c r="F129" s="146"/>
      <c r="G129" s="146"/>
      <c r="H129" s="180">
        <f>+F107</f>
        <v>0</v>
      </c>
      <c r="I129" s="128">
        <f>+E107</f>
        <v>0</v>
      </c>
      <c r="J129" s="129">
        <f>+SUM(C129:G129)-(H129+I129)</f>
        <v>233614</v>
      </c>
      <c r="K129" s="156" t="b">
        <f t="shared" si="73"/>
        <v>1</v>
      </c>
      <c r="Q129" s="5"/>
    </row>
    <row r="130" spans="1:17" x14ac:dyDescent="0.2">
      <c r="A130" s="130" t="str">
        <f t="shared" si="74"/>
        <v>FEVRIER</v>
      </c>
      <c r="B130" s="137" t="s">
        <v>84</v>
      </c>
      <c r="C130" s="128">
        <f>+C108</f>
        <v>249769</v>
      </c>
      <c r="D130" s="131"/>
      <c r="E130" s="128">
        <f>+D108</f>
        <v>0</v>
      </c>
      <c r="F130" s="146"/>
      <c r="G130" s="146"/>
      <c r="H130" s="180">
        <f>+F108</f>
        <v>0</v>
      </c>
      <c r="I130" s="128">
        <f>+E108</f>
        <v>0</v>
      </c>
      <c r="J130" s="129">
        <f t="shared" ref="J130:J136" si="75">+SUM(C130:G130)-(H130+I130)</f>
        <v>249769</v>
      </c>
      <c r="K130" s="156" t="b">
        <f t="shared" si="73"/>
        <v>1</v>
      </c>
      <c r="Q130" s="5"/>
    </row>
    <row r="131" spans="1:17" x14ac:dyDescent="0.2">
      <c r="A131" s="130" t="str">
        <f t="shared" si="74"/>
        <v>FEVRIER</v>
      </c>
      <c r="B131" s="135" t="s">
        <v>153</v>
      </c>
      <c r="C131" s="33">
        <f>+C109</f>
        <v>79935</v>
      </c>
      <c r="D131" s="32"/>
      <c r="E131" s="33">
        <f>+D109</f>
        <v>1202000</v>
      </c>
      <c r="F131" s="33"/>
      <c r="G131" s="110"/>
      <c r="H131" s="57">
        <f>+F109</f>
        <v>50000</v>
      </c>
      <c r="I131" s="33">
        <f>+E109</f>
        <v>1118750</v>
      </c>
      <c r="J131" s="31">
        <f t="shared" si="75"/>
        <v>113185</v>
      </c>
      <c r="K131" s="156" t="b">
        <f t="shared" si="73"/>
        <v>1</v>
      </c>
      <c r="Q131" s="5"/>
    </row>
    <row r="132" spans="1:17" x14ac:dyDescent="0.2">
      <c r="A132" s="130" t="str">
        <f t="shared" si="74"/>
        <v>FEVRIER</v>
      </c>
      <c r="B132" s="135" t="s">
        <v>152</v>
      </c>
      <c r="C132" s="33">
        <f t="shared" ref="C132:C136" si="76">+C110</f>
        <v>19800</v>
      </c>
      <c r="D132" s="32"/>
      <c r="E132" s="33">
        <f t="shared" ref="E132:E136" si="77">+D110</f>
        <v>3247000</v>
      </c>
      <c r="F132" s="33"/>
      <c r="G132" s="110"/>
      <c r="H132" s="57">
        <f t="shared" ref="H132:H136" si="78">+F110</f>
        <v>2081000</v>
      </c>
      <c r="I132" s="33">
        <f t="shared" ref="I132:I136" si="79">+E110</f>
        <v>1165100</v>
      </c>
      <c r="J132" s="31">
        <f t="shared" si="75"/>
        <v>20700</v>
      </c>
      <c r="K132" s="156" t="b">
        <f t="shared" si="73"/>
        <v>1</v>
      </c>
      <c r="Q132" s="5"/>
    </row>
    <row r="133" spans="1:17" x14ac:dyDescent="0.2">
      <c r="A133" s="130" t="str">
        <f t="shared" si="74"/>
        <v>FEVRIER</v>
      </c>
      <c r="B133" s="135" t="s">
        <v>30</v>
      </c>
      <c r="C133" s="33">
        <f t="shared" si="76"/>
        <v>30550</v>
      </c>
      <c r="D133" s="32"/>
      <c r="E133" s="33">
        <f t="shared" si="77"/>
        <v>1493000</v>
      </c>
      <c r="F133" s="33"/>
      <c r="G133" s="110"/>
      <c r="H133" s="57">
        <f t="shared" si="78"/>
        <v>270000</v>
      </c>
      <c r="I133" s="33">
        <f t="shared" si="79"/>
        <v>1238000</v>
      </c>
      <c r="J133" s="31">
        <f t="shared" si="75"/>
        <v>15550</v>
      </c>
      <c r="K133" s="156" t="b">
        <f t="shared" si="73"/>
        <v>1</v>
      </c>
      <c r="Q133" s="5"/>
    </row>
    <row r="134" spans="1:17" x14ac:dyDescent="0.2">
      <c r="A134" s="130" t="str">
        <f>+A132</f>
        <v>FEVRIER</v>
      </c>
      <c r="B134" s="135" t="s">
        <v>94</v>
      </c>
      <c r="C134" s="33">
        <f t="shared" si="76"/>
        <v>13000</v>
      </c>
      <c r="D134" s="32"/>
      <c r="E134" s="33">
        <f t="shared" si="77"/>
        <v>50000</v>
      </c>
      <c r="F134" s="33"/>
      <c r="G134" s="110"/>
      <c r="H134" s="57">
        <f t="shared" si="78"/>
        <v>0</v>
      </c>
      <c r="I134" s="33">
        <f t="shared" si="79"/>
        <v>58200</v>
      </c>
      <c r="J134" s="31">
        <f t="shared" si="75"/>
        <v>4800</v>
      </c>
      <c r="K134" s="156" t="b">
        <f t="shared" si="73"/>
        <v>1</v>
      </c>
      <c r="Q134" s="5"/>
    </row>
    <row r="135" spans="1:17" x14ac:dyDescent="0.2">
      <c r="A135" s="130" t="str">
        <f>+A133</f>
        <v>FEVRIER</v>
      </c>
      <c r="B135" s="135" t="s">
        <v>29</v>
      </c>
      <c r="C135" s="33">
        <f t="shared" si="76"/>
        <v>55700</v>
      </c>
      <c r="D135" s="32"/>
      <c r="E135" s="33">
        <f t="shared" si="77"/>
        <v>1029000</v>
      </c>
      <c r="F135" s="33"/>
      <c r="G135" s="110"/>
      <c r="H135" s="57">
        <f t="shared" si="78"/>
        <v>300000</v>
      </c>
      <c r="I135" s="33">
        <f t="shared" si="79"/>
        <v>648500</v>
      </c>
      <c r="J135" s="31">
        <f t="shared" si="75"/>
        <v>136200</v>
      </c>
      <c r="K135" s="156" t="b">
        <f t="shared" si="73"/>
        <v>1</v>
      </c>
      <c r="Q135" s="5"/>
    </row>
    <row r="136" spans="1:17" x14ac:dyDescent="0.2">
      <c r="A136" s="130" t="str">
        <f t="shared" si="74"/>
        <v>FEVRIER</v>
      </c>
      <c r="B136" s="136" t="s">
        <v>114</v>
      </c>
      <c r="C136" s="33">
        <f t="shared" si="76"/>
        <v>-36237</v>
      </c>
      <c r="D136" s="127"/>
      <c r="E136" s="33">
        <f t="shared" si="77"/>
        <v>210000</v>
      </c>
      <c r="F136" s="53"/>
      <c r="G136" s="147"/>
      <c r="H136" s="57">
        <f t="shared" si="78"/>
        <v>0</v>
      </c>
      <c r="I136" s="33">
        <f t="shared" si="79"/>
        <v>210500</v>
      </c>
      <c r="J136" s="31">
        <f t="shared" si="75"/>
        <v>-36737</v>
      </c>
      <c r="K136" s="156" t="b">
        <f t="shared" si="73"/>
        <v>1</v>
      </c>
      <c r="Q136" s="5"/>
    </row>
    <row r="137" spans="1:17" x14ac:dyDescent="0.2">
      <c r="A137" s="35" t="s">
        <v>61</v>
      </c>
      <c r="B137" s="36"/>
      <c r="C137" s="36"/>
      <c r="D137" s="36"/>
      <c r="E137" s="36"/>
      <c r="F137" s="36"/>
      <c r="G137" s="36"/>
      <c r="H137" s="36"/>
      <c r="I137" s="36"/>
      <c r="J137" s="37"/>
      <c r="K137" s="155"/>
      <c r="Q137" s="5"/>
    </row>
    <row r="138" spans="1:17" x14ac:dyDescent="0.2">
      <c r="A138" s="130" t="str">
        <f>+A136</f>
        <v>FEVRIER</v>
      </c>
      <c r="B138" s="38" t="s">
        <v>62</v>
      </c>
      <c r="C138" s="39">
        <f>+C104</f>
        <v>580885</v>
      </c>
      <c r="D138" s="51"/>
      <c r="E138" s="51">
        <f>D104</f>
        <v>10511000</v>
      </c>
      <c r="F138" s="51"/>
      <c r="G138" s="133"/>
      <c r="H138" s="53">
        <f>+F104</f>
        <v>7774000</v>
      </c>
      <c r="I138" s="134">
        <f>+E104</f>
        <v>2520779</v>
      </c>
      <c r="J138" s="46">
        <f>+SUM(C138:G138)-(H138+I138)</f>
        <v>797106</v>
      </c>
      <c r="K138" s="156" t="b">
        <f>J138=I104</f>
        <v>1</v>
      </c>
      <c r="Q138" s="5"/>
    </row>
    <row r="139" spans="1:17" x14ac:dyDescent="0.2">
      <c r="A139" s="44" t="s">
        <v>63</v>
      </c>
      <c r="B139" s="25"/>
      <c r="C139" s="36"/>
      <c r="D139" s="25"/>
      <c r="E139" s="25"/>
      <c r="F139" s="25"/>
      <c r="G139" s="25"/>
      <c r="H139" s="25"/>
      <c r="I139" s="25"/>
      <c r="J139" s="37"/>
      <c r="K139" s="155"/>
      <c r="Q139" s="5"/>
    </row>
    <row r="140" spans="1:17" x14ac:dyDescent="0.2">
      <c r="A140" s="130" t="str">
        <f>+A138</f>
        <v>FEVRIER</v>
      </c>
      <c r="B140" s="38" t="s">
        <v>167</v>
      </c>
      <c r="C140" s="133">
        <f>+C102</f>
        <v>2172028</v>
      </c>
      <c r="D140" s="140">
        <f>+G102</f>
        <v>0</v>
      </c>
      <c r="E140" s="51"/>
      <c r="F140" s="51"/>
      <c r="G140" s="51"/>
      <c r="H140" s="53">
        <f>+F102</f>
        <v>1000000</v>
      </c>
      <c r="I140" s="55">
        <f>+E102</f>
        <v>283345</v>
      </c>
      <c r="J140" s="46">
        <f>+SUM(C140:G140)-(H140+I140)</f>
        <v>888683</v>
      </c>
      <c r="K140" s="156" t="b">
        <f>+J140=I102</f>
        <v>1</v>
      </c>
      <c r="Q140" s="5"/>
    </row>
    <row r="141" spans="1:17" x14ac:dyDescent="0.2">
      <c r="A141" s="130" t="str">
        <f t="shared" ref="A141" si="80">+A140</f>
        <v>FEVRIER</v>
      </c>
      <c r="B141" s="38" t="s">
        <v>65</v>
      </c>
      <c r="C141" s="133">
        <f>+C103</f>
        <v>14143094</v>
      </c>
      <c r="D141" s="51">
        <f>+G103</f>
        <v>0</v>
      </c>
      <c r="E141" s="50"/>
      <c r="F141" s="50"/>
      <c r="G141" s="50"/>
      <c r="H141" s="33">
        <f>+F103</f>
        <v>9000000</v>
      </c>
      <c r="I141" s="52">
        <f>+E103</f>
        <v>4260592</v>
      </c>
      <c r="J141" s="46">
        <f>SUM(C141:G141)-(H141+I141)</f>
        <v>882502</v>
      </c>
      <c r="K141" s="156" t="b">
        <f>+J141=I103</f>
        <v>1</v>
      </c>
      <c r="Q141" s="5"/>
    </row>
    <row r="142" spans="1:17" ht="15.75" x14ac:dyDescent="0.25">
      <c r="C142" s="151">
        <f>SUM(C126:C141)</f>
        <v>17560283</v>
      </c>
      <c r="I142" s="149">
        <f>SUM(I126:I141)</f>
        <v>14177366</v>
      </c>
      <c r="J142" s="111">
        <f>+SUM(J126:J141)</f>
        <v>3382917</v>
      </c>
      <c r="K142" s="5" t="b">
        <f>J142=I115</f>
        <v>1</v>
      </c>
      <c r="Q142" s="5"/>
    </row>
    <row r="143" spans="1:17" ht="15.75" x14ac:dyDescent="0.25">
      <c r="A143" s="267"/>
      <c r="B143" s="267"/>
      <c r="C143" s="268"/>
      <c r="D143" s="267"/>
      <c r="E143" s="267"/>
      <c r="F143" s="267"/>
      <c r="G143" s="267"/>
      <c r="H143" s="267"/>
      <c r="I143" s="269"/>
      <c r="J143" s="270"/>
      <c r="K143" s="267"/>
      <c r="L143" s="271"/>
      <c r="M143" s="271"/>
      <c r="N143" s="271"/>
      <c r="O143" s="271"/>
      <c r="P143" s="267"/>
      <c r="Q143" s="5"/>
    </row>
    <row r="144" spans="1:17" ht="15.75" x14ac:dyDescent="0.25">
      <c r="A144" s="267"/>
      <c r="B144" s="267"/>
      <c r="C144" s="268"/>
      <c r="D144" s="267"/>
      <c r="E144" s="267"/>
      <c r="F144" s="267"/>
      <c r="G144" s="267"/>
      <c r="H144" s="267"/>
      <c r="I144" s="269"/>
      <c r="J144" s="270"/>
      <c r="K144" s="267"/>
      <c r="L144" s="271"/>
      <c r="M144" s="271"/>
      <c r="N144" s="271"/>
      <c r="O144" s="271"/>
      <c r="P144" s="267"/>
      <c r="Q144" s="5"/>
    </row>
    <row r="146" spans="1:17" ht="15.75" x14ac:dyDescent="0.25">
      <c r="A146" s="6" t="s">
        <v>37</v>
      </c>
      <c r="B146" s="6" t="s">
        <v>1</v>
      </c>
      <c r="C146" s="6">
        <v>44562</v>
      </c>
      <c r="D146" s="7" t="s">
        <v>38</v>
      </c>
      <c r="E146" s="7" t="s">
        <v>39</v>
      </c>
      <c r="F146" s="7" t="s">
        <v>40</v>
      </c>
      <c r="G146" s="7" t="s">
        <v>41</v>
      </c>
      <c r="H146" s="6">
        <v>44592</v>
      </c>
      <c r="I146" s="7" t="s">
        <v>42</v>
      </c>
      <c r="K146" s="47"/>
      <c r="L146" s="47" t="s">
        <v>43</v>
      </c>
      <c r="M146" s="47" t="s">
        <v>44</v>
      </c>
      <c r="N146" s="47" t="s">
        <v>45</v>
      </c>
      <c r="O146" s="47" t="s">
        <v>46</v>
      </c>
      <c r="Q146" s="5"/>
    </row>
    <row r="147" spans="1:17" ht="16.5" x14ac:dyDescent="0.3">
      <c r="A147" s="60" t="str">
        <f>+K147</f>
        <v>B52</v>
      </c>
      <c r="B147" s="61" t="s">
        <v>4</v>
      </c>
      <c r="C147" s="62">
        <v>9500</v>
      </c>
      <c r="D147" s="63">
        <f t="shared" ref="D147:D160" si="81">+L147</f>
        <v>567000</v>
      </c>
      <c r="E147" s="63">
        <f>+N147</f>
        <v>576000</v>
      </c>
      <c r="F147" s="63">
        <f>+M147</f>
        <v>0</v>
      </c>
      <c r="G147" s="63">
        <f t="shared" ref="G147:G158" si="82">+O147</f>
        <v>0</v>
      </c>
      <c r="H147" s="63">
        <v>500</v>
      </c>
      <c r="I147" s="63">
        <f>+C147+D147-E147-F147+G147</f>
        <v>500</v>
      </c>
      <c r="J147" s="9">
        <f>I147-H147</f>
        <v>0</v>
      </c>
      <c r="K147" s="47" t="s">
        <v>173</v>
      </c>
      <c r="L147" s="49">
        <v>567000</v>
      </c>
      <c r="M147" s="49">
        <v>0</v>
      </c>
      <c r="N147" s="49">
        <v>576000</v>
      </c>
      <c r="O147" s="49">
        <v>0</v>
      </c>
      <c r="Q147" s="5"/>
    </row>
    <row r="148" spans="1:17" ht="16.5" x14ac:dyDescent="0.3">
      <c r="A148" s="60" t="str">
        <f>+K148</f>
        <v>BCI</v>
      </c>
      <c r="B148" s="61" t="s">
        <v>47</v>
      </c>
      <c r="C148" s="62">
        <v>3455373</v>
      </c>
      <c r="D148" s="63">
        <f t="shared" si="81"/>
        <v>0</v>
      </c>
      <c r="E148" s="63">
        <f>+N148</f>
        <v>283345</v>
      </c>
      <c r="F148" s="63">
        <f>+M148</f>
        <v>1000000</v>
      </c>
      <c r="G148" s="63">
        <f t="shared" si="82"/>
        <v>0</v>
      </c>
      <c r="H148" s="63">
        <v>2172028</v>
      </c>
      <c r="I148" s="63">
        <f>+C148+D148-E148-F148+G148</f>
        <v>2172028</v>
      </c>
      <c r="J148" s="9">
        <f t="shared" ref="J148:J155" si="83">I148-H148</f>
        <v>0</v>
      </c>
      <c r="K148" s="47" t="s">
        <v>24</v>
      </c>
      <c r="L148" s="49">
        <v>0</v>
      </c>
      <c r="M148" s="49">
        <v>1000000</v>
      </c>
      <c r="N148" s="49">
        <v>283345</v>
      </c>
      <c r="O148" s="49">
        <v>0</v>
      </c>
      <c r="Q148" s="5"/>
    </row>
    <row r="149" spans="1:17" ht="16.5" x14ac:dyDescent="0.3">
      <c r="A149" s="60" t="str">
        <f t="shared" ref="A149:A151" si="84">+K149</f>
        <v>BCI-Sous Compte</v>
      </c>
      <c r="B149" s="61" t="s">
        <v>47</v>
      </c>
      <c r="C149" s="62">
        <v>4841615</v>
      </c>
      <c r="D149" s="63">
        <f t="shared" si="81"/>
        <v>0</v>
      </c>
      <c r="E149" s="63">
        <f>+N149</f>
        <v>6223724</v>
      </c>
      <c r="F149" s="63">
        <f>+M149</f>
        <v>2000000</v>
      </c>
      <c r="G149" s="63">
        <f t="shared" si="82"/>
        <v>17525203</v>
      </c>
      <c r="H149" s="63">
        <v>14143094</v>
      </c>
      <c r="I149" s="63">
        <f>+C149+D149-E149-F149+G149</f>
        <v>14143094</v>
      </c>
      <c r="J149" s="108">
        <f t="shared" si="83"/>
        <v>0</v>
      </c>
      <c r="K149" s="47" t="s">
        <v>158</v>
      </c>
      <c r="L149" s="49">
        <v>0</v>
      </c>
      <c r="M149" s="49">
        <v>2000000</v>
      </c>
      <c r="N149" s="49">
        <v>6223724</v>
      </c>
      <c r="O149" s="49">
        <v>17525203</v>
      </c>
      <c r="Q149" s="5"/>
    </row>
    <row r="150" spans="1:17" ht="16.5" x14ac:dyDescent="0.3">
      <c r="A150" s="60" t="str">
        <f t="shared" si="84"/>
        <v>Caisse</v>
      </c>
      <c r="B150" s="61" t="s">
        <v>25</v>
      </c>
      <c r="C150" s="62">
        <v>1042520</v>
      </c>
      <c r="D150" s="63">
        <f t="shared" si="81"/>
        <v>3035000</v>
      </c>
      <c r="E150" s="63">
        <f t="shared" ref="E150" si="85">+N150</f>
        <v>966635</v>
      </c>
      <c r="F150" s="63">
        <f t="shared" ref="F150:F158" si="86">+M150</f>
        <v>2530000</v>
      </c>
      <c r="G150" s="63">
        <f t="shared" si="82"/>
        <v>0</v>
      </c>
      <c r="H150" s="63">
        <v>580885</v>
      </c>
      <c r="I150" s="63">
        <f>+C150+D150-E150-F150+G150</f>
        <v>580885</v>
      </c>
      <c r="J150" s="9">
        <f t="shared" si="83"/>
        <v>0</v>
      </c>
      <c r="K150" s="47" t="s">
        <v>25</v>
      </c>
      <c r="L150" s="49">
        <v>3035000</v>
      </c>
      <c r="M150" s="49">
        <v>2530000</v>
      </c>
      <c r="N150" s="49">
        <v>966635</v>
      </c>
      <c r="O150" s="49">
        <v>0</v>
      </c>
      <c r="Q150" s="5"/>
    </row>
    <row r="151" spans="1:17" ht="16.5" x14ac:dyDescent="0.3">
      <c r="A151" s="60" t="str">
        <f t="shared" si="84"/>
        <v>Crépin</v>
      </c>
      <c r="B151" s="61" t="s">
        <v>164</v>
      </c>
      <c r="C151" s="62">
        <v>-37100</v>
      </c>
      <c r="D151" s="63">
        <f t="shared" si="81"/>
        <v>256000</v>
      </c>
      <c r="E151" s="63">
        <f>+N151</f>
        <v>189900</v>
      </c>
      <c r="F151" s="63">
        <f t="shared" si="86"/>
        <v>20000</v>
      </c>
      <c r="G151" s="63">
        <f t="shared" si="82"/>
        <v>0</v>
      </c>
      <c r="H151" s="63">
        <v>9000</v>
      </c>
      <c r="I151" s="63">
        <f t="shared" ref="I151" si="87">+C151+D151-E151-F151+G151</f>
        <v>9000</v>
      </c>
      <c r="J151" s="9">
        <f t="shared" si="83"/>
        <v>0</v>
      </c>
      <c r="K151" s="47" t="s">
        <v>48</v>
      </c>
      <c r="L151" s="49">
        <v>256000</v>
      </c>
      <c r="M151" s="49">
        <v>20000</v>
      </c>
      <c r="N151" s="49">
        <v>189900</v>
      </c>
      <c r="O151" s="49">
        <v>0</v>
      </c>
      <c r="Q151" s="5"/>
    </row>
    <row r="152" spans="1:17" ht="16.5" x14ac:dyDescent="0.3">
      <c r="A152" s="60" t="str">
        <f>K152</f>
        <v>Evariste</v>
      </c>
      <c r="B152" s="61" t="s">
        <v>165</v>
      </c>
      <c r="C152" s="62">
        <v>8645</v>
      </c>
      <c r="D152" s="63">
        <f t="shared" si="81"/>
        <v>0</v>
      </c>
      <c r="E152" s="63">
        <f t="shared" ref="E152" si="88">+N152</f>
        <v>0</v>
      </c>
      <c r="F152" s="63">
        <f t="shared" si="86"/>
        <v>0</v>
      </c>
      <c r="G152" s="63">
        <f t="shared" si="82"/>
        <v>0</v>
      </c>
      <c r="H152" s="63">
        <v>8645</v>
      </c>
      <c r="I152" s="63">
        <f>+C152+D152-E152-F152+G152</f>
        <v>8645</v>
      </c>
      <c r="J152" s="9">
        <f t="shared" si="83"/>
        <v>0</v>
      </c>
      <c r="K152" s="47" t="s">
        <v>31</v>
      </c>
      <c r="L152" s="49">
        <v>0</v>
      </c>
      <c r="M152" s="49">
        <v>0</v>
      </c>
      <c r="N152" s="49">
        <v>0</v>
      </c>
      <c r="O152" s="49">
        <v>0</v>
      </c>
      <c r="Q152" s="5"/>
    </row>
    <row r="153" spans="1:17" ht="16.5" x14ac:dyDescent="0.3">
      <c r="A153" s="123" t="str">
        <f t="shared" ref="A153:A160" si="89">+K153</f>
        <v>I55S</v>
      </c>
      <c r="B153" s="124" t="s">
        <v>4</v>
      </c>
      <c r="C153" s="125">
        <v>233614</v>
      </c>
      <c r="D153" s="126">
        <f t="shared" si="81"/>
        <v>0</v>
      </c>
      <c r="E153" s="126">
        <f>+N153</f>
        <v>0</v>
      </c>
      <c r="F153" s="126">
        <f t="shared" si="86"/>
        <v>0</v>
      </c>
      <c r="G153" s="126">
        <f t="shared" si="82"/>
        <v>0</v>
      </c>
      <c r="H153" s="126">
        <v>233614</v>
      </c>
      <c r="I153" s="126">
        <f>+C153+D153-E153-F153+G153</f>
        <v>233614</v>
      </c>
      <c r="J153" s="9">
        <f t="shared" si="83"/>
        <v>0</v>
      </c>
      <c r="K153" s="47" t="s">
        <v>85</v>
      </c>
      <c r="L153" s="49">
        <v>0</v>
      </c>
      <c r="M153" s="49">
        <v>0</v>
      </c>
      <c r="N153" s="49">
        <v>0</v>
      </c>
      <c r="O153" s="49">
        <v>0</v>
      </c>
      <c r="Q153" s="5"/>
    </row>
    <row r="154" spans="1:17" ht="16.5" x14ac:dyDescent="0.3">
      <c r="A154" s="123" t="str">
        <f t="shared" si="89"/>
        <v>I73X</v>
      </c>
      <c r="B154" s="124" t="s">
        <v>4</v>
      </c>
      <c r="C154" s="125">
        <v>249769</v>
      </c>
      <c r="D154" s="126">
        <f t="shared" si="81"/>
        <v>0</v>
      </c>
      <c r="E154" s="126">
        <f>+N154</f>
        <v>0</v>
      </c>
      <c r="F154" s="126">
        <f t="shared" si="86"/>
        <v>0</v>
      </c>
      <c r="G154" s="126">
        <f t="shared" si="82"/>
        <v>0</v>
      </c>
      <c r="H154" s="126">
        <v>249769</v>
      </c>
      <c r="I154" s="126">
        <f t="shared" ref="I154:I157" si="90">+C154+D154-E154-F154+G154</f>
        <v>249769</v>
      </c>
      <c r="J154" s="9">
        <f t="shared" si="83"/>
        <v>0</v>
      </c>
      <c r="K154" s="47" t="s">
        <v>84</v>
      </c>
      <c r="L154" s="49">
        <v>0</v>
      </c>
      <c r="M154" s="49">
        <v>0</v>
      </c>
      <c r="N154" s="49">
        <v>0</v>
      </c>
      <c r="O154" s="49">
        <v>0</v>
      </c>
      <c r="Q154" s="5"/>
    </row>
    <row r="155" spans="1:17" ht="16.5" x14ac:dyDescent="0.3">
      <c r="A155" s="60" t="str">
        <f t="shared" si="89"/>
        <v>Godfré</v>
      </c>
      <c r="B155" s="104" t="s">
        <v>164</v>
      </c>
      <c r="C155" s="62">
        <v>34935</v>
      </c>
      <c r="D155" s="63">
        <f t="shared" si="81"/>
        <v>365000</v>
      </c>
      <c r="E155" s="179">
        <f t="shared" ref="E155" si="91">+N155</f>
        <v>320000</v>
      </c>
      <c r="F155" s="63">
        <f t="shared" si="86"/>
        <v>0</v>
      </c>
      <c r="G155" s="63">
        <f t="shared" si="82"/>
        <v>0</v>
      </c>
      <c r="H155" s="63">
        <v>79935</v>
      </c>
      <c r="I155" s="63">
        <f t="shared" si="90"/>
        <v>79935</v>
      </c>
      <c r="J155" s="9">
        <f t="shared" si="83"/>
        <v>0</v>
      </c>
      <c r="K155" s="47" t="s">
        <v>153</v>
      </c>
      <c r="L155" s="49">
        <v>365000</v>
      </c>
      <c r="M155" s="49"/>
      <c r="N155" s="49">
        <v>320000</v>
      </c>
      <c r="O155" s="49">
        <v>0</v>
      </c>
      <c r="Q155" s="5"/>
    </row>
    <row r="156" spans="1:17" ht="16.5" x14ac:dyDescent="0.3">
      <c r="A156" s="60" t="str">
        <f t="shared" si="89"/>
        <v>Grace</v>
      </c>
      <c r="B156" s="61" t="s">
        <v>2</v>
      </c>
      <c r="C156" s="62">
        <v>44200</v>
      </c>
      <c r="D156" s="63">
        <f t="shared" si="81"/>
        <v>0</v>
      </c>
      <c r="E156" s="179">
        <f>+N156</f>
        <v>9400</v>
      </c>
      <c r="F156" s="63">
        <f t="shared" si="86"/>
        <v>15000</v>
      </c>
      <c r="G156" s="63">
        <f t="shared" si="82"/>
        <v>0</v>
      </c>
      <c r="H156" s="63">
        <v>19800</v>
      </c>
      <c r="I156" s="63">
        <f t="shared" si="90"/>
        <v>19800</v>
      </c>
      <c r="J156" s="9">
        <f>I156-H156</f>
        <v>0</v>
      </c>
      <c r="K156" s="47" t="s">
        <v>152</v>
      </c>
      <c r="L156" s="49">
        <v>0</v>
      </c>
      <c r="M156" s="49">
        <v>15000</v>
      </c>
      <c r="N156" s="49">
        <v>9400</v>
      </c>
      <c r="O156" s="49">
        <v>0</v>
      </c>
      <c r="Q156" s="5"/>
    </row>
    <row r="157" spans="1:17" ht="16.5" x14ac:dyDescent="0.3">
      <c r="A157" s="60" t="str">
        <f t="shared" si="89"/>
        <v>I23C</v>
      </c>
      <c r="B157" s="104" t="s">
        <v>4</v>
      </c>
      <c r="C157" s="62">
        <v>12050</v>
      </c>
      <c r="D157" s="63">
        <f t="shared" si="81"/>
        <v>492000</v>
      </c>
      <c r="E157" s="179">
        <f t="shared" ref="E157:E160" si="92">+N157</f>
        <v>473500</v>
      </c>
      <c r="F157" s="63">
        <f t="shared" si="86"/>
        <v>0</v>
      </c>
      <c r="G157" s="63">
        <f t="shared" si="82"/>
        <v>0</v>
      </c>
      <c r="H157" s="63">
        <v>30550</v>
      </c>
      <c r="I157" s="63">
        <f t="shared" si="90"/>
        <v>30550</v>
      </c>
      <c r="J157" s="9">
        <f t="shared" ref="J157:J158" si="93">I157-H157</f>
        <v>0</v>
      </c>
      <c r="K157" s="47" t="s">
        <v>30</v>
      </c>
      <c r="L157" s="49">
        <v>492000</v>
      </c>
      <c r="M157" s="49">
        <v>0</v>
      </c>
      <c r="N157" s="49">
        <v>473500</v>
      </c>
      <c r="O157" s="49">
        <v>0</v>
      </c>
      <c r="Q157" s="5"/>
    </row>
    <row r="158" spans="1:17" ht="16.5" x14ac:dyDescent="0.3">
      <c r="A158" s="60" t="str">
        <f t="shared" si="89"/>
        <v>Merveille</v>
      </c>
      <c r="B158" s="61" t="s">
        <v>2</v>
      </c>
      <c r="C158" s="62">
        <v>5500</v>
      </c>
      <c r="D158" s="63">
        <f t="shared" si="81"/>
        <v>20000</v>
      </c>
      <c r="E158" s="179">
        <f t="shared" si="92"/>
        <v>12500</v>
      </c>
      <c r="F158" s="63">
        <f t="shared" si="86"/>
        <v>0</v>
      </c>
      <c r="G158" s="63">
        <f t="shared" si="82"/>
        <v>0</v>
      </c>
      <c r="H158" s="63">
        <v>13000</v>
      </c>
      <c r="I158" s="63">
        <f>+C158+D158-E158-F158+G158</f>
        <v>13000</v>
      </c>
      <c r="J158" s="9">
        <f t="shared" si="93"/>
        <v>0</v>
      </c>
      <c r="K158" s="47" t="s">
        <v>94</v>
      </c>
      <c r="L158" s="49">
        <v>20000</v>
      </c>
      <c r="M158" s="49">
        <v>0</v>
      </c>
      <c r="N158" s="49">
        <v>12500</v>
      </c>
      <c r="O158" s="49"/>
      <c r="Q158" s="5"/>
    </row>
    <row r="159" spans="1:17" ht="16.5" x14ac:dyDescent="0.3">
      <c r="A159" s="60" t="str">
        <f t="shared" si="89"/>
        <v>P29</v>
      </c>
      <c r="B159" s="61" t="s">
        <v>4</v>
      </c>
      <c r="C159" s="62">
        <v>58200</v>
      </c>
      <c r="D159" s="63">
        <f t="shared" si="81"/>
        <v>530000</v>
      </c>
      <c r="E159" s="179">
        <f t="shared" si="92"/>
        <v>532500</v>
      </c>
      <c r="F159" s="63">
        <f>+M159</f>
        <v>0</v>
      </c>
      <c r="G159" s="63">
        <f>+O159</f>
        <v>0</v>
      </c>
      <c r="H159" s="63">
        <v>55700</v>
      </c>
      <c r="I159" s="63">
        <f>+C159+D159-E159-F159+G159</f>
        <v>55700</v>
      </c>
      <c r="J159" s="9">
        <f>I159-H159</f>
        <v>0</v>
      </c>
      <c r="K159" s="47" t="s">
        <v>29</v>
      </c>
      <c r="L159" s="49">
        <v>530000</v>
      </c>
      <c r="M159" s="49">
        <v>0</v>
      </c>
      <c r="N159" s="49">
        <v>532500</v>
      </c>
      <c r="O159" s="49">
        <v>0</v>
      </c>
      <c r="Q159" s="5"/>
    </row>
    <row r="160" spans="1:17" ht="16.5" x14ac:dyDescent="0.3">
      <c r="A160" s="60" t="str">
        <f t="shared" si="89"/>
        <v>Tiffany</v>
      </c>
      <c r="B160" s="61" t="s">
        <v>2</v>
      </c>
      <c r="C160" s="62">
        <v>263673</v>
      </c>
      <c r="D160" s="63">
        <f t="shared" si="81"/>
        <v>300000</v>
      </c>
      <c r="E160" s="179">
        <f t="shared" si="92"/>
        <v>599910</v>
      </c>
      <c r="F160" s="63">
        <f t="shared" ref="F160" si="94">+M160</f>
        <v>0</v>
      </c>
      <c r="G160" s="63">
        <f t="shared" ref="G160" si="95">+O160</f>
        <v>0</v>
      </c>
      <c r="H160" s="63">
        <v>-36237</v>
      </c>
      <c r="I160" s="63">
        <f t="shared" ref="I160" si="96">+C160+D160-E160-F160+G160</f>
        <v>-36237</v>
      </c>
      <c r="J160" s="9">
        <f t="shared" ref="J160" si="97">I160-H160</f>
        <v>0</v>
      </c>
      <c r="K160" s="47" t="s">
        <v>114</v>
      </c>
      <c r="L160" s="49">
        <v>300000</v>
      </c>
      <c r="M160" s="49">
        <v>0</v>
      </c>
      <c r="N160" s="49">
        <v>599910</v>
      </c>
      <c r="O160" s="49">
        <v>0</v>
      </c>
      <c r="Q160" s="5"/>
    </row>
    <row r="161" spans="1:17" ht="16.5" x14ac:dyDescent="0.3">
      <c r="A161" s="10" t="s">
        <v>51</v>
      </c>
      <c r="B161" s="11"/>
      <c r="C161" s="12">
        <f t="shared" ref="C161:I161" si="98">SUM(C147:C160)</f>
        <v>10222494</v>
      </c>
      <c r="D161" s="59">
        <f t="shared" si="98"/>
        <v>5565000</v>
      </c>
      <c r="E161" s="59">
        <f t="shared" si="98"/>
        <v>10187414</v>
      </c>
      <c r="F161" s="59">
        <f t="shared" si="98"/>
        <v>5565000</v>
      </c>
      <c r="G161" s="59">
        <f t="shared" si="98"/>
        <v>17525203</v>
      </c>
      <c r="H161" s="59">
        <f t="shared" si="98"/>
        <v>17560283</v>
      </c>
      <c r="I161" s="59">
        <f t="shared" si="98"/>
        <v>17560283</v>
      </c>
      <c r="J161" s="9">
        <f>I161-H161</f>
        <v>0</v>
      </c>
      <c r="K161" s="3"/>
      <c r="L161" s="49">
        <f>+SUM(L147:L160)</f>
        <v>5565000</v>
      </c>
      <c r="M161" s="49">
        <f>+SUM(M147:M160)</f>
        <v>5565000</v>
      </c>
      <c r="N161" s="49">
        <f>+SUM(N147:N160)</f>
        <v>10187414</v>
      </c>
      <c r="O161" s="49">
        <f>+SUM(O147:O160)</f>
        <v>17525203</v>
      </c>
      <c r="Q161" s="5"/>
    </row>
    <row r="162" spans="1:17" ht="16.5" x14ac:dyDescent="0.3">
      <c r="A162" s="10"/>
      <c r="B162" s="11"/>
      <c r="C162" s="12"/>
      <c r="D162" s="13"/>
      <c r="E162" s="12"/>
      <c r="F162" s="13"/>
      <c r="G162" s="12"/>
      <c r="H162" s="12"/>
      <c r="I162" s="143" t="b">
        <f>I161=D164</f>
        <v>1</v>
      </c>
      <c r="L162" s="5"/>
      <c r="M162" s="5"/>
      <c r="N162" s="5"/>
      <c r="O162" s="5"/>
      <c r="Q162" s="5"/>
    </row>
    <row r="163" spans="1:17" ht="16.5" x14ac:dyDescent="0.3">
      <c r="A163" s="10" t="s">
        <v>189</v>
      </c>
      <c r="B163" s="11" t="s">
        <v>191</v>
      </c>
      <c r="C163" s="12" t="s">
        <v>190</v>
      </c>
      <c r="D163" s="12" t="s">
        <v>192</v>
      </c>
      <c r="E163" s="12" t="s">
        <v>52</v>
      </c>
      <c r="F163" s="12"/>
      <c r="G163" s="12">
        <f>+D161-F161</f>
        <v>0</v>
      </c>
      <c r="H163" s="12"/>
      <c r="I163" s="12"/>
      <c r="L163" s="5"/>
      <c r="M163" s="5"/>
      <c r="N163" s="5"/>
      <c r="O163" s="5"/>
      <c r="Q163" s="5"/>
    </row>
    <row r="164" spans="1:17" ht="16.5" x14ac:dyDescent="0.3">
      <c r="A164" s="14">
        <f>C161</f>
        <v>10222494</v>
      </c>
      <c r="B164" s="15">
        <f>G161</f>
        <v>17525203</v>
      </c>
      <c r="C164" s="12">
        <f>E161</f>
        <v>10187414</v>
      </c>
      <c r="D164" s="12">
        <f>A164+B164-C164</f>
        <v>17560283</v>
      </c>
      <c r="E164" s="13">
        <f>I161-D164</f>
        <v>0</v>
      </c>
      <c r="F164" s="12"/>
      <c r="G164" s="12"/>
      <c r="H164" s="12"/>
      <c r="I164" s="12"/>
      <c r="L164" s="5"/>
      <c r="M164" s="5"/>
      <c r="N164" s="5"/>
      <c r="O164" s="5"/>
      <c r="Q164" s="5"/>
    </row>
    <row r="165" spans="1:17" ht="16.5" x14ac:dyDescent="0.3">
      <c r="A165" s="14"/>
      <c r="B165" s="15"/>
      <c r="C165" s="12"/>
      <c r="D165" s="12"/>
      <c r="E165" s="13"/>
      <c r="F165" s="12"/>
      <c r="G165" s="12"/>
      <c r="H165" s="12"/>
      <c r="I165" s="12"/>
      <c r="L165" s="5"/>
      <c r="M165" s="5"/>
      <c r="N165" s="5"/>
      <c r="O165" s="5"/>
      <c r="Q165" s="5"/>
    </row>
    <row r="166" spans="1:17" x14ac:dyDescent="0.2">
      <c r="A166" s="16" t="s">
        <v>53</v>
      </c>
      <c r="B166" s="16"/>
      <c r="C166" s="16"/>
      <c r="D166" s="17"/>
      <c r="E166" s="17"/>
      <c r="F166" s="17"/>
      <c r="G166" s="17"/>
      <c r="H166" s="17"/>
      <c r="I166" s="17"/>
      <c r="L166" s="5"/>
      <c r="M166" s="5"/>
      <c r="N166" s="5"/>
      <c r="O166" s="5"/>
      <c r="Q166" s="5"/>
    </row>
    <row r="167" spans="1:17" x14ac:dyDescent="0.2">
      <c r="A167" s="18" t="s">
        <v>193</v>
      </c>
      <c r="B167" s="18"/>
      <c r="C167" s="18"/>
      <c r="D167" s="18"/>
      <c r="E167" s="18"/>
      <c r="F167" s="18"/>
      <c r="G167" s="18"/>
      <c r="H167" s="18"/>
      <c r="I167" s="18"/>
      <c r="J167" s="18"/>
      <c r="L167" s="5"/>
      <c r="M167" s="5"/>
      <c r="N167" s="5"/>
      <c r="O167" s="5"/>
      <c r="Q167" s="5"/>
    </row>
    <row r="168" spans="1:17" x14ac:dyDescent="0.2">
      <c r="A168" s="19"/>
      <c r="B168" s="20"/>
      <c r="C168" s="21"/>
      <c r="D168" s="21"/>
      <c r="E168" s="21"/>
      <c r="F168" s="21"/>
      <c r="G168" s="21"/>
      <c r="H168" s="20"/>
      <c r="I168" s="20"/>
      <c r="L168" s="5"/>
      <c r="M168" s="5"/>
      <c r="N168" s="5"/>
      <c r="O168" s="5"/>
      <c r="Q168" s="5"/>
    </row>
    <row r="169" spans="1:17" x14ac:dyDescent="0.2">
      <c r="A169" s="377" t="s">
        <v>54</v>
      </c>
      <c r="B169" s="379" t="s">
        <v>55</v>
      </c>
      <c r="C169" s="381" t="s">
        <v>195</v>
      </c>
      <c r="D169" s="383" t="s">
        <v>56</v>
      </c>
      <c r="E169" s="384"/>
      <c r="F169" s="384"/>
      <c r="G169" s="385"/>
      <c r="H169" s="386" t="s">
        <v>57</v>
      </c>
      <c r="I169" s="373" t="s">
        <v>58</v>
      </c>
      <c r="J169" s="20"/>
      <c r="L169" s="5"/>
      <c r="M169" s="5"/>
      <c r="N169" s="5"/>
      <c r="O169" s="5"/>
      <c r="Q169" s="5"/>
    </row>
    <row r="170" spans="1:17" ht="28.5" customHeight="1" x14ac:dyDescent="0.25">
      <c r="A170" s="378"/>
      <c r="B170" s="380"/>
      <c r="C170" s="382"/>
      <c r="D170" s="22" t="s">
        <v>24</v>
      </c>
      <c r="E170" s="22" t="s">
        <v>25</v>
      </c>
      <c r="F170" s="245" t="s">
        <v>124</v>
      </c>
      <c r="G170" s="22" t="s">
        <v>59</v>
      </c>
      <c r="H170" s="387"/>
      <c r="I170" s="374"/>
      <c r="J170" s="375" t="s">
        <v>194</v>
      </c>
      <c r="K170" s="155"/>
      <c r="L170" s="5"/>
      <c r="M170" s="5"/>
      <c r="N170" s="5"/>
      <c r="O170" s="5"/>
      <c r="Q170" s="5"/>
    </row>
    <row r="171" spans="1:17" x14ac:dyDescent="0.2">
      <c r="A171" s="24"/>
      <c r="B171" s="25" t="s">
        <v>60</v>
      </c>
      <c r="C171" s="26"/>
      <c r="D171" s="26"/>
      <c r="E171" s="26"/>
      <c r="F171" s="26"/>
      <c r="G171" s="26"/>
      <c r="H171" s="26"/>
      <c r="I171" s="27"/>
      <c r="J171" s="376"/>
      <c r="K171" s="155"/>
      <c r="L171" s="5"/>
      <c r="M171" s="5"/>
      <c r="N171" s="5"/>
      <c r="O171" s="5"/>
      <c r="Q171" s="5"/>
    </row>
    <row r="172" spans="1:17" x14ac:dyDescent="0.2">
      <c r="A172" s="130" t="s">
        <v>109</v>
      </c>
      <c r="B172" s="135" t="s">
        <v>173</v>
      </c>
      <c r="C172" s="33">
        <f>+C147</f>
        <v>9500</v>
      </c>
      <c r="D172" s="32"/>
      <c r="E172" s="33">
        <f>+D147</f>
        <v>567000</v>
      </c>
      <c r="F172" s="33"/>
      <c r="G172" s="33"/>
      <c r="H172" s="57">
        <f>+F147</f>
        <v>0</v>
      </c>
      <c r="I172" s="33">
        <f>+E147</f>
        <v>576000</v>
      </c>
      <c r="J172" s="31">
        <f t="shared" ref="J172:J173" si="99">+SUM(C172:G172)-(H172+I172)</f>
        <v>500</v>
      </c>
      <c r="K172" s="156" t="b">
        <f>J172=I147</f>
        <v>1</v>
      </c>
      <c r="L172" s="5"/>
      <c r="M172" s="5"/>
      <c r="N172" s="5"/>
      <c r="O172" s="5"/>
      <c r="Q172" s="5"/>
    </row>
    <row r="173" spans="1:17" x14ac:dyDescent="0.2">
      <c r="A173" s="130" t="str">
        <f>+A172</f>
        <v>JANVIER</v>
      </c>
      <c r="B173" s="135" t="s">
        <v>48</v>
      </c>
      <c r="C173" s="33">
        <f>+C151</f>
        <v>-37100</v>
      </c>
      <c r="D173" s="32"/>
      <c r="E173" s="33">
        <f>+D151</f>
        <v>256000</v>
      </c>
      <c r="F173" s="33"/>
      <c r="G173" s="33"/>
      <c r="H173" s="57">
        <f>+F151</f>
        <v>20000</v>
      </c>
      <c r="I173" s="33">
        <f>+E151</f>
        <v>189900</v>
      </c>
      <c r="J173" s="107">
        <f t="shared" si="99"/>
        <v>9000</v>
      </c>
      <c r="K173" s="156" t="b">
        <f t="shared" ref="K173:K182" si="100">J173=I151</f>
        <v>1</v>
      </c>
      <c r="L173" s="5"/>
      <c r="M173" s="5"/>
      <c r="N173" s="5"/>
      <c r="O173" s="5"/>
      <c r="Q173" s="5"/>
    </row>
    <row r="174" spans="1:17" x14ac:dyDescent="0.2">
      <c r="A174" s="130" t="str">
        <f t="shared" ref="A174:A182" si="101">+A173</f>
        <v>JANVIER</v>
      </c>
      <c r="B174" s="136" t="s">
        <v>31</v>
      </c>
      <c r="C174" s="33">
        <f>+C152</f>
        <v>8645</v>
      </c>
      <c r="D174" s="127"/>
      <c r="E174" s="33">
        <f>+D152</f>
        <v>0</v>
      </c>
      <c r="F174" s="53"/>
      <c r="G174" s="53"/>
      <c r="H174" s="57">
        <f>+F152</f>
        <v>0</v>
      </c>
      <c r="I174" s="33">
        <f>+E152</f>
        <v>0</v>
      </c>
      <c r="J174" s="132">
        <f>+SUM(C174:G174)-(H174+I174)</f>
        <v>8645</v>
      </c>
      <c r="K174" s="156" t="b">
        <f t="shared" si="100"/>
        <v>1</v>
      </c>
      <c r="L174" s="5"/>
      <c r="M174" s="5"/>
      <c r="N174" s="5"/>
      <c r="O174" s="5"/>
      <c r="Q174" s="5"/>
    </row>
    <row r="175" spans="1:17" x14ac:dyDescent="0.2">
      <c r="A175" s="130" t="str">
        <f t="shared" si="101"/>
        <v>JANVIER</v>
      </c>
      <c r="B175" s="137" t="s">
        <v>85</v>
      </c>
      <c r="C175" s="128">
        <f>+C153</f>
        <v>233614</v>
      </c>
      <c r="D175" s="131"/>
      <c r="E175" s="128">
        <f>+D153</f>
        <v>0</v>
      </c>
      <c r="F175" s="146"/>
      <c r="G175" s="146"/>
      <c r="H175" s="180">
        <f>+F153</f>
        <v>0</v>
      </c>
      <c r="I175" s="128">
        <f>+E153</f>
        <v>0</v>
      </c>
      <c r="J175" s="129">
        <f>+SUM(C175:G175)-(H175+I175)</f>
        <v>233614</v>
      </c>
      <c r="K175" s="156" t="b">
        <f t="shared" si="100"/>
        <v>1</v>
      </c>
      <c r="L175" s="5"/>
      <c r="M175" s="5"/>
      <c r="N175" s="5"/>
      <c r="O175" s="5"/>
      <c r="Q175" s="5"/>
    </row>
    <row r="176" spans="1:17" x14ac:dyDescent="0.2">
      <c r="A176" s="130" t="str">
        <f t="shared" si="101"/>
        <v>JANVIER</v>
      </c>
      <c r="B176" s="137" t="s">
        <v>84</v>
      </c>
      <c r="C176" s="128">
        <f>+C154</f>
        <v>249769</v>
      </c>
      <c r="D176" s="131"/>
      <c r="E176" s="128">
        <f>+D154</f>
        <v>0</v>
      </c>
      <c r="F176" s="146"/>
      <c r="G176" s="146"/>
      <c r="H176" s="180">
        <f>+F154</f>
        <v>0</v>
      </c>
      <c r="I176" s="128">
        <f>+E154</f>
        <v>0</v>
      </c>
      <c r="J176" s="129">
        <f t="shared" ref="J176:J182" si="102">+SUM(C176:G176)-(H176+I176)</f>
        <v>249769</v>
      </c>
      <c r="K176" s="156" t="b">
        <f t="shared" si="100"/>
        <v>1</v>
      </c>
      <c r="L176" s="5"/>
      <c r="M176" s="5"/>
      <c r="N176" s="5"/>
      <c r="O176" s="5"/>
      <c r="Q176" s="5"/>
    </row>
    <row r="177" spans="1:17" x14ac:dyDescent="0.2">
      <c r="A177" s="130" t="str">
        <f t="shared" si="101"/>
        <v>JANVIER</v>
      </c>
      <c r="B177" s="135" t="s">
        <v>153</v>
      </c>
      <c r="C177" s="33">
        <f>+C155</f>
        <v>34935</v>
      </c>
      <c r="D177" s="32"/>
      <c r="E177" s="33">
        <f>+D155</f>
        <v>365000</v>
      </c>
      <c r="F177" s="33"/>
      <c r="G177" s="110"/>
      <c r="H177" s="57">
        <f>+F155</f>
        <v>0</v>
      </c>
      <c r="I177" s="33">
        <f>+E155</f>
        <v>320000</v>
      </c>
      <c r="J177" s="31">
        <f t="shared" si="102"/>
        <v>79935</v>
      </c>
      <c r="K177" s="156" t="b">
        <f t="shared" si="100"/>
        <v>1</v>
      </c>
      <c r="L177" s="5"/>
      <c r="M177" s="5"/>
      <c r="N177" s="5"/>
      <c r="O177" s="5"/>
      <c r="Q177" s="5"/>
    </row>
    <row r="178" spans="1:17" x14ac:dyDescent="0.2">
      <c r="A178" s="130" t="str">
        <f t="shared" si="101"/>
        <v>JANVIER</v>
      </c>
      <c r="B178" s="135" t="s">
        <v>152</v>
      </c>
      <c r="C178" s="33">
        <f t="shared" ref="C178:C182" si="103">+C156</f>
        <v>44200</v>
      </c>
      <c r="D178" s="32"/>
      <c r="E178" s="33">
        <f t="shared" ref="E178:E182" si="104">+D156</f>
        <v>0</v>
      </c>
      <c r="F178" s="33"/>
      <c r="G178" s="110"/>
      <c r="H178" s="57">
        <f t="shared" ref="H178:H182" si="105">+F156</f>
        <v>15000</v>
      </c>
      <c r="I178" s="33">
        <f t="shared" ref="I178:I182" si="106">+E156</f>
        <v>9400</v>
      </c>
      <c r="J178" s="31">
        <f t="shared" si="102"/>
        <v>19800</v>
      </c>
      <c r="K178" s="156" t="b">
        <f t="shared" si="100"/>
        <v>1</v>
      </c>
      <c r="L178" s="5"/>
      <c r="M178" s="5"/>
      <c r="N178" s="5"/>
      <c r="O178" s="5"/>
      <c r="Q178" s="5"/>
    </row>
    <row r="179" spans="1:17" x14ac:dyDescent="0.2">
      <c r="A179" s="130" t="str">
        <f t="shared" si="101"/>
        <v>JANVIER</v>
      </c>
      <c r="B179" s="135" t="s">
        <v>30</v>
      </c>
      <c r="C179" s="33">
        <f t="shared" si="103"/>
        <v>12050</v>
      </c>
      <c r="D179" s="32"/>
      <c r="E179" s="33">
        <f t="shared" si="104"/>
        <v>492000</v>
      </c>
      <c r="F179" s="33"/>
      <c r="G179" s="110"/>
      <c r="H179" s="57">
        <f t="shared" si="105"/>
        <v>0</v>
      </c>
      <c r="I179" s="33">
        <f t="shared" si="106"/>
        <v>473500</v>
      </c>
      <c r="J179" s="31">
        <f t="shared" si="102"/>
        <v>30550</v>
      </c>
      <c r="K179" s="156" t="b">
        <f t="shared" si="100"/>
        <v>1</v>
      </c>
      <c r="Q179" s="5"/>
    </row>
    <row r="180" spans="1:17" x14ac:dyDescent="0.2">
      <c r="A180" s="130" t="str">
        <f>+A178</f>
        <v>JANVIER</v>
      </c>
      <c r="B180" s="135" t="s">
        <v>94</v>
      </c>
      <c r="C180" s="33">
        <f t="shared" si="103"/>
        <v>5500</v>
      </c>
      <c r="D180" s="32"/>
      <c r="E180" s="33">
        <f t="shared" si="104"/>
        <v>20000</v>
      </c>
      <c r="F180" s="33"/>
      <c r="G180" s="110"/>
      <c r="H180" s="57">
        <f t="shared" si="105"/>
        <v>0</v>
      </c>
      <c r="I180" s="33">
        <f t="shared" si="106"/>
        <v>12500</v>
      </c>
      <c r="J180" s="31">
        <f t="shared" si="102"/>
        <v>13000</v>
      </c>
      <c r="K180" s="156" t="b">
        <f t="shared" si="100"/>
        <v>1</v>
      </c>
      <c r="Q180" s="5"/>
    </row>
    <row r="181" spans="1:17" x14ac:dyDescent="0.2">
      <c r="A181" s="130" t="str">
        <f>+A179</f>
        <v>JANVIER</v>
      </c>
      <c r="B181" s="135" t="s">
        <v>29</v>
      </c>
      <c r="C181" s="33">
        <f t="shared" si="103"/>
        <v>58200</v>
      </c>
      <c r="D181" s="32"/>
      <c r="E181" s="33">
        <f t="shared" si="104"/>
        <v>530000</v>
      </c>
      <c r="F181" s="33"/>
      <c r="G181" s="110"/>
      <c r="H181" s="57">
        <f t="shared" si="105"/>
        <v>0</v>
      </c>
      <c r="I181" s="33">
        <f t="shared" si="106"/>
        <v>532500</v>
      </c>
      <c r="J181" s="31">
        <f t="shared" si="102"/>
        <v>55700</v>
      </c>
      <c r="K181" s="156" t="b">
        <f t="shared" si="100"/>
        <v>1</v>
      </c>
      <c r="Q181" s="5"/>
    </row>
    <row r="182" spans="1:17" x14ac:dyDescent="0.2">
      <c r="A182" s="130" t="str">
        <f t="shared" si="101"/>
        <v>JANVIER</v>
      </c>
      <c r="B182" s="136" t="s">
        <v>114</v>
      </c>
      <c r="C182" s="33">
        <f t="shared" si="103"/>
        <v>263673</v>
      </c>
      <c r="D182" s="127"/>
      <c r="E182" s="33">
        <f t="shared" si="104"/>
        <v>300000</v>
      </c>
      <c r="F182" s="53"/>
      <c r="G182" s="147"/>
      <c r="H182" s="57">
        <f t="shared" si="105"/>
        <v>0</v>
      </c>
      <c r="I182" s="33">
        <f t="shared" si="106"/>
        <v>599910</v>
      </c>
      <c r="J182" s="31">
        <f t="shared" si="102"/>
        <v>-36237</v>
      </c>
      <c r="K182" s="156" t="b">
        <f t="shared" si="100"/>
        <v>1</v>
      </c>
      <c r="Q182" s="5"/>
    </row>
    <row r="183" spans="1:17" x14ac:dyDescent="0.2">
      <c r="A183" s="35" t="s">
        <v>61</v>
      </c>
      <c r="B183" s="36"/>
      <c r="C183" s="36"/>
      <c r="D183" s="36"/>
      <c r="E183" s="36"/>
      <c r="F183" s="36"/>
      <c r="G183" s="36"/>
      <c r="H183" s="36"/>
      <c r="I183" s="36"/>
      <c r="J183" s="37"/>
      <c r="K183" s="155"/>
      <c r="Q183" s="5"/>
    </row>
    <row r="184" spans="1:17" x14ac:dyDescent="0.2">
      <c r="A184" s="130" t="str">
        <f>+A182</f>
        <v>JANVIER</v>
      </c>
      <c r="B184" s="38" t="s">
        <v>62</v>
      </c>
      <c r="C184" s="39">
        <f>+C150</f>
        <v>1042520</v>
      </c>
      <c r="D184" s="51"/>
      <c r="E184" s="51">
        <f>D150</f>
        <v>3035000</v>
      </c>
      <c r="F184" s="51"/>
      <c r="G184" s="133"/>
      <c r="H184" s="53">
        <f>+F150</f>
        <v>2530000</v>
      </c>
      <c r="I184" s="134">
        <f>+E150</f>
        <v>966635</v>
      </c>
      <c r="J184" s="46">
        <f>+SUM(C184:G184)-(H184+I184)</f>
        <v>580885</v>
      </c>
      <c r="K184" s="156" t="b">
        <f>J184=I150</f>
        <v>1</v>
      </c>
      <c r="Q184" s="5"/>
    </row>
    <row r="185" spans="1:17" x14ac:dyDescent="0.2">
      <c r="A185" s="44" t="s">
        <v>63</v>
      </c>
      <c r="B185" s="25"/>
      <c r="C185" s="36"/>
      <c r="D185" s="25"/>
      <c r="E185" s="25"/>
      <c r="F185" s="25"/>
      <c r="G185" s="25"/>
      <c r="H185" s="25"/>
      <c r="I185" s="25"/>
      <c r="J185" s="37"/>
      <c r="K185" s="155"/>
      <c r="Q185" s="5"/>
    </row>
    <row r="186" spans="1:17" x14ac:dyDescent="0.2">
      <c r="A186" s="130" t="str">
        <f>+A184</f>
        <v>JANVIER</v>
      </c>
      <c r="B186" s="38" t="s">
        <v>167</v>
      </c>
      <c r="C186" s="133">
        <f>+C148</f>
        <v>3455373</v>
      </c>
      <c r="D186" s="140">
        <f>+G148</f>
        <v>0</v>
      </c>
      <c r="E186" s="51"/>
      <c r="F186" s="51"/>
      <c r="G186" s="51"/>
      <c r="H186" s="53">
        <f>+F148</f>
        <v>1000000</v>
      </c>
      <c r="I186" s="55">
        <f>+E148</f>
        <v>283345</v>
      </c>
      <c r="J186" s="46">
        <f>+SUM(C186:G186)-(H186+I186)</f>
        <v>2172028</v>
      </c>
      <c r="K186" s="156" t="b">
        <f>+J186=I148</f>
        <v>1</v>
      </c>
      <c r="Q186" s="5"/>
    </row>
    <row r="187" spans="1:17" x14ac:dyDescent="0.2">
      <c r="A187" s="130" t="str">
        <f t="shared" ref="A187" si="107">+A186</f>
        <v>JANVIER</v>
      </c>
      <c r="B187" s="38" t="s">
        <v>65</v>
      </c>
      <c r="C187" s="133">
        <f>+C149</f>
        <v>4841615</v>
      </c>
      <c r="D187" s="51">
        <f>+G149</f>
        <v>17525203</v>
      </c>
      <c r="E187" s="50"/>
      <c r="F187" s="50"/>
      <c r="G187" s="50"/>
      <c r="H187" s="33">
        <f>+F149</f>
        <v>2000000</v>
      </c>
      <c r="I187" s="52">
        <f>+E149</f>
        <v>6223724</v>
      </c>
      <c r="J187" s="46">
        <f>SUM(C187:G187)-(H187+I187)</f>
        <v>14143094</v>
      </c>
      <c r="K187" s="156" t="b">
        <f>+J187=I149</f>
        <v>1</v>
      </c>
      <c r="Q187" s="5"/>
    </row>
    <row r="188" spans="1:17" ht="15.75" x14ac:dyDescent="0.25">
      <c r="C188" s="151">
        <f>SUM(C172:C187)</f>
        <v>10222494</v>
      </c>
      <c r="I188" s="149">
        <f>SUM(I172:I187)</f>
        <v>10187414</v>
      </c>
      <c r="J188" s="111">
        <f>+SUM(J172:J187)</f>
        <v>17560283</v>
      </c>
      <c r="K188" s="5" t="b">
        <f>J188=I161</f>
        <v>1</v>
      </c>
      <c r="Q188" s="5"/>
    </row>
    <row r="189" spans="1:17" ht="15.75" x14ac:dyDescent="0.25">
      <c r="C189" s="151"/>
      <c r="I189" s="149"/>
      <c r="J189" s="111"/>
      <c r="Q189" s="5"/>
    </row>
    <row r="190" spans="1:17" ht="15.75" x14ac:dyDescent="0.25">
      <c r="A190" s="267"/>
      <c r="B190" s="267"/>
      <c r="C190" s="268"/>
      <c r="D190" s="267"/>
      <c r="E190" s="267"/>
      <c r="F190" s="267"/>
      <c r="G190" s="267"/>
      <c r="H190" s="267"/>
      <c r="I190" s="269"/>
      <c r="J190" s="270"/>
      <c r="K190" s="267"/>
      <c r="L190" s="271"/>
      <c r="M190" s="271"/>
      <c r="N190" s="271"/>
      <c r="O190" s="271"/>
      <c r="P190" s="267"/>
      <c r="Q190" s="5"/>
    </row>
    <row r="192" spans="1:17" ht="15.75" x14ac:dyDescent="0.25">
      <c r="A192" s="6" t="s">
        <v>37</v>
      </c>
      <c r="B192" s="6" t="s">
        <v>1</v>
      </c>
      <c r="C192" s="6">
        <v>44531</v>
      </c>
      <c r="D192" s="7" t="s">
        <v>38</v>
      </c>
      <c r="E192" s="7" t="s">
        <v>39</v>
      </c>
      <c r="F192" s="7" t="s">
        <v>40</v>
      </c>
      <c r="G192" s="7" t="s">
        <v>41</v>
      </c>
      <c r="H192" s="6">
        <v>44561</v>
      </c>
      <c r="I192" s="7" t="s">
        <v>42</v>
      </c>
      <c r="K192" s="47"/>
      <c r="L192" s="47" t="s">
        <v>43</v>
      </c>
      <c r="M192" s="47" t="s">
        <v>44</v>
      </c>
      <c r="N192" s="47" t="s">
        <v>45</v>
      </c>
      <c r="O192" s="47" t="s">
        <v>46</v>
      </c>
      <c r="Q192" s="5"/>
    </row>
    <row r="193" spans="1:17" s="185" customFormat="1" ht="16.5" x14ac:dyDescent="0.3">
      <c r="A193" s="60" t="str">
        <f>+K193</f>
        <v>Axel</v>
      </c>
      <c r="B193" s="187" t="s">
        <v>164</v>
      </c>
      <c r="C193" s="62">
        <v>29107</v>
      </c>
      <c r="D193" s="63">
        <f t="shared" ref="D193:D207" si="108">+L193</f>
        <v>1125000</v>
      </c>
      <c r="E193" s="63">
        <f>+N193</f>
        <v>1008750</v>
      </c>
      <c r="F193" s="63">
        <f>+M193</f>
        <v>145357</v>
      </c>
      <c r="G193" s="63">
        <f t="shared" ref="G193:G205" si="109">+O193</f>
        <v>0</v>
      </c>
      <c r="H193" s="63">
        <v>0</v>
      </c>
      <c r="I193" s="63">
        <f>+C193+D193-E193-F193+G193</f>
        <v>0</v>
      </c>
      <c r="J193" s="9">
        <f>I193-H193</f>
        <v>0</v>
      </c>
      <c r="K193" s="186" t="s">
        <v>163</v>
      </c>
      <c r="L193" s="186">
        <v>1125000</v>
      </c>
      <c r="M193" s="186">
        <v>145357</v>
      </c>
      <c r="N193" s="186">
        <v>1008750</v>
      </c>
      <c r="O193" s="186">
        <v>0</v>
      </c>
    </row>
    <row r="194" spans="1:17" ht="16.5" x14ac:dyDescent="0.3">
      <c r="A194" s="60" t="str">
        <f>+K194</f>
        <v>B52</v>
      </c>
      <c r="B194" s="61" t="s">
        <v>4</v>
      </c>
      <c r="C194" s="62">
        <v>4000</v>
      </c>
      <c r="D194" s="63">
        <f t="shared" si="108"/>
        <v>426000</v>
      </c>
      <c r="E194" s="63">
        <f>+N194</f>
        <v>420500</v>
      </c>
      <c r="F194" s="63">
        <f>+M194</f>
        <v>0</v>
      </c>
      <c r="G194" s="63">
        <f t="shared" si="109"/>
        <v>0</v>
      </c>
      <c r="H194" s="63">
        <v>9500</v>
      </c>
      <c r="I194" s="63">
        <f>+C194+D194-E194-F194+G194</f>
        <v>9500</v>
      </c>
      <c r="J194" s="9">
        <f>I194-H194</f>
        <v>0</v>
      </c>
      <c r="K194" s="47" t="s">
        <v>173</v>
      </c>
      <c r="L194" s="49">
        <v>426000</v>
      </c>
      <c r="M194" s="49">
        <v>0</v>
      </c>
      <c r="N194" s="49">
        <v>420500</v>
      </c>
      <c r="O194" s="49">
        <v>0</v>
      </c>
      <c r="Q194" s="5"/>
    </row>
    <row r="195" spans="1:17" ht="16.5" x14ac:dyDescent="0.3">
      <c r="A195" s="60" t="str">
        <f>+K195</f>
        <v>BCI</v>
      </c>
      <c r="B195" s="61" t="s">
        <v>47</v>
      </c>
      <c r="C195" s="62">
        <v>5738718</v>
      </c>
      <c r="D195" s="63">
        <f t="shared" si="108"/>
        <v>0</v>
      </c>
      <c r="E195" s="63">
        <f>+N195</f>
        <v>283345</v>
      </c>
      <c r="F195" s="63">
        <f>+M195</f>
        <v>2000000</v>
      </c>
      <c r="G195" s="63">
        <f t="shared" si="109"/>
        <v>0</v>
      </c>
      <c r="H195" s="63">
        <v>3455373</v>
      </c>
      <c r="I195" s="63">
        <f>+C195+D195-E195-F195+G195</f>
        <v>3455373</v>
      </c>
      <c r="J195" s="9">
        <f t="shared" ref="J195:J202" si="110">I195-H195</f>
        <v>0</v>
      </c>
      <c r="K195" s="47" t="s">
        <v>24</v>
      </c>
      <c r="L195" s="49">
        <v>0</v>
      </c>
      <c r="M195" s="49">
        <v>2000000</v>
      </c>
      <c r="N195" s="49">
        <v>283345</v>
      </c>
      <c r="O195" s="49">
        <v>0</v>
      </c>
      <c r="Q195" s="5"/>
    </row>
    <row r="196" spans="1:17" ht="16.5" x14ac:dyDescent="0.3">
      <c r="A196" s="60" t="str">
        <f t="shared" ref="A196:A198" si="111">+K196</f>
        <v>BCI-Sous Compte</v>
      </c>
      <c r="B196" s="61" t="s">
        <v>47</v>
      </c>
      <c r="C196" s="62">
        <v>16087207</v>
      </c>
      <c r="D196" s="63">
        <f t="shared" si="108"/>
        <v>0</v>
      </c>
      <c r="E196" s="63">
        <f>+N196</f>
        <v>3245592</v>
      </c>
      <c r="F196" s="63">
        <f>+M196</f>
        <v>8000000</v>
      </c>
      <c r="G196" s="63">
        <f t="shared" si="109"/>
        <v>0</v>
      </c>
      <c r="H196" s="63">
        <v>4841615</v>
      </c>
      <c r="I196" s="63">
        <f>+C196+D196-E196-F196+G196</f>
        <v>4841615</v>
      </c>
      <c r="J196" s="108">
        <f t="shared" si="110"/>
        <v>0</v>
      </c>
      <c r="K196" s="47" t="s">
        <v>158</v>
      </c>
      <c r="L196" s="49">
        <v>0</v>
      </c>
      <c r="M196" s="49">
        <v>8000000</v>
      </c>
      <c r="N196" s="49">
        <v>3245592</v>
      </c>
      <c r="O196" s="49">
        <v>0</v>
      </c>
      <c r="Q196" s="5"/>
    </row>
    <row r="197" spans="1:17" ht="16.5" x14ac:dyDescent="0.3">
      <c r="A197" s="60" t="str">
        <f t="shared" si="111"/>
        <v>Caisse</v>
      </c>
      <c r="B197" s="61" t="s">
        <v>25</v>
      </c>
      <c r="C197" s="62">
        <v>926369</v>
      </c>
      <c r="D197" s="63">
        <f t="shared" si="108"/>
        <v>10580357</v>
      </c>
      <c r="E197" s="63">
        <f t="shared" ref="E197" si="112">+N197</f>
        <v>3713706</v>
      </c>
      <c r="F197" s="63">
        <f t="shared" ref="F197:F205" si="113">+M197</f>
        <v>6750500</v>
      </c>
      <c r="G197" s="63">
        <f t="shared" si="109"/>
        <v>0</v>
      </c>
      <c r="H197" s="63">
        <v>1042520</v>
      </c>
      <c r="I197" s="63">
        <f>+C197+D197-E197-F197+G197</f>
        <v>1042520</v>
      </c>
      <c r="J197" s="9">
        <f t="shared" si="110"/>
        <v>0</v>
      </c>
      <c r="K197" s="47" t="s">
        <v>25</v>
      </c>
      <c r="L197" s="49">
        <v>10580357</v>
      </c>
      <c r="M197" s="49">
        <v>6750500</v>
      </c>
      <c r="N197" s="49">
        <v>3713706</v>
      </c>
      <c r="O197" s="49">
        <v>0</v>
      </c>
      <c r="Q197" s="5"/>
    </row>
    <row r="198" spans="1:17" ht="16.5" x14ac:dyDescent="0.3">
      <c r="A198" s="60" t="str">
        <f t="shared" si="111"/>
        <v>Crépin</v>
      </c>
      <c r="B198" s="61" t="s">
        <v>164</v>
      </c>
      <c r="C198" s="62">
        <v>-3675</v>
      </c>
      <c r="D198" s="63">
        <f t="shared" si="108"/>
        <v>1778500</v>
      </c>
      <c r="E198" s="63">
        <f>+N198</f>
        <v>1666925</v>
      </c>
      <c r="F198" s="63">
        <f t="shared" si="113"/>
        <v>145000</v>
      </c>
      <c r="G198" s="63">
        <f t="shared" si="109"/>
        <v>0</v>
      </c>
      <c r="H198" s="63">
        <v>-37100</v>
      </c>
      <c r="I198" s="63">
        <f t="shared" ref="I198" si="114">+C198+D198-E198-F198+G198</f>
        <v>-37100</v>
      </c>
      <c r="J198" s="9">
        <f t="shared" si="110"/>
        <v>0</v>
      </c>
      <c r="K198" s="47" t="s">
        <v>48</v>
      </c>
      <c r="L198" s="49">
        <v>1778500</v>
      </c>
      <c r="M198" s="49">
        <v>145000</v>
      </c>
      <c r="N198" s="49">
        <v>1666925</v>
      </c>
      <c r="O198" s="49">
        <v>0</v>
      </c>
      <c r="Q198" s="5"/>
    </row>
    <row r="199" spans="1:17" ht="16.5" x14ac:dyDescent="0.3">
      <c r="A199" s="60" t="str">
        <f>K199</f>
        <v>Evariste</v>
      </c>
      <c r="B199" s="61" t="s">
        <v>165</v>
      </c>
      <c r="C199" s="62">
        <v>7595</v>
      </c>
      <c r="D199" s="63">
        <f t="shared" si="108"/>
        <v>286000</v>
      </c>
      <c r="E199" s="63">
        <f t="shared" ref="E199" si="115">+N199</f>
        <v>284950</v>
      </c>
      <c r="F199" s="63">
        <f t="shared" si="113"/>
        <v>0</v>
      </c>
      <c r="G199" s="63">
        <f t="shared" si="109"/>
        <v>0</v>
      </c>
      <c r="H199" s="63">
        <v>8645</v>
      </c>
      <c r="I199" s="63">
        <f>+C199+D199-E199-F199+G199</f>
        <v>8645</v>
      </c>
      <c r="J199" s="9">
        <f t="shared" si="110"/>
        <v>0</v>
      </c>
      <c r="K199" s="47" t="s">
        <v>31</v>
      </c>
      <c r="L199" s="49">
        <v>286000</v>
      </c>
      <c r="M199" s="49">
        <v>0</v>
      </c>
      <c r="N199" s="49">
        <v>284950</v>
      </c>
      <c r="O199" s="49">
        <v>0</v>
      </c>
      <c r="Q199" s="5"/>
    </row>
    <row r="200" spans="1:17" ht="16.5" x14ac:dyDescent="0.3">
      <c r="A200" s="123" t="str">
        <f t="shared" ref="A200:A207" si="116">+K200</f>
        <v>I55S</v>
      </c>
      <c r="B200" s="124" t="s">
        <v>4</v>
      </c>
      <c r="C200" s="125">
        <v>233614</v>
      </c>
      <c r="D200" s="126">
        <f t="shared" si="108"/>
        <v>0</v>
      </c>
      <c r="E200" s="126">
        <f>+N200</f>
        <v>0</v>
      </c>
      <c r="F200" s="126">
        <f t="shared" si="113"/>
        <v>0</v>
      </c>
      <c r="G200" s="126">
        <f t="shared" si="109"/>
        <v>0</v>
      </c>
      <c r="H200" s="126">
        <v>233614</v>
      </c>
      <c r="I200" s="126">
        <f>+C200+D200-E200-F200+G200</f>
        <v>233614</v>
      </c>
      <c r="J200" s="9">
        <f t="shared" si="110"/>
        <v>0</v>
      </c>
      <c r="K200" s="47" t="s">
        <v>85</v>
      </c>
      <c r="L200" s="49">
        <v>0</v>
      </c>
      <c r="M200" s="49">
        <v>0</v>
      </c>
      <c r="N200" s="49">
        <v>0</v>
      </c>
      <c r="O200" s="49">
        <v>0</v>
      </c>
      <c r="Q200" s="5"/>
    </row>
    <row r="201" spans="1:17" ht="16.5" x14ac:dyDescent="0.3">
      <c r="A201" s="123" t="str">
        <f t="shared" si="116"/>
        <v>I73X</v>
      </c>
      <c r="B201" s="124" t="s">
        <v>4</v>
      </c>
      <c r="C201" s="125">
        <v>249769</v>
      </c>
      <c r="D201" s="126">
        <f t="shared" si="108"/>
        <v>0</v>
      </c>
      <c r="E201" s="126">
        <f>+N201</f>
        <v>0</v>
      </c>
      <c r="F201" s="126">
        <f t="shared" si="113"/>
        <v>0</v>
      </c>
      <c r="G201" s="126">
        <f t="shared" si="109"/>
        <v>0</v>
      </c>
      <c r="H201" s="126">
        <v>249769</v>
      </c>
      <c r="I201" s="126">
        <f t="shared" ref="I201:I204" si="117">+C201+D201-E201-F201+G201</f>
        <v>249769</v>
      </c>
      <c r="J201" s="9">
        <f t="shared" si="110"/>
        <v>0</v>
      </c>
      <c r="K201" s="47" t="s">
        <v>84</v>
      </c>
      <c r="L201" s="49">
        <v>0</v>
      </c>
      <c r="M201" s="49">
        <v>0</v>
      </c>
      <c r="N201" s="49">
        <v>0</v>
      </c>
      <c r="O201" s="49">
        <v>0</v>
      </c>
      <c r="Q201" s="5"/>
    </row>
    <row r="202" spans="1:17" ht="16.5" x14ac:dyDescent="0.3">
      <c r="A202" s="60" t="str">
        <f t="shared" si="116"/>
        <v>Godfré</v>
      </c>
      <c r="B202" s="104" t="s">
        <v>164</v>
      </c>
      <c r="C202" s="62">
        <v>-6000</v>
      </c>
      <c r="D202" s="63">
        <f t="shared" si="108"/>
        <v>797000</v>
      </c>
      <c r="E202" s="179">
        <f t="shared" ref="E202:E207" si="118">+N202</f>
        <v>578885</v>
      </c>
      <c r="F202" s="63">
        <f t="shared" si="113"/>
        <v>177180</v>
      </c>
      <c r="G202" s="63">
        <f t="shared" si="109"/>
        <v>0</v>
      </c>
      <c r="H202" s="63">
        <v>34935</v>
      </c>
      <c r="I202" s="63">
        <f t="shared" si="117"/>
        <v>34935</v>
      </c>
      <c r="J202" s="9">
        <f t="shared" si="110"/>
        <v>0</v>
      </c>
      <c r="K202" s="47" t="s">
        <v>153</v>
      </c>
      <c r="L202" s="49">
        <v>797000</v>
      </c>
      <c r="M202" s="49">
        <v>177180</v>
      </c>
      <c r="N202" s="49">
        <v>578885</v>
      </c>
      <c r="O202" s="49">
        <v>0</v>
      </c>
      <c r="Q202" s="5"/>
    </row>
    <row r="203" spans="1:17" ht="16.5" x14ac:dyDescent="0.3">
      <c r="A203" s="60" t="str">
        <f t="shared" si="116"/>
        <v>Grace</v>
      </c>
      <c r="B203" s="61" t="s">
        <v>2</v>
      </c>
      <c r="C203" s="62">
        <v>48400</v>
      </c>
      <c r="D203" s="63">
        <f t="shared" si="108"/>
        <v>847000</v>
      </c>
      <c r="E203" s="179">
        <f>+N203</f>
        <v>193200</v>
      </c>
      <c r="F203" s="63">
        <f t="shared" si="113"/>
        <v>658000</v>
      </c>
      <c r="G203" s="63">
        <f t="shared" si="109"/>
        <v>0</v>
      </c>
      <c r="H203" s="63">
        <v>44200</v>
      </c>
      <c r="I203" s="63">
        <f t="shared" si="117"/>
        <v>44200</v>
      </c>
      <c r="J203" s="9">
        <f>I203-H203</f>
        <v>0</v>
      </c>
      <c r="K203" s="47" t="s">
        <v>152</v>
      </c>
      <c r="L203" s="49">
        <v>847000</v>
      </c>
      <c r="M203" s="49">
        <v>658000</v>
      </c>
      <c r="N203" s="49">
        <v>193200</v>
      </c>
      <c r="O203" s="49">
        <v>0</v>
      </c>
      <c r="Q203" s="5"/>
    </row>
    <row r="204" spans="1:17" ht="16.5" x14ac:dyDescent="0.3">
      <c r="A204" s="60" t="str">
        <f t="shared" si="116"/>
        <v>I23C</v>
      </c>
      <c r="B204" s="104" t="s">
        <v>4</v>
      </c>
      <c r="C204" s="62">
        <v>6800</v>
      </c>
      <c r="D204" s="63">
        <f t="shared" si="108"/>
        <v>861000</v>
      </c>
      <c r="E204" s="179">
        <f t="shared" si="118"/>
        <v>855750</v>
      </c>
      <c r="F204" s="63">
        <f t="shared" si="113"/>
        <v>0</v>
      </c>
      <c r="G204" s="63">
        <f t="shared" si="109"/>
        <v>0</v>
      </c>
      <c r="H204" s="63">
        <v>12050</v>
      </c>
      <c r="I204" s="63">
        <f t="shared" si="117"/>
        <v>12050</v>
      </c>
      <c r="J204" s="9">
        <f t="shared" ref="J204:J205" si="119">I204-H204</f>
        <v>0</v>
      </c>
      <c r="K204" s="47" t="s">
        <v>30</v>
      </c>
      <c r="L204" s="49">
        <v>861000</v>
      </c>
      <c r="M204" s="49">
        <v>0</v>
      </c>
      <c r="N204" s="49">
        <v>855750</v>
      </c>
      <c r="O204" s="49">
        <v>0</v>
      </c>
      <c r="Q204" s="5"/>
    </row>
    <row r="205" spans="1:17" ht="16.5" x14ac:dyDescent="0.3">
      <c r="A205" s="60" t="str">
        <f t="shared" si="116"/>
        <v>Merveille</v>
      </c>
      <c r="B205" s="61" t="s">
        <v>2</v>
      </c>
      <c r="C205" s="62">
        <v>5500</v>
      </c>
      <c r="D205" s="63">
        <f t="shared" si="108"/>
        <v>0</v>
      </c>
      <c r="E205" s="179">
        <f t="shared" si="118"/>
        <v>0</v>
      </c>
      <c r="F205" s="63">
        <f t="shared" si="113"/>
        <v>0</v>
      </c>
      <c r="G205" s="63">
        <f t="shared" si="109"/>
        <v>0</v>
      </c>
      <c r="H205" s="63">
        <v>5500</v>
      </c>
      <c r="I205" s="63">
        <f>+C205+D205-E205-F205+G205</f>
        <v>5500</v>
      </c>
      <c r="J205" s="9">
        <f t="shared" si="119"/>
        <v>0</v>
      </c>
      <c r="K205" s="47" t="s">
        <v>94</v>
      </c>
      <c r="L205" s="49">
        <v>0</v>
      </c>
      <c r="M205" s="49">
        <v>0</v>
      </c>
      <c r="N205" s="49">
        <v>0</v>
      </c>
      <c r="O205" s="49"/>
      <c r="Q205" s="5"/>
    </row>
    <row r="206" spans="1:17" ht="16.5" x14ac:dyDescent="0.3">
      <c r="A206" s="60" t="str">
        <f t="shared" si="116"/>
        <v>P29</v>
      </c>
      <c r="B206" s="61" t="s">
        <v>4</v>
      </c>
      <c r="C206" s="62">
        <v>30700</v>
      </c>
      <c r="D206" s="63">
        <f t="shared" si="108"/>
        <v>1215000</v>
      </c>
      <c r="E206" s="179">
        <f t="shared" si="118"/>
        <v>697500</v>
      </c>
      <c r="F206" s="63">
        <f>+M206</f>
        <v>490000</v>
      </c>
      <c r="G206" s="63">
        <f>+O206</f>
        <v>0</v>
      </c>
      <c r="H206" s="63">
        <v>58200</v>
      </c>
      <c r="I206" s="63">
        <f>+C206+D206-E206-F206+G206</f>
        <v>58200</v>
      </c>
      <c r="J206" s="9">
        <f>I206-H206</f>
        <v>0</v>
      </c>
      <c r="K206" s="47" t="s">
        <v>29</v>
      </c>
      <c r="L206" s="49">
        <v>1215000</v>
      </c>
      <c r="M206" s="49">
        <v>490000</v>
      </c>
      <c r="N206" s="49">
        <v>697500</v>
      </c>
      <c r="O206" s="49">
        <v>0</v>
      </c>
      <c r="Q206" s="5"/>
    </row>
    <row r="207" spans="1:17" ht="16.5" x14ac:dyDescent="0.3">
      <c r="A207" s="60" t="str">
        <f t="shared" si="116"/>
        <v>Tiffany</v>
      </c>
      <c r="B207" s="61" t="s">
        <v>2</v>
      </c>
      <c r="C207" s="62">
        <v>9193</v>
      </c>
      <c r="D207" s="63">
        <f t="shared" si="108"/>
        <v>1100180</v>
      </c>
      <c r="E207" s="179">
        <f t="shared" si="118"/>
        <v>195700</v>
      </c>
      <c r="F207" s="63">
        <f t="shared" ref="F207" si="120">+M207</f>
        <v>650000</v>
      </c>
      <c r="G207" s="63">
        <f t="shared" ref="G207" si="121">+O207</f>
        <v>0</v>
      </c>
      <c r="H207" s="63">
        <v>263673</v>
      </c>
      <c r="I207" s="63">
        <f t="shared" ref="I207" si="122">+C207+D207-E207-F207+G207</f>
        <v>263673</v>
      </c>
      <c r="J207" s="9">
        <f t="shared" ref="J207" si="123">I207-H207</f>
        <v>0</v>
      </c>
      <c r="K207" s="47" t="s">
        <v>114</v>
      </c>
      <c r="L207" s="49">
        <v>1100180</v>
      </c>
      <c r="M207" s="49">
        <v>650000</v>
      </c>
      <c r="N207" s="49">
        <v>195700</v>
      </c>
      <c r="O207" s="49">
        <v>0</v>
      </c>
      <c r="Q207" s="5"/>
    </row>
    <row r="208" spans="1:17" ht="16.5" x14ac:dyDescent="0.3">
      <c r="A208" s="10" t="s">
        <v>51</v>
      </c>
      <c r="B208" s="11"/>
      <c r="C208" s="12">
        <f>SUM(C193:C207)</f>
        <v>23367297</v>
      </c>
      <c r="D208" s="59">
        <f t="shared" ref="D208:G208" si="124">SUM(D193:D207)</f>
        <v>19016037</v>
      </c>
      <c r="E208" s="59">
        <f t="shared" si="124"/>
        <v>13144803</v>
      </c>
      <c r="F208" s="59">
        <f t="shared" si="124"/>
        <v>19016037</v>
      </c>
      <c r="G208" s="59">
        <f t="shared" si="124"/>
        <v>0</v>
      </c>
      <c r="H208" s="59">
        <f>SUM(H193:H207)</f>
        <v>10222494</v>
      </c>
      <c r="I208" s="59">
        <f>SUM(I193:I207)</f>
        <v>10222494</v>
      </c>
      <c r="J208" s="9">
        <f>I208-H208</f>
        <v>0</v>
      </c>
      <c r="K208" s="3"/>
      <c r="L208" s="49">
        <f>+SUM(L193:L207)</f>
        <v>19016037</v>
      </c>
      <c r="M208" s="49">
        <f t="shared" ref="M208:O208" si="125">+SUM(M193:M207)</f>
        <v>19016037</v>
      </c>
      <c r="N208" s="49">
        <f>+SUM(N193:N207)</f>
        <v>13144803</v>
      </c>
      <c r="O208" s="49">
        <f t="shared" si="125"/>
        <v>0</v>
      </c>
      <c r="Q208" s="5"/>
    </row>
    <row r="209" spans="1:17" ht="16.5" x14ac:dyDescent="0.3">
      <c r="A209" s="10"/>
      <c r="B209" s="11"/>
      <c r="C209" s="12"/>
      <c r="D209" s="13"/>
      <c r="E209" s="12"/>
      <c r="F209" s="13"/>
      <c r="G209" s="12"/>
      <c r="H209" s="12"/>
      <c r="I209" s="143" t="b">
        <f>I208=D211</f>
        <v>1</v>
      </c>
      <c r="L209" s="5"/>
      <c r="M209" s="5"/>
      <c r="N209" s="5"/>
      <c r="O209" s="5"/>
      <c r="Q209" s="5"/>
    </row>
    <row r="210" spans="1:17" ht="16.5" x14ac:dyDescent="0.3">
      <c r="A210" s="10" t="s">
        <v>176</v>
      </c>
      <c r="B210" s="11" t="s">
        <v>177</v>
      </c>
      <c r="C210" s="12" t="s">
        <v>178</v>
      </c>
      <c r="D210" s="12" t="s">
        <v>187</v>
      </c>
      <c r="E210" s="12" t="s">
        <v>52</v>
      </c>
      <c r="F210" s="12"/>
      <c r="G210" s="12">
        <f>+D208-F208</f>
        <v>0</v>
      </c>
      <c r="H210" s="12"/>
      <c r="I210" s="12"/>
      <c r="Q210" s="5"/>
    </row>
    <row r="211" spans="1:17" ht="16.5" x14ac:dyDescent="0.3">
      <c r="A211" s="14">
        <f>C208</f>
        <v>23367297</v>
      </c>
      <c r="B211" s="15">
        <f>G208</f>
        <v>0</v>
      </c>
      <c r="C211" s="12">
        <f>E208</f>
        <v>13144803</v>
      </c>
      <c r="D211" s="12">
        <f>A211+B211-C211</f>
        <v>10222494</v>
      </c>
      <c r="E211" s="13">
        <f>I208-D211</f>
        <v>0</v>
      </c>
      <c r="F211" s="12"/>
      <c r="G211" s="12"/>
      <c r="H211" s="12"/>
      <c r="I211" s="12"/>
      <c r="L211" s="5"/>
      <c r="M211" s="5"/>
      <c r="N211" s="5"/>
      <c r="O211" s="5"/>
      <c r="Q211" s="5"/>
    </row>
    <row r="212" spans="1:17" ht="16.5" x14ac:dyDescent="0.3">
      <c r="A212" s="14"/>
      <c r="B212" s="15"/>
      <c r="C212" s="12"/>
      <c r="D212" s="12"/>
      <c r="E212" s="13"/>
      <c r="F212" s="12"/>
      <c r="G212" s="12"/>
      <c r="H212" s="12"/>
      <c r="I212" s="12"/>
      <c r="L212" s="5"/>
      <c r="M212" s="5"/>
      <c r="N212" s="5"/>
      <c r="O212" s="5"/>
      <c r="Q212" s="5"/>
    </row>
    <row r="213" spans="1:17" x14ac:dyDescent="0.2">
      <c r="A213" s="16" t="s">
        <v>53</v>
      </c>
      <c r="B213" s="16"/>
      <c r="C213" s="16"/>
      <c r="D213" s="17"/>
      <c r="E213" s="17"/>
      <c r="F213" s="17"/>
      <c r="G213" s="17"/>
      <c r="H213" s="17"/>
      <c r="I213" s="17"/>
      <c r="L213" s="5"/>
      <c r="M213" s="5"/>
      <c r="N213" s="5"/>
      <c r="O213" s="5"/>
      <c r="Q213" s="5"/>
    </row>
    <row r="214" spans="1:17" x14ac:dyDescent="0.2">
      <c r="A214" s="18" t="s">
        <v>186</v>
      </c>
      <c r="B214" s="18"/>
      <c r="C214" s="18"/>
      <c r="D214" s="18"/>
      <c r="E214" s="18"/>
      <c r="F214" s="18"/>
      <c r="G214" s="18"/>
      <c r="H214" s="18"/>
      <c r="I214" s="18"/>
      <c r="J214" s="18"/>
      <c r="L214" s="5"/>
      <c r="M214" s="5"/>
      <c r="N214" s="5"/>
      <c r="O214" s="5"/>
      <c r="Q214" s="5"/>
    </row>
    <row r="215" spans="1:17" x14ac:dyDescent="0.2">
      <c r="A215" s="19"/>
      <c r="B215" s="20"/>
      <c r="C215" s="21"/>
      <c r="D215" s="21"/>
      <c r="E215" s="21"/>
      <c r="F215" s="21"/>
      <c r="G215" s="21"/>
      <c r="H215" s="20"/>
      <c r="I215" s="20"/>
      <c r="L215" s="5"/>
      <c r="M215" s="5"/>
      <c r="N215" s="5"/>
      <c r="O215" s="5"/>
      <c r="Q215" s="5"/>
    </row>
    <row r="216" spans="1:17" x14ac:dyDescent="0.2">
      <c r="A216" s="377" t="s">
        <v>54</v>
      </c>
      <c r="B216" s="379" t="s">
        <v>55</v>
      </c>
      <c r="C216" s="381" t="s">
        <v>179</v>
      </c>
      <c r="D216" s="383" t="s">
        <v>56</v>
      </c>
      <c r="E216" s="384"/>
      <c r="F216" s="384"/>
      <c r="G216" s="385"/>
      <c r="H216" s="386" t="s">
        <v>57</v>
      </c>
      <c r="I216" s="373" t="s">
        <v>58</v>
      </c>
      <c r="J216" s="20"/>
      <c r="L216" s="5"/>
      <c r="M216" s="5"/>
      <c r="N216" s="5"/>
      <c r="O216" s="5"/>
      <c r="Q216" s="5"/>
    </row>
    <row r="217" spans="1:17" ht="28.5" customHeight="1" x14ac:dyDescent="0.25">
      <c r="A217" s="378"/>
      <c r="B217" s="380"/>
      <c r="C217" s="382"/>
      <c r="D217" s="22" t="s">
        <v>24</v>
      </c>
      <c r="E217" s="22" t="s">
        <v>25</v>
      </c>
      <c r="F217" s="216" t="s">
        <v>124</v>
      </c>
      <c r="G217" s="22" t="s">
        <v>59</v>
      </c>
      <c r="H217" s="387"/>
      <c r="I217" s="374"/>
      <c r="J217" s="375" t="s">
        <v>180</v>
      </c>
      <c r="K217" s="155"/>
      <c r="L217" s="5"/>
      <c r="M217" s="5"/>
      <c r="N217" s="5"/>
      <c r="O217" s="5"/>
      <c r="Q217" s="5"/>
    </row>
    <row r="218" spans="1:17" x14ac:dyDescent="0.2">
      <c r="A218" s="24"/>
      <c r="B218" s="25" t="s">
        <v>60</v>
      </c>
      <c r="C218" s="26"/>
      <c r="D218" s="26"/>
      <c r="E218" s="26"/>
      <c r="F218" s="26"/>
      <c r="G218" s="26"/>
      <c r="H218" s="26"/>
      <c r="I218" s="27"/>
      <c r="J218" s="376"/>
      <c r="K218" s="155"/>
      <c r="L218" s="5"/>
      <c r="M218" s="5"/>
      <c r="N218" s="5"/>
      <c r="O218" s="5"/>
      <c r="Q218" s="5"/>
    </row>
    <row r="219" spans="1:17" x14ac:dyDescent="0.2">
      <c r="A219" s="130" t="s">
        <v>104</v>
      </c>
      <c r="B219" s="135" t="s">
        <v>163</v>
      </c>
      <c r="C219" s="33">
        <f>+C193</f>
        <v>29107</v>
      </c>
      <c r="D219" s="32"/>
      <c r="E219" s="33">
        <f>D193</f>
        <v>1125000</v>
      </c>
      <c r="F219" s="33"/>
      <c r="G219" s="33"/>
      <c r="H219" s="57">
        <f>+F193</f>
        <v>145357</v>
      </c>
      <c r="I219" s="33">
        <f>+E193</f>
        <v>1008750</v>
      </c>
      <c r="J219" s="31">
        <f>+SUM(C219:G219)-(H219+I219)</f>
        <v>0</v>
      </c>
      <c r="K219" s="156" t="b">
        <f>J219=I193</f>
        <v>1</v>
      </c>
      <c r="L219" s="5"/>
      <c r="M219" s="5"/>
      <c r="N219" s="5"/>
      <c r="O219" s="5"/>
      <c r="Q219" s="5"/>
    </row>
    <row r="220" spans="1:17" x14ac:dyDescent="0.2">
      <c r="A220" s="130" t="str">
        <f>A219</f>
        <v>DECEMBRE</v>
      </c>
      <c r="B220" s="135" t="s">
        <v>173</v>
      </c>
      <c r="C220" s="33">
        <f>+C194</f>
        <v>4000</v>
      </c>
      <c r="D220" s="32"/>
      <c r="E220" s="33">
        <f>+D194</f>
        <v>426000</v>
      </c>
      <c r="F220" s="33"/>
      <c r="G220" s="33"/>
      <c r="H220" s="57">
        <f>+F194</f>
        <v>0</v>
      </c>
      <c r="I220" s="33">
        <f>+E194</f>
        <v>420500</v>
      </c>
      <c r="J220" s="31">
        <f t="shared" ref="J220:J221" si="126">+SUM(C220:G220)-(H220+I220)</f>
        <v>9500</v>
      </c>
      <c r="K220" s="156" t="b">
        <f>J220=I194</f>
        <v>1</v>
      </c>
      <c r="L220" s="5"/>
      <c r="M220" s="5"/>
      <c r="N220" s="5"/>
      <c r="O220" s="5"/>
      <c r="Q220" s="5"/>
    </row>
    <row r="221" spans="1:17" x14ac:dyDescent="0.2">
      <c r="A221" s="130" t="str">
        <f>+A220</f>
        <v>DECEMBRE</v>
      </c>
      <c r="B221" s="135" t="s">
        <v>48</v>
      </c>
      <c r="C221" s="33">
        <f>+C198</f>
        <v>-3675</v>
      </c>
      <c r="D221" s="32"/>
      <c r="E221" s="33">
        <f>+D198</f>
        <v>1778500</v>
      </c>
      <c r="F221" s="33"/>
      <c r="G221" s="33"/>
      <c r="H221" s="57">
        <f>+F198</f>
        <v>145000</v>
      </c>
      <c r="I221" s="33">
        <f>+E198</f>
        <v>1666925</v>
      </c>
      <c r="J221" s="107">
        <f t="shared" si="126"/>
        <v>-37100</v>
      </c>
      <c r="K221" s="156" t="b">
        <f>J221=I198</f>
        <v>1</v>
      </c>
      <c r="L221" s="5"/>
      <c r="M221" s="5"/>
      <c r="N221" s="5"/>
      <c r="O221" s="5"/>
      <c r="Q221" s="5"/>
    </row>
    <row r="222" spans="1:17" x14ac:dyDescent="0.2">
      <c r="A222" s="130" t="str">
        <f t="shared" ref="A222:A230" si="127">+A221</f>
        <v>DECEMBRE</v>
      </c>
      <c r="B222" s="136" t="s">
        <v>31</v>
      </c>
      <c r="C222" s="33">
        <f>+C199</f>
        <v>7595</v>
      </c>
      <c r="D222" s="127"/>
      <c r="E222" s="33">
        <f>+D199</f>
        <v>286000</v>
      </c>
      <c r="F222" s="53"/>
      <c r="G222" s="53"/>
      <c r="H222" s="57">
        <f>+F199</f>
        <v>0</v>
      </c>
      <c r="I222" s="33">
        <f>+E199</f>
        <v>284950</v>
      </c>
      <c r="J222" s="132">
        <f>+SUM(C222:G222)-(H222+I222)</f>
        <v>8645</v>
      </c>
      <c r="K222" s="156" t="b">
        <f t="shared" ref="K222:K230" si="128">J222=I199</f>
        <v>1</v>
      </c>
      <c r="L222" s="5"/>
      <c r="M222" s="5"/>
      <c r="N222" s="5"/>
      <c r="O222" s="5"/>
      <c r="Q222" s="5"/>
    </row>
    <row r="223" spans="1:17" x14ac:dyDescent="0.2">
      <c r="A223" s="130" t="str">
        <f t="shared" si="127"/>
        <v>DECEMBRE</v>
      </c>
      <c r="B223" s="137" t="s">
        <v>85</v>
      </c>
      <c r="C223" s="128">
        <f>+C200</f>
        <v>233614</v>
      </c>
      <c r="D223" s="131"/>
      <c r="E223" s="128">
        <f>+D200</f>
        <v>0</v>
      </c>
      <c r="F223" s="146"/>
      <c r="G223" s="146"/>
      <c r="H223" s="180">
        <f>+F200</f>
        <v>0</v>
      </c>
      <c r="I223" s="128">
        <f>+E200</f>
        <v>0</v>
      </c>
      <c r="J223" s="129">
        <f>+SUM(C223:G223)-(H223+I223)</f>
        <v>233614</v>
      </c>
      <c r="K223" s="156" t="b">
        <f t="shared" si="128"/>
        <v>1</v>
      </c>
      <c r="L223" s="5"/>
      <c r="M223" s="5"/>
      <c r="N223" s="5"/>
      <c r="O223" s="5"/>
      <c r="Q223" s="5"/>
    </row>
    <row r="224" spans="1:17" x14ac:dyDescent="0.2">
      <c r="A224" s="130" t="str">
        <f t="shared" si="127"/>
        <v>DECEMBRE</v>
      </c>
      <c r="B224" s="137" t="s">
        <v>84</v>
      </c>
      <c r="C224" s="128">
        <f>+C201</f>
        <v>249769</v>
      </c>
      <c r="D224" s="131"/>
      <c r="E224" s="128">
        <f>+D201</f>
        <v>0</v>
      </c>
      <c r="F224" s="146"/>
      <c r="G224" s="146"/>
      <c r="H224" s="180">
        <f>+F201</f>
        <v>0</v>
      </c>
      <c r="I224" s="128">
        <f>+E201</f>
        <v>0</v>
      </c>
      <c r="J224" s="129">
        <f t="shared" ref="J224:J230" si="129">+SUM(C224:G224)-(H224+I224)</f>
        <v>249769</v>
      </c>
      <c r="K224" s="156" t="b">
        <f t="shared" si="128"/>
        <v>1</v>
      </c>
      <c r="L224" s="5"/>
      <c r="M224" s="5"/>
      <c r="N224" s="5"/>
      <c r="O224" s="5"/>
      <c r="Q224" s="5"/>
    </row>
    <row r="225" spans="1:17" x14ac:dyDescent="0.2">
      <c r="A225" s="130" t="str">
        <f t="shared" si="127"/>
        <v>DECEMBRE</v>
      </c>
      <c r="B225" s="135" t="s">
        <v>153</v>
      </c>
      <c r="C225" s="33">
        <f>+C202</f>
        <v>-6000</v>
      </c>
      <c r="D225" s="32"/>
      <c r="E225" s="33">
        <f>+D202</f>
        <v>797000</v>
      </c>
      <c r="F225" s="33"/>
      <c r="G225" s="110"/>
      <c r="H225" s="57">
        <f>+F202</f>
        <v>177180</v>
      </c>
      <c r="I225" s="33">
        <f>+E202</f>
        <v>578885</v>
      </c>
      <c r="J225" s="31">
        <f t="shared" si="129"/>
        <v>34935</v>
      </c>
      <c r="K225" s="156" t="b">
        <f t="shared" si="128"/>
        <v>1</v>
      </c>
      <c r="L225" s="5"/>
      <c r="M225" s="5"/>
      <c r="N225" s="5"/>
      <c r="O225" s="5"/>
      <c r="Q225" s="5"/>
    </row>
    <row r="226" spans="1:17" x14ac:dyDescent="0.2">
      <c r="A226" s="130" t="str">
        <f t="shared" si="127"/>
        <v>DECEMBRE</v>
      </c>
      <c r="B226" s="135" t="s">
        <v>152</v>
      </c>
      <c r="C226" s="33">
        <f t="shared" ref="C226:C230" si="130">+C203</f>
        <v>48400</v>
      </c>
      <c r="D226" s="32"/>
      <c r="E226" s="33">
        <f t="shared" ref="E226:E230" si="131">+D203</f>
        <v>847000</v>
      </c>
      <c r="F226" s="33"/>
      <c r="G226" s="110"/>
      <c r="H226" s="57">
        <f t="shared" ref="H226:H230" si="132">+F203</f>
        <v>658000</v>
      </c>
      <c r="I226" s="33">
        <f t="shared" ref="I226:I230" si="133">+E203</f>
        <v>193200</v>
      </c>
      <c r="J226" s="31">
        <f t="shared" si="129"/>
        <v>44200</v>
      </c>
      <c r="K226" s="156" t="b">
        <f t="shared" si="128"/>
        <v>1</v>
      </c>
      <c r="L226" s="5"/>
      <c r="M226" s="5"/>
      <c r="N226" s="5"/>
      <c r="O226" s="5"/>
      <c r="Q226" s="5"/>
    </row>
    <row r="227" spans="1:17" x14ac:dyDescent="0.2">
      <c r="A227" s="130" t="str">
        <f t="shared" si="127"/>
        <v>DECEMBRE</v>
      </c>
      <c r="B227" s="135" t="s">
        <v>30</v>
      </c>
      <c r="C227" s="33">
        <f t="shared" si="130"/>
        <v>6800</v>
      </c>
      <c r="D227" s="32"/>
      <c r="E227" s="33">
        <f t="shared" si="131"/>
        <v>861000</v>
      </c>
      <c r="F227" s="33"/>
      <c r="G227" s="110"/>
      <c r="H227" s="57">
        <f t="shared" si="132"/>
        <v>0</v>
      </c>
      <c r="I227" s="33">
        <f t="shared" si="133"/>
        <v>855750</v>
      </c>
      <c r="J227" s="31">
        <f t="shared" si="129"/>
        <v>12050</v>
      </c>
      <c r="K227" s="156" t="b">
        <f t="shared" si="128"/>
        <v>1</v>
      </c>
      <c r="Q227" s="5"/>
    </row>
    <row r="228" spans="1:17" x14ac:dyDescent="0.2">
      <c r="A228" s="130" t="str">
        <f>+A226</f>
        <v>DECEMBRE</v>
      </c>
      <c r="B228" s="135" t="s">
        <v>94</v>
      </c>
      <c r="C228" s="33">
        <f t="shared" si="130"/>
        <v>5500</v>
      </c>
      <c r="D228" s="32"/>
      <c r="E228" s="33">
        <f t="shared" si="131"/>
        <v>0</v>
      </c>
      <c r="F228" s="33"/>
      <c r="G228" s="110"/>
      <c r="H228" s="57">
        <f t="shared" si="132"/>
        <v>0</v>
      </c>
      <c r="I228" s="33">
        <f t="shared" si="133"/>
        <v>0</v>
      </c>
      <c r="J228" s="31">
        <f t="shared" si="129"/>
        <v>5500</v>
      </c>
      <c r="K228" s="156" t="b">
        <f t="shared" si="128"/>
        <v>1</v>
      </c>
      <c r="Q228" s="5"/>
    </row>
    <row r="229" spans="1:17" x14ac:dyDescent="0.2">
      <c r="A229" s="130" t="str">
        <f>+A227</f>
        <v>DECEMBRE</v>
      </c>
      <c r="B229" s="135" t="s">
        <v>29</v>
      </c>
      <c r="C229" s="33">
        <f t="shared" si="130"/>
        <v>30700</v>
      </c>
      <c r="D229" s="32"/>
      <c r="E229" s="33">
        <f t="shared" si="131"/>
        <v>1215000</v>
      </c>
      <c r="F229" s="33"/>
      <c r="G229" s="110"/>
      <c r="H229" s="57">
        <f t="shared" si="132"/>
        <v>490000</v>
      </c>
      <c r="I229" s="33">
        <f t="shared" si="133"/>
        <v>697500</v>
      </c>
      <c r="J229" s="31">
        <f t="shared" si="129"/>
        <v>58200</v>
      </c>
      <c r="K229" s="156" t="b">
        <f t="shared" si="128"/>
        <v>1</v>
      </c>
      <c r="Q229" s="5"/>
    </row>
    <row r="230" spans="1:17" x14ac:dyDescent="0.2">
      <c r="A230" s="130" t="str">
        <f t="shared" si="127"/>
        <v>DECEMBRE</v>
      </c>
      <c r="B230" s="136" t="s">
        <v>114</v>
      </c>
      <c r="C230" s="33">
        <f t="shared" si="130"/>
        <v>9193</v>
      </c>
      <c r="D230" s="127"/>
      <c r="E230" s="33">
        <f t="shared" si="131"/>
        <v>1100180</v>
      </c>
      <c r="F230" s="53"/>
      <c r="G230" s="147"/>
      <c r="H230" s="57">
        <f t="shared" si="132"/>
        <v>650000</v>
      </c>
      <c r="I230" s="33">
        <f t="shared" si="133"/>
        <v>195700</v>
      </c>
      <c r="J230" s="31">
        <f t="shared" si="129"/>
        <v>263673</v>
      </c>
      <c r="K230" s="156" t="b">
        <f t="shared" si="128"/>
        <v>1</v>
      </c>
      <c r="Q230" s="5"/>
    </row>
    <row r="231" spans="1:17" x14ac:dyDescent="0.2">
      <c r="A231" s="35" t="s">
        <v>61</v>
      </c>
      <c r="B231" s="36"/>
      <c r="C231" s="36"/>
      <c r="D231" s="36"/>
      <c r="E231" s="36"/>
      <c r="F231" s="36"/>
      <c r="G231" s="36"/>
      <c r="H231" s="36"/>
      <c r="I231" s="36"/>
      <c r="J231" s="37"/>
      <c r="K231" s="155"/>
      <c r="Q231" s="5"/>
    </row>
    <row r="232" spans="1:17" x14ac:dyDescent="0.2">
      <c r="A232" s="130" t="str">
        <f>+A230</f>
        <v>DECEMBRE</v>
      </c>
      <c r="B232" s="38" t="s">
        <v>62</v>
      </c>
      <c r="C232" s="39">
        <f>+C197</f>
        <v>926369</v>
      </c>
      <c r="D232" s="51"/>
      <c r="E232" s="51">
        <f>D197</f>
        <v>10580357</v>
      </c>
      <c r="F232" s="51"/>
      <c r="G232" s="133"/>
      <c r="H232" s="53">
        <f>+F197</f>
        <v>6750500</v>
      </c>
      <c r="I232" s="134">
        <f>+E197</f>
        <v>3713706</v>
      </c>
      <c r="J232" s="46">
        <f>+SUM(C232:G232)-(H232+I232)</f>
        <v>1042520</v>
      </c>
      <c r="K232" s="156" t="b">
        <f>J232=I197</f>
        <v>1</v>
      </c>
      <c r="Q232" s="5"/>
    </row>
    <row r="233" spans="1:17" x14ac:dyDescent="0.2">
      <c r="A233" s="44" t="s">
        <v>63</v>
      </c>
      <c r="B233" s="25"/>
      <c r="C233" s="36"/>
      <c r="D233" s="25"/>
      <c r="E233" s="25"/>
      <c r="F233" s="25"/>
      <c r="G233" s="25"/>
      <c r="H233" s="25"/>
      <c r="I233" s="25"/>
      <c r="J233" s="37"/>
      <c r="K233" s="155"/>
      <c r="Q233" s="5"/>
    </row>
    <row r="234" spans="1:17" x14ac:dyDescent="0.2">
      <c r="A234" s="130" t="str">
        <f>+A232</f>
        <v>DECEMBRE</v>
      </c>
      <c r="B234" s="38" t="s">
        <v>167</v>
      </c>
      <c r="C234" s="133">
        <f>+C195</f>
        <v>5738718</v>
      </c>
      <c r="D234" s="140">
        <f>+G195</f>
        <v>0</v>
      </c>
      <c r="E234" s="51"/>
      <c r="F234" s="51"/>
      <c r="G234" s="51"/>
      <c r="H234" s="53">
        <f>+F195</f>
        <v>2000000</v>
      </c>
      <c r="I234" s="55">
        <f>+E195</f>
        <v>283345</v>
      </c>
      <c r="J234" s="46">
        <f>+SUM(C234:G234)-(H234+I234)</f>
        <v>3455373</v>
      </c>
      <c r="K234" s="156" t="b">
        <f>+J234=I195</f>
        <v>1</v>
      </c>
      <c r="Q234" s="5"/>
    </row>
    <row r="235" spans="1:17" x14ac:dyDescent="0.2">
      <c r="A235" s="130" t="str">
        <f t="shared" ref="A235" si="134">+A234</f>
        <v>DECEMBRE</v>
      </c>
      <c r="B235" s="38" t="s">
        <v>65</v>
      </c>
      <c r="C235" s="133">
        <f>+C196</f>
        <v>16087207</v>
      </c>
      <c r="D235" s="51">
        <f>+G196</f>
        <v>0</v>
      </c>
      <c r="E235" s="50"/>
      <c r="F235" s="50"/>
      <c r="G235" s="50"/>
      <c r="H235" s="33">
        <f>+F196</f>
        <v>8000000</v>
      </c>
      <c r="I235" s="52">
        <f>+E196</f>
        <v>3245592</v>
      </c>
      <c r="J235" s="46">
        <f>SUM(C235:G235)-(H235+I235)</f>
        <v>4841615</v>
      </c>
      <c r="K235" s="156" t="b">
        <f>+J235=I196</f>
        <v>1</v>
      </c>
      <c r="Q235" s="5"/>
    </row>
    <row r="236" spans="1:17" ht="15.75" x14ac:dyDescent="0.25">
      <c r="C236" s="151">
        <f>SUM(C220:C235)</f>
        <v>23338190</v>
      </c>
      <c r="I236" s="149">
        <f>SUM(I220:I235)</f>
        <v>12136053</v>
      </c>
      <c r="J236" s="111">
        <f>+SUM(J219:J235)</f>
        <v>10222494</v>
      </c>
      <c r="K236" s="5" t="b">
        <f>J236=I208</f>
        <v>1</v>
      </c>
      <c r="Q236" s="5"/>
    </row>
    <row r="237" spans="1:17" x14ac:dyDescent="0.25">
      <c r="G237" s="9"/>
      <c r="Q237" s="5"/>
    </row>
    <row r="238" spans="1:17" x14ac:dyDescent="0.25">
      <c r="A238" s="267"/>
      <c r="B238" s="267"/>
      <c r="C238" s="267"/>
      <c r="D238" s="267"/>
      <c r="E238" s="267"/>
      <c r="F238" s="267"/>
      <c r="G238" s="267"/>
      <c r="H238" s="267"/>
      <c r="I238" s="267"/>
      <c r="J238" s="267"/>
      <c r="K238" s="267"/>
      <c r="L238" s="271"/>
      <c r="M238" s="271"/>
      <c r="N238" s="271"/>
      <c r="O238" s="271"/>
      <c r="P238" s="267"/>
      <c r="Q238" s="5"/>
    </row>
    <row r="239" spans="1:17" x14ac:dyDescent="0.25">
      <c r="A239" s="4">
        <v>44530</v>
      </c>
      <c r="Q239" s="5"/>
    </row>
    <row r="240" spans="1:17" ht="15.75" x14ac:dyDescent="0.25">
      <c r="A240" s="6" t="s">
        <v>37</v>
      </c>
      <c r="B240" s="6" t="s">
        <v>1</v>
      </c>
      <c r="C240" s="6">
        <v>44501</v>
      </c>
      <c r="D240" s="7" t="s">
        <v>38</v>
      </c>
      <c r="E240" s="7" t="s">
        <v>39</v>
      </c>
      <c r="F240" s="7" t="s">
        <v>40</v>
      </c>
      <c r="G240" s="7" t="s">
        <v>41</v>
      </c>
      <c r="H240" s="6">
        <v>44530</v>
      </c>
      <c r="I240" s="7" t="s">
        <v>42</v>
      </c>
      <c r="K240" s="47"/>
      <c r="L240" s="47" t="s">
        <v>43</v>
      </c>
      <c r="M240" s="47" t="s">
        <v>44</v>
      </c>
      <c r="N240" s="47" t="s">
        <v>45</v>
      </c>
      <c r="O240" s="47" t="s">
        <v>46</v>
      </c>
      <c r="Q240" s="5"/>
    </row>
    <row r="241" spans="1:17" s="185" customFormat="1" ht="16.5" x14ac:dyDescent="0.3">
      <c r="A241" s="60" t="str">
        <f>+K241</f>
        <v>Axel</v>
      </c>
      <c r="B241" s="187" t="s">
        <v>164</v>
      </c>
      <c r="C241" s="62">
        <v>6757</v>
      </c>
      <c r="D241" s="63">
        <f t="shared" ref="D241:D254" si="135">+L241</f>
        <v>337000</v>
      </c>
      <c r="E241" s="63">
        <f>+N241</f>
        <v>314650</v>
      </c>
      <c r="F241" s="63">
        <f>+M241</f>
        <v>0</v>
      </c>
      <c r="G241" s="63">
        <f t="shared" ref="G241:G243" si="136">+O241</f>
        <v>0</v>
      </c>
      <c r="H241" s="63">
        <v>29107</v>
      </c>
      <c r="I241" s="63">
        <f>+C241+D241-E241-F241+G241</f>
        <v>29107</v>
      </c>
      <c r="J241" s="9">
        <f>I241-H241</f>
        <v>0</v>
      </c>
      <c r="K241" s="186" t="s">
        <v>163</v>
      </c>
      <c r="L241" s="186">
        <v>337000</v>
      </c>
      <c r="M241" s="186">
        <v>0</v>
      </c>
      <c r="N241" s="186">
        <v>314650</v>
      </c>
      <c r="O241" s="186">
        <v>0</v>
      </c>
    </row>
    <row r="242" spans="1:17" ht="16.5" x14ac:dyDescent="0.3">
      <c r="A242" s="60" t="str">
        <f>+K242</f>
        <v>B52</v>
      </c>
      <c r="B242" s="61" t="s">
        <v>4</v>
      </c>
      <c r="C242" s="62">
        <v>0</v>
      </c>
      <c r="D242" s="63">
        <f t="shared" si="135"/>
        <v>118000</v>
      </c>
      <c r="E242" s="63">
        <f>+N242</f>
        <v>114000</v>
      </c>
      <c r="F242" s="63">
        <f>+M242</f>
        <v>0</v>
      </c>
      <c r="G242" s="63">
        <f t="shared" si="136"/>
        <v>0</v>
      </c>
      <c r="H242" s="63">
        <v>4000</v>
      </c>
      <c r="I242" s="63">
        <f>+C242+D242-E242-F242+G242</f>
        <v>4000</v>
      </c>
      <c r="J242" s="9">
        <f>I242-H242</f>
        <v>0</v>
      </c>
      <c r="K242" s="47" t="s">
        <v>173</v>
      </c>
      <c r="L242" s="49">
        <v>118000</v>
      </c>
      <c r="M242" s="49">
        <v>0</v>
      </c>
      <c r="N242" s="49">
        <v>114000</v>
      </c>
      <c r="O242" s="49">
        <v>0</v>
      </c>
      <c r="Q242" s="5"/>
    </row>
    <row r="243" spans="1:17" ht="16.5" x14ac:dyDescent="0.3">
      <c r="A243" s="60" t="str">
        <f>+K243</f>
        <v>BCI</v>
      </c>
      <c r="B243" s="61" t="s">
        <v>47</v>
      </c>
      <c r="C243" s="62">
        <v>6762063</v>
      </c>
      <c r="D243" s="63">
        <f t="shared" si="135"/>
        <v>0</v>
      </c>
      <c r="E243" s="63">
        <f>+N243</f>
        <v>23345</v>
      </c>
      <c r="F243" s="63">
        <f>+M243</f>
        <v>1000000</v>
      </c>
      <c r="G243" s="63">
        <f t="shared" si="136"/>
        <v>0</v>
      </c>
      <c r="H243" s="63">
        <v>5738718</v>
      </c>
      <c r="I243" s="63">
        <f>+C243+D243-E243-F243+G243</f>
        <v>5738718</v>
      </c>
      <c r="J243" s="9">
        <f t="shared" ref="J243:J250" si="137">I243-H243</f>
        <v>0</v>
      </c>
      <c r="K243" s="47" t="s">
        <v>24</v>
      </c>
      <c r="L243" s="49">
        <v>0</v>
      </c>
      <c r="M243" s="49">
        <v>1000000</v>
      </c>
      <c r="N243" s="49">
        <v>23345</v>
      </c>
      <c r="O243" s="49">
        <v>0</v>
      </c>
      <c r="Q243" s="5"/>
    </row>
    <row r="244" spans="1:17" ht="16.5" x14ac:dyDescent="0.3">
      <c r="A244" s="60" t="str">
        <f t="shared" ref="A244:A246" si="138">+K244</f>
        <v>BCI-Sous Compte</v>
      </c>
      <c r="B244" s="61" t="s">
        <v>47</v>
      </c>
      <c r="C244" s="62">
        <v>23107840</v>
      </c>
      <c r="D244" s="63">
        <f t="shared" si="135"/>
        <v>0</v>
      </c>
      <c r="E244" s="63">
        <f>+N244</f>
        <v>4020633</v>
      </c>
      <c r="F244" s="63">
        <f>+M244</f>
        <v>3000000</v>
      </c>
      <c r="G244" s="63">
        <f t="shared" ref="G244:G255" si="139">+O244</f>
        <v>0</v>
      </c>
      <c r="H244" s="63">
        <v>16087207</v>
      </c>
      <c r="I244" s="63">
        <f>+C244+D244-E244-F244+G244</f>
        <v>16087207</v>
      </c>
      <c r="J244" s="108">
        <f t="shared" si="137"/>
        <v>0</v>
      </c>
      <c r="K244" s="47" t="s">
        <v>158</v>
      </c>
      <c r="L244" s="49">
        <v>0</v>
      </c>
      <c r="M244" s="49">
        <v>3000000</v>
      </c>
      <c r="N244" s="49">
        <v>4020633</v>
      </c>
      <c r="O244" s="49">
        <v>0</v>
      </c>
      <c r="Q244" s="5"/>
    </row>
    <row r="245" spans="1:17" ht="16.5" x14ac:dyDescent="0.3">
      <c r="A245" s="60" t="str">
        <f t="shared" si="138"/>
        <v>Caisse</v>
      </c>
      <c r="B245" s="61" t="s">
        <v>25</v>
      </c>
      <c r="C245" s="62">
        <v>1685107</v>
      </c>
      <c r="D245" s="63">
        <f t="shared" si="135"/>
        <v>4090000</v>
      </c>
      <c r="E245" s="63">
        <f t="shared" ref="E245" si="140">+N245</f>
        <v>2854238</v>
      </c>
      <c r="F245" s="63">
        <f t="shared" ref="F245:F252" si="141">+M245</f>
        <v>1994500</v>
      </c>
      <c r="G245" s="63">
        <f t="shared" si="139"/>
        <v>0</v>
      </c>
      <c r="H245" s="63">
        <v>926369</v>
      </c>
      <c r="I245" s="63">
        <f>+C245+D245-E245-F245+G245</f>
        <v>926369</v>
      </c>
      <c r="J245" s="9">
        <f t="shared" si="137"/>
        <v>0</v>
      </c>
      <c r="K245" s="47" t="s">
        <v>25</v>
      </c>
      <c r="L245" s="49">
        <v>4090000</v>
      </c>
      <c r="M245" s="49">
        <v>1994500</v>
      </c>
      <c r="N245" s="49">
        <v>2854238</v>
      </c>
      <c r="O245" s="49">
        <v>0</v>
      </c>
      <c r="Q245" s="5"/>
    </row>
    <row r="246" spans="1:17" ht="16.5" x14ac:dyDescent="0.3">
      <c r="A246" s="60" t="str">
        <f t="shared" si="138"/>
        <v>Crépin</v>
      </c>
      <c r="B246" s="61" t="s">
        <v>164</v>
      </c>
      <c r="C246" s="62">
        <v>7200</v>
      </c>
      <c r="D246" s="63">
        <f t="shared" si="135"/>
        <v>286000</v>
      </c>
      <c r="E246" s="63">
        <f>+N246</f>
        <v>226875</v>
      </c>
      <c r="F246" s="63">
        <f t="shared" si="141"/>
        <v>70000</v>
      </c>
      <c r="G246" s="63">
        <f t="shared" si="139"/>
        <v>0</v>
      </c>
      <c r="H246" s="63">
        <v>-3675</v>
      </c>
      <c r="I246" s="63">
        <f t="shared" ref="I246" si="142">+C246+D246-E246-F246+G246</f>
        <v>-3675</v>
      </c>
      <c r="J246" s="9">
        <f t="shared" si="137"/>
        <v>0</v>
      </c>
      <c r="K246" s="47" t="s">
        <v>48</v>
      </c>
      <c r="L246" s="49">
        <v>286000</v>
      </c>
      <c r="M246" s="49">
        <v>70000</v>
      </c>
      <c r="N246" s="49">
        <v>226875</v>
      </c>
      <c r="O246" s="49">
        <v>0</v>
      </c>
      <c r="Q246" s="5"/>
    </row>
    <row r="247" spans="1:17" ht="16.5" x14ac:dyDescent="0.3">
      <c r="A247" s="60" t="str">
        <f>K247</f>
        <v>Evariste</v>
      </c>
      <c r="B247" s="61" t="s">
        <v>165</v>
      </c>
      <c r="C247" s="62">
        <v>10095</v>
      </c>
      <c r="D247" s="63">
        <f t="shared" si="135"/>
        <v>70500</v>
      </c>
      <c r="E247" s="63">
        <f t="shared" ref="E247" si="143">+N247</f>
        <v>73000</v>
      </c>
      <c r="F247" s="63">
        <f t="shared" si="141"/>
        <v>0</v>
      </c>
      <c r="G247" s="63">
        <f t="shared" si="139"/>
        <v>0</v>
      </c>
      <c r="H247" s="63">
        <v>7595</v>
      </c>
      <c r="I247" s="63">
        <f>+C247+D247-E247-F247+G247</f>
        <v>7595</v>
      </c>
      <c r="J247" s="9">
        <f t="shared" si="137"/>
        <v>0</v>
      </c>
      <c r="K247" s="47" t="s">
        <v>31</v>
      </c>
      <c r="L247" s="49">
        <v>70500</v>
      </c>
      <c r="M247" s="49">
        <v>0</v>
      </c>
      <c r="N247" s="49">
        <v>73000</v>
      </c>
      <c r="O247" s="49">
        <v>0</v>
      </c>
      <c r="Q247" s="5"/>
    </row>
    <row r="248" spans="1:17" ht="16.5" x14ac:dyDescent="0.3">
      <c r="A248" s="123" t="str">
        <f t="shared" ref="A248:A255" si="144">+K248</f>
        <v>I55S</v>
      </c>
      <c r="B248" s="124" t="s">
        <v>4</v>
      </c>
      <c r="C248" s="125">
        <v>233614</v>
      </c>
      <c r="D248" s="126">
        <f t="shared" si="135"/>
        <v>0</v>
      </c>
      <c r="E248" s="126">
        <f>+N248</f>
        <v>0</v>
      </c>
      <c r="F248" s="126">
        <f t="shared" si="141"/>
        <v>0</v>
      </c>
      <c r="G248" s="126">
        <f t="shared" si="139"/>
        <v>0</v>
      </c>
      <c r="H248" s="126">
        <v>233614</v>
      </c>
      <c r="I248" s="126">
        <f>+C248+D248-E248-F248+G248</f>
        <v>233614</v>
      </c>
      <c r="J248" s="9">
        <f t="shared" si="137"/>
        <v>0</v>
      </c>
      <c r="K248" s="47" t="s">
        <v>85</v>
      </c>
      <c r="L248" s="49">
        <v>0</v>
      </c>
      <c r="M248" s="49">
        <v>0</v>
      </c>
      <c r="N248" s="49">
        <v>0</v>
      </c>
      <c r="O248" s="49">
        <v>0</v>
      </c>
      <c r="Q248" s="5"/>
    </row>
    <row r="249" spans="1:17" ht="16.5" x14ac:dyDescent="0.3">
      <c r="A249" s="123" t="str">
        <f t="shared" si="144"/>
        <v>I73X</v>
      </c>
      <c r="B249" s="124" t="s">
        <v>4</v>
      </c>
      <c r="C249" s="125">
        <v>249769</v>
      </c>
      <c r="D249" s="126">
        <f t="shared" si="135"/>
        <v>0</v>
      </c>
      <c r="E249" s="126">
        <f>+N249</f>
        <v>0</v>
      </c>
      <c r="F249" s="126">
        <f t="shared" si="141"/>
        <v>0</v>
      </c>
      <c r="G249" s="126">
        <f t="shared" si="139"/>
        <v>0</v>
      </c>
      <c r="H249" s="126">
        <v>249769</v>
      </c>
      <c r="I249" s="126">
        <f t="shared" ref="I249:I252" si="145">+C249+D249-E249-F249+G249</f>
        <v>249769</v>
      </c>
      <c r="J249" s="9">
        <f t="shared" si="137"/>
        <v>0</v>
      </c>
      <c r="K249" s="47" t="s">
        <v>84</v>
      </c>
      <c r="L249" s="49">
        <v>0</v>
      </c>
      <c r="M249" s="49">
        <v>0</v>
      </c>
      <c r="N249" s="49">
        <v>0</v>
      </c>
      <c r="O249" s="49">
        <v>0</v>
      </c>
      <c r="Q249" s="5"/>
    </row>
    <row r="250" spans="1:17" ht="16.5" x14ac:dyDescent="0.3">
      <c r="A250" s="60" t="str">
        <f t="shared" si="144"/>
        <v>Godfré</v>
      </c>
      <c r="B250" s="104" t="s">
        <v>164</v>
      </c>
      <c r="C250" s="62">
        <v>3550</v>
      </c>
      <c r="D250" s="63">
        <f t="shared" si="135"/>
        <v>43000</v>
      </c>
      <c r="E250" s="179">
        <f t="shared" ref="E250:E255" si="146">+N250</f>
        <v>52550</v>
      </c>
      <c r="F250" s="63">
        <f t="shared" si="141"/>
        <v>0</v>
      </c>
      <c r="G250" s="63">
        <f t="shared" si="139"/>
        <v>0</v>
      </c>
      <c r="H250" s="63">
        <v>-6000</v>
      </c>
      <c r="I250" s="63">
        <f t="shared" si="145"/>
        <v>-6000</v>
      </c>
      <c r="J250" s="9">
        <f t="shared" si="137"/>
        <v>0</v>
      </c>
      <c r="K250" s="47" t="s">
        <v>153</v>
      </c>
      <c r="L250" s="49">
        <v>43000</v>
      </c>
      <c r="M250" s="49">
        <v>0</v>
      </c>
      <c r="N250" s="49">
        <v>52550</v>
      </c>
      <c r="O250" s="49">
        <v>0</v>
      </c>
      <c r="Q250" s="5"/>
    </row>
    <row r="251" spans="1:17" ht="16.5" x14ac:dyDescent="0.3">
      <c r="A251" s="60" t="str">
        <f t="shared" si="144"/>
        <v>Grace</v>
      </c>
      <c r="B251" s="61" t="s">
        <v>2</v>
      </c>
      <c r="C251" s="62">
        <v>61300</v>
      </c>
      <c r="D251" s="63">
        <f t="shared" si="135"/>
        <v>53000</v>
      </c>
      <c r="E251" s="179">
        <f t="shared" si="146"/>
        <v>45900</v>
      </c>
      <c r="F251" s="63">
        <f t="shared" si="141"/>
        <v>20000</v>
      </c>
      <c r="G251" s="63">
        <f t="shared" si="139"/>
        <v>0</v>
      </c>
      <c r="H251" s="63">
        <v>48400</v>
      </c>
      <c r="I251" s="63">
        <f t="shared" si="145"/>
        <v>48400</v>
      </c>
      <c r="J251" s="9">
        <f>I251-H251</f>
        <v>0</v>
      </c>
      <c r="K251" s="47" t="s">
        <v>152</v>
      </c>
      <c r="L251" s="49">
        <v>53000</v>
      </c>
      <c r="M251" s="49">
        <v>20000</v>
      </c>
      <c r="N251" s="49">
        <v>45900</v>
      </c>
      <c r="O251" s="49">
        <v>0</v>
      </c>
      <c r="Q251" s="5"/>
    </row>
    <row r="252" spans="1:17" ht="16.5" x14ac:dyDescent="0.3">
      <c r="A252" s="60" t="str">
        <f t="shared" si="144"/>
        <v>I23C</v>
      </c>
      <c r="B252" s="104" t="s">
        <v>4</v>
      </c>
      <c r="C252" s="62">
        <v>10800</v>
      </c>
      <c r="D252" s="63">
        <f t="shared" si="135"/>
        <v>488000</v>
      </c>
      <c r="E252" s="179">
        <f t="shared" si="146"/>
        <v>492000</v>
      </c>
      <c r="F252" s="63">
        <f t="shared" si="141"/>
        <v>0</v>
      </c>
      <c r="G252" s="63">
        <f t="shared" si="139"/>
        <v>0</v>
      </c>
      <c r="H252" s="63">
        <v>6800</v>
      </c>
      <c r="I252" s="63">
        <f t="shared" si="145"/>
        <v>6800</v>
      </c>
      <c r="J252" s="9">
        <f t="shared" ref="J252" si="147">I252-H252</f>
        <v>0</v>
      </c>
      <c r="K252" s="47" t="s">
        <v>30</v>
      </c>
      <c r="L252" s="49">
        <v>488000</v>
      </c>
      <c r="M252" s="49">
        <v>0</v>
      </c>
      <c r="N252" s="49">
        <v>492000</v>
      </c>
      <c r="O252" s="49">
        <v>0</v>
      </c>
      <c r="Q252" s="5"/>
    </row>
    <row r="253" spans="1:17" ht="16.5" x14ac:dyDescent="0.3">
      <c r="A253" s="60" t="str">
        <f t="shared" si="144"/>
        <v>Merveille</v>
      </c>
      <c r="B253" s="61" t="s">
        <v>2</v>
      </c>
      <c r="C253" s="62">
        <v>9500</v>
      </c>
      <c r="D253" s="63">
        <f t="shared" si="135"/>
        <v>20000</v>
      </c>
      <c r="E253" s="179">
        <f t="shared" si="146"/>
        <v>24000</v>
      </c>
      <c r="F253" s="63">
        <f t="shared" ref="F253" si="148">+M253</f>
        <v>0</v>
      </c>
      <c r="G253" s="63">
        <f t="shared" ref="G253" si="149">+O253</f>
        <v>0</v>
      </c>
      <c r="H253" s="63">
        <v>5500</v>
      </c>
      <c r="I253" s="63">
        <f t="shared" ref="I253" si="150">+C253+D253-E253-F253+G253</f>
        <v>5500</v>
      </c>
      <c r="J253" s="9">
        <f t="shared" ref="J253" si="151">I253-H253</f>
        <v>0</v>
      </c>
      <c r="K253" s="47" t="s">
        <v>94</v>
      </c>
      <c r="L253" s="49">
        <v>20000</v>
      </c>
      <c r="M253" s="49">
        <v>0</v>
      </c>
      <c r="N253" s="49">
        <v>24000</v>
      </c>
      <c r="O253" s="49"/>
      <c r="Q253" s="5"/>
    </row>
    <row r="254" spans="1:17" ht="16.5" x14ac:dyDescent="0.3">
      <c r="A254" s="60" t="str">
        <f t="shared" si="144"/>
        <v>P29</v>
      </c>
      <c r="B254" s="61" t="s">
        <v>4</v>
      </c>
      <c r="C254" s="62">
        <v>21200</v>
      </c>
      <c r="D254" s="63">
        <f t="shared" si="135"/>
        <v>543000</v>
      </c>
      <c r="E254" s="179">
        <f t="shared" si="146"/>
        <v>533500</v>
      </c>
      <c r="F254" s="63">
        <f>+M254</f>
        <v>0</v>
      </c>
      <c r="G254" s="63">
        <f>+O254</f>
        <v>0</v>
      </c>
      <c r="H254" s="63">
        <v>30700</v>
      </c>
      <c r="I254" s="63">
        <f>+C254+D254-E254-F254+G254</f>
        <v>30700</v>
      </c>
      <c r="J254" s="9">
        <f>I254-H254</f>
        <v>0</v>
      </c>
      <c r="K254" s="47" t="s">
        <v>29</v>
      </c>
      <c r="L254" s="49">
        <v>543000</v>
      </c>
      <c r="M254" s="49">
        <v>0</v>
      </c>
      <c r="N254" s="49">
        <v>533500</v>
      </c>
      <c r="O254" s="49">
        <v>0</v>
      </c>
      <c r="Q254" s="5"/>
    </row>
    <row r="255" spans="1:17" ht="16.5" x14ac:dyDescent="0.3">
      <c r="A255" s="60" t="str">
        <f t="shared" si="144"/>
        <v>Tiffany</v>
      </c>
      <c r="B255" s="61" t="s">
        <v>2</v>
      </c>
      <c r="C255" s="62">
        <v>26193</v>
      </c>
      <c r="D255" s="63">
        <f t="shared" ref="D255" si="152">+L255</f>
        <v>36000</v>
      </c>
      <c r="E255" s="179">
        <f t="shared" si="146"/>
        <v>53000</v>
      </c>
      <c r="F255" s="63">
        <f t="shared" ref="F255" si="153">+M255</f>
        <v>0</v>
      </c>
      <c r="G255" s="63">
        <f t="shared" si="139"/>
        <v>0</v>
      </c>
      <c r="H255" s="63">
        <v>9193</v>
      </c>
      <c r="I255" s="63">
        <f t="shared" ref="I255" si="154">+C255+D255-E255-F255+G255</f>
        <v>9193</v>
      </c>
      <c r="J255" s="9">
        <f t="shared" ref="J255" si="155">I255-H255</f>
        <v>0</v>
      </c>
      <c r="K255" s="47" t="s">
        <v>114</v>
      </c>
      <c r="L255" s="49">
        <v>36000</v>
      </c>
      <c r="M255" s="49">
        <v>0</v>
      </c>
      <c r="N255" s="49">
        <v>53000</v>
      </c>
      <c r="O255" s="49">
        <v>0</v>
      </c>
      <c r="Q255" s="5"/>
    </row>
    <row r="256" spans="1:17" ht="16.5" x14ac:dyDescent="0.3">
      <c r="A256" s="10" t="s">
        <v>51</v>
      </c>
      <c r="B256" s="11"/>
      <c r="C256" s="12">
        <f>SUM(C241:C255)</f>
        <v>32194988</v>
      </c>
      <c r="D256" s="59">
        <f t="shared" ref="D256:G256" si="156">SUM(D241:D255)</f>
        <v>6084500</v>
      </c>
      <c r="E256" s="59">
        <f t="shared" si="156"/>
        <v>8827691</v>
      </c>
      <c r="F256" s="59">
        <f t="shared" si="156"/>
        <v>6084500</v>
      </c>
      <c r="G256" s="59">
        <f t="shared" si="156"/>
        <v>0</v>
      </c>
      <c r="H256" s="59">
        <f>SUM(H241:H255)</f>
        <v>23367297</v>
      </c>
      <c r="I256" s="59">
        <f>SUM(I241:I255)</f>
        <v>23367297</v>
      </c>
      <c r="J256" s="9">
        <f>I256-H256</f>
        <v>0</v>
      </c>
      <c r="K256" s="3"/>
      <c r="L256" s="49">
        <v>6084500</v>
      </c>
      <c r="M256" s="49">
        <v>6084500</v>
      </c>
      <c r="N256" s="49">
        <v>8828291</v>
      </c>
      <c r="O256" s="49">
        <v>0</v>
      </c>
      <c r="Q256" s="5"/>
    </row>
    <row r="257" spans="1:17" ht="16.5" x14ac:dyDescent="0.3">
      <c r="A257" s="10"/>
      <c r="B257" s="11"/>
      <c r="C257" s="12"/>
      <c r="D257" s="13"/>
      <c r="E257" s="12"/>
      <c r="F257" s="13"/>
      <c r="G257" s="12"/>
      <c r="H257" s="12"/>
      <c r="I257" s="143" t="b">
        <f>I256=D259</f>
        <v>1</v>
      </c>
      <c r="L257" s="5"/>
      <c r="M257" s="5"/>
      <c r="N257" s="5"/>
      <c r="O257" s="5"/>
      <c r="Q257" s="5"/>
    </row>
    <row r="258" spans="1:17" ht="16.5" x14ac:dyDescent="0.3">
      <c r="A258" s="10" t="s">
        <v>169</v>
      </c>
      <c r="B258" s="11" t="s">
        <v>171</v>
      </c>
      <c r="C258" s="12" t="s">
        <v>175</v>
      </c>
      <c r="D258" s="12" t="s">
        <v>168</v>
      </c>
      <c r="E258" s="12" t="s">
        <v>52</v>
      </c>
      <c r="F258" s="12"/>
      <c r="G258" s="12">
        <f>+D256-F256</f>
        <v>0</v>
      </c>
      <c r="H258" s="12"/>
      <c r="I258" s="12"/>
      <c r="Q258" s="5"/>
    </row>
    <row r="259" spans="1:17" ht="16.5" x14ac:dyDescent="0.3">
      <c r="A259" s="14">
        <f>C256</f>
        <v>32194988</v>
      </c>
      <c r="B259" s="15">
        <f>G256</f>
        <v>0</v>
      </c>
      <c r="C259" s="12">
        <f>E256</f>
        <v>8827691</v>
      </c>
      <c r="D259" s="12">
        <f>A259+B259-C259</f>
        <v>23367297</v>
      </c>
      <c r="E259" s="13">
        <f>I256-D259</f>
        <v>0</v>
      </c>
      <c r="F259" s="12"/>
      <c r="G259" s="12"/>
      <c r="H259" s="12"/>
      <c r="I259" s="12"/>
      <c r="L259" s="5"/>
      <c r="M259" s="5"/>
      <c r="N259" s="5"/>
      <c r="O259" s="5"/>
      <c r="Q259" s="5"/>
    </row>
    <row r="260" spans="1:17" ht="16.5" x14ac:dyDescent="0.3">
      <c r="A260" s="14"/>
      <c r="B260" s="15"/>
      <c r="C260" s="12"/>
      <c r="D260" s="12"/>
      <c r="E260" s="13"/>
      <c r="F260" s="12"/>
      <c r="G260" s="12"/>
      <c r="H260" s="12"/>
      <c r="I260" s="12"/>
      <c r="L260" s="5"/>
      <c r="M260" s="5"/>
      <c r="N260" s="5"/>
      <c r="O260" s="5"/>
      <c r="Q260" s="5"/>
    </row>
    <row r="261" spans="1:17" x14ac:dyDescent="0.2">
      <c r="A261" s="16" t="s">
        <v>53</v>
      </c>
      <c r="B261" s="16"/>
      <c r="C261" s="16"/>
      <c r="D261" s="17"/>
      <c r="E261" s="17"/>
      <c r="F261" s="17"/>
      <c r="G261" s="17"/>
      <c r="H261" s="17"/>
      <c r="I261" s="17"/>
      <c r="L261" s="5"/>
      <c r="M261" s="5"/>
      <c r="N261" s="5"/>
      <c r="O261" s="5"/>
      <c r="Q261" s="5"/>
    </row>
    <row r="262" spans="1:17" x14ac:dyDescent="0.2">
      <c r="A262" s="18" t="s">
        <v>170</v>
      </c>
      <c r="B262" s="18"/>
      <c r="C262" s="18"/>
      <c r="D262" s="18"/>
      <c r="E262" s="18"/>
      <c r="F262" s="18"/>
      <c r="G262" s="18"/>
      <c r="H262" s="18"/>
      <c r="I262" s="18"/>
      <c r="J262" s="18"/>
      <c r="L262" s="5"/>
      <c r="M262" s="5"/>
      <c r="N262" s="5"/>
      <c r="O262" s="5"/>
      <c r="Q262" s="5"/>
    </row>
    <row r="263" spans="1:17" x14ac:dyDescent="0.2">
      <c r="A263" s="19"/>
      <c r="B263" s="20"/>
      <c r="C263" s="21"/>
      <c r="D263" s="21"/>
      <c r="E263" s="21"/>
      <c r="F263" s="21"/>
      <c r="G263" s="21"/>
      <c r="H263" s="20"/>
      <c r="I263" s="20"/>
      <c r="L263" s="5"/>
      <c r="M263" s="5"/>
      <c r="N263" s="5"/>
      <c r="O263" s="5"/>
      <c r="Q263" s="5"/>
    </row>
    <row r="264" spans="1:17" x14ac:dyDescent="0.2">
      <c r="A264" s="377" t="s">
        <v>54</v>
      </c>
      <c r="B264" s="379" t="s">
        <v>55</v>
      </c>
      <c r="C264" s="381" t="s">
        <v>172</v>
      </c>
      <c r="D264" s="383" t="s">
        <v>56</v>
      </c>
      <c r="E264" s="384"/>
      <c r="F264" s="384"/>
      <c r="G264" s="385"/>
      <c r="H264" s="386" t="s">
        <v>57</v>
      </c>
      <c r="I264" s="373" t="s">
        <v>58</v>
      </c>
      <c r="J264" s="20"/>
      <c r="L264" s="5"/>
      <c r="M264" s="5"/>
      <c r="N264" s="5"/>
      <c r="O264" s="5"/>
      <c r="Q264" s="5"/>
    </row>
    <row r="265" spans="1:17" ht="28.5" customHeight="1" x14ac:dyDescent="0.25">
      <c r="A265" s="378"/>
      <c r="B265" s="380"/>
      <c r="C265" s="382"/>
      <c r="D265" s="22" t="s">
        <v>24</v>
      </c>
      <c r="E265" s="22" t="s">
        <v>25</v>
      </c>
      <c r="F265" s="188" t="s">
        <v>124</v>
      </c>
      <c r="G265" s="22" t="s">
        <v>59</v>
      </c>
      <c r="H265" s="387"/>
      <c r="I265" s="374"/>
      <c r="J265" s="375" t="s">
        <v>181</v>
      </c>
      <c r="K265" s="155"/>
      <c r="L265" s="5"/>
      <c r="M265" s="5"/>
      <c r="N265" s="5"/>
      <c r="O265" s="5"/>
      <c r="Q265" s="5"/>
    </row>
    <row r="266" spans="1:17" x14ac:dyDescent="0.2">
      <c r="A266" s="24"/>
      <c r="B266" s="25" t="s">
        <v>60</v>
      </c>
      <c r="C266" s="26"/>
      <c r="D266" s="26"/>
      <c r="E266" s="26"/>
      <c r="F266" s="26"/>
      <c r="G266" s="26"/>
      <c r="H266" s="26"/>
      <c r="I266" s="27"/>
      <c r="J266" s="376"/>
      <c r="K266" s="155"/>
      <c r="L266" s="5"/>
      <c r="M266" s="5"/>
      <c r="N266" s="5"/>
      <c r="O266" s="5"/>
      <c r="Q266" s="5"/>
    </row>
    <row r="267" spans="1:17" x14ac:dyDescent="0.2">
      <c r="A267" s="130" t="s">
        <v>99</v>
      </c>
      <c r="B267" s="135" t="s">
        <v>163</v>
      </c>
      <c r="C267" s="33">
        <f>+C241</f>
        <v>6757</v>
      </c>
      <c r="D267" s="32"/>
      <c r="E267" s="33">
        <f>D241</f>
        <v>337000</v>
      </c>
      <c r="F267" s="33"/>
      <c r="G267" s="33"/>
      <c r="H267" s="57">
        <f>+F241</f>
        <v>0</v>
      </c>
      <c r="I267" s="33">
        <f>+E241</f>
        <v>314650</v>
      </c>
      <c r="J267" s="31">
        <f>+SUM(C267:G267)-(H267+I267)</f>
        <v>29107</v>
      </c>
      <c r="K267" s="156" t="b">
        <f>J267=I241</f>
        <v>1</v>
      </c>
      <c r="L267" s="5"/>
      <c r="M267" s="5"/>
      <c r="N267" s="5"/>
      <c r="O267" s="5"/>
      <c r="Q267" s="5"/>
    </row>
    <row r="268" spans="1:17" x14ac:dyDescent="0.2">
      <c r="A268" s="130" t="str">
        <f>A267</f>
        <v>NOVEMBRE</v>
      </c>
      <c r="B268" s="135" t="s">
        <v>173</v>
      </c>
      <c r="C268" s="33">
        <f>+C242</f>
        <v>0</v>
      </c>
      <c r="D268" s="32"/>
      <c r="E268" s="33">
        <f>+D242</f>
        <v>118000</v>
      </c>
      <c r="F268" s="33"/>
      <c r="G268" s="33"/>
      <c r="H268" s="57">
        <f>+F242</f>
        <v>0</v>
      </c>
      <c r="I268" s="33">
        <f>+E242</f>
        <v>114000</v>
      </c>
      <c r="J268" s="31">
        <f t="shared" ref="J268:J269" si="157">+SUM(C268:G268)-(H268+I268)</f>
        <v>4000</v>
      </c>
      <c r="K268" s="156" t="b">
        <f>J268=I242</f>
        <v>1</v>
      </c>
      <c r="L268" s="5"/>
      <c r="M268" s="5"/>
      <c r="N268" s="5"/>
      <c r="O268" s="5"/>
      <c r="Q268" s="5"/>
    </row>
    <row r="269" spans="1:17" x14ac:dyDescent="0.2">
      <c r="A269" s="130" t="str">
        <f>+A268</f>
        <v>NOVEMBRE</v>
      </c>
      <c r="B269" s="135" t="s">
        <v>48</v>
      </c>
      <c r="C269" s="33">
        <f>+C246</f>
        <v>7200</v>
      </c>
      <c r="D269" s="32"/>
      <c r="E269" s="33">
        <f>+D246</f>
        <v>286000</v>
      </c>
      <c r="F269" s="33"/>
      <c r="G269" s="33"/>
      <c r="H269" s="57">
        <f>+F246</f>
        <v>70000</v>
      </c>
      <c r="I269" s="33">
        <f>+E246</f>
        <v>226875</v>
      </c>
      <c r="J269" s="107">
        <f t="shared" si="157"/>
        <v>-3675</v>
      </c>
      <c r="K269" s="156" t="b">
        <f>J269=I246</f>
        <v>1</v>
      </c>
      <c r="L269" s="5"/>
      <c r="M269" s="5"/>
      <c r="N269" s="5"/>
      <c r="O269" s="5"/>
      <c r="Q269" s="5"/>
    </row>
    <row r="270" spans="1:17" x14ac:dyDescent="0.2">
      <c r="A270" s="130" t="str">
        <f t="shared" ref="A270:A278" si="158">+A269</f>
        <v>NOVEMBRE</v>
      </c>
      <c r="B270" s="136" t="s">
        <v>31</v>
      </c>
      <c r="C270" s="33">
        <f>+C247</f>
        <v>10095</v>
      </c>
      <c r="D270" s="127"/>
      <c r="E270" s="33">
        <f>+D247</f>
        <v>70500</v>
      </c>
      <c r="F270" s="53"/>
      <c r="G270" s="53"/>
      <c r="H270" s="57">
        <f>+F247</f>
        <v>0</v>
      </c>
      <c r="I270" s="33">
        <f>+E247</f>
        <v>73000</v>
      </c>
      <c r="J270" s="132">
        <f>+SUM(C270:G270)-(H270+I270)</f>
        <v>7595</v>
      </c>
      <c r="K270" s="156" t="b">
        <f t="shared" ref="K270:K278" si="159">J270=I247</f>
        <v>1</v>
      </c>
      <c r="L270" s="5"/>
      <c r="M270" s="5"/>
      <c r="N270" s="5"/>
      <c r="O270" s="5"/>
      <c r="Q270" s="5"/>
    </row>
    <row r="271" spans="1:17" x14ac:dyDescent="0.2">
      <c r="A271" s="130" t="str">
        <f t="shared" si="158"/>
        <v>NOVEMBRE</v>
      </c>
      <c r="B271" s="137" t="s">
        <v>85</v>
      </c>
      <c r="C271" s="128">
        <f>+C248</f>
        <v>233614</v>
      </c>
      <c r="D271" s="131"/>
      <c r="E271" s="128">
        <f>+D248</f>
        <v>0</v>
      </c>
      <c r="F271" s="146"/>
      <c r="G271" s="146"/>
      <c r="H271" s="180">
        <f>+F248</f>
        <v>0</v>
      </c>
      <c r="I271" s="128">
        <f>+E248</f>
        <v>0</v>
      </c>
      <c r="J271" s="129">
        <f>+SUM(C271:G271)-(H271+I271)</f>
        <v>233614</v>
      </c>
      <c r="K271" s="156" t="b">
        <f t="shared" si="159"/>
        <v>1</v>
      </c>
      <c r="L271" s="5"/>
      <c r="M271" s="5"/>
      <c r="N271" s="5"/>
      <c r="O271" s="5"/>
      <c r="Q271" s="5"/>
    </row>
    <row r="272" spans="1:17" x14ac:dyDescent="0.2">
      <c r="A272" s="130" t="str">
        <f t="shared" si="158"/>
        <v>NOVEMBRE</v>
      </c>
      <c r="B272" s="137" t="s">
        <v>84</v>
      </c>
      <c r="C272" s="128">
        <f>+C249</f>
        <v>249769</v>
      </c>
      <c r="D272" s="131"/>
      <c r="E272" s="128">
        <f>+D249</f>
        <v>0</v>
      </c>
      <c r="F272" s="146"/>
      <c r="G272" s="146"/>
      <c r="H272" s="180">
        <f>+F249</f>
        <v>0</v>
      </c>
      <c r="I272" s="128">
        <f>+E249</f>
        <v>0</v>
      </c>
      <c r="J272" s="129">
        <f t="shared" ref="J272:J278" si="160">+SUM(C272:G272)-(H272+I272)</f>
        <v>249769</v>
      </c>
      <c r="K272" s="156" t="b">
        <f t="shared" si="159"/>
        <v>1</v>
      </c>
      <c r="L272" s="5"/>
      <c r="M272" s="5"/>
      <c r="N272" s="5"/>
      <c r="O272" s="5"/>
      <c r="Q272" s="5"/>
    </row>
    <row r="273" spans="1:17" x14ac:dyDescent="0.2">
      <c r="A273" s="130" t="str">
        <f t="shared" si="158"/>
        <v>NOVEMBRE</v>
      </c>
      <c r="B273" s="135" t="s">
        <v>153</v>
      </c>
      <c r="C273" s="33">
        <f>+C250</f>
        <v>3550</v>
      </c>
      <c r="D273" s="32"/>
      <c r="E273" s="33">
        <f>+D250</f>
        <v>43000</v>
      </c>
      <c r="F273" s="33"/>
      <c r="G273" s="110"/>
      <c r="H273" s="57">
        <f>+F250</f>
        <v>0</v>
      </c>
      <c r="I273" s="33">
        <f>+E250</f>
        <v>52550</v>
      </c>
      <c r="J273" s="31">
        <f t="shared" si="160"/>
        <v>-6000</v>
      </c>
      <c r="K273" s="156" t="b">
        <f t="shared" si="159"/>
        <v>1</v>
      </c>
      <c r="L273" s="5"/>
      <c r="M273" s="5"/>
      <c r="N273" s="5"/>
      <c r="O273" s="5"/>
      <c r="Q273" s="5"/>
    </row>
    <row r="274" spans="1:17" x14ac:dyDescent="0.2">
      <c r="A274" s="130" t="str">
        <f t="shared" si="158"/>
        <v>NOVEMBRE</v>
      </c>
      <c r="B274" s="135" t="s">
        <v>152</v>
      </c>
      <c r="C274" s="33">
        <f t="shared" ref="C274:C278" si="161">+C251</f>
        <v>61300</v>
      </c>
      <c r="D274" s="32"/>
      <c r="E274" s="33">
        <f t="shared" ref="E274:E278" si="162">+D251</f>
        <v>53000</v>
      </c>
      <c r="F274" s="33"/>
      <c r="G274" s="110"/>
      <c r="H274" s="57">
        <f t="shared" ref="H274:H278" si="163">+F251</f>
        <v>20000</v>
      </c>
      <c r="I274" s="33">
        <f t="shared" ref="I274:I278" si="164">+E251</f>
        <v>45900</v>
      </c>
      <c r="J274" s="31">
        <f t="shared" si="160"/>
        <v>48400</v>
      </c>
      <c r="K274" s="156" t="b">
        <f t="shared" si="159"/>
        <v>1</v>
      </c>
      <c r="L274" s="5"/>
      <c r="M274" s="5"/>
      <c r="N274" s="5"/>
      <c r="O274" s="5"/>
      <c r="Q274" s="5"/>
    </row>
    <row r="275" spans="1:17" x14ac:dyDescent="0.2">
      <c r="A275" s="130" t="str">
        <f t="shared" si="158"/>
        <v>NOVEMBRE</v>
      </c>
      <c r="B275" s="135" t="s">
        <v>30</v>
      </c>
      <c r="C275" s="33">
        <f t="shared" si="161"/>
        <v>10800</v>
      </c>
      <c r="D275" s="32"/>
      <c r="E275" s="33">
        <f t="shared" si="162"/>
        <v>488000</v>
      </c>
      <c r="F275" s="33"/>
      <c r="G275" s="110"/>
      <c r="H275" s="57">
        <f t="shared" si="163"/>
        <v>0</v>
      </c>
      <c r="I275" s="33">
        <f t="shared" si="164"/>
        <v>492000</v>
      </c>
      <c r="J275" s="31">
        <f t="shared" si="160"/>
        <v>6800</v>
      </c>
      <c r="K275" s="156" t="b">
        <f t="shared" si="159"/>
        <v>1</v>
      </c>
      <c r="L275" s="5"/>
      <c r="M275" s="5"/>
      <c r="N275" s="5"/>
      <c r="O275" s="5"/>
      <c r="Q275" s="5"/>
    </row>
    <row r="276" spans="1:17" x14ac:dyDescent="0.2">
      <c r="A276" s="130" t="str">
        <f>+A274</f>
        <v>NOVEMBRE</v>
      </c>
      <c r="B276" s="135" t="s">
        <v>94</v>
      </c>
      <c r="C276" s="33">
        <f t="shared" si="161"/>
        <v>9500</v>
      </c>
      <c r="D276" s="32"/>
      <c r="E276" s="33">
        <f t="shared" si="162"/>
        <v>20000</v>
      </c>
      <c r="F276" s="33"/>
      <c r="G276" s="110"/>
      <c r="H276" s="57">
        <f t="shared" si="163"/>
        <v>0</v>
      </c>
      <c r="I276" s="33">
        <f t="shared" si="164"/>
        <v>24000</v>
      </c>
      <c r="J276" s="31">
        <f t="shared" si="160"/>
        <v>5500</v>
      </c>
      <c r="K276" s="156" t="b">
        <f t="shared" si="159"/>
        <v>1</v>
      </c>
      <c r="L276" s="5"/>
      <c r="M276" s="5"/>
      <c r="N276" s="5"/>
      <c r="O276" s="5"/>
      <c r="Q276" s="5"/>
    </row>
    <row r="277" spans="1:17" x14ac:dyDescent="0.2">
      <c r="A277" s="130" t="str">
        <f>+A275</f>
        <v>NOVEMBRE</v>
      </c>
      <c r="B277" s="135" t="s">
        <v>29</v>
      </c>
      <c r="C277" s="33">
        <f t="shared" si="161"/>
        <v>21200</v>
      </c>
      <c r="D277" s="32"/>
      <c r="E277" s="33">
        <f t="shared" si="162"/>
        <v>543000</v>
      </c>
      <c r="F277" s="33"/>
      <c r="G277" s="110"/>
      <c r="H277" s="57">
        <f t="shared" si="163"/>
        <v>0</v>
      </c>
      <c r="I277" s="33">
        <f t="shared" si="164"/>
        <v>533500</v>
      </c>
      <c r="J277" s="31">
        <f t="shared" si="160"/>
        <v>30700</v>
      </c>
      <c r="K277" s="156" t="b">
        <f t="shared" si="159"/>
        <v>1</v>
      </c>
      <c r="L277" s="5"/>
      <c r="M277" s="5"/>
      <c r="N277" s="5"/>
      <c r="O277" s="5"/>
      <c r="Q277" s="5"/>
    </row>
    <row r="278" spans="1:17" x14ac:dyDescent="0.2">
      <c r="A278" s="130" t="str">
        <f t="shared" si="158"/>
        <v>NOVEMBRE</v>
      </c>
      <c r="B278" s="136" t="s">
        <v>114</v>
      </c>
      <c r="C278" s="33">
        <f t="shared" si="161"/>
        <v>26193</v>
      </c>
      <c r="D278" s="127"/>
      <c r="E278" s="33">
        <f t="shared" si="162"/>
        <v>36000</v>
      </c>
      <c r="F278" s="53"/>
      <c r="G278" s="147"/>
      <c r="H278" s="57">
        <f t="shared" si="163"/>
        <v>0</v>
      </c>
      <c r="I278" s="33">
        <f t="shared" si="164"/>
        <v>53000</v>
      </c>
      <c r="J278" s="31">
        <f t="shared" si="160"/>
        <v>9193</v>
      </c>
      <c r="K278" s="156" t="b">
        <f t="shared" si="159"/>
        <v>1</v>
      </c>
      <c r="L278" s="5"/>
      <c r="M278" s="5"/>
      <c r="N278" s="5"/>
      <c r="O278" s="5"/>
      <c r="Q278" s="5"/>
    </row>
    <row r="279" spans="1:17" x14ac:dyDescent="0.2">
      <c r="A279" s="35" t="s">
        <v>61</v>
      </c>
      <c r="B279" s="36"/>
      <c r="C279" s="36"/>
      <c r="D279" s="36"/>
      <c r="E279" s="36"/>
      <c r="F279" s="36"/>
      <c r="G279" s="36"/>
      <c r="H279" s="36"/>
      <c r="I279" s="36"/>
      <c r="J279" s="37"/>
      <c r="K279" s="155"/>
      <c r="L279" s="5"/>
      <c r="M279" s="5"/>
      <c r="N279" s="5"/>
      <c r="O279" s="5"/>
      <c r="Q279" s="5"/>
    </row>
    <row r="280" spans="1:17" x14ac:dyDescent="0.2">
      <c r="A280" s="130" t="str">
        <f>+A278</f>
        <v>NOVEMBRE</v>
      </c>
      <c r="B280" s="38" t="s">
        <v>62</v>
      </c>
      <c r="C280" s="39">
        <f>+C245</f>
        <v>1685107</v>
      </c>
      <c r="D280" s="51"/>
      <c r="E280" s="51">
        <f>D245</f>
        <v>4090000</v>
      </c>
      <c r="F280" s="51"/>
      <c r="G280" s="133"/>
      <c r="H280" s="53">
        <f>+F245</f>
        <v>1994500</v>
      </c>
      <c r="I280" s="134">
        <f>+E245</f>
        <v>2854238</v>
      </c>
      <c r="J280" s="46">
        <f>+SUM(C280:G280)-(H280+I280)</f>
        <v>926369</v>
      </c>
      <c r="K280" s="156" t="b">
        <f>J280=I245</f>
        <v>1</v>
      </c>
      <c r="L280" s="5"/>
      <c r="M280" s="5"/>
      <c r="N280" s="5"/>
      <c r="O280" s="5"/>
      <c r="Q280" s="5"/>
    </row>
    <row r="281" spans="1:17" x14ac:dyDescent="0.2">
      <c r="A281" s="44" t="s">
        <v>63</v>
      </c>
      <c r="B281" s="25"/>
      <c r="C281" s="36"/>
      <c r="D281" s="25"/>
      <c r="E281" s="25"/>
      <c r="F281" s="25"/>
      <c r="G281" s="25"/>
      <c r="H281" s="25"/>
      <c r="I281" s="25"/>
      <c r="J281" s="37"/>
      <c r="K281" s="155"/>
      <c r="L281" s="5"/>
      <c r="M281" s="5"/>
      <c r="N281" s="5"/>
      <c r="O281" s="5"/>
      <c r="Q281" s="5"/>
    </row>
    <row r="282" spans="1:17" x14ac:dyDescent="0.2">
      <c r="A282" s="130" t="str">
        <f>+A280</f>
        <v>NOVEMBRE</v>
      </c>
      <c r="B282" s="38" t="s">
        <v>167</v>
      </c>
      <c r="C282" s="133">
        <f>+C243</f>
        <v>6762063</v>
      </c>
      <c r="D282" s="140">
        <f>+G243</f>
        <v>0</v>
      </c>
      <c r="E282" s="51"/>
      <c r="F282" s="51"/>
      <c r="G282" s="51"/>
      <c r="H282" s="53">
        <f>+F243</f>
        <v>1000000</v>
      </c>
      <c r="I282" s="55">
        <f>+E243</f>
        <v>23345</v>
      </c>
      <c r="J282" s="46">
        <f>+SUM(C282:G282)-(H282+I282)</f>
        <v>5738718</v>
      </c>
      <c r="K282" s="156" t="b">
        <f>+J282=I243</f>
        <v>1</v>
      </c>
      <c r="L282" s="5"/>
      <c r="M282" s="5"/>
      <c r="N282" s="5"/>
      <c r="O282" s="5"/>
      <c r="Q282" s="5"/>
    </row>
    <row r="283" spans="1:17" x14ac:dyDescent="0.2">
      <c r="A283" s="130" t="str">
        <f t="shared" ref="A283" si="165">+A282</f>
        <v>NOVEMBRE</v>
      </c>
      <c r="B283" s="38" t="s">
        <v>65</v>
      </c>
      <c r="C283" s="133">
        <f>+C244</f>
        <v>23107840</v>
      </c>
      <c r="D283" s="51">
        <f>+G244</f>
        <v>0</v>
      </c>
      <c r="E283" s="50"/>
      <c r="F283" s="50"/>
      <c r="G283" s="50"/>
      <c r="H283" s="33">
        <f>+F244</f>
        <v>3000000</v>
      </c>
      <c r="I283" s="52">
        <f>+E244</f>
        <v>4020633</v>
      </c>
      <c r="J283" s="46">
        <f>SUM(C283:G283)-(H283+I283)</f>
        <v>16087207</v>
      </c>
      <c r="K283" s="156" t="b">
        <f>+J283=I244</f>
        <v>1</v>
      </c>
      <c r="L283" s="5"/>
      <c r="M283" s="5"/>
      <c r="N283" s="5"/>
      <c r="O283" s="5"/>
      <c r="Q283" s="5"/>
    </row>
    <row r="284" spans="1:17" ht="15.75" x14ac:dyDescent="0.25">
      <c r="C284" s="151">
        <f>SUM(C268:C283)</f>
        <v>32188231</v>
      </c>
      <c r="I284" s="149">
        <f>SUM(I268:I283)</f>
        <v>8513041</v>
      </c>
      <c r="J284" s="111">
        <f>+SUM(J267:J283)</f>
        <v>23367297</v>
      </c>
      <c r="K284" s="5" t="b">
        <f>J284=I256</f>
        <v>1</v>
      </c>
      <c r="L284" s="5"/>
      <c r="M284" s="5"/>
      <c r="N284" s="5"/>
      <c r="O284" s="5"/>
      <c r="Q284" s="5"/>
    </row>
    <row r="285" spans="1:17" x14ac:dyDescent="0.25">
      <c r="G285" s="9"/>
      <c r="L285" s="5"/>
      <c r="M285" s="5"/>
      <c r="N285" s="5"/>
      <c r="O285" s="5"/>
      <c r="Q285" s="5"/>
    </row>
    <row r="286" spans="1:17" x14ac:dyDescent="0.2">
      <c r="A286" s="16" t="s">
        <v>53</v>
      </c>
      <c r="B286" s="16"/>
      <c r="C286" s="16"/>
      <c r="D286" s="17"/>
      <c r="E286" s="17"/>
      <c r="F286" s="17"/>
      <c r="G286" s="17"/>
      <c r="H286" s="17"/>
      <c r="I286" s="17"/>
      <c r="L286" s="5"/>
      <c r="M286" s="5"/>
      <c r="N286" s="5"/>
      <c r="O286" s="5"/>
      <c r="Q286" s="5"/>
    </row>
    <row r="287" spans="1:17" x14ac:dyDescent="0.2">
      <c r="A287" s="18" t="s">
        <v>162</v>
      </c>
      <c r="B287" s="18"/>
      <c r="C287" s="18"/>
      <c r="D287" s="18"/>
      <c r="E287" s="18"/>
      <c r="F287" s="18"/>
      <c r="G287" s="18"/>
      <c r="H287" s="18"/>
      <c r="I287" s="18"/>
      <c r="J287" s="18"/>
      <c r="L287" s="5"/>
      <c r="M287" s="5"/>
      <c r="N287" s="5"/>
      <c r="O287" s="5"/>
      <c r="Q287" s="5"/>
    </row>
    <row r="288" spans="1:17" x14ac:dyDescent="0.2">
      <c r="A288" s="19"/>
      <c r="B288" s="20"/>
      <c r="C288" s="21"/>
      <c r="D288" s="21"/>
      <c r="E288" s="21"/>
      <c r="F288" s="21"/>
      <c r="G288" s="21"/>
      <c r="H288" s="20"/>
      <c r="I288" s="20"/>
      <c r="L288" s="5"/>
      <c r="M288" s="5"/>
      <c r="N288" s="5"/>
      <c r="O288" s="5"/>
      <c r="Q288" s="5"/>
    </row>
    <row r="289" spans="1:17" x14ac:dyDescent="0.2">
      <c r="A289" s="377" t="s">
        <v>54</v>
      </c>
      <c r="B289" s="379" t="s">
        <v>55</v>
      </c>
      <c r="C289" s="381" t="s">
        <v>159</v>
      </c>
      <c r="D289" s="383" t="s">
        <v>56</v>
      </c>
      <c r="E289" s="384"/>
      <c r="F289" s="384"/>
      <c r="G289" s="385"/>
      <c r="H289" s="386" t="s">
        <v>57</v>
      </c>
      <c r="I289" s="373" t="s">
        <v>58</v>
      </c>
      <c r="J289" s="20"/>
      <c r="L289" s="5"/>
      <c r="M289" s="5"/>
      <c r="N289" s="5"/>
      <c r="O289" s="5"/>
      <c r="Q289" s="5"/>
    </row>
    <row r="290" spans="1:17" x14ac:dyDescent="0.25">
      <c r="A290" s="378"/>
      <c r="B290" s="380"/>
      <c r="C290" s="382"/>
      <c r="D290" s="22" t="s">
        <v>24</v>
      </c>
      <c r="E290" s="22" t="s">
        <v>25</v>
      </c>
      <c r="F290" s="182" t="s">
        <v>124</v>
      </c>
      <c r="G290" s="22" t="s">
        <v>59</v>
      </c>
      <c r="H290" s="387"/>
      <c r="I290" s="374"/>
      <c r="J290" s="375" t="s">
        <v>160</v>
      </c>
      <c r="K290" s="155"/>
      <c r="L290" s="5"/>
      <c r="M290" s="5"/>
      <c r="N290" s="5"/>
      <c r="O290" s="5"/>
      <c r="Q290" s="5"/>
    </row>
    <row r="291" spans="1:17" x14ac:dyDescent="0.2">
      <c r="A291" s="24"/>
      <c r="B291" s="25" t="s">
        <v>60</v>
      </c>
      <c r="C291" s="26"/>
      <c r="D291" s="26"/>
      <c r="E291" s="26"/>
      <c r="F291" s="26"/>
      <c r="G291" s="26"/>
      <c r="H291" s="26"/>
      <c r="I291" s="27"/>
      <c r="J291" s="376"/>
      <c r="K291" s="155"/>
      <c r="L291" s="5"/>
      <c r="M291" s="5"/>
      <c r="N291" s="5"/>
      <c r="O291" s="5"/>
      <c r="Q291" s="5"/>
    </row>
    <row r="292" spans="1:17" x14ac:dyDescent="0.2">
      <c r="A292" s="130" t="s">
        <v>91</v>
      </c>
      <c r="B292" s="135" t="s">
        <v>163</v>
      </c>
      <c r="C292" s="33">
        <f>+C241</f>
        <v>6757</v>
      </c>
      <c r="D292" s="32"/>
      <c r="E292" s="33">
        <f>+D241</f>
        <v>337000</v>
      </c>
      <c r="F292" s="33"/>
      <c r="G292" s="33"/>
      <c r="H292" s="57">
        <f>+F241</f>
        <v>0</v>
      </c>
      <c r="I292" s="33">
        <f>+E241</f>
        <v>314650</v>
      </c>
      <c r="J292" s="31">
        <f>+SUM(C292:G292)-(H292+I292)</f>
        <v>29107</v>
      </c>
      <c r="K292" s="156" t="b">
        <f>J292=I241</f>
        <v>1</v>
      </c>
      <c r="L292" s="5"/>
      <c r="M292" s="5"/>
      <c r="N292" s="5"/>
      <c r="O292" s="5"/>
      <c r="Q292" s="5"/>
    </row>
    <row r="293" spans="1:17" x14ac:dyDescent="0.2">
      <c r="A293" s="130" t="s">
        <v>91</v>
      </c>
      <c r="B293" s="135" t="s">
        <v>48</v>
      </c>
      <c r="C293" s="33">
        <f t="shared" ref="C293:C302" si="166">C245</f>
        <v>1685107</v>
      </c>
      <c r="D293" s="32"/>
      <c r="E293" s="33">
        <f>+D245</f>
        <v>4090000</v>
      </c>
      <c r="F293" s="33"/>
      <c r="G293" s="33"/>
      <c r="H293" s="57">
        <f t="shared" ref="H293:H302" si="167">+F245</f>
        <v>1994500</v>
      </c>
      <c r="I293" s="33">
        <f t="shared" ref="I293:I302" si="168">+E245</f>
        <v>2854238</v>
      </c>
      <c r="J293" s="31">
        <f t="shared" ref="J293:J294" si="169">+SUM(C293:G293)-(H293+I293)</f>
        <v>926369</v>
      </c>
      <c r="K293" s="156" t="b">
        <f t="shared" ref="K293:K303" si="170">J293=I245</f>
        <v>1</v>
      </c>
      <c r="L293" s="5"/>
      <c r="M293" s="5"/>
      <c r="N293" s="5"/>
      <c r="O293" s="5"/>
      <c r="Q293" s="5"/>
    </row>
    <row r="294" spans="1:17" x14ac:dyDescent="0.2">
      <c r="A294" s="130" t="str">
        <f>+A293</f>
        <v>OCTOBRE</v>
      </c>
      <c r="B294" s="135" t="s">
        <v>31</v>
      </c>
      <c r="C294" s="33">
        <f t="shared" si="166"/>
        <v>7200</v>
      </c>
      <c r="D294" s="32"/>
      <c r="E294" s="33">
        <f>+D246</f>
        <v>286000</v>
      </c>
      <c r="F294" s="33"/>
      <c r="G294" s="33"/>
      <c r="H294" s="57">
        <f t="shared" si="167"/>
        <v>70000</v>
      </c>
      <c r="I294" s="33">
        <f t="shared" si="168"/>
        <v>226875</v>
      </c>
      <c r="J294" s="107">
        <f t="shared" si="169"/>
        <v>-3675</v>
      </c>
      <c r="K294" s="156" t="b">
        <f t="shared" si="170"/>
        <v>1</v>
      </c>
      <c r="L294" s="5"/>
      <c r="M294" s="5"/>
      <c r="N294" s="5"/>
      <c r="O294" s="5"/>
      <c r="Q294" s="5"/>
    </row>
    <row r="295" spans="1:17" x14ac:dyDescent="0.2">
      <c r="A295" s="130" t="str">
        <f t="shared" ref="A295:A303" si="171">+A294</f>
        <v>OCTOBRE</v>
      </c>
      <c r="B295" s="136" t="s">
        <v>153</v>
      </c>
      <c r="C295" s="33">
        <f t="shared" si="166"/>
        <v>10095</v>
      </c>
      <c r="D295" s="127"/>
      <c r="E295" s="33">
        <f>D247</f>
        <v>70500</v>
      </c>
      <c r="F295" s="53"/>
      <c r="G295" s="53"/>
      <c r="H295" s="57">
        <f t="shared" si="167"/>
        <v>0</v>
      </c>
      <c r="I295" s="33">
        <f t="shared" si="168"/>
        <v>73000</v>
      </c>
      <c r="J295" s="132">
        <f>+SUM(C295:G295)-(H295+I295)</f>
        <v>7595</v>
      </c>
      <c r="K295" s="156" t="b">
        <f t="shared" si="170"/>
        <v>1</v>
      </c>
      <c r="L295" s="5"/>
      <c r="M295" s="5"/>
      <c r="N295" s="5"/>
      <c r="O295" s="5"/>
      <c r="Q295" s="5"/>
    </row>
    <row r="296" spans="1:17" x14ac:dyDescent="0.2">
      <c r="A296" s="130" t="str">
        <f t="shared" si="171"/>
        <v>OCTOBRE</v>
      </c>
      <c r="B296" s="137" t="s">
        <v>85</v>
      </c>
      <c r="C296" s="128">
        <f t="shared" si="166"/>
        <v>233614</v>
      </c>
      <c r="D296" s="131"/>
      <c r="E296" s="128">
        <f t="shared" ref="E296:E300" si="172">+D248</f>
        <v>0</v>
      </c>
      <c r="F296" s="146"/>
      <c r="G296" s="146"/>
      <c r="H296" s="180">
        <f t="shared" si="167"/>
        <v>0</v>
      </c>
      <c r="I296" s="128">
        <f t="shared" si="168"/>
        <v>0</v>
      </c>
      <c r="J296" s="129">
        <f>+SUM(C296:G296)-(H296+I296)</f>
        <v>233614</v>
      </c>
      <c r="K296" s="156" t="b">
        <f t="shared" si="170"/>
        <v>1</v>
      </c>
      <c r="L296" s="5"/>
      <c r="M296" s="5"/>
      <c r="N296" s="5"/>
      <c r="O296" s="5"/>
      <c r="Q296" s="5"/>
    </row>
    <row r="297" spans="1:17" x14ac:dyDescent="0.2">
      <c r="A297" s="130" t="str">
        <f t="shared" si="171"/>
        <v>OCTOBRE</v>
      </c>
      <c r="B297" s="137" t="s">
        <v>84</v>
      </c>
      <c r="C297" s="128">
        <f t="shared" si="166"/>
        <v>249769</v>
      </c>
      <c r="D297" s="131"/>
      <c r="E297" s="128">
        <f t="shared" si="172"/>
        <v>0</v>
      </c>
      <c r="F297" s="146"/>
      <c r="G297" s="146"/>
      <c r="H297" s="180">
        <f t="shared" si="167"/>
        <v>0</v>
      </c>
      <c r="I297" s="128">
        <f t="shared" si="168"/>
        <v>0</v>
      </c>
      <c r="J297" s="129">
        <f t="shared" ref="J297:J303" si="173">+SUM(C297:G297)-(H297+I297)</f>
        <v>249769</v>
      </c>
      <c r="K297" s="156" t="b">
        <f t="shared" si="170"/>
        <v>1</v>
      </c>
      <c r="L297" s="5"/>
      <c r="M297" s="5"/>
      <c r="N297" s="5"/>
      <c r="O297" s="5"/>
      <c r="Q297" s="5"/>
    </row>
    <row r="298" spans="1:17" x14ac:dyDescent="0.2">
      <c r="A298" s="130" t="str">
        <f t="shared" si="171"/>
        <v>OCTOBRE</v>
      </c>
      <c r="B298" s="135" t="s">
        <v>152</v>
      </c>
      <c r="C298" s="33">
        <f t="shared" si="166"/>
        <v>3550</v>
      </c>
      <c r="D298" s="32"/>
      <c r="E298" s="33">
        <f t="shared" si="172"/>
        <v>43000</v>
      </c>
      <c r="F298" s="33"/>
      <c r="G298" s="110"/>
      <c r="H298" s="57">
        <f t="shared" si="167"/>
        <v>0</v>
      </c>
      <c r="I298" s="33">
        <f t="shared" si="168"/>
        <v>52550</v>
      </c>
      <c r="J298" s="31">
        <f t="shared" si="173"/>
        <v>-6000</v>
      </c>
      <c r="K298" s="156" t="b">
        <f t="shared" si="170"/>
        <v>1</v>
      </c>
      <c r="L298" s="5"/>
      <c r="M298" s="5"/>
      <c r="N298" s="5"/>
      <c r="O298" s="5"/>
      <c r="Q298" s="5"/>
    </row>
    <row r="299" spans="1:17" x14ac:dyDescent="0.2">
      <c r="A299" s="130" t="str">
        <f t="shared" si="171"/>
        <v>OCTOBRE</v>
      </c>
      <c r="B299" s="135" t="s">
        <v>30</v>
      </c>
      <c r="C299" s="33">
        <f t="shared" si="166"/>
        <v>61300</v>
      </c>
      <c r="D299" s="32"/>
      <c r="E299" s="33">
        <f t="shared" si="172"/>
        <v>53000</v>
      </c>
      <c r="F299" s="33"/>
      <c r="G299" s="110"/>
      <c r="H299" s="57">
        <f t="shared" si="167"/>
        <v>20000</v>
      </c>
      <c r="I299" s="33">
        <f t="shared" si="168"/>
        <v>45900</v>
      </c>
      <c r="J299" s="31">
        <f t="shared" si="173"/>
        <v>48400</v>
      </c>
      <c r="K299" s="156" t="b">
        <f t="shared" si="170"/>
        <v>1</v>
      </c>
      <c r="L299" s="5"/>
      <c r="M299" s="5"/>
      <c r="N299" s="5"/>
      <c r="O299" s="5"/>
      <c r="Q299" s="5"/>
    </row>
    <row r="300" spans="1:17" x14ac:dyDescent="0.2">
      <c r="A300" s="130" t="str">
        <f t="shared" si="171"/>
        <v>OCTOBRE</v>
      </c>
      <c r="B300" s="135" t="s">
        <v>94</v>
      </c>
      <c r="C300" s="33">
        <f t="shared" si="166"/>
        <v>10800</v>
      </c>
      <c r="D300" s="32"/>
      <c r="E300" s="33">
        <f t="shared" si="172"/>
        <v>488000</v>
      </c>
      <c r="F300" s="33"/>
      <c r="G300" s="110"/>
      <c r="H300" s="57">
        <f t="shared" si="167"/>
        <v>0</v>
      </c>
      <c r="I300" s="33">
        <f t="shared" si="168"/>
        <v>492000</v>
      </c>
      <c r="J300" s="31">
        <f t="shared" si="173"/>
        <v>6800</v>
      </c>
      <c r="K300" s="156" t="b">
        <f t="shared" si="170"/>
        <v>1</v>
      </c>
      <c r="L300" s="5"/>
      <c r="M300" s="5"/>
      <c r="N300" s="5"/>
      <c r="O300" s="5"/>
      <c r="Q300" s="5"/>
    </row>
    <row r="301" spans="1:17" x14ac:dyDescent="0.2">
      <c r="A301" s="130" t="str">
        <f>+A299</f>
        <v>OCTOBRE</v>
      </c>
      <c r="B301" s="135" t="s">
        <v>29</v>
      </c>
      <c r="C301" s="33">
        <f t="shared" si="166"/>
        <v>9500</v>
      </c>
      <c r="D301" s="32"/>
      <c r="E301" s="33">
        <f>+D253</f>
        <v>20000</v>
      </c>
      <c r="F301" s="33"/>
      <c r="G301" s="110"/>
      <c r="H301" s="57">
        <f t="shared" si="167"/>
        <v>0</v>
      </c>
      <c r="I301" s="33">
        <f t="shared" si="168"/>
        <v>24000</v>
      </c>
      <c r="J301" s="31">
        <f t="shared" ref="J301" si="174">+SUM(C301:G301)-(H301+I301)</f>
        <v>5500</v>
      </c>
      <c r="K301" s="156" t="b">
        <f t="shared" si="170"/>
        <v>1</v>
      </c>
      <c r="L301" s="5"/>
      <c r="M301" s="5"/>
      <c r="N301" s="5"/>
      <c r="O301" s="5"/>
      <c r="Q301" s="5"/>
    </row>
    <row r="302" spans="1:17" x14ac:dyDescent="0.2">
      <c r="A302" s="130" t="str">
        <f>+A300</f>
        <v>OCTOBRE</v>
      </c>
      <c r="B302" s="135" t="s">
        <v>156</v>
      </c>
      <c r="C302" s="33">
        <f t="shared" si="166"/>
        <v>21200</v>
      </c>
      <c r="D302" s="32"/>
      <c r="E302" s="33">
        <f>+D254</f>
        <v>543000</v>
      </c>
      <c r="F302" s="33"/>
      <c r="G302" s="110"/>
      <c r="H302" s="57">
        <f t="shared" si="167"/>
        <v>0</v>
      </c>
      <c r="I302" s="33">
        <f t="shared" si="168"/>
        <v>533500</v>
      </c>
      <c r="J302" s="31">
        <f t="shared" si="173"/>
        <v>30700</v>
      </c>
      <c r="K302" s="156" t="b">
        <f t="shared" si="170"/>
        <v>1</v>
      </c>
      <c r="L302" s="5"/>
      <c r="M302" s="5"/>
      <c r="N302" s="5"/>
      <c r="O302" s="5"/>
      <c r="Q302" s="5"/>
    </row>
    <row r="303" spans="1:17" x14ac:dyDescent="0.2">
      <c r="A303" s="130" t="str">
        <f t="shared" si="171"/>
        <v>OCTOBRE</v>
      </c>
      <c r="B303" s="136" t="s">
        <v>114</v>
      </c>
      <c r="C303" s="33">
        <f t="shared" ref="C303" si="175">C255</f>
        <v>26193</v>
      </c>
      <c r="D303" s="127"/>
      <c r="E303" s="33">
        <f t="shared" ref="E303" si="176">+D255</f>
        <v>36000</v>
      </c>
      <c r="F303" s="53"/>
      <c r="G303" s="147"/>
      <c r="H303" s="57">
        <f t="shared" ref="H303" si="177">+F255</f>
        <v>0</v>
      </c>
      <c r="I303" s="33">
        <f t="shared" ref="I303" si="178">+E255</f>
        <v>53000</v>
      </c>
      <c r="J303" s="31">
        <f t="shared" si="173"/>
        <v>9193</v>
      </c>
      <c r="K303" s="156" t="b">
        <f t="shared" si="170"/>
        <v>1</v>
      </c>
      <c r="L303" s="5"/>
      <c r="M303" s="5"/>
      <c r="N303" s="5"/>
      <c r="O303" s="5"/>
      <c r="Q303" s="5"/>
    </row>
    <row r="304" spans="1:17" x14ac:dyDescent="0.2">
      <c r="A304" s="35" t="s">
        <v>61</v>
      </c>
      <c r="B304" s="36"/>
      <c r="C304" s="36"/>
      <c r="D304" s="36"/>
      <c r="E304" s="36"/>
      <c r="F304" s="36"/>
      <c r="G304" s="36"/>
      <c r="H304" s="36"/>
      <c r="I304" s="36"/>
      <c r="J304" s="37"/>
      <c r="K304" s="155"/>
      <c r="L304" s="5"/>
      <c r="M304" s="5"/>
      <c r="N304" s="5"/>
      <c r="O304" s="5"/>
      <c r="Q304" s="5"/>
    </row>
    <row r="305" spans="1:17" x14ac:dyDescent="0.2">
      <c r="A305" s="130" t="str">
        <f>+A303</f>
        <v>OCTOBRE</v>
      </c>
      <c r="B305" s="38" t="s">
        <v>62</v>
      </c>
      <c r="C305" s="39">
        <f>C244</f>
        <v>23107840</v>
      </c>
      <c r="D305" s="51"/>
      <c r="E305" s="51">
        <f>D244</f>
        <v>0</v>
      </c>
      <c r="F305" s="51"/>
      <c r="G305" s="133"/>
      <c r="H305" s="53">
        <f>+F244</f>
        <v>3000000</v>
      </c>
      <c r="I305" s="134">
        <f>+E244</f>
        <v>4020633</v>
      </c>
      <c r="J305" s="46">
        <f>+SUM(C305:G305)-(H305+I305)</f>
        <v>16087207</v>
      </c>
      <c r="K305" s="156" t="b">
        <f>J305=I244</f>
        <v>1</v>
      </c>
      <c r="L305" s="5"/>
      <c r="M305" s="5"/>
      <c r="N305" s="5"/>
      <c r="O305" s="5"/>
      <c r="Q305" s="5"/>
    </row>
    <row r="306" spans="1:17" x14ac:dyDescent="0.2">
      <c r="A306" s="44" t="s">
        <v>63</v>
      </c>
      <c r="B306" s="25"/>
      <c r="C306" s="36"/>
      <c r="D306" s="25"/>
      <c r="E306" s="25"/>
      <c r="F306" s="25"/>
      <c r="G306" s="25"/>
      <c r="H306" s="25"/>
      <c r="I306" s="25"/>
      <c r="J306" s="37"/>
      <c r="K306" s="155"/>
      <c r="L306" s="5"/>
      <c r="M306" s="5"/>
      <c r="N306" s="5"/>
      <c r="O306" s="5"/>
      <c r="Q306" s="5"/>
    </row>
    <row r="307" spans="1:17" x14ac:dyDescent="0.2">
      <c r="A307" s="130" t="str">
        <f>+A305</f>
        <v>OCTOBRE</v>
      </c>
      <c r="B307" s="38" t="s">
        <v>167</v>
      </c>
      <c r="C307" s="133">
        <f>C242</f>
        <v>0</v>
      </c>
      <c r="D307" s="140">
        <f>G242</f>
        <v>0</v>
      </c>
      <c r="E307" s="51"/>
      <c r="F307" s="51"/>
      <c r="G307" s="51"/>
      <c r="H307" s="53">
        <f>+F242</f>
        <v>0</v>
      </c>
      <c r="I307" s="55">
        <f>+E242</f>
        <v>114000</v>
      </c>
      <c r="J307" s="46">
        <f>+SUM(C307:G307)-(H307+I307)</f>
        <v>-114000</v>
      </c>
      <c r="K307" s="156" t="b">
        <f>+J307=I242</f>
        <v>0</v>
      </c>
      <c r="L307" s="5"/>
      <c r="M307" s="5"/>
      <c r="N307" s="5"/>
      <c r="O307" s="5"/>
      <c r="Q307" s="5"/>
    </row>
    <row r="308" spans="1:17" x14ac:dyDescent="0.2">
      <c r="A308" s="130" t="str">
        <f t="shared" ref="A308" si="179">+A307</f>
        <v>OCTOBRE</v>
      </c>
      <c r="B308" s="38" t="s">
        <v>65</v>
      </c>
      <c r="C308" s="133">
        <f>C243</f>
        <v>6762063</v>
      </c>
      <c r="D308" s="51">
        <f>G243</f>
        <v>0</v>
      </c>
      <c r="E308" s="50"/>
      <c r="F308" s="50"/>
      <c r="G308" s="50"/>
      <c r="H308" s="33">
        <f>+F243</f>
        <v>1000000</v>
      </c>
      <c r="I308" s="52">
        <f>+E243</f>
        <v>23345</v>
      </c>
      <c r="J308" s="46">
        <f>SUM(C308:G308)-(H308+I308)</f>
        <v>5738718</v>
      </c>
      <c r="K308" s="156" t="b">
        <f>+J308=I243</f>
        <v>1</v>
      </c>
      <c r="L308" s="5"/>
      <c r="M308" s="5"/>
      <c r="N308" s="5"/>
      <c r="O308" s="5"/>
      <c r="Q308" s="5"/>
    </row>
    <row r="309" spans="1:17" ht="15.75" x14ac:dyDescent="0.25">
      <c r="C309" s="151">
        <f>SUM(C293:C308)</f>
        <v>32188231</v>
      </c>
      <c r="I309" s="149">
        <f>SUM(I293:I308)</f>
        <v>8513041</v>
      </c>
      <c r="J309" s="111">
        <f>+SUM(J292:J308)</f>
        <v>23249297</v>
      </c>
      <c r="K309" s="5" t="b">
        <f>J309=I256</f>
        <v>0</v>
      </c>
      <c r="L309" s="5"/>
      <c r="M309" s="5"/>
      <c r="N309" s="5"/>
      <c r="O309" s="5"/>
      <c r="Q309" s="5"/>
    </row>
    <row r="310" spans="1:17" x14ac:dyDescent="0.25">
      <c r="G310" s="9"/>
      <c r="L310" s="5"/>
      <c r="M310" s="5"/>
      <c r="N310" s="5"/>
      <c r="O310" s="5"/>
      <c r="Q310" s="5"/>
    </row>
    <row r="311" spans="1:17" x14ac:dyDescent="0.2">
      <c r="A311" s="16" t="s">
        <v>53</v>
      </c>
      <c r="B311" s="16"/>
      <c r="C311" s="16"/>
      <c r="D311" s="17"/>
      <c r="E311" s="17"/>
      <c r="F311" s="17"/>
      <c r="G311" s="17"/>
      <c r="H311" s="17"/>
      <c r="I311" s="17"/>
      <c r="L311" s="5"/>
      <c r="M311" s="5"/>
      <c r="N311" s="5"/>
      <c r="O311" s="5"/>
      <c r="Q311" s="5"/>
    </row>
    <row r="312" spans="1:17" x14ac:dyDescent="0.2">
      <c r="A312" s="18" t="s">
        <v>154</v>
      </c>
      <c r="B312" s="18"/>
      <c r="C312" s="18"/>
      <c r="D312" s="18"/>
      <c r="E312" s="18"/>
      <c r="F312" s="18"/>
      <c r="G312" s="18"/>
      <c r="H312" s="18"/>
      <c r="I312" s="18"/>
      <c r="J312" s="18"/>
      <c r="L312" s="5"/>
      <c r="M312" s="5"/>
      <c r="N312" s="5"/>
      <c r="O312" s="5"/>
      <c r="Q312" s="5"/>
    </row>
    <row r="313" spans="1:17" x14ac:dyDescent="0.2">
      <c r="A313" s="19"/>
      <c r="B313" s="20"/>
      <c r="C313" s="21"/>
      <c r="D313" s="21"/>
      <c r="E313" s="21"/>
      <c r="F313" s="21"/>
      <c r="G313" s="21"/>
      <c r="H313" s="20"/>
      <c r="I313" s="20"/>
      <c r="L313" s="5"/>
      <c r="M313" s="5"/>
      <c r="N313" s="5"/>
      <c r="O313" s="5"/>
      <c r="Q313" s="5"/>
    </row>
    <row r="314" spans="1:17" x14ac:dyDescent="0.2">
      <c r="A314" s="377" t="s">
        <v>54</v>
      </c>
      <c r="B314" s="379" t="s">
        <v>55</v>
      </c>
      <c r="C314" s="381" t="s">
        <v>155</v>
      </c>
      <c r="D314" s="383" t="s">
        <v>56</v>
      </c>
      <c r="E314" s="384"/>
      <c r="F314" s="384"/>
      <c r="G314" s="385"/>
      <c r="H314" s="386" t="s">
        <v>57</v>
      </c>
      <c r="I314" s="373" t="s">
        <v>58</v>
      </c>
      <c r="J314" s="20"/>
      <c r="L314" s="5"/>
      <c r="M314" s="5"/>
      <c r="N314" s="5"/>
      <c r="O314" s="5"/>
      <c r="Q314" s="5"/>
    </row>
    <row r="315" spans="1:17" x14ac:dyDescent="0.25">
      <c r="A315" s="378"/>
      <c r="B315" s="380"/>
      <c r="C315" s="382"/>
      <c r="D315" s="22" t="s">
        <v>24</v>
      </c>
      <c r="E315" s="22" t="s">
        <v>25</v>
      </c>
      <c r="F315" s="181" t="s">
        <v>124</v>
      </c>
      <c r="G315" s="22" t="s">
        <v>59</v>
      </c>
      <c r="H315" s="387"/>
      <c r="I315" s="374"/>
      <c r="J315" s="375" t="s">
        <v>161</v>
      </c>
      <c r="K315" s="155"/>
      <c r="L315" s="5"/>
      <c r="M315" s="5"/>
      <c r="N315" s="5"/>
      <c r="O315" s="5"/>
      <c r="Q315" s="5"/>
    </row>
    <row r="316" spans="1:17" x14ac:dyDescent="0.2">
      <c r="A316" s="24"/>
      <c r="B316" s="25" t="s">
        <v>60</v>
      </c>
      <c r="C316" s="26"/>
      <c r="D316" s="26"/>
      <c r="E316" s="26"/>
      <c r="F316" s="26"/>
      <c r="G316" s="26"/>
      <c r="H316" s="26"/>
      <c r="I316" s="27"/>
      <c r="J316" s="376"/>
      <c r="K316" s="155"/>
      <c r="L316" s="5"/>
      <c r="M316" s="5"/>
      <c r="N316" s="5"/>
      <c r="O316" s="5"/>
      <c r="Q316" s="5"/>
    </row>
    <row r="317" spans="1:17" x14ac:dyDescent="0.2">
      <c r="A317" s="130" t="s">
        <v>80</v>
      </c>
      <c r="B317" s="135" t="s">
        <v>48</v>
      </c>
      <c r="C317" s="33" t="e">
        <f>#REF!</f>
        <v>#REF!</v>
      </c>
      <c r="D317" s="32"/>
      <c r="E317" s="33" t="e">
        <f>+#REF!</f>
        <v>#REF!</v>
      </c>
      <c r="F317" s="33"/>
      <c r="G317" s="33"/>
      <c r="H317" s="57" t="e">
        <f>+#REF!</f>
        <v>#REF!</v>
      </c>
      <c r="I317" s="33" t="e">
        <f>+#REF!</f>
        <v>#REF!</v>
      </c>
      <c r="J317" s="31" t="e">
        <f t="shared" ref="J317:J318" si="180">+SUM(C317:G317)-(H317+I317)</f>
        <v>#REF!</v>
      </c>
      <c r="K317" s="156" t="e">
        <f>J317=#REF!</f>
        <v>#REF!</v>
      </c>
      <c r="L317" s="5"/>
      <c r="M317" s="5"/>
      <c r="N317" s="5"/>
      <c r="O317" s="5"/>
      <c r="Q317" s="5"/>
    </row>
    <row r="318" spans="1:17" x14ac:dyDescent="0.2">
      <c r="A318" s="130" t="str">
        <f>+A317</f>
        <v>SEPTEMBRE</v>
      </c>
      <c r="B318" s="135" t="s">
        <v>31</v>
      </c>
      <c r="C318" s="33" t="e">
        <f>#REF!</f>
        <v>#REF!</v>
      </c>
      <c r="D318" s="32"/>
      <c r="E318" s="33" t="e">
        <f>+#REF!</f>
        <v>#REF!</v>
      </c>
      <c r="F318" s="33"/>
      <c r="G318" s="33"/>
      <c r="H318" s="57" t="e">
        <f>+#REF!</f>
        <v>#REF!</v>
      </c>
      <c r="I318" s="33" t="e">
        <f>+#REF!</f>
        <v>#REF!</v>
      </c>
      <c r="J318" s="107" t="e">
        <f t="shared" si="180"/>
        <v>#REF!</v>
      </c>
      <c r="K318" s="156" t="e">
        <f>J318=#REF!</f>
        <v>#REF!</v>
      </c>
      <c r="L318" s="5"/>
      <c r="M318" s="5"/>
      <c r="N318" s="5"/>
      <c r="O318" s="5"/>
      <c r="Q318" s="5"/>
    </row>
    <row r="319" spans="1:17" x14ac:dyDescent="0.2">
      <c r="A319" s="130" t="str">
        <f t="shared" ref="A319:A326" si="181">+A318</f>
        <v>SEPTEMBRE</v>
      </c>
      <c r="B319" s="136" t="s">
        <v>153</v>
      </c>
      <c r="C319" s="33" t="e">
        <f>#REF!</f>
        <v>#REF!</v>
      </c>
      <c r="D319" s="127"/>
      <c r="E319" s="33" t="e">
        <f>#REF!</f>
        <v>#REF!</v>
      </c>
      <c r="F319" s="53"/>
      <c r="G319" s="53"/>
      <c r="H319" s="57" t="e">
        <f>+#REF!</f>
        <v>#REF!</v>
      </c>
      <c r="I319" s="33" t="e">
        <f>+#REF!</f>
        <v>#REF!</v>
      </c>
      <c r="J319" s="132" t="e">
        <f>+SUM(C319:G319)-(H319+I319)</f>
        <v>#REF!</v>
      </c>
      <c r="K319" s="156" t="e">
        <f>J319=#REF!</f>
        <v>#REF!</v>
      </c>
      <c r="L319" s="5"/>
      <c r="M319" s="5"/>
      <c r="N319" s="5"/>
      <c r="O319" s="5"/>
      <c r="Q319" s="5"/>
    </row>
    <row r="320" spans="1:17" x14ac:dyDescent="0.2">
      <c r="A320" s="130" t="str">
        <f t="shared" si="181"/>
        <v>SEPTEMBRE</v>
      </c>
      <c r="B320" s="137" t="s">
        <v>85</v>
      </c>
      <c r="C320" s="128" t="e">
        <f>#REF!</f>
        <v>#REF!</v>
      </c>
      <c r="D320" s="131"/>
      <c r="E320" s="128" t="e">
        <f>+#REF!</f>
        <v>#REF!</v>
      </c>
      <c r="F320" s="146"/>
      <c r="G320" s="146"/>
      <c r="H320" s="180" t="e">
        <f>+#REF!</f>
        <v>#REF!</v>
      </c>
      <c r="I320" s="128" t="e">
        <f>+#REF!</f>
        <v>#REF!</v>
      </c>
      <c r="J320" s="129" t="e">
        <f>+SUM(C320:G320)-(H320+I320)</f>
        <v>#REF!</v>
      </c>
      <c r="K320" s="156" t="e">
        <f>J320=#REF!</f>
        <v>#REF!</v>
      </c>
      <c r="L320" s="5"/>
      <c r="M320" s="5"/>
      <c r="N320" s="5"/>
      <c r="O320" s="5"/>
      <c r="Q320" s="5"/>
    </row>
    <row r="321" spans="1:17" x14ac:dyDescent="0.2">
      <c r="A321" s="130" t="str">
        <f t="shared" si="181"/>
        <v>SEPTEMBRE</v>
      </c>
      <c r="B321" s="137" t="s">
        <v>84</v>
      </c>
      <c r="C321" s="128" t="e">
        <f>#REF!</f>
        <v>#REF!</v>
      </c>
      <c r="D321" s="131"/>
      <c r="E321" s="128" t="e">
        <f>+#REF!</f>
        <v>#REF!</v>
      </c>
      <c r="F321" s="146"/>
      <c r="G321" s="146"/>
      <c r="H321" s="180" t="e">
        <f>+#REF!</f>
        <v>#REF!</v>
      </c>
      <c r="I321" s="128" t="e">
        <f>+#REF!</f>
        <v>#REF!</v>
      </c>
      <c r="J321" s="129" t="e">
        <f t="shared" ref="J321:J326" si="182">+SUM(C321:G321)-(H321+I321)</f>
        <v>#REF!</v>
      </c>
      <c r="K321" s="156" t="e">
        <f>J321=#REF!</f>
        <v>#REF!</v>
      </c>
      <c r="L321" s="5"/>
      <c r="M321" s="5"/>
      <c r="N321" s="5"/>
      <c r="O321" s="5"/>
      <c r="Q321" s="5"/>
    </row>
    <row r="322" spans="1:17" x14ac:dyDescent="0.2">
      <c r="A322" s="130" t="str">
        <f t="shared" si="181"/>
        <v>SEPTEMBRE</v>
      </c>
      <c r="B322" s="135" t="s">
        <v>152</v>
      </c>
      <c r="C322" s="33" t="e">
        <f>#REF!</f>
        <v>#REF!</v>
      </c>
      <c r="D322" s="32"/>
      <c r="E322" s="33" t="e">
        <f>+#REF!</f>
        <v>#REF!</v>
      </c>
      <c r="F322" s="33"/>
      <c r="G322" s="110"/>
      <c r="H322" s="57" t="e">
        <f>+#REF!</f>
        <v>#REF!</v>
      </c>
      <c r="I322" s="33" t="e">
        <f>+#REF!</f>
        <v>#REF!</v>
      </c>
      <c r="J322" s="31" t="e">
        <f t="shared" si="182"/>
        <v>#REF!</v>
      </c>
      <c r="K322" s="156" t="e">
        <f>J322=#REF!</f>
        <v>#REF!</v>
      </c>
      <c r="L322" s="5"/>
      <c r="M322" s="5"/>
      <c r="N322" s="5"/>
      <c r="O322" s="5"/>
      <c r="Q322" s="5"/>
    </row>
    <row r="323" spans="1:17" x14ac:dyDescent="0.2">
      <c r="A323" s="130" t="str">
        <f t="shared" si="181"/>
        <v>SEPTEMBRE</v>
      </c>
      <c r="B323" s="135" t="s">
        <v>30</v>
      </c>
      <c r="C323" s="33" t="e">
        <f>#REF!</f>
        <v>#REF!</v>
      </c>
      <c r="D323" s="32"/>
      <c r="E323" s="33" t="e">
        <f>+#REF!</f>
        <v>#REF!</v>
      </c>
      <c r="F323" s="33"/>
      <c r="G323" s="110"/>
      <c r="H323" s="57" t="e">
        <f>+#REF!</f>
        <v>#REF!</v>
      </c>
      <c r="I323" s="33" t="e">
        <f>+#REF!</f>
        <v>#REF!</v>
      </c>
      <c r="J323" s="31" t="e">
        <f t="shared" si="182"/>
        <v>#REF!</v>
      </c>
      <c r="K323" s="156" t="e">
        <f>J323=#REF!</f>
        <v>#REF!</v>
      </c>
      <c r="L323" s="5"/>
      <c r="M323" s="5"/>
      <c r="N323" s="5"/>
      <c r="O323" s="5"/>
      <c r="Q323" s="5"/>
    </row>
    <row r="324" spans="1:17" x14ac:dyDescent="0.2">
      <c r="A324" s="130" t="str">
        <f t="shared" si="181"/>
        <v>SEPTEMBRE</v>
      </c>
      <c r="B324" s="135" t="s">
        <v>94</v>
      </c>
      <c r="C324" s="33" t="e">
        <f>#REF!</f>
        <v>#REF!</v>
      </c>
      <c r="D324" s="32"/>
      <c r="E324" s="33" t="e">
        <f>+#REF!</f>
        <v>#REF!</v>
      </c>
      <c r="F324" s="33"/>
      <c r="G324" s="110"/>
      <c r="H324" s="57" t="e">
        <f>+#REF!</f>
        <v>#REF!</v>
      </c>
      <c r="I324" s="33" t="e">
        <f>+#REF!</f>
        <v>#REF!</v>
      </c>
      <c r="J324" s="31" t="e">
        <f t="shared" si="182"/>
        <v>#REF!</v>
      </c>
      <c r="K324" s="156" t="e">
        <f>J324=#REF!</f>
        <v>#REF!</v>
      </c>
      <c r="L324" s="5"/>
      <c r="M324" s="5"/>
      <c r="N324" s="5"/>
      <c r="O324" s="5"/>
      <c r="Q324" s="5"/>
    </row>
    <row r="325" spans="1:17" x14ac:dyDescent="0.2">
      <c r="A325" s="130" t="str">
        <f t="shared" si="181"/>
        <v>SEPTEMBRE</v>
      </c>
      <c r="B325" s="135" t="s">
        <v>156</v>
      </c>
      <c r="C325" s="33" t="e">
        <f>#REF!</f>
        <v>#REF!</v>
      </c>
      <c r="D325" s="32"/>
      <c r="E325" s="33" t="e">
        <f>+#REF!</f>
        <v>#REF!</v>
      </c>
      <c r="F325" s="33"/>
      <c r="G325" s="110"/>
      <c r="H325" s="57" t="e">
        <f>+#REF!</f>
        <v>#REF!</v>
      </c>
      <c r="I325" s="33" t="e">
        <f>+#REF!</f>
        <v>#REF!</v>
      </c>
      <c r="J325" s="31" t="e">
        <f t="shared" si="182"/>
        <v>#REF!</v>
      </c>
      <c r="K325" s="156" t="e">
        <f>J325=#REF!</f>
        <v>#REF!</v>
      </c>
      <c r="L325" s="5"/>
      <c r="M325" s="5"/>
      <c r="N325" s="5"/>
      <c r="O325" s="5"/>
      <c r="Q325" s="5"/>
    </row>
    <row r="326" spans="1:17" x14ac:dyDescent="0.2">
      <c r="A326" s="130" t="str">
        <f t="shared" si="181"/>
        <v>SEPTEMBRE</v>
      </c>
      <c r="B326" s="136" t="s">
        <v>114</v>
      </c>
      <c r="C326" s="33" t="e">
        <f>#REF!</f>
        <v>#REF!</v>
      </c>
      <c r="D326" s="127"/>
      <c r="E326" s="33" t="e">
        <f>+#REF!</f>
        <v>#REF!</v>
      </c>
      <c r="F326" s="53"/>
      <c r="G326" s="147"/>
      <c r="H326" s="57" t="e">
        <f>+#REF!</f>
        <v>#REF!</v>
      </c>
      <c r="I326" s="33" t="e">
        <f>+#REF!</f>
        <v>#REF!</v>
      </c>
      <c r="J326" s="31" t="e">
        <f t="shared" si="182"/>
        <v>#REF!</v>
      </c>
      <c r="K326" s="156" t="e">
        <f>J326=#REF!</f>
        <v>#REF!</v>
      </c>
      <c r="L326" s="5"/>
      <c r="M326" s="5"/>
      <c r="N326" s="5"/>
      <c r="O326" s="5"/>
      <c r="Q326" s="5"/>
    </row>
    <row r="327" spans="1:17" x14ac:dyDescent="0.2">
      <c r="A327" s="35" t="s">
        <v>61</v>
      </c>
      <c r="B327" s="36"/>
      <c r="C327" s="36"/>
      <c r="D327" s="36"/>
      <c r="E327" s="36"/>
      <c r="F327" s="36"/>
      <c r="G327" s="36"/>
      <c r="H327" s="36"/>
      <c r="I327" s="36"/>
      <c r="J327" s="37"/>
      <c r="K327" s="155"/>
      <c r="L327" s="5"/>
      <c r="M327" s="5"/>
      <c r="N327" s="5"/>
      <c r="O327" s="5"/>
      <c r="Q327" s="5"/>
    </row>
    <row r="328" spans="1:17" x14ac:dyDescent="0.2">
      <c r="A328" s="130" t="str">
        <f>+A326</f>
        <v>SEPTEMBRE</v>
      </c>
      <c r="B328" s="38" t="s">
        <v>62</v>
      </c>
      <c r="C328" s="39" t="e">
        <f>#REF!</f>
        <v>#REF!</v>
      </c>
      <c r="D328" s="51"/>
      <c r="E328" s="51" t="e">
        <f>#REF!</f>
        <v>#REF!</v>
      </c>
      <c r="F328" s="51"/>
      <c r="G328" s="133"/>
      <c r="H328" s="53" t="e">
        <f>+#REF!</f>
        <v>#REF!</v>
      </c>
      <c r="I328" s="134" t="e">
        <f>+#REF!</f>
        <v>#REF!</v>
      </c>
      <c r="J328" s="46" t="e">
        <f>+SUM(C328:G328)-(H328+I328)</f>
        <v>#REF!</v>
      </c>
      <c r="K328" s="156" t="e">
        <f>J328=#REF!</f>
        <v>#REF!</v>
      </c>
      <c r="L328" s="5"/>
      <c r="M328" s="5"/>
      <c r="N328" s="5"/>
      <c r="O328" s="5"/>
      <c r="Q328" s="5"/>
    </row>
    <row r="329" spans="1:17" x14ac:dyDescent="0.2">
      <c r="A329" s="44" t="s">
        <v>63</v>
      </c>
      <c r="B329" s="25"/>
      <c r="C329" s="36"/>
      <c r="D329" s="25"/>
      <c r="E329" s="25"/>
      <c r="F329" s="25"/>
      <c r="G329" s="25"/>
      <c r="H329" s="25"/>
      <c r="I329" s="25"/>
      <c r="J329" s="37"/>
      <c r="K329" s="155"/>
      <c r="L329" s="5"/>
      <c r="M329" s="5"/>
      <c r="N329" s="5"/>
      <c r="O329" s="5"/>
      <c r="Q329" s="5"/>
    </row>
    <row r="330" spans="1:17" x14ac:dyDescent="0.2">
      <c r="A330" s="130" t="str">
        <f>+A328</f>
        <v>SEPTEMBRE</v>
      </c>
      <c r="B330" s="38" t="s">
        <v>64</v>
      </c>
      <c r="C330" s="133" t="e">
        <f>#REF!</f>
        <v>#REF!</v>
      </c>
      <c r="D330" s="140"/>
      <c r="E330" s="51"/>
      <c r="F330" s="51"/>
      <c r="G330" s="51"/>
      <c r="H330" s="53" t="e">
        <f>+#REF!</f>
        <v>#REF!</v>
      </c>
      <c r="I330" s="55" t="e">
        <f>+#REF!</f>
        <v>#REF!</v>
      </c>
      <c r="J330" s="46" t="e">
        <f>+SUM(C330:G330)-(H330+I330)</f>
        <v>#REF!</v>
      </c>
      <c r="K330" s="156" t="e">
        <f>+J330=#REF!</f>
        <v>#REF!</v>
      </c>
      <c r="L330" s="5"/>
      <c r="M330" s="5"/>
      <c r="N330" s="5"/>
      <c r="O330" s="5"/>
      <c r="Q330" s="5"/>
    </row>
    <row r="331" spans="1:17" x14ac:dyDescent="0.2">
      <c r="A331" s="130" t="str">
        <f t="shared" ref="A331" si="183">+A330</f>
        <v>SEPTEMBRE</v>
      </c>
      <c r="B331" s="38" t="s">
        <v>65</v>
      </c>
      <c r="C331" s="133" t="e">
        <f>#REF!</f>
        <v>#REF!</v>
      </c>
      <c r="D331" s="51"/>
      <c r="E331" s="50"/>
      <c r="F331" s="50"/>
      <c r="G331" s="50"/>
      <c r="H331" s="33" t="e">
        <f>+#REF!</f>
        <v>#REF!</v>
      </c>
      <c r="I331" s="52" t="e">
        <f>+#REF!</f>
        <v>#REF!</v>
      </c>
      <c r="J331" s="46" t="e">
        <f>SUM(C331:G331)-(H331+I331)</f>
        <v>#REF!</v>
      </c>
      <c r="K331" s="156" t="e">
        <f>+J331=#REF!</f>
        <v>#REF!</v>
      </c>
      <c r="L331" s="5"/>
      <c r="M331" s="5"/>
      <c r="N331" s="5"/>
      <c r="O331" s="5"/>
      <c r="Q331" s="5"/>
    </row>
    <row r="332" spans="1:17" ht="15.75" x14ac:dyDescent="0.25">
      <c r="C332" s="151" t="e">
        <f>SUM(C317:C331)</f>
        <v>#REF!</v>
      </c>
      <c r="I332" s="149" t="e">
        <f>SUM(I317:I331)</f>
        <v>#REF!</v>
      </c>
      <c r="J332" s="111" t="e">
        <f>+SUM(J317:J331)</f>
        <v>#REF!</v>
      </c>
      <c r="K332" s="5" t="e">
        <f>J332=#REF!</f>
        <v>#REF!</v>
      </c>
      <c r="L332" s="5"/>
      <c r="M332" s="5"/>
      <c r="N332" s="5"/>
      <c r="O332" s="5"/>
      <c r="Q332" s="5"/>
    </row>
    <row r="333" spans="1:17" x14ac:dyDescent="0.25">
      <c r="G333" s="9"/>
      <c r="L333" s="5"/>
      <c r="M333" s="5"/>
      <c r="N333" s="5"/>
      <c r="O333" s="5"/>
      <c r="Q333" s="5"/>
    </row>
    <row r="334" spans="1:17" x14ac:dyDescent="0.2">
      <c r="A334" s="16" t="s">
        <v>53</v>
      </c>
      <c r="B334" s="16"/>
      <c r="C334" s="16"/>
      <c r="D334" s="17"/>
      <c r="E334" s="17"/>
      <c r="F334" s="17"/>
      <c r="G334" s="17"/>
      <c r="H334" s="17"/>
      <c r="I334" s="17"/>
      <c r="L334" s="5"/>
      <c r="M334" s="5"/>
      <c r="N334" s="5"/>
      <c r="O334" s="5"/>
      <c r="Q334" s="5"/>
    </row>
    <row r="335" spans="1:17" x14ac:dyDescent="0.2">
      <c r="A335" s="18" t="s">
        <v>150</v>
      </c>
      <c r="B335" s="18"/>
      <c r="C335" s="18"/>
      <c r="D335" s="18"/>
      <c r="E335" s="18"/>
      <c r="F335" s="18"/>
      <c r="G335" s="18"/>
      <c r="H335" s="18"/>
      <c r="I335" s="18"/>
      <c r="J335" s="17"/>
      <c r="L335" s="5"/>
      <c r="M335" s="5"/>
      <c r="N335" s="5"/>
      <c r="O335" s="5"/>
      <c r="Q335" s="5"/>
    </row>
    <row r="336" spans="1:17" x14ac:dyDescent="0.2">
      <c r="A336" s="19"/>
      <c r="B336" s="20"/>
      <c r="C336" s="21"/>
      <c r="D336" s="21"/>
      <c r="E336" s="21"/>
      <c r="F336" s="21"/>
      <c r="G336" s="21"/>
      <c r="H336" s="20"/>
      <c r="I336" s="20"/>
      <c r="J336" s="18"/>
      <c r="L336" s="5"/>
      <c r="M336" s="5"/>
      <c r="N336" s="5"/>
      <c r="O336" s="5"/>
      <c r="Q336" s="5"/>
    </row>
    <row r="337" spans="1:17" x14ac:dyDescent="0.2">
      <c r="A337" s="377" t="s">
        <v>54</v>
      </c>
      <c r="B337" s="379" t="s">
        <v>55</v>
      </c>
      <c r="C337" s="381" t="s">
        <v>149</v>
      </c>
      <c r="D337" s="383" t="s">
        <v>56</v>
      </c>
      <c r="E337" s="384"/>
      <c r="F337" s="384"/>
      <c r="G337" s="385"/>
      <c r="H337" s="386" t="s">
        <v>57</v>
      </c>
      <c r="I337" s="373" t="s">
        <v>58</v>
      </c>
      <c r="J337" s="20"/>
      <c r="L337" s="5"/>
      <c r="M337" s="5"/>
      <c r="N337" s="5"/>
      <c r="O337" s="5"/>
      <c r="Q337" s="5"/>
    </row>
    <row r="338" spans="1:17" x14ac:dyDescent="0.25">
      <c r="A338" s="378"/>
      <c r="B338" s="380"/>
      <c r="C338" s="382"/>
      <c r="D338" s="22" t="s">
        <v>24</v>
      </c>
      <c r="E338" s="22" t="s">
        <v>25</v>
      </c>
      <c r="F338" s="176" t="s">
        <v>124</v>
      </c>
      <c r="G338" s="22" t="s">
        <v>59</v>
      </c>
      <c r="H338" s="387"/>
      <c r="I338" s="374"/>
      <c r="J338" s="375" t="s">
        <v>151</v>
      </c>
      <c r="K338" s="155"/>
      <c r="L338" s="5"/>
      <c r="M338" s="5"/>
      <c r="N338" s="5"/>
      <c r="O338" s="5"/>
      <c r="Q338" s="5"/>
    </row>
    <row r="339" spans="1:17" x14ac:dyDescent="0.2">
      <c r="A339" s="24"/>
      <c r="B339" s="25" t="s">
        <v>60</v>
      </c>
      <c r="C339" s="26"/>
      <c r="D339" s="26"/>
      <c r="E339" s="26"/>
      <c r="F339" s="26"/>
      <c r="G339" s="26"/>
      <c r="H339" s="26"/>
      <c r="I339" s="27"/>
      <c r="J339" s="376"/>
      <c r="K339" s="155"/>
      <c r="L339" s="5"/>
      <c r="M339" s="5"/>
      <c r="N339" s="5"/>
      <c r="O339" s="5"/>
      <c r="Q339" s="5"/>
    </row>
    <row r="340" spans="1:17" x14ac:dyDescent="0.2">
      <c r="A340" s="130" t="s">
        <v>148</v>
      </c>
      <c r="B340" s="135" t="s">
        <v>48</v>
      </c>
      <c r="C340" s="33" t="e">
        <f>#REF!</f>
        <v>#REF!</v>
      </c>
      <c r="D340" s="32"/>
      <c r="E340" s="33" t="e">
        <f>+#REF!</f>
        <v>#REF!</v>
      </c>
      <c r="F340" s="33"/>
      <c r="G340" s="33"/>
      <c r="H340" s="57" t="e">
        <f>+#REF!</f>
        <v>#REF!</v>
      </c>
      <c r="I340" s="33" t="e">
        <f>+#REF!</f>
        <v>#REF!</v>
      </c>
      <c r="J340" s="31" t="e">
        <f t="shared" ref="J340:J341" si="184">+SUM(C340:G340)-(H340+I340)</f>
        <v>#REF!</v>
      </c>
      <c r="K340" s="156" t="e">
        <f>J340=#REF!</f>
        <v>#REF!</v>
      </c>
      <c r="L340" s="5"/>
      <c r="M340" s="5"/>
      <c r="N340" s="5"/>
      <c r="O340" s="5"/>
      <c r="Q340" s="5"/>
    </row>
    <row r="341" spans="1:17" x14ac:dyDescent="0.2">
      <c r="A341" s="130" t="s">
        <v>148</v>
      </c>
      <c r="B341" s="135" t="s">
        <v>31</v>
      </c>
      <c r="C341" s="33" t="e">
        <f>#REF!</f>
        <v>#REF!</v>
      </c>
      <c r="D341" s="32"/>
      <c r="E341" s="33" t="e">
        <f>+#REF!</f>
        <v>#REF!</v>
      </c>
      <c r="F341" s="33"/>
      <c r="G341" s="33"/>
      <c r="H341" s="57" t="e">
        <f>+#REF!</f>
        <v>#REF!</v>
      </c>
      <c r="I341" s="33" t="e">
        <f>+#REF!</f>
        <v>#REF!</v>
      </c>
      <c r="J341" s="107" t="e">
        <f t="shared" si="184"/>
        <v>#REF!</v>
      </c>
      <c r="K341" s="156" t="e">
        <f>J341=#REF!</f>
        <v>#REF!</v>
      </c>
      <c r="L341" s="5"/>
      <c r="M341" s="5"/>
      <c r="N341" s="5"/>
      <c r="O341" s="5"/>
      <c r="Q341" s="5"/>
    </row>
    <row r="342" spans="1:17" x14ac:dyDescent="0.2">
      <c r="A342" s="130" t="s">
        <v>148</v>
      </c>
      <c r="B342" s="136" t="s">
        <v>153</v>
      </c>
      <c r="C342" s="33" t="e">
        <f>#REF!</f>
        <v>#REF!</v>
      </c>
      <c r="D342" s="127"/>
      <c r="E342" s="33">
        <v>30000</v>
      </c>
      <c r="F342" s="53">
        <v>240000</v>
      </c>
      <c r="G342" s="53"/>
      <c r="H342" s="57" t="e">
        <f>+#REF!</f>
        <v>#REF!</v>
      </c>
      <c r="I342" s="33" t="e">
        <f>+#REF!</f>
        <v>#REF!</v>
      </c>
      <c r="J342" s="132" t="e">
        <f>+SUM(C342:G342)-(H342+I342)</f>
        <v>#REF!</v>
      </c>
      <c r="K342" s="156" t="e">
        <f>J342=#REF!</f>
        <v>#REF!</v>
      </c>
      <c r="L342" s="5"/>
      <c r="M342" s="5"/>
      <c r="N342" s="5"/>
      <c r="O342" s="5"/>
      <c r="Q342" s="5"/>
    </row>
    <row r="343" spans="1:17" x14ac:dyDescent="0.2">
      <c r="A343" s="130" t="s">
        <v>148</v>
      </c>
      <c r="B343" s="137" t="s">
        <v>85</v>
      </c>
      <c r="C343" s="128" t="e">
        <f>#REF!</f>
        <v>#REF!</v>
      </c>
      <c r="D343" s="131"/>
      <c r="E343" s="128" t="e">
        <f>+#REF!</f>
        <v>#REF!</v>
      </c>
      <c r="F343" s="146"/>
      <c r="G343" s="146"/>
      <c r="H343" s="180" t="e">
        <f>+#REF!</f>
        <v>#REF!</v>
      </c>
      <c r="I343" s="128" t="e">
        <f>+#REF!</f>
        <v>#REF!</v>
      </c>
      <c r="J343" s="129" t="e">
        <f>+SUM(C343:G343)-(H343+I343)</f>
        <v>#REF!</v>
      </c>
      <c r="K343" s="156" t="e">
        <f>J343=#REF!</f>
        <v>#REF!</v>
      </c>
      <c r="L343" s="5"/>
      <c r="M343" s="5"/>
      <c r="N343" s="5"/>
      <c r="O343" s="5"/>
      <c r="Q343" s="5"/>
    </row>
    <row r="344" spans="1:17" x14ac:dyDescent="0.2">
      <c r="A344" s="130" t="s">
        <v>148</v>
      </c>
      <c r="B344" s="137" t="s">
        <v>84</v>
      </c>
      <c r="C344" s="128" t="e">
        <f>#REF!</f>
        <v>#REF!</v>
      </c>
      <c r="D344" s="131"/>
      <c r="E344" s="128" t="e">
        <f>+#REF!</f>
        <v>#REF!</v>
      </c>
      <c r="F344" s="146"/>
      <c r="G344" s="146"/>
      <c r="H344" s="180" t="e">
        <f>+#REF!</f>
        <v>#REF!</v>
      </c>
      <c r="I344" s="128" t="e">
        <f>+#REF!</f>
        <v>#REF!</v>
      </c>
      <c r="J344" s="129" t="e">
        <f t="shared" ref="J344:J350" si="185">+SUM(C344:G344)-(H344+I344)</f>
        <v>#REF!</v>
      </c>
      <c r="K344" s="156" t="e">
        <f>J344=#REF!</f>
        <v>#REF!</v>
      </c>
      <c r="L344" s="5"/>
      <c r="M344" s="5"/>
      <c r="N344" s="5"/>
      <c r="O344" s="5"/>
      <c r="Q344" s="5"/>
    </row>
    <row r="345" spans="1:17" x14ac:dyDescent="0.2">
      <c r="A345" s="130" t="s">
        <v>148</v>
      </c>
      <c r="B345" s="135" t="s">
        <v>152</v>
      </c>
      <c r="C345" s="33" t="e">
        <f>#REF!</f>
        <v>#REF!</v>
      </c>
      <c r="D345" s="32"/>
      <c r="E345" s="33" t="e">
        <f>+#REF!</f>
        <v>#REF!</v>
      </c>
      <c r="F345" s="33"/>
      <c r="G345" s="110"/>
      <c r="H345" s="57" t="e">
        <f>+#REF!</f>
        <v>#REF!</v>
      </c>
      <c r="I345" s="33" t="e">
        <f>+#REF!</f>
        <v>#REF!</v>
      </c>
      <c r="J345" s="31" t="e">
        <f t="shared" si="185"/>
        <v>#REF!</v>
      </c>
      <c r="K345" s="156" t="e">
        <f>J345=#REF!</f>
        <v>#REF!</v>
      </c>
      <c r="L345" s="5"/>
      <c r="M345" s="5"/>
      <c r="N345" s="5"/>
      <c r="O345" s="5"/>
      <c r="Q345" s="5"/>
    </row>
    <row r="346" spans="1:17" x14ac:dyDescent="0.2">
      <c r="A346" s="130" t="s">
        <v>148</v>
      </c>
      <c r="B346" s="135" t="s">
        <v>30</v>
      </c>
      <c r="C346" s="33" t="e">
        <f>#REF!</f>
        <v>#REF!</v>
      </c>
      <c r="D346" s="32"/>
      <c r="E346" s="33" t="e">
        <f>+#REF!</f>
        <v>#REF!</v>
      </c>
      <c r="F346" s="33"/>
      <c r="G346" s="110"/>
      <c r="H346" s="57" t="e">
        <f>+#REF!</f>
        <v>#REF!</v>
      </c>
      <c r="I346" s="33" t="e">
        <f>+#REF!</f>
        <v>#REF!</v>
      </c>
      <c r="J346" s="31" t="e">
        <f t="shared" si="185"/>
        <v>#REF!</v>
      </c>
      <c r="K346" s="156" t="e">
        <f>J346=#REF!</f>
        <v>#REF!</v>
      </c>
      <c r="L346" s="5"/>
      <c r="M346" s="5"/>
      <c r="N346" s="5"/>
      <c r="O346" s="5"/>
      <c r="Q346" s="5"/>
    </row>
    <row r="347" spans="1:17" x14ac:dyDescent="0.2">
      <c r="A347" s="130" t="s">
        <v>148</v>
      </c>
      <c r="B347" s="135" t="s">
        <v>36</v>
      </c>
      <c r="C347" s="33" t="e">
        <f>#REF!</f>
        <v>#REF!</v>
      </c>
      <c r="D347" s="32"/>
      <c r="E347" s="33">
        <v>15000</v>
      </c>
      <c r="F347" s="33">
        <v>496625</v>
      </c>
      <c r="G347" s="110"/>
      <c r="H347" s="57" t="e">
        <f>+#REF!</f>
        <v>#REF!</v>
      </c>
      <c r="I347" s="33" t="e">
        <f>+#REF!</f>
        <v>#REF!</v>
      </c>
      <c r="J347" s="31" t="e">
        <f t="shared" si="185"/>
        <v>#REF!</v>
      </c>
      <c r="K347" s="156" t="e">
        <f>J347=#REF!</f>
        <v>#REF!</v>
      </c>
      <c r="L347" s="5"/>
      <c r="M347" s="5"/>
      <c r="N347" s="5"/>
      <c r="O347" s="5"/>
      <c r="Q347" s="5"/>
    </row>
    <row r="348" spans="1:17" x14ac:dyDescent="0.2">
      <c r="A348" s="130" t="s">
        <v>148</v>
      </c>
      <c r="B348" s="135" t="s">
        <v>94</v>
      </c>
      <c r="C348" s="33" t="e">
        <f>#REF!</f>
        <v>#REF!</v>
      </c>
      <c r="D348" s="32"/>
      <c r="E348" s="33" t="e">
        <f>+#REF!</f>
        <v>#REF!</v>
      </c>
      <c r="F348" s="33"/>
      <c r="G348" s="110"/>
      <c r="H348" s="57" t="e">
        <f>+#REF!</f>
        <v>#REF!</v>
      </c>
      <c r="I348" s="33" t="e">
        <f>+#REF!</f>
        <v>#REF!</v>
      </c>
      <c r="J348" s="31" t="e">
        <f t="shared" si="185"/>
        <v>#REF!</v>
      </c>
      <c r="K348" s="156" t="e">
        <f>J348=#REF!</f>
        <v>#REF!</v>
      </c>
      <c r="L348" s="5"/>
      <c r="M348" s="5"/>
      <c r="N348" s="5"/>
      <c r="O348" s="5"/>
      <c r="Q348" s="5"/>
    </row>
    <row r="349" spans="1:17" x14ac:dyDescent="0.2">
      <c r="A349" s="130" t="s">
        <v>148</v>
      </c>
      <c r="B349" s="135" t="s">
        <v>29</v>
      </c>
      <c r="C349" s="33" t="e">
        <f>#REF!</f>
        <v>#REF!</v>
      </c>
      <c r="D349" s="32"/>
      <c r="E349" s="33" t="e">
        <f>+#REF!</f>
        <v>#REF!</v>
      </c>
      <c r="F349" s="33"/>
      <c r="G349" s="110"/>
      <c r="H349" s="57" t="e">
        <f>+#REF!</f>
        <v>#REF!</v>
      </c>
      <c r="I349" s="33" t="e">
        <f>+#REF!</f>
        <v>#REF!</v>
      </c>
      <c r="J349" s="31" t="e">
        <f t="shared" ref="J349" si="186">+SUM(C349:G349)-(H349+I349)</f>
        <v>#REF!</v>
      </c>
      <c r="K349" s="156" t="e">
        <f>J349=#REF!</f>
        <v>#REF!</v>
      </c>
      <c r="L349" s="5"/>
      <c r="M349" s="5"/>
      <c r="N349" s="5"/>
      <c r="O349" s="5"/>
      <c r="Q349" s="5"/>
    </row>
    <row r="350" spans="1:17" x14ac:dyDescent="0.2">
      <c r="A350" s="130" t="s">
        <v>148</v>
      </c>
      <c r="B350" s="136" t="s">
        <v>114</v>
      </c>
      <c r="C350" s="33" t="e">
        <f>#REF!</f>
        <v>#REF!</v>
      </c>
      <c r="D350" s="127"/>
      <c r="E350" s="33" t="e">
        <f>+#REF!</f>
        <v>#REF!</v>
      </c>
      <c r="F350" s="53"/>
      <c r="G350" s="147"/>
      <c r="H350" s="57" t="e">
        <f>+#REF!</f>
        <v>#REF!</v>
      </c>
      <c r="I350" s="33" t="e">
        <f>+#REF!</f>
        <v>#REF!</v>
      </c>
      <c r="J350" s="31" t="e">
        <f t="shared" si="185"/>
        <v>#REF!</v>
      </c>
      <c r="K350" s="156" t="e">
        <f>J350=#REF!</f>
        <v>#REF!</v>
      </c>
      <c r="L350" s="5"/>
      <c r="M350" s="5"/>
      <c r="N350" s="5"/>
      <c r="O350" s="5"/>
      <c r="Q350" s="5"/>
    </row>
    <row r="351" spans="1:17" x14ac:dyDescent="0.2">
      <c r="A351" s="35" t="s">
        <v>61</v>
      </c>
      <c r="B351" s="36"/>
      <c r="C351" s="36"/>
      <c r="D351" s="36"/>
      <c r="E351" s="36"/>
      <c r="F351" s="36"/>
      <c r="G351" s="36"/>
      <c r="H351" s="36"/>
      <c r="I351" s="36"/>
      <c r="J351" s="37"/>
      <c r="K351" s="155"/>
      <c r="L351" s="5"/>
      <c r="M351" s="5"/>
      <c r="N351" s="5"/>
      <c r="O351" s="5"/>
      <c r="Q351" s="5"/>
    </row>
    <row r="352" spans="1:17" x14ac:dyDescent="0.2">
      <c r="A352" s="130" t="s">
        <v>148</v>
      </c>
      <c r="B352" s="38" t="s">
        <v>62</v>
      </c>
      <c r="C352" s="39" t="e">
        <f>#REF!</f>
        <v>#REF!</v>
      </c>
      <c r="D352" s="51">
        <v>4000000</v>
      </c>
      <c r="E352" s="109"/>
      <c r="F352" s="51"/>
      <c r="G352" s="133">
        <v>15000</v>
      </c>
      <c r="H352" s="53" t="e">
        <f>+#REF!</f>
        <v>#REF!</v>
      </c>
      <c r="I352" s="134" t="e">
        <f>+#REF!</f>
        <v>#REF!</v>
      </c>
      <c r="J352" s="46" t="e">
        <f>+SUM(C352:G352)-(H352+I352)</f>
        <v>#REF!</v>
      </c>
      <c r="K352" s="156" t="e">
        <f>J352=#REF!</f>
        <v>#REF!</v>
      </c>
      <c r="L352" s="5"/>
      <c r="M352" s="5"/>
      <c r="N352" s="5"/>
      <c r="O352" s="5"/>
      <c r="Q352" s="5"/>
    </row>
    <row r="353" spans="1:17" x14ac:dyDescent="0.2">
      <c r="A353" s="44" t="s">
        <v>63</v>
      </c>
      <c r="B353" s="25"/>
      <c r="C353" s="36"/>
      <c r="D353" s="25"/>
      <c r="E353" s="25"/>
      <c r="F353" s="25"/>
      <c r="G353" s="25"/>
      <c r="H353" s="25"/>
      <c r="I353" s="25"/>
      <c r="J353" s="37"/>
      <c r="K353" s="155"/>
      <c r="L353" s="5"/>
      <c r="M353" s="5"/>
      <c r="N353" s="5"/>
      <c r="O353" s="5"/>
      <c r="Q353" s="5"/>
    </row>
    <row r="354" spans="1:17" x14ac:dyDescent="0.2">
      <c r="A354" s="130" t="s">
        <v>148</v>
      </c>
      <c r="B354" s="38" t="s">
        <v>64</v>
      </c>
      <c r="C354" s="133" t="e">
        <f>#REF!</f>
        <v>#REF!</v>
      </c>
      <c r="D354" s="140"/>
      <c r="E354" s="51"/>
      <c r="F354" s="51"/>
      <c r="G354" s="51"/>
      <c r="H354" s="53" t="e">
        <f>+#REF!</f>
        <v>#REF!</v>
      </c>
      <c r="I354" s="55" t="e">
        <f>+#REF!</f>
        <v>#REF!</v>
      </c>
      <c r="J354" s="46" t="e">
        <f>+SUM(C354:G354)-(H354+I354)</f>
        <v>#REF!</v>
      </c>
      <c r="K354" s="156" t="e">
        <f>+J354=#REF!</f>
        <v>#REF!</v>
      </c>
      <c r="L354" s="5"/>
      <c r="M354" s="5"/>
      <c r="N354" s="5"/>
      <c r="O354" s="5"/>
      <c r="Q354" s="5"/>
    </row>
    <row r="355" spans="1:17" x14ac:dyDescent="0.2">
      <c r="A355" s="130" t="s">
        <v>148</v>
      </c>
      <c r="B355" s="38" t="s">
        <v>65</v>
      </c>
      <c r="C355" s="133" t="e">
        <f>#REF!</f>
        <v>#REF!</v>
      </c>
      <c r="D355" s="51"/>
      <c r="E355" s="50"/>
      <c r="F355" s="50"/>
      <c r="G355" s="50"/>
      <c r="H355" s="33" t="e">
        <f>+#REF!</f>
        <v>#REF!</v>
      </c>
      <c r="I355" s="52" t="e">
        <f>+#REF!</f>
        <v>#REF!</v>
      </c>
      <c r="J355" s="46" t="e">
        <f>SUM(C355:G355)-(H355+I355)</f>
        <v>#REF!</v>
      </c>
      <c r="K355" s="156" t="e">
        <f>+J355=#REF!</f>
        <v>#REF!</v>
      </c>
      <c r="Q355" s="5"/>
    </row>
    <row r="356" spans="1:17" ht="15.75" x14ac:dyDescent="0.25">
      <c r="C356" s="151" t="e">
        <f>SUM(C340:C355)</f>
        <v>#REF!</v>
      </c>
      <c r="I356" s="149" t="e">
        <f>SUM(I340:I355)</f>
        <v>#REF!</v>
      </c>
      <c r="J356" s="111" t="e">
        <f>+SUM(J340:J355)</f>
        <v>#REF!</v>
      </c>
      <c r="K356" s="5" t="e">
        <f>J356=#REF!</f>
        <v>#REF!</v>
      </c>
      <c r="Q356" s="5"/>
    </row>
    <row r="357" spans="1:17" s="171" customFormat="1" ht="16.5" x14ac:dyDescent="0.3">
      <c r="A357" s="14"/>
      <c r="B357" s="175"/>
      <c r="C357" s="174"/>
      <c r="D357" s="174"/>
      <c r="E357" s="173"/>
      <c r="F357" s="174"/>
      <c r="G357" s="174" t="e">
        <f>+#REF!-J356</f>
        <v>#REF!</v>
      </c>
      <c r="H357" s="174"/>
      <c r="I357" s="174"/>
      <c r="L357" s="172"/>
      <c r="M357" s="172"/>
      <c r="N357" s="172"/>
      <c r="O357" s="172"/>
    </row>
    <row r="358" spans="1:17" x14ac:dyDescent="0.2">
      <c r="A358" s="16" t="s">
        <v>53</v>
      </c>
      <c r="B358" s="16"/>
      <c r="C358" s="16"/>
      <c r="D358" s="17"/>
      <c r="E358" s="17"/>
      <c r="F358" s="17"/>
      <c r="G358" s="17"/>
      <c r="H358" s="17"/>
      <c r="I358" s="17"/>
      <c r="Q358" s="5"/>
    </row>
    <row r="359" spans="1:17" x14ac:dyDescent="0.2">
      <c r="A359" s="18" t="s">
        <v>145</v>
      </c>
      <c r="B359" s="18"/>
      <c r="C359" s="18"/>
      <c r="D359" s="18"/>
      <c r="E359" s="18"/>
      <c r="F359" s="18"/>
      <c r="G359" s="18"/>
      <c r="H359" s="18"/>
      <c r="I359" s="18"/>
      <c r="J359" s="17"/>
      <c r="Q359" s="5"/>
    </row>
    <row r="360" spans="1:17" x14ac:dyDescent="0.2">
      <c r="A360" s="19"/>
      <c r="B360" s="20"/>
      <c r="C360" s="21"/>
      <c r="D360" s="21"/>
      <c r="E360" s="21"/>
      <c r="F360" s="21"/>
      <c r="G360" s="21"/>
      <c r="H360" s="20"/>
      <c r="I360" s="20"/>
      <c r="J360" s="18"/>
      <c r="Q360" s="5"/>
    </row>
    <row r="361" spans="1:17" x14ac:dyDescent="0.2">
      <c r="A361" s="377" t="s">
        <v>54</v>
      </c>
      <c r="B361" s="379" t="s">
        <v>55</v>
      </c>
      <c r="C361" s="381" t="s">
        <v>146</v>
      </c>
      <c r="D361" s="383" t="s">
        <v>56</v>
      </c>
      <c r="E361" s="384"/>
      <c r="F361" s="384"/>
      <c r="G361" s="385"/>
      <c r="H361" s="386" t="s">
        <v>57</v>
      </c>
      <c r="I361" s="373" t="s">
        <v>58</v>
      </c>
      <c r="J361" s="20"/>
      <c r="Q361" s="5"/>
    </row>
    <row r="362" spans="1:17" x14ac:dyDescent="0.25">
      <c r="A362" s="378"/>
      <c r="B362" s="380"/>
      <c r="C362" s="382"/>
      <c r="D362" s="22" t="s">
        <v>24</v>
      </c>
      <c r="E362" s="22" t="s">
        <v>25</v>
      </c>
      <c r="F362" s="170" t="s">
        <v>124</v>
      </c>
      <c r="G362" s="22" t="s">
        <v>59</v>
      </c>
      <c r="H362" s="387"/>
      <c r="I362" s="374"/>
      <c r="J362" s="375" t="s">
        <v>147</v>
      </c>
      <c r="K362" s="155"/>
      <c r="Q362" s="5"/>
    </row>
    <row r="363" spans="1:17" x14ac:dyDescent="0.2">
      <c r="A363" s="24"/>
      <c r="B363" s="25" t="s">
        <v>60</v>
      </c>
      <c r="C363" s="26"/>
      <c r="D363" s="26"/>
      <c r="E363" s="26"/>
      <c r="F363" s="26"/>
      <c r="G363" s="26"/>
      <c r="H363" s="26"/>
      <c r="I363" s="27"/>
      <c r="J363" s="376"/>
      <c r="K363" s="155"/>
      <c r="Q363" s="5"/>
    </row>
    <row r="364" spans="1:17" x14ac:dyDescent="0.2">
      <c r="A364" s="130" t="s">
        <v>73</v>
      </c>
      <c r="B364" s="135" t="s">
        <v>48</v>
      </c>
      <c r="C364" s="33" t="e">
        <f>#REF!</f>
        <v>#REF!</v>
      </c>
      <c r="D364" s="32"/>
      <c r="E364" s="33">
        <v>970765</v>
      </c>
      <c r="F364" s="33"/>
      <c r="G364" s="33"/>
      <c r="H364" s="57">
        <v>0</v>
      </c>
      <c r="I364" s="33">
        <v>980165</v>
      </c>
      <c r="J364" s="31" t="e">
        <f t="shared" ref="J364:J365" si="187">+SUM(C364:G364)-(H364+I364)</f>
        <v>#REF!</v>
      </c>
      <c r="K364" s="156" t="e">
        <f>J364=#REF!</f>
        <v>#REF!</v>
      </c>
      <c r="Q364" s="5"/>
    </row>
    <row r="365" spans="1:17" x14ac:dyDescent="0.2">
      <c r="A365" s="130" t="s">
        <v>73</v>
      </c>
      <c r="B365" s="135" t="s">
        <v>31</v>
      </c>
      <c r="C365" s="33" t="e">
        <f>#REF!</f>
        <v>#REF!</v>
      </c>
      <c r="D365" s="32"/>
      <c r="E365" s="33">
        <v>58000</v>
      </c>
      <c r="F365" s="33"/>
      <c r="G365" s="33"/>
      <c r="H365" s="33">
        <v>0</v>
      </c>
      <c r="I365" s="33">
        <v>59500</v>
      </c>
      <c r="J365" s="107" t="e">
        <f t="shared" si="187"/>
        <v>#REF!</v>
      </c>
      <c r="K365" s="156" t="e">
        <f>J365=#REF!</f>
        <v>#REF!</v>
      </c>
      <c r="Q365" s="5"/>
    </row>
    <row r="366" spans="1:17" x14ac:dyDescent="0.2">
      <c r="A366" s="130" t="s">
        <v>73</v>
      </c>
      <c r="B366" s="136" t="s">
        <v>30</v>
      </c>
      <c r="C366" s="33" t="e">
        <f>#REF!</f>
        <v>#REF!</v>
      </c>
      <c r="D366" s="127"/>
      <c r="E366" s="53">
        <v>557150</v>
      </c>
      <c r="F366" s="53"/>
      <c r="G366" s="53"/>
      <c r="H366" s="53">
        <v>0</v>
      </c>
      <c r="I366" s="53">
        <v>556650</v>
      </c>
      <c r="J366" s="132" t="e">
        <f>+SUM(C366:G366)-(H366+I366)</f>
        <v>#REF!</v>
      </c>
      <c r="K366" s="156" t="e">
        <f>J366=#REF!</f>
        <v>#REF!</v>
      </c>
      <c r="Q366" s="5"/>
    </row>
    <row r="367" spans="1:17" x14ac:dyDescent="0.2">
      <c r="A367" s="130" t="s">
        <v>73</v>
      </c>
      <c r="B367" s="137" t="s">
        <v>85</v>
      </c>
      <c r="C367" s="128" t="e">
        <f>#REF!</f>
        <v>#REF!</v>
      </c>
      <c r="D367" s="131"/>
      <c r="E367" s="146"/>
      <c r="F367" s="146"/>
      <c r="G367" s="146"/>
      <c r="H367" s="146">
        <v>0</v>
      </c>
      <c r="I367" s="146">
        <v>0</v>
      </c>
      <c r="J367" s="129" t="e">
        <f>+SUM(C367:G367)-(H367+I367)</f>
        <v>#REF!</v>
      </c>
      <c r="K367" s="156" t="e">
        <f>J367=#REF!</f>
        <v>#REF!</v>
      </c>
      <c r="Q367" s="5"/>
    </row>
    <row r="368" spans="1:17" x14ac:dyDescent="0.2">
      <c r="A368" s="130" t="s">
        <v>73</v>
      </c>
      <c r="B368" s="137" t="s">
        <v>84</v>
      </c>
      <c r="C368" s="128" t="e">
        <f>#REF!</f>
        <v>#REF!</v>
      </c>
      <c r="D368" s="131"/>
      <c r="E368" s="146"/>
      <c r="F368" s="146"/>
      <c r="G368" s="146"/>
      <c r="H368" s="146">
        <v>0</v>
      </c>
      <c r="I368" s="146">
        <v>0</v>
      </c>
      <c r="J368" s="129" t="e">
        <f t="shared" ref="J368:J373" si="188">+SUM(C368:G368)-(H368+I368)</f>
        <v>#REF!</v>
      </c>
      <c r="K368" s="156" t="e">
        <f>J368=#REF!</f>
        <v>#REF!</v>
      </c>
      <c r="Q368" s="5"/>
    </row>
    <row r="369" spans="1:17" x14ac:dyDescent="0.2">
      <c r="A369" s="130" t="s">
        <v>73</v>
      </c>
      <c r="B369" s="135" t="s">
        <v>36</v>
      </c>
      <c r="C369" s="33" t="e">
        <f>#REF!</f>
        <v>#REF!</v>
      </c>
      <c r="D369" s="32"/>
      <c r="E369" s="33">
        <v>941000</v>
      </c>
      <c r="F369" s="33"/>
      <c r="G369" s="110"/>
      <c r="H369" s="110">
        <v>0</v>
      </c>
      <c r="I369" s="33">
        <v>1084725</v>
      </c>
      <c r="J369" s="31" t="e">
        <f t="shared" si="188"/>
        <v>#REF!</v>
      </c>
      <c r="K369" s="156" t="e">
        <f>J369=#REF!</f>
        <v>#REF!</v>
      </c>
      <c r="Q369" s="5"/>
    </row>
    <row r="370" spans="1:17" x14ac:dyDescent="0.2">
      <c r="A370" s="130" t="s">
        <v>73</v>
      </c>
      <c r="B370" s="135" t="s">
        <v>94</v>
      </c>
      <c r="C370" s="33" t="e">
        <f>#REF!</f>
        <v>#REF!</v>
      </c>
      <c r="D370" s="32"/>
      <c r="E370" s="33">
        <v>52000</v>
      </c>
      <c r="F370" s="110"/>
      <c r="G370" s="110"/>
      <c r="H370" s="110">
        <v>0</v>
      </c>
      <c r="I370" s="33">
        <v>67000</v>
      </c>
      <c r="J370" s="31" t="e">
        <f t="shared" si="188"/>
        <v>#REF!</v>
      </c>
      <c r="K370" s="156" t="e">
        <f>J370=#REF!</f>
        <v>#REF!</v>
      </c>
      <c r="Q370" s="5"/>
    </row>
    <row r="371" spans="1:17" x14ac:dyDescent="0.2">
      <c r="A371" s="130" t="s">
        <v>73</v>
      </c>
      <c r="B371" s="135" t="s">
        <v>29</v>
      </c>
      <c r="C371" s="33" t="e">
        <f>#REF!</f>
        <v>#REF!</v>
      </c>
      <c r="D371" s="32"/>
      <c r="E371" s="33">
        <v>515000</v>
      </c>
      <c r="F371" s="110"/>
      <c r="G371" s="110"/>
      <c r="H371" s="110">
        <v>0</v>
      </c>
      <c r="I371" s="33">
        <v>655500</v>
      </c>
      <c r="J371" s="31" t="e">
        <f t="shared" si="188"/>
        <v>#REF!</v>
      </c>
      <c r="K371" s="156" t="e">
        <f>J371=#REF!</f>
        <v>#REF!</v>
      </c>
      <c r="Q371" s="5"/>
    </row>
    <row r="372" spans="1:17" x14ac:dyDescent="0.2">
      <c r="A372" s="130" t="s">
        <v>73</v>
      </c>
      <c r="B372" s="135" t="s">
        <v>32</v>
      </c>
      <c r="C372" s="33" t="e">
        <f>#REF!</f>
        <v>#REF!</v>
      </c>
      <c r="D372" s="32"/>
      <c r="E372" s="33">
        <v>10000</v>
      </c>
      <c r="F372" s="110"/>
      <c r="G372" s="110"/>
      <c r="H372" s="33">
        <v>500</v>
      </c>
      <c r="I372" s="33">
        <v>15300</v>
      </c>
      <c r="J372" s="31" t="e">
        <f t="shared" si="188"/>
        <v>#REF!</v>
      </c>
      <c r="K372" s="156" t="e">
        <f>J372=#REF!</f>
        <v>#REF!</v>
      </c>
      <c r="Q372" s="5"/>
    </row>
    <row r="373" spans="1:17" x14ac:dyDescent="0.2">
      <c r="A373" s="130" t="s">
        <v>73</v>
      </c>
      <c r="B373" s="136" t="s">
        <v>114</v>
      </c>
      <c r="C373" s="33" t="e">
        <f>#REF!</f>
        <v>#REF!</v>
      </c>
      <c r="D373" s="127"/>
      <c r="E373" s="53">
        <v>20000</v>
      </c>
      <c r="F373" s="53"/>
      <c r="G373" s="147"/>
      <c r="H373" s="53">
        <v>0</v>
      </c>
      <c r="I373" s="53">
        <v>28000</v>
      </c>
      <c r="J373" s="31" t="e">
        <f t="shared" si="188"/>
        <v>#REF!</v>
      </c>
      <c r="K373" s="156" t="e">
        <f>J373=#REF!</f>
        <v>#REF!</v>
      </c>
      <c r="Q373" s="5"/>
    </row>
    <row r="374" spans="1:17" x14ac:dyDescent="0.2">
      <c r="A374" s="35" t="s">
        <v>61</v>
      </c>
      <c r="B374" s="36"/>
      <c r="C374" s="36"/>
      <c r="D374" s="36"/>
      <c r="E374" s="36"/>
      <c r="F374" s="36"/>
      <c r="G374" s="36"/>
      <c r="H374" s="36"/>
      <c r="I374" s="36"/>
      <c r="J374" s="37"/>
      <c r="K374" s="155"/>
      <c r="Q374" s="5"/>
    </row>
    <row r="375" spans="1:17" x14ac:dyDescent="0.2">
      <c r="A375" s="130" t="s">
        <v>73</v>
      </c>
      <c r="B375" s="38" t="s">
        <v>62</v>
      </c>
      <c r="C375" s="39" t="e">
        <f>#REF!</f>
        <v>#REF!</v>
      </c>
      <c r="D375" s="51">
        <v>6000500</v>
      </c>
      <c r="E375" s="109"/>
      <c r="F375" s="51"/>
      <c r="G375" s="148"/>
      <c r="H375" s="53">
        <v>3123915</v>
      </c>
      <c r="I375" s="134">
        <v>3367697</v>
      </c>
      <c r="J375" s="46" t="e">
        <f>+SUM(C375:G375)-(H375+I375)</f>
        <v>#REF!</v>
      </c>
      <c r="K375" s="156" t="e">
        <f>J375=#REF!</f>
        <v>#REF!</v>
      </c>
      <c r="Q375" s="5"/>
    </row>
    <row r="376" spans="1:17" x14ac:dyDescent="0.2">
      <c r="A376" s="44" t="s">
        <v>63</v>
      </c>
      <c r="B376" s="25"/>
      <c r="C376" s="36"/>
      <c r="D376" s="25"/>
      <c r="E376" s="25"/>
      <c r="F376" s="25"/>
      <c r="G376" s="25"/>
      <c r="H376" s="25"/>
      <c r="I376" s="25"/>
      <c r="J376" s="37"/>
      <c r="K376" s="155"/>
      <c r="Q376" s="5"/>
    </row>
    <row r="377" spans="1:17" x14ac:dyDescent="0.2">
      <c r="A377" s="130" t="s">
        <v>73</v>
      </c>
      <c r="B377" s="38" t="s">
        <v>64</v>
      </c>
      <c r="C377" s="133" t="e">
        <f>#REF!</f>
        <v>#REF!</v>
      </c>
      <c r="D377" s="140"/>
      <c r="E377" s="51"/>
      <c r="F377" s="51"/>
      <c r="G377" s="51"/>
      <c r="H377" s="53">
        <v>2000000</v>
      </c>
      <c r="I377" s="55">
        <v>271244</v>
      </c>
      <c r="J377" s="46" t="e">
        <f>+SUM(C377:G377)-(H377+I377)</f>
        <v>#REF!</v>
      </c>
      <c r="K377" s="156" t="e">
        <f>+J377=#REF!</f>
        <v>#REF!</v>
      </c>
      <c r="Q377" s="5"/>
    </row>
    <row r="378" spans="1:17" x14ac:dyDescent="0.2">
      <c r="A378" s="130" t="s">
        <v>73</v>
      </c>
      <c r="B378" s="38" t="s">
        <v>65</v>
      </c>
      <c r="C378" s="133" t="e">
        <f>#REF!</f>
        <v>#REF!</v>
      </c>
      <c r="D378" s="51">
        <v>31201251</v>
      </c>
      <c r="E378" s="50"/>
      <c r="F378" s="50"/>
      <c r="G378" s="50"/>
      <c r="H378" s="33">
        <v>4000000</v>
      </c>
      <c r="I378" s="52">
        <v>6204544</v>
      </c>
      <c r="J378" s="46" t="e">
        <f>SUM(C378:G378)-(H378+I378)</f>
        <v>#REF!</v>
      </c>
      <c r="K378" s="156" t="e">
        <f>+J378=#REF!</f>
        <v>#REF!</v>
      </c>
      <c r="Q378" s="5"/>
    </row>
    <row r="379" spans="1:17" ht="15.75" x14ac:dyDescent="0.25">
      <c r="C379" s="151" t="e">
        <f>SUM(C364:C378)</f>
        <v>#REF!</v>
      </c>
      <c r="I379" s="149">
        <f>SUM(I364:I378)</f>
        <v>13290325</v>
      </c>
      <c r="J379" s="111" t="e">
        <f>+SUM(J364:J378)</f>
        <v>#REF!</v>
      </c>
      <c r="K379" s="5" t="e">
        <f>J379=#REF!</f>
        <v>#REF!</v>
      </c>
      <c r="Q379" s="5"/>
    </row>
    <row r="380" spans="1:17" s="171" customFormat="1" ht="16.5" x14ac:dyDescent="0.3">
      <c r="A380" s="14"/>
      <c r="B380" s="175"/>
      <c r="C380" s="174"/>
      <c r="D380" s="174"/>
      <c r="E380" s="173"/>
      <c r="F380" s="174"/>
      <c r="G380" s="174" t="e">
        <f>+#REF!-J379</f>
        <v>#REF!</v>
      </c>
      <c r="H380" s="174"/>
      <c r="I380" s="174"/>
      <c r="L380" s="172"/>
      <c r="M380" s="172"/>
      <c r="N380" s="172"/>
      <c r="O380" s="172"/>
    </row>
    <row r="381" spans="1:17" ht="16.5" x14ac:dyDescent="0.3">
      <c r="A381" s="14"/>
      <c r="B381" s="15"/>
      <c r="C381" s="12"/>
      <c r="D381" s="12"/>
      <c r="E381" s="13"/>
      <c r="F381" s="12"/>
      <c r="G381" s="12"/>
      <c r="H381" s="12"/>
      <c r="I381" s="12"/>
      <c r="Q381" s="5"/>
    </row>
    <row r="382" spans="1:17" x14ac:dyDescent="0.2">
      <c r="A382" s="16" t="s">
        <v>53</v>
      </c>
      <c r="B382" s="16"/>
      <c r="C382" s="16"/>
      <c r="D382" s="17"/>
      <c r="E382" s="17"/>
      <c r="F382" s="17"/>
      <c r="G382" s="17"/>
      <c r="H382" s="17"/>
      <c r="I382" s="17"/>
      <c r="Q382" s="5"/>
    </row>
    <row r="383" spans="1:17" x14ac:dyDescent="0.2">
      <c r="A383" s="18" t="s">
        <v>141</v>
      </c>
      <c r="B383" s="18"/>
      <c r="C383" s="18"/>
      <c r="D383" s="18"/>
      <c r="E383" s="18"/>
      <c r="F383" s="18"/>
      <c r="G383" s="18"/>
      <c r="H383" s="18"/>
      <c r="I383" s="18"/>
      <c r="J383" s="17"/>
      <c r="Q383" s="5"/>
    </row>
    <row r="384" spans="1:17" x14ac:dyDescent="0.2">
      <c r="A384" s="19"/>
      <c r="B384" s="20"/>
      <c r="C384" s="21"/>
      <c r="D384" s="21"/>
      <c r="E384" s="21"/>
      <c r="F384" s="21"/>
      <c r="G384" s="21"/>
      <c r="H384" s="20"/>
      <c r="I384" s="20"/>
      <c r="J384" s="18"/>
      <c r="Q384" s="5"/>
    </row>
    <row r="385" spans="1:17" x14ac:dyDescent="0.2">
      <c r="A385" s="377" t="s">
        <v>54</v>
      </c>
      <c r="B385" s="379" t="s">
        <v>55</v>
      </c>
      <c r="C385" s="381" t="s">
        <v>143</v>
      </c>
      <c r="D385" s="383" t="s">
        <v>56</v>
      </c>
      <c r="E385" s="384"/>
      <c r="F385" s="384"/>
      <c r="G385" s="385"/>
      <c r="H385" s="386" t="s">
        <v>57</v>
      </c>
      <c r="I385" s="373" t="s">
        <v>58</v>
      </c>
      <c r="J385" s="20"/>
      <c r="Q385" s="5"/>
    </row>
    <row r="386" spans="1:17" x14ac:dyDescent="0.25">
      <c r="A386" s="378"/>
      <c r="B386" s="380"/>
      <c r="C386" s="382"/>
      <c r="D386" s="22" t="s">
        <v>24</v>
      </c>
      <c r="E386" s="22" t="s">
        <v>25</v>
      </c>
      <c r="F386" s="168" t="s">
        <v>124</v>
      </c>
      <c r="G386" s="22" t="s">
        <v>59</v>
      </c>
      <c r="H386" s="387"/>
      <c r="I386" s="374"/>
      <c r="J386" s="375" t="s">
        <v>142</v>
      </c>
      <c r="K386" s="155"/>
      <c r="Q386" s="5"/>
    </row>
    <row r="387" spans="1:17" x14ac:dyDescent="0.2">
      <c r="A387" s="24"/>
      <c r="B387" s="25" t="s">
        <v>60</v>
      </c>
      <c r="C387" s="26"/>
      <c r="D387" s="26"/>
      <c r="E387" s="26"/>
      <c r="F387" s="26"/>
      <c r="G387" s="26"/>
      <c r="H387" s="26"/>
      <c r="I387" s="27"/>
      <c r="J387" s="376"/>
      <c r="K387" s="155"/>
      <c r="L387" s="5"/>
      <c r="M387" s="5"/>
      <c r="N387" s="5"/>
      <c r="O387" s="5"/>
      <c r="Q387" s="5"/>
    </row>
    <row r="388" spans="1:17" x14ac:dyDescent="0.2">
      <c r="A388" s="130" t="s">
        <v>144</v>
      </c>
      <c r="B388" s="135" t="s">
        <v>77</v>
      </c>
      <c r="C388" s="33" t="e">
        <f>+#REF!</f>
        <v>#REF!</v>
      </c>
      <c r="D388" s="32"/>
      <c r="E388" s="33">
        <v>114000</v>
      </c>
      <c r="F388" s="33"/>
      <c r="G388" s="33"/>
      <c r="H388" s="57">
        <v>11050</v>
      </c>
      <c r="I388" s="33">
        <v>112000</v>
      </c>
      <c r="J388" s="31" t="e">
        <f>+SUM(C388:G388)-(H388+I388)</f>
        <v>#REF!</v>
      </c>
      <c r="K388" s="156" t="e">
        <f>J388=#REF!</f>
        <v>#REF!</v>
      </c>
      <c r="L388" s="5"/>
      <c r="M388" s="5"/>
      <c r="N388" s="5"/>
      <c r="O388" s="5"/>
      <c r="Q388" s="5"/>
    </row>
    <row r="389" spans="1:17" x14ac:dyDescent="0.2">
      <c r="A389" s="130" t="s">
        <v>144</v>
      </c>
      <c r="B389" s="135" t="s">
        <v>48</v>
      </c>
      <c r="C389" s="33" t="e">
        <f t="shared" ref="C389:C399" si="189">+C366</f>
        <v>#REF!</v>
      </c>
      <c r="D389" s="32"/>
      <c r="E389" s="33">
        <v>87350</v>
      </c>
      <c r="F389" s="33">
        <f>60000+62000</f>
        <v>122000</v>
      </c>
      <c r="G389" s="33"/>
      <c r="H389" s="57">
        <v>161395</v>
      </c>
      <c r="I389" s="33">
        <v>281200</v>
      </c>
      <c r="J389" s="31" t="e">
        <f t="shared" ref="J389:J390" si="190">+SUM(C389:G389)-(H389+I389)</f>
        <v>#REF!</v>
      </c>
      <c r="K389" s="156" t="e">
        <f t="shared" ref="K389:K399" si="191">J389=I366</f>
        <v>#REF!</v>
      </c>
      <c r="L389" s="5"/>
      <c r="M389" s="5"/>
      <c r="N389" s="5"/>
      <c r="O389" s="5"/>
      <c r="Q389" s="5"/>
    </row>
    <row r="390" spans="1:17" x14ac:dyDescent="0.2">
      <c r="A390" s="130" t="s">
        <v>144</v>
      </c>
      <c r="B390" s="135" t="s">
        <v>31</v>
      </c>
      <c r="C390" s="33" t="e">
        <f t="shared" si="189"/>
        <v>#REF!</v>
      </c>
      <c r="D390" s="32"/>
      <c r="E390" s="33">
        <v>371500</v>
      </c>
      <c r="F390" s="33"/>
      <c r="G390" s="33"/>
      <c r="H390" s="33">
        <f>62000+81500+137000</f>
        <v>280500</v>
      </c>
      <c r="I390" s="33">
        <v>177000</v>
      </c>
      <c r="J390" s="107" t="e">
        <f t="shared" si="190"/>
        <v>#REF!</v>
      </c>
      <c r="K390" s="156" t="e">
        <f t="shared" si="191"/>
        <v>#REF!</v>
      </c>
      <c r="L390" s="5"/>
      <c r="M390" s="5"/>
      <c r="N390" s="5"/>
      <c r="O390" s="5"/>
      <c r="Q390" s="5"/>
    </row>
    <row r="391" spans="1:17" x14ac:dyDescent="0.2">
      <c r="A391" s="130" t="s">
        <v>144</v>
      </c>
      <c r="B391" s="135" t="s">
        <v>78</v>
      </c>
      <c r="C391" s="33" t="e">
        <f t="shared" si="189"/>
        <v>#REF!</v>
      </c>
      <c r="D391" s="110"/>
      <c r="E391" s="33">
        <v>35560</v>
      </c>
      <c r="F391" s="33">
        <f>10000+81500</f>
        <v>91500</v>
      </c>
      <c r="G391" s="33"/>
      <c r="H391" s="33">
        <v>35000</v>
      </c>
      <c r="I391" s="33">
        <v>159750</v>
      </c>
      <c r="J391" s="107" t="e">
        <f>+SUM(C391:G391)-(H391+I391)</f>
        <v>#REF!</v>
      </c>
      <c r="K391" s="156" t="e">
        <f t="shared" si="191"/>
        <v>#REF!</v>
      </c>
      <c r="L391" s="5"/>
      <c r="M391" s="5"/>
      <c r="N391" s="5"/>
      <c r="O391" s="5"/>
      <c r="Q391" s="5"/>
    </row>
    <row r="392" spans="1:17" x14ac:dyDescent="0.2">
      <c r="A392" s="130" t="s">
        <v>144</v>
      </c>
      <c r="B392" s="136" t="s">
        <v>30</v>
      </c>
      <c r="C392" s="33" t="e">
        <f t="shared" si="189"/>
        <v>#REF!</v>
      </c>
      <c r="D392" s="127"/>
      <c r="E392" s="53">
        <v>372085</v>
      </c>
      <c r="F392" s="53"/>
      <c r="G392" s="53"/>
      <c r="H392" s="53"/>
      <c r="I392" s="53">
        <v>336400</v>
      </c>
      <c r="J392" s="132" t="e">
        <f>+SUM(C392:G392)-(H392+I392)</f>
        <v>#REF!</v>
      </c>
      <c r="K392" s="156" t="e">
        <f t="shared" si="191"/>
        <v>#REF!</v>
      </c>
      <c r="L392" s="5"/>
      <c r="M392" s="5"/>
      <c r="N392" s="5"/>
      <c r="O392" s="5"/>
      <c r="Q392" s="5"/>
    </row>
    <row r="393" spans="1:17" x14ac:dyDescent="0.2">
      <c r="A393" s="130" t="s">
        <v>144</v>
      </c>
      <c r="B393" s="137" t="s">
        <v>85</v>
      </c>
      <c r="C393" s="128" t="e">
        <f t="shared" si="189"/>
        <v>#REF!</v>
      </c>
      <c r="D393" s="131"/>
      <c r="E393" s="146"/>
      <c r="F393" s="146"/>
      <c r="G393" s="146"/>
      <c r="H393" s="146"/>
      <c r="I393" s="146"/>
      <c r="J393" s="129" t="e">
        <f>+SUM(C393:G393)-(H393+I393)</f>
        <v>#REF!</v>
      </c>
      <c r="K393" s="156" t="e">
        <f t="shared" si="191"/>
        <v>#REF!</v>
      </c>
      <c r="L393" s="5"/>
      <c r="M393" s="5"/>
      <c r="N393" s="5"/>
      <c r="O393" s="5"/>
      <c r="Q393" s="5"/>
    </row>
    <row r="394" spans="1:17" x14ac:dyDescent="0.2">
      <c r="A394" s="130" t="s">
        <v>144</v>
      </c>
      <c r="B394" s="137" t="s">
        <v>84</v>
      </c>
      <c r="C394" s="128" t="e">
        <f t="shared" si="189"/>
        <v>#REF!</v>
      </c>
      <c r="D394" s="131"/>
      <c r="E394" s="146"/>
      <c r="F394" s="146"/>
      <c r="G394" s="146"/>
      <c r="H394" s="146"/>
      <c r="I394" s="146"/>
      <c r="J394" s="129" t="e">
        <f t="shared" ref="J394:J399" si="192">+SUM(C394:G394)-(H394+I394)</f>
        <v>#REF!</v>
      </c>
      <c r="K394" s="156" t="e">
        <f t="shared" si="191"/>
        <v>#REF!</v>
      </c>
      <c r="L394" s="5"/>
      <c r="M394" s="5"/>
      <c r="N394" s="5"/>
      <c r="O394" s="5"/>
      <c r="Q394" s="5"/>
    </row>
    <row r="395" spans="1:17" x14ac:dyDescent="0.2">
      <c r="A395" s="130" t="s">
        <v>144</v>
      </c>
      <c r="B395" s="135" t="s">
        <v>36</v>
      </c>
      <c r="C395" s="33" t="e">
        <f t="shared" si="189"/>
        <v>#REF!</v>
      </c>
      <c r="D395" s="32"/>
      <c r="E395" s="33">
        <v>400000</v>
      </c>
      <c r="F395" s="33">
        <v>137000</v>
      </c>
      <c r="G395" s="110"/>
      <c r="H395" s="110"/>
      <c r="I395" s="33">
        <v>563500</v>
      </c>
      <c r="J395" s="31" t="e">
        <f t="shared" si="192"/>
        <v>#REF!</v>
      </c>
      <c r="K395" s="156" t="e">
        <f t="shared" si="191"/>
        <v>#REF!</v>
      </c>
      <c r="L395" s="5"/>
      <c r="M395" s="5"/>
      <c r="N395" s="5"/>
      <c r="O395" s="5"/>
      <c r="Q395" s="5"/>
    </row>
    <row r="396" spans="1:17" x14ac:dyDescent="0.2">
      <c r="A396" s="130" t="s">
        <v>144</v>
      </c>
      <c r="B396" s="135" t="s">
        <v>94</v>
      </c>
      <c r="C396" s="33" t="e">
        <f t="shared" si="189"/>
        <v>#REF!</v>
      </c>
      <c r="D396" s="32"/>
      <c r="E396" s="33">
        <v>35000</v>
      </c>
      <c r="F396" s="110"/>
      <c r="G396" s="110"/>
      <c r="H396" s="110"/>
      <c r="I396" s="33">
        <v>23500</v>
      </c>
      <c r="J396" s="31" t="e">
        <f t="shared" si="192"/>
        <v>#REF!</v>
      </c>
      <c r="K396" s="156" t="e">
        <f t="shared" si="191"/>
        <v>#REF!</v>
      </c>
      <c r="L396" s="5"/>
      <c r="M396" s="5"/>
      <c r="N396" s="5"/>
      <c r="O396" s="5"/>
      <c r="Q396" s="5"/>
    </row>
    <row r="397" spans="1:17" x14ac:dyDescent="0.2">
      <c r="A397" s="130" t="s">
        <v>144</v>
      </c>
      <c r="B397" s="135" t="s">
        <v>29</v>
      </c>
      <c r="C397" s="33">
        <f t="shared" si="189"/>
        <v>0</v>
      </c>
      <c r="D397" s="32"/>
      <c r="E397" s="33">
        <v>454000</v>
      </c>
      <c r="F397" s="110"/>
      <c r="G397" s="110"/>
      <c r="H397" s="110"/>
      <c r="I397" s="33">
        <v>329100</v>
      </c>
      <c r="J397" s="31">
        <f t="shared" si="192"/>
        <v>124900</v>
      </c>
      <c r="K397" s="156" t="b">
        <f t="shared" si="191"/>
        <v>0</v>
      </c>
      <c r="L397" s="5"/>
      <c r="M397" s="5"/>
      <c r="N397" s="5"/>
      <c r="O397" s="5"/>
      <c r="Q397" s="5"/>
    </row>
    <row r="398" spans="1:17" x14ac:dyDescent="0.2">
      <c r="A398" s="130" t="s">
        <v>144</v>
      </c>
      <c r="B398" s="135" t="s">
        <v>32</v>
      </c>
      <c r="C398" s="33" t="e">
        <f t="shared" si="189"/>
        <v>#REF!</v>
      </c>
      <c r="D398" s="32"/>
      <c r="E398" s="33"/>
      <c r="F398" s="110"/>
      <c r="G398" s="110"/>
      <c r="H398" s="33">
        <v>20000</v>
      </c>
      <c r="I398" s="33">
        <v>5000</v>
      </c>
      <c r="J398" s="31" t="e">
        <f t="shared" si="192"/>
        <v>#REF!</v>
      </c>
      <c r="K398" s="156" t="e">
        <f t="shared" si="191"/>
        <v>#REF!</v>
      </c>
      <c r="L398" s="5"/>
      <c r="M398" s="5"/>
      <c r="N398" s="5"/>
      <c r="O398" s="5"/>
      <c r="Q398" s="5"/>
    </row>
    <row r="399" spans="1:17" x14ac:dyDescent="0.2">
      <c r="A399" s="130" t="s">
        <v>144</v>
      </c>
      <c r="B399" s="136" t="s">
        <v>114</v>
      </c>
      <c r="C399" s="33">
        <f t="shared" si="189"/>
        <v>0</v>
      </c>
      <c r="D399" s="127"/>
      <c r="E399" s="53">
        <v>231000</v>
      </c>
      <c r="F399" s="53"/>
      <c r="G399" s="147"/>
      <c r="H399" s="53">
        <v>90000</v>
      </c>
      <c r="I399" s="53">
        <v>180000</v>
      </c>
      <c r="J399" s="31">
        <f t="shared" si="192"/>
        <v>-39000</v>
      </c>
      <c r="K399" s="156" t="b">
        <f t="shared" si="191"/>
        <v>0</v>
      </c>
      <c r="L399" s="5"/>
      <c r="M399" s="5"/>
      <c r="N399" s="5"/>
      <c r="O399" s="5"/>
      <c r="Q399" s="5"/>
    </row>
    <row r="400" spans="1:17" x14ac:dyDescent="0.2">
      <c r="A400" s="35" t="s">
        <v>61</v>
      </c>
      <c r="B400" s="36"/>
      <c r="C400" s="36"/>
      <c r="D400" s="36"/>
      <c r="E400" s="36"/>
      <c r="F400" s="36"/>
      <c r="G400" s="36"/>
      <c r="H400" s="36"/>
      <c r="I400" s="36"/>
      <c r="J400" s="37"/>
      <c r="K400" s="155"/>
      <c r="L400" s="5"/>
      <c r="M400" s="5"/>
      <c r="N400" s="5"/>
      <c r="O400" s="5"/>
      <c r="Q400" s="5"/>
    </row>
    <row r="401" spans="1:17" x14ac:dyDescent="0.2">
      <c r="A401" s="130" t="s">
        <v>144</v>
      </c>
      <c r="B401" s="38" t="s">
        <v>62</v>
      </c>
      <c r="C401" s="39" t="e">
        <f>+C365</f>
        <v>#REF!</v>
      </c>
      <c r="D401" s="51">
        <v>5000000</v>
      </c>
      <c r="E401" s="109"/>
      <c r="F401" s="51">
        <v>217445</v>
      </c>
      <c r="G401" s="148"/>
      <c r="H401" s="139">
        <v>2070495</v>
      </c>
      <c r="I401" s="134">
        <v>3286349</v>
      </c>
      <c r="J401" s="46" t="e">
        <f>+SUM(C401:G401)-(H401+I401)</f>
        <v>#REF!</v>
      </c>
      <c r="K401" s="156" t="e">
        <f>J401=I365</f>
        <v>#REF!</v>
      </c>
      <c r="L401" s="5"/>
      <c r="M401" s="5"/>
      <c r="N401" s="5"/>
      <c r="O401" s="5"/>
      <c r="Q401" s="5"/>
    </row>
    <row r="402" spans="1:17" x14ac:dyDescent="0.2">
      <c r="A402" s="44" t="s">
        <v>63</v>
      </c>
      <c r="B402" s="25"/>
      <c r="C402" s="36"/>
      <c r="D402" s="25"/>
      <c r="E402" s="25"/>
      <c r="F402" s="25"/>
      <c r="G402" s="25"/>
      <c r="H402" s="25"/>
      <c r="I402" s="25"/>
      <c r="J402" s="37"/>
      <c r="K402" s="155"/>
      <c r="L402" s="5"/>
      <c r="M402" s="5"/>
      <c r="N402" s="5"/>
      <c r="O402" s="5"/>
      <c r="Q402" s="5"/>
    </row>
    <row r="403" spans="1:17" x14ac:dyDescent="0.2">
      <c r="A403" s="130" t="s">
        <v>144</v>
      </c>
      <c r="B403" s="38" t="s">
        <v>64</v>
      </c>
      <c r="C403" s="133" t="e">
        <f>+#REF!</f>
        <v>#REF!</v>
      </c>
      <c r="D403" s="140">
        <v>7900099</v>
      </c>
      <c r="E403" s="51"/>
      <c r="F403" s="51"/>
      <c r="G403" s="51"/>
      <c r="H403" s="53">
        <v>3000000</v>
      </c>
      <c r="I403" s="55">
        <v>379529</v>
      </c>
      <c r="J403" s="46" t="e">
        <f>+SUM(C403:G403)-(H403+I403)</f>
        <v>#REF!</v>
      </c>
      <c r="K403" s="156" t="e">
        <f>+J403=#REF!</f>
        <v>#REF!</v>
      </c>
      <c r="L403" s="5"/>
      <c r="M403" s="5"/>
      <c r="N403" s="5"/>
      <c r="O403" s="5"/>
      <c r="Q403" s="5"/>
    </row>
    <row r="404" spans="1:17" x14ac:dyDescent="0.2">
      <c r="A404" s="130" t="s">
        <v>144</v>
      </c>
      <c r="B404" s="38" t="s">
        <v>65</v>
      </c>
      <c r="C404" s="133" t="e">
        <f>+C364</f>
        <v>#REF!</v>
      </c>
      <c r="D404" s="51"/>
      <c r="E404" s="50"/>
      <c r="F404" s="50"/>
      <c r="G404" s="50"/>
      <c r="H404" s="33">
        <v>2000000</v>
      </c>
      <c r="I404" s="52">
        <v>5392233</v>
      </c>
      <c r="J404" s="46" t="e">
        <f>SUM(C404:G404)-(H404+I404)</f>
        <v>#REF!</v>
      </c>
      <c r="K404" s="156" t="e">
        <f>+J404=I364</f>
        <v>#REF!</v>
      </c>
      <c r="L404" s="5"/>
      <c r="M404" s="5"/>
      <c r="N404" s="5"/>
      <c r="O404" s="5"/>
      <c r="Q404" s="5"/>
    </row>
    <row r="405" spans="1:17" ht="15.75" x14ac:dyDescent="0.25">
      <c r="C405" s="151" t="e">
        <f>SUM(C388:C404)</f>
        <v>#REF!</v>
      </c>
      <c r="I405" s="149">
        <f>SUM(I388:I404)</f>
        <v>11225561</v>
      </c>
      <c r="J405" s="111" t="e">
        <f>+SUM(J388:J404)</f>
        <v>#REF!</v>
      </c>
      <c r="K405" s="5" t="e">
        <f>J405=I377</f>
        <v>#REF!</v>
      </c>
      <c r="L405" s="5"/>
      <c r="M405" s="5"/>
      <c r="N405" s="5"/>
      <c r="O405" s="5"/>
      <c r="Q405" s="5"/>
    </row>
    <row r="406" spans="1:17" ht="16.5" x14ac:dyDescent="0.3">
      <c r="A406" s="14"/>
      <c r="B406" s="15"/>
      <c r="C406" s="12"/>
      <c r="D406" s="12"/>
      <c r="E406" s="13"/>
      <c r="F406" s="12"/>
      <c r="G406" s="12"/>
      <c r="H406" s="12"/>
      <c r="I406" s="12"/>
      <c r="L406" s="5"/>
      <c r="M406" s="5"/>
      <c r="N406" s="5"/>
      <c r="O406" s="5"/>
      <c r="Q406" s="5"/>
    </row>
    <row r="407" spans="1:17" x14ac:dyDescent="0.2">
      <c r="A407" s="16" t="s">
        <v>53</v>
      </c>
      <c r="B407" s="16"/>
      <c r="C407" s="16"/>
      <c r="D407" s="17"/>
      <c r="E407" s="17"/>
      <c r="F407" s="17"/>
      <c r="G407" s="17"/>
      <c r="H407" s="17"/>
      <c r="I407" s="17"/>
      <c r="L407" s="5"/>
      <c r="M407" s="5"/>
      <c r="N407" s="5"/>
      <c r="O407" s="5"/>
      <c r="Q407" s="5"/>
    </row>
    <row r="408" spans="1:17" x14ac:dyDescent="0.2">
      <c r="A408" s="18" t="s">
        <v>132</v>
      </c>
      <c r="B408" s="18"/>
      <c r="C408" s="18"/>
      <c r="D408" s="18"/>
      <c r="E408" s="18"/>
      <c r="F408" s="18"/>
      <c r="G408" s="18"/>
      <c r="H408" s="18"/>
      <c r="I408" s="18"/>
      <c r="J408" s="17"/>
      <c r="L408" s="5"/>
      <c r="M408" s="5"/>
      <c r="N408" s="5"/>
      <c r="O408" s="5"/>
      <c r="Q408" s="5"/>
    </row>
    <row r="409" spans="1:17" x14ac:dyDescent="0.2">
      <c r="A409" s="19"/>
      <c r="B409" s="20"/>
      <c r="C409" s="21"/>
      <c r="D409" s="21"/>
      <c r="E409" s="21"/>
      <c r="F409" s="21"/>
      <c r="G409" s="21"/>
      <c r="H409" s="20"/>
      <c r="I409" s="20"/>
      <c r="J409" s="18"/>
      <c r="L409" s="5"/>
      <c r="M409" s="5"/>
      <c r="N409" s="5"/>
      <c r="O409" s="5"/>
      <c r="Q409" s="5"/>
    </row>
    <row r="410" spans="1:17" x14ac:dyDescent="0.2">
      <c r="A410" s="377" t="s">
        <v>54</v>
      </c>
      <c r="B410" s="379" t="s">
        <v>55</v>
      </c>
      <c r="C410" s="381" t="s">
        <v>133</v>
      </c>
      <c r="D410" s="383" t="s">
        <v>56</v>
      </c>
      <c r="E410" s="384"/>
      <c r="F410" s="384"/>
      <c r="G410" s="385"/>
      <c r="H410" s="386" t="s">
        <v>57</v>
      </c>
      <c r="I410" s="373" t="s">
        <v>58</v>
      </c>
      <c r="J410" s="20"/>
      <c r="L410" s="5"/>
      <c r="M410" s="5"/>
      <c r="N410" s="5"/>
      <c r="O410" s="5"/>
      <c r="Q410" s="5"/>
    </row>
    <row r="411" spans="1:17" x14ac:dyDescent="0.25">
      <c r="A411" s="378"/>
      <c r="B411" s="380"/>
      <c r="C411" s="382"/>
      <c r="D411" s="22" t="s">
        <v>24</v>
      </c>
      <c r="E411" s="22" t="s">
        <v>25</v>
      </c>
      <c r="F411" s="167" t="s">
        <v>124</v>
      </c>
      <c r="G411" s="22" t="s">
        <v>59</v>
      </c>
      <c r="H411" s="387"/>
      <c r="I411" s="374"/>
      <c r="J411" s="375" t="s">
        <v>134</v>
      </c>
      <c r="K411" s="155"/>
      <c r="L411" s="5"/>
      <c r="M411" s="5"/>
      <c r="N411" s="5"/>
      <c r="O411" s="5"/>
      <c r="Q411" s="5"/>
    </row>
    <row r="412" spans="1:17" x14ac:dyDescent="0.2">
      <c r="A412" s="24"/>
      <c r="B412" s="25" t="s">
        <v>60</v>
      </c>
      <c r="C412" s="26"/>
      <c r="D412" s="26"/>
      <c r="E412" s="26"/>
      <c r="F412" s="26"/>
      <c r="G412" s="26"/>
      <c r="H412" s="26"/>
      <c r="I412" s="27"/>
      <c r="J412" s="376"/>
      <c r="K412" s="155"/>
      <c r="L412" s="5"/>
      <c r="M412" s="5"/>
      <c r="N412" s="5"/>
      <c r="O412" s="5"/>
      <c r="Q412" s="5"/>
    </row>
    <row r="413" spans="1:17" x14ac:dyDescent="0.2">
      <c r="A413" s="130" t="s">
        <v>135</v>
      </c>
      <c r="B413" s="135" t="s">
        <v>77</v>
      </c>
      <c r="C413" s="33">
        <v>40050</v>
      </c>
      <c r="D413" s="32"/>
      <c r="E413" s="33">
        <v>104000</v>
      </c>
      <c r="F413" s="33"/>
      <c r="G413" s="33"/>
      <c r="H413" s="57">
        <v>54000</v>
      </c>
      <c r="I413" s="33">
        <v>81000</v>
      </c>
      <c r="J413" s="31">
        <f>+SUM(C413:G413)-(H413+I413)</f>
        <v>9050</v>
      </c>
      <c r="K413" s="156" t="e">
        <f>J413=#REF!</f>
        <v>#REF!</v>
      </c>
      <c r="L413" s="5"/>
      <c r="M413" s="5"/>
      <c r="N413" s="5"/>
      <c r="O413" s="5"/>
      <c r="Q413" s="5"/>
    </row>
    <row r="414" spans="1:17" x14ac:dyDescent="0.2">
      <c r="A414" s="130" t="s">
        <v>135</v>
      </c>
      <c r="B414" s="135" t="s">
        <v>48</v>
      </c>
      <c r="C414" s="33">
        <v>38845</v>
      </c>
      <c r="D414" s="32"/>
      <c r="E414" s="33">
        <v>1550000</v>
      </c>
      <c r="F414" s="33"/>
      <c r="G414" s="33"/>
      <c r="H414" s="57">
        <v>311000</v>
      </c>
      <c r="I414" s="33">
        <v>1017400</v>
      </c>
      <c r="J414" s="31">
        <f t="shared" ref="J414:J415" si="193">+SUM(C414:G414)-(H414+I414)</f>
        <v>260445</v>
      </c>
      <c r="K414" s="156" t="b">
        <f>J414=I366</f>
        <v>0</v>
      </c>
      <c r="L414" s="5"/>
      <c r="M414" s="5"/>
      <c r="N414" s="5"/>
      <c r="O414" s="5"/>
      <c r="Q414" s="5"/>
    </row>
    <row r="415" spans="1:17" x14ac:dyDescent="0.2">
      <c r="A415" s="130" t="s">
        <v>135</v>
      </c>
      <c r="B415" s="135" t="s">
        <v>31</v>
      </c>
      <c r="C415" s="33">
        <v>6895</v>
      </c>
      <c r="D415" s="32"/>
      <c r="E415" s="33">
        <v>581000</v>
      </c>
      <c r="F415" s="33"/>
      <c r="G415" s="33"/>
      <c r="H415" s="33"/>
      <c r="I415" s="33">
        <v>498900</v>
      </c>
      <c r="J415" s="107">
        <f t="shared" si="193"/>
        <v>88995</v>
      </c>
      <c r="K415" s="156" t="b">
        <f>J415=I367</f>
        <v>0</v>
      </c>
      <c r="L415" s="5"/>
      <c r="M415" s="5"/>
      <c r="N415" s="5"/>
      <c r="O415" s="5"/>
      <c r="Q415" s="5"/>
    </row>
    <row r="416" spans="1:17" x14ac:dyDescent="0.2">
      <c r="A416" s="130" t="s">
        <v>135</v>
      </c>
      <c r="B416" s="135" t="s">
        <v>78</v>
      </c>
      <c r="C416" s="33">
        <v>28540</v>
      </c>
      <c r="D416" s="110"/>
      <c r="E416" s="33">
        <v>332000</v>
      </c>
      <c r="F416" s="33">
        <v>10000</v>
      </c>
      <c r="G416" s="33"/>
      <c r="H416" s="33"/>
      <c r="I416" s="33">
        <v>302850</v>
      </c>
      <c r="J416" s="107">
        <f>+SUM(C416:G416)-(H416+I416)</f>
        <v>67690</v>
      </c>
      <c r="K416" s="156" t="b">
        <f>J416=I368</f>
        <v>0</v>
      </c>
      <c r="L416" s="5"/>
      <c r="M416" s="5"/>
      <c r="N416" s="5"/>
      <c r="O416" s="5"/>
      <c r="Q416" s="5"/>
    </row>
    <row r="417" spans="1:17" x14ac:dyDescent="0.2">
      <c r="A417" s="130" t="s">
        <v>135</v>
      </c>
      <c r="B417" s="135" t="s">
        <v>70</v>
      </c>
      <c r="C417" s="33">
        <v>184</v>
      </c>
      <c r="D417" s="110"/>
      <c r="E417" s="33"/>
      <c r="F417" s="33"/>
      <c r="G417" s="33"/>
      <c r="H417" s="33">
        <v>184</v>
      </c>
      <c r="I417" s="33"/>
      <c r="J417" s="107">
        <f t="shared" ref="J417" si="194">+SUM(C417:G417)-(H417+I417)</f>
        <v>0</v>
      </c>
      <c r="K417" s="156" t="e">
        <f>J417=#REF!</f>
        <v>#REF!</v>
      </c>
      <c r="L417" s="5"/>
      <c r="M417" s="5"/>
      <c r="N417" s="5"/>
      <c r="O417" s="5"/>
      <c r="Q417" s="5"/>
    </row>
    <row r="418" spans="1:17" x14ac:dyDescent="0.2">
      <c r="A418" s="130" t="s">
        <v>135</v>
      </c>
      <c r="B418" s="136" t="s">
        <v>30</v>
      </c>
      <c r="C418" s="33">
        <v>68200</v>
      </c>
      <c r="D418" s="127"/>
      <c r="E418" s="53">
        <v>638000</v>
      </c>
      <c r="F418" s="53">
        <v>45000</v>
      </c>
      <c r="G418" s="53"/>
      <c r="H418" s="53"/>
      <c r="I418" s="53">
        <v>787385</v>
      </c>
      <c r="J418" s="132">
        <f>+SUM(C418:G418)-(H418+I418)</f>
        <v>-36185</v>
      </c>
      <c r="K418" s="156" t="b">
        <f t="shared" ref="K418:K425" si="195">J418=I369</f>
        <v>0</v>
      </c>
      <c r="L418" s="5"/>
      <c r="M418" s="5"/>
      <c r="N418" s="5"/>
      <c r="O418" s="5"/>
      <c r="Q418" s="5"/>
    </row>
    <row r="419" spans="1:17" x14ac:dyDescent="0.2">
      <c r="A419" s="130" t="s">
        <v>135</v>
      </c>
      <c r="B419" s="137" t="s">
        <v>85</v>
      </c>
      <c r="C419" s="128">
        <v>233614</v>
      </c>
      <c r="D419" s="131"/>
      <c r="E419" s="146"/>
      <c r="F419" s="146"/>
      <c r="G419" s="146"/>
      <c r="H419" s="146"/>
      <c r="I419" s="146"/>
      <c r="J419" s="129">
        <f>+SUM(C419:G419)-(H419+I419)</f>
        <v>233614</v>
      </c>
      <c r="K419" s="156" t="b">
        <f t="shared" si="195"/>
        <v>0</v>
      </c>
      <c r="L419" s="5"/>
      <c r="M419" s="5"/>
      <c r="N419" s="5"/>
      <c r="O419" s="5"/>
      <c r="Q419" s="5"/>
    </row>
    <row r="420" spans="1:17" x14ac:dyDescent="0.2">
      <c r="A420" s="130" t="s">
        <v>135</v>
      </c>
      <c r="B420" s="137" t="s">
        <v>84</v>
      </c>
      <c r="C420" s="128">
        <v>249769</v>
      </c>
      <c r="D420" s="131"/>
      <c r="E420" s="146"/>
      <c r="F420" s="146"/>
      <c r="G420" s="146"/>
      <c r="H420" s="146"/>
      <c r="I420" s="146"/>
      <c r="J420" s="129">
        <f t="shared" ref="J420:J425" si="196">+SUM(C420:G420)-(H420+I420)</f>
        <v>249769</v>
      </c>
      <c r="K420" s="156" t="b">
        <f t="shared" si="195"/>
        <v>0</v>
      </c>
      <c r="L420" s="5"/>
      <c r="M420" s="5"/>
      <c r="N420" s="5"/>
      <c r="O420" s="5"/>
      <c r="Q420" s="5"/>
    </row>
    <row r="421" spans="1:17" x14ac:dyDescent="0.2">
      <c r="A421" s="130" t="s">
        <v>135</v>
      </c>
      <c r="B421" s="135" t="s">
        <v>36</v>
      </c>
      <c r="C421" s="33">
        <v>-4675</v>
      </c>
      <c r="D421" s="32"/>
      <c r="E421" s="33">
        <v>494000</v>
      </c>
      <c r="F421" s="33">
        <v>256000</v>
      </c>
      <c r="G421" s="110"/>
      <c r="H421" s="110">
        <v>6500</v>
      </c>
      <c r="I421" s="33">
        <v>607250</v>
      </c>
      <c r="J421" s="31">
        <f t="shared" si="196"/>
        <v>131575</v>
      </c>
      <c r="K421" s="156" t="b">
        <f t="shared" si="195"/>
        <v>0</v>
      </c>
      <c r="L421" s="5"/>
      <c r="M421" s="5"/>
      <c r="N421" s="5"/>
      <c r="O421" s="5"/>
      <c r="Q421" s="5"/>
    </row>
    <row r="422" spans="1:17" x14ac:dyDescent="0.2">
      <c r="A422" s="130" t="s">
        <v>135</v>
      </c>
      <c r="B422" s="135" t="s">
        <v>94</v>
      </c>
      <c r="C422" s="33">
        <v>5000</v>
      </c>
      <c r="D422" s="32"/>
      <c r="E422" s="33">
        <v>30000</v>
      </c>
      <c r="F422" s="110"/>
      <c r="G422" s="110"/>
      <c r="H422" s="110"/>
      <c r="I422" s="33">
        <v>29500</v>
      </c>
      <c r="J422" s="31">
        <f t="shared" si="196"/>
        <v>5500</v>
      </c>
      <c r="K422" s="156" t="b">
        <f t="shared" si="195"/>
        <v>0</v>
      </c>
      <c r="L422" s="5"/>
      <c r="M422" s="5"/>
      <c r="N422" s="5"/>
      <c r="O422" s="5"/>
      <c r="Q422" s="5"/>
    </row>
    <row r="423" spans="1:17" x14ac:dyDescent="0.2">
      <c r="A423" s="130" t="s">
        <v>135</v>
      </c>
      <c r="B423" s="135" t="s">
        <v>29</v>
      </c>
      <c r="C423" s="33">
        <v>72800</v>
      </c>
      <c r="D423" s="32"/>
      <c r="E423" s="33">
        <v>446000</v>
      </c>
      <c r="F423" s="110"/>
      <c r="G423" s="110"/>
      <c r="H423" s="110"/>
      <c r="I423" s="33">
        <v>512600</v>
      </c>
      <c r="J423" s="31">
        <f t="shared" si="196"/>
        <v>6200</v>
      </c>
      <c r="K423" s="156" t="b">
        <f t="shared" si="195"/>
        <v>0</v>
      </c>
      <c r="L423" s="5"/>
      <c r="M423" s="5"/>
      <c r="N423" s="5"/>
      <c r="O423" s="5"/>
      <c r="Q423" s="5"/>
    </row>
    <row r="424" spans="1:17" x14ac:dyDescent="0.2">
      <c r="A424" s="130" t="s">
        <v>135</v>
      </c>
      <c r="B424" s="135" t="s">
        <v>32</v>
      </c>
      <c r="C424" s="33">
        <v>47300</v>
      </c>
      <c r="D424" s="32"/>
      <c r="E424" s="33">
        <v>5000</v>
      </c>
      <c r="F424" s="110">
        <v>6500</v>
      </c>
      <c r="G424" s="110"/>
      <c r="H424" s="33">
        <v>20000</v>
      </c>
      <c r="I424" s="33">
        <v>8000</v>
      </c>
      <c r="J424" s="31">
        <f t="shared" si="196"/>
        <v>30800</v>
      </c>
      <c r="K424" s="156" t="b">
        <f t="shared" si="195"/>
        <v>0</v>
      </c>
      <c r="L424" s="5"/>
      <c r="M424" s="5"/>
      <c r="N424" s="5"/>
      <c r="O424" s="5"/>
      <c r="Q424" s="5"/>
    </row>
    <row r="425" spans="1:17" x14ac:dyDescent="0.2">
      <c r="A425" s="130" t="s">
        <v>135</v>
      </c>
      <c r="B425" s="136" t="s">
        <v>114</v>
      </c>
      <c r="C425" s="33">
        <v>79600</v>
      </c>
      <c r="D425" s="127"/>
      <c r="E425" s="53"/>
      <c r="F425" s="53"/>
      <c r="G425" s="147"/>
      <c r="H425" s="53"/>
      <c r="I425" s="53">
        <v>37707</v>
      </c>
      <c r="J425" s="31">
        <f t="shared" si="196"/>
        <v>41893</v>
      </c>
      <c r="K425" s="156" t="b">
        <f t="shared" si="195"/>
        <v>0</v>
      </c>
      <c r="L425" s="5"/>
      <c r="M425" s="5"/>
      <c r="N425" s="5"/>
      <c r="O425" s="5"/>
      <c r="Q425" s="5"/>
    </row>
    <row r="426" spans="1:17" x14ac:dyDescent="0.2">
      <c r="A426" s="35" t="s">
        <v>61</v>
      </c>
      <c r="B426" s="36"/>
      <c r="C426" s="36"/>
      <c r="D426" s="36"/>
      <c r="E426" s="36"/>
      <c r="F426" s="36"/>
      <c r="G426" s="36"/>
      <c r="H426" s="36"/>
      <c r="I426" s="36"/>
      <c r="J426" s="37"/>
      <c r="K426" s="155"/>
      <c r="L426" s="5"/>
      <c r="M426" s="5"/>
      <c r="N426" s="5"/>
      <c r="O426" s="5"/>
      <c r="Q426" s="5"/>
    </row>
    <row r="427" spans="1:17" x14ac:dyDescent="0.2">
      <c r="A427" s="130" t="s">
        <v>135</v>
      </c>
      <c r="B427" s="38" t="s">
        <v>62</v>
      </c>
      <c r="C427" s="39">
        <v>467929</v>
      </c>
      <c r="D427" s="51">
        <v>6310000</v>
      </c>
      <c r="E427" s="109"/>
      <c r="F427" s="51">
        <v>74184</v>
      </c>
      <c r="G427" s="148"/>
      <c r="H427" s="139">
        <v>4180000</v>
      </c>
      <c r="I427" s="134">
        <v>1710965</v>
      </c>
      <c r="J427" s="46">
        <f>+SUM(C427:G427)-(H427+I427)</f>
        <v>961148</v>
      </c>
      <c r="K427" s="156" t="b">
        <f>J427=I365</f>
        <v>0</v>
      </c>
      <c r="L427" s="5"/>
      <c r="M427" s="5"/>
      <c r="N427" s="5"/>
      <c r="O427" s="5"/>
      <c r="Q427" s="5"/>
    </row>
    <row r="428" spans="1:17" x14ac:dyDescent="0.2">
      <c r="A428" s="44" t="s">
        <v>63</v>
      </c>
      <c r="B428" s="25"/>
      <c r="C428" s="36"/>
      <c r="D428" s="25"/>
      <c r="E428" s="25"/>
      <c r="F428" s="25"/>
      <c r="G428" s="25"/>
      <c r="H428" s="25"/>
      <c r="I428" s="25"/>
      <c r="J428" s="37"/>
      <c r="K428" s="155"/>
      <c r="L428" s="5"/>
      <c r="M428" s="5"/>
      <c r="N428" s="5"/>
      <c r="O428" s="5"/>
      <c r="Q428" s="5"/>
    </row>
    <row r="429" spans="1:17" x14ac:dyDescent="0.2">
      <c r="A429" s="130" t="s">
        <v>135</v>
      </c>
      <c r="B429" s="38" t="s">
        <v>64</v>
      </c>
      <c r="C429" s="133">
        <v>7405927</v>
      </c>
      <c r="D429" s="140"/>
      <c r="E429" s="51"/>
      <c r="F429" s="51"/>
      <c r="G429" s="51"/>
      <c r="H429" s="53">
        <v>2000000</v>
      </c>
      <c r="I429" s="55">
        <v>1710232</v>
      </c>
      <c r="J429" s="46">
        <f>+SUM(C429:G429)-(H429+I429)</f>
        <v>3695695</v>
      </c>
      <c r="K429" s="156" t="e">
        <f>+J429=#REF!</f>
        <v>#REF!</v>
      </c>
      <c r="L429" s="5"/>
      <c r="M429" s="5"/>
      <c r="N429" s="5"/>
      <c r="O429" s="5"/>
      <c r="Q429" s="5"/>
    </row>
    <row r="430" spans="1:17" x14ac:dyDescent="0.2">
      <c r="A430" s="130" t="s">
        <v>135</v>
      </c>
      <c r="B430" s="38" t="s">
        <v>65</v>
      </c>
      <c r="C430" s="133">
        <v>22972065</v>
      </c>
      <c r="D430" s="51"/>
      <c r="E430" s="50"/>
      <c r="F430" s="50"/>
      <c r="G430" s="50"/>
      <c r="H430" s="33">
        <v>4310000</v>
      </c>
      <c r="I430" s="52">
        <v>3055511</v>
      </c>
      <c r="J430" s="46">
        <f>SUM(C430:G430)-(H430+I430)</f>
        <v>15606554</v>
      </c>
      <c r="K430" s="156" t="b">
        <f>+J430=I364</f>
        <v>0</v>
      </c>
      <c r="L430" s="5"/>
      <c r="M430" s="5"/>
      <c r="N430" s="5"/>
      <c r="O430" s="5"/>
      <c r="Q430" s="5"/>
    </row>
    <row r="431" spans="1:17" ht="15.75" x14ac:dyDescent="0.25">
      <c r="C431" s="151">
        <f>SUM(C413:C430)</f>
        <v>31712043</v>
      </c>
      <c r="I431" s="149">
        <f>SUM(I413:I430)</f>
        <v>10359300</v>
      </c>
      <c r="J431" s="111">
        <f>+SUM(J413:J430)</f>
        <v>21352743</v>
      </c>
      <c r="K431" s="5" t="b">
        <f>J431=I377</f>
        <v>0</v>
      </c>
      <c r="L431" s="5"/>
      <c r="M431" s="5"/>
      <c r="N431" s="5"/>
      <c r="O431" s="5"/>
      <c r="Q431" s="5"/>
    </row>
    <row r="432" spans="1:17" ht="16.5" x14ac:dyDescent="0.3">
      <c r="A432" s="14"/>
      <c r="B432" s="15"/>
      <c r="C432" s="12"/>
      <c r="D432" s="12"/>
      <c r="E432" s="13"/>
      <c r="F432" s="12"/>
      <c r="G432" s="12"/>
      <c r="H432" s="12"/>
      <c r="I432" s="12"/>
      <c r="L432" s="5"/>
      <c r="M432" s="5"/>
      <c r="N432" s="5"/>
      <c r="O432" s="5"/>
      <c r="Q432" s="5"/>
    </row>
    <row r="433" spans="1:17" x14ac:dyDescent="0.2">
      <c r="A433" s="16" t="s">
        <v>53</v>
      </c>
      <c r="B433" s="16"/>
      <c r="C433" s="16"/>
      <c r="D433" s="17"/>
      <c r="E433" s="17"/>
      <c r="F433" s="17"/>
      <c r="G433" s="17"/>
      <c r="H433" s="17"/>
      <c r="I433" s="17"/>
      <c r="L433" s="5"/>
      <c r="M433" s="5"/>
      <c r="N433" s="5"/>
      <c r="O433" s="5"/>
      <c r="Q433" s="5"/>
    </row>
    <row r="434" spans="1:17" x14ac:dyDescent="0.2">
      <c r="A434" s="18" t="s">
        <v>125</v>
      </c>
      <c r="B434" s="18"/>
      <c r="C434" s="18"/>
      <c r="D434" s="18"/>
      <c r="E434" s="18"/>
      <c r="F434" s="18"/>
      <c r="G434" s="18"/>
      <c r="H434" s="18"/>
      <c r="I434" s="18"/>
      <c r="J434" s="17"/>
      <c r="L434" s="5"/>
      <c r="M434" s="5"/>
      <c r="N434" s="5"/>
      <c r="O434" s="5"/>
      <c r="Q434" s="5"/>
    </row>
    <row r="435" spans="1:17" x14ac:dyDescent="0.2">
      <c r="A435" s="19"/>
      <c r="B435" s="20"/>
      <c r="C435" s="21"/>
      <c r="D435" s="21"/>
      <c r="E435" s="21"/>
      <c r="F435" s="21"/>
      <c r="G435" s="21"/>
      <c r="H435" s="20"/>
      <c r="I435" s="20"/>
      <c r="J435" s="18"/>
      <c r="L435" s="5"/>
      <c r="M435" s="5"/>
      <c r="N435" s="5"/>
      <c r="O435" s="5"/>
      <c r="Q435" s="5"/>
    </row>
    <row r="436" spans="1:17" x14ac:dyDescent="0.2">
      <c r="A436" s="377" t="s">
        <v>54</v>
      </c>
      <c r="B436" s="379" t="s">
        <v>55</v>
      </c>
      <c r="C436" s="381" t="s">
        <v>126</v>
      </c>
      <c r="D436" s="383" t="s">
        <v>56</v>
      </c>
      <c r="E436" s="384"/>
      <c r="F436" s="384"/>
      <c r="G436" s="385"/>
      <c r="H436" s="386" t="s">
        <v>57</v>
      </c>
      <c r="I436" s="373" t="s">
        <v>58</v>
      </c>
      <c r="J436" s="20"/>
      <c r="L436" s="5"/>
      <c r="M436" s="5"/>
      <c r="N436" s="5"/>
      <c r="O436" s="5"/>
      <c r="Q436" s="5"/>
    </row>
    <row r="437" spans="1:17" x14ac:dyDescent="0.25">
      <c r="A437" s="378"/>
      <c r="B437" s="380"/>
      <c r="C437" s="382"/>
      <c r="D437" s="22" t="s">
        <v>24</v>
      </c>
      <c r="E437" s="22" t="s">
        <v>25</v>
      </c>
      <c r="F437" s="166" t="s">
        <v>124</v>
      </c>
      <c r="G437" s="22" t="s">
        <v>59</v>
      </c>
      <c r="H437" s="387"/>
      <c r="I437" s="374"/>
      <c r="J437" s="375" t="s">
        <v>127</v>
      </c>
      <c r="K437" s="155"/>
      <c r="L437" s="5"/>
      <c r="M437" s="5"/>
      <c r="N437" s="5"/>
      <c r="O437" s="5"/>
      <c r="Q437" s="5"/>
    </row>
    <row r="438" spans="1:17" x14ac:dyDescent="0.2">
      <c r="A438" s="24"/>
      <c r="B438" s="25" t="s">
        <v>60</v>
      </c>
      <c r="C438" s="26"/>
      <c r="D438" s="26"/>
      <c r="E438" s="26"/>
      <c r="F438" s="26"/>
      <c r="G438" s="26"/>
      <c r="H438" s="26"/>
      <c r="I438" s="27"/>
      <c r="J438" s="376"/>
      <c r="K438" s="155"/>
      <c r="L438" s="5"/>
      <c r="M438" s="5"/>
      <c r="N438" s="5"/>
      <c r="O438" s="5"/>
      <c r="Q438" s="5"/>
    </row>
    <row r="439" spans="1:17" x14ac:dyDescent="0.2">
      <c r="A439" s="130" t="s">
        <v>128</v>
      </c>
      <c r="B439" s="135" t="s">
        <v>77</v>
      </c>
      <c r="C439" s="33">
        <v>-450</v>
      </c>
      <c r="D439" s="32"/>
      <c r="E439" s="33">
        <v>168000</v>
      </c>
      <c r="F439" s="33">
        <v>55000</v>
      </c>
      <c r="G439" s="33"/>
      <c r="H439" s="57"/>
      <c r="I439" s="33">
        <v>182500</v>
      </c>
      <c r="J439" s="31">
        <f>+SUM(C439:G439)-(H439+I439)</f>
        <v>40050</v>
      </c>
      <c r="K439" s="156"/>
      <c r="L439" s="5"/>
      <c r="M439" s="5"/>
      <c r="N439" s="5"/>
      <c r="O439" s="5"/>
      <c r="Q439" s="5"/>
    </row>
    <row r="440" spans="1:17" x14ac:dyDescent="0.2">
      <c r="A440" s="130" t="s">
        <v>128</v>
      </c>
      <c r="B440" s="135" t="s">
        <v>48</v>
      </c>
      <c r="C440" s="33">
        <v>12510</v>
      </c>
      <c r="D440" s="32"/>
      <c r="E440" s="33">
        <v>303000</v>
      </c>
      <c r="F440" s="33"/>
      <c r="G440" s="33"/>
      <c r="H440" s="57"/>
      <c r="I440" s="33">
        <v>276665</v>
      </c>
      <c r="J440" s="31">
        <f t="shared" ref="J440:J441" si="197">+SUM(C440:G440)-(H440+I440)</f>
        <v>38845</v>
      </c>
      <c r="K440" s="156"/>
      <c r="L440" s="5"/>
      <c r="M440" s="5"/>
      <c r="N440" s="5"/>
      <c r="O440" s="5"/>
      <c r="Q440" s="5"/>
    </row>
    <row r="441" spans="1:17" x14ac:dyDescent="0.2">
      <c r="A441" s="130" t="s">
        <v>128</v>
      </c>
      <c r="B441" s="135" t="s">
        <v>31</v>
      </c>
      <c r="C441" s="33">
        <v>2895</v>
      </c>
      <c r="D441" s="32"/>
      <c r="E441" s="33">
        <v>40000</v>
      </c>
      <c r="F441" s="33"/>
      <c r="G441" s="33"/>
      <c r="H441" s="33"/>
      <c r="I441" s="33">
        <v>36000</v>
      </c>
      <c r="J441" s="107">
        <f t="shared" si="197"/>
        <v>6895</v>
      </c>
      <c r="K441" s="156"/>
      <c r="L441" s="5"/>
      <c r="M441" s="5"/>
      <c r="N441" s="5"/>
      <c r="O441" s="5"/>
      <c r="Q441" s="5"/>
    </row>
    <row r="442" spans="1:17" x14ac:dyDescent="0.2">
      <c r="A442" s="130" t="s">
        <v>128</v>
      </c>
      <c r="B442" s="135" t="s">
        <v>78</v>
      </c>
      <c r="C442" s="33">
        <v>62040</v>
      </c>
      <c r="D442" s="110"/>
      <c r="E442" s="33"/>
      <c r="F442" s="33"/>
      <c r="G442" s="33"/>
      <c r="H442" s="33">
        <v>25000</v>
      </c>
      <c r="I442" s="33">
        <v>8500</v>
      </c>
      <c r="J442" s="107">
        <f>+SUM(C442:G442)-(H442+I442)</f>
        <v>28540</v>
      </c>
      <c r="K442" s="156"/>
      <c r="L442" s="5"/>
      <c r="M442" s="5"/>
      <c r="N442" s="5"/>
      <c r="O442" s="5"/>
      <c r="Q442" s="5"/>
    </row>
    <row r="443" spans="1:17" x14ac:dyDescent="0.2">
      <c r="A443" s="130" t="s">
        <v>128</v>
      </c>
      <c r="B443" s="135" t="s">
        <v>70</v>
      </c>
      <c r="C443" s="33">
        <v>184</v>
      </c>
      <c r="D443" s="110"/>
      <c r="E443" s="33">
        <v>0</v>
      </c>
      <c r="F443" s="33"/>
      <c r="G443" s="33"/>
      <c r="H443" s="33"/>
      <c r="I443" s="33">
        <v>0</v>
      </c>
      <c r="J443" s="107">
        <f t="shared" ref="J443" si="198">+SUM(C443:G443)-(H443+I443)</f>
        <v>184</v>
      </c>
      <c r="K443" s="156"/>
      <c r="L443" s="5"/>
      <c r="M443" s="5"/>
      <c r="N443" s="5"/>
      <c r="O443" s="5"/>
      <c r="Q443" s="5"/>
    </row>
    <row r="444" spans="1:17" x14ac:dyDescent="0.2">
      <c r="A444" s="130" t="s">
        <v>128</v>
      </c>
      <c r="B444" s="136" t="s">
        <v>30</v>
      </c>
      <c r="C444" s="33">
        <v>-36500</v>
      </c>
      <c r="D444" s="127"/>
      <c r="E444" s="53">
        <v>523500</v>
      </c>
      <c r="F444" s="53"/>
      <c r="G444" s="53"/>
      <c r="H444" s="53"/>
      <c r="I444" s="53">
        <v>418800</v>
      </c>
      <c r="J444" s="132">
        <f>+SUM(C444:G444)-(H444+I444)</f>
        <v>68200</v>
      </c>
      <c r="K444" s="156"/>
      <c r="L444" s="5"/>
      <c r="M444" s="5"/>
      <c r="N444" s="5"/>
      <c r="O444" s="5"/>
      <c r="Q444" s="5"/>
    </row>
    <row r="445" spans="1:17" x14ac:dyDescent="0.2">
      <c r="A445" s="130" t="s">
        <v>128</v>
      </c>
      <c r="B445" s="137" t="s">
        <v>85</v>
      </c>
      <c r="C445" s="128">
        <v>233614</v>
      </c>
      <c r="D445" s="131"/>
      <c r="E445" s="146"/>
      <c r="F445" s="146"/>
      <c r="G445" s="146"/>
      <c r="H445" s="146"/>
      <c r="I445" s="146"/>
      <c r="J445" s="129">
        <f>+SUM(C445:G445)-(H445+I445)</f>
        <v>233614</v>
      </c>
      <c r="K445" s="156"/>
      <c r="L445" s="5"/>
      <c r="M445" s="5"/>
      <c r="N445" s="5"/>
      <c r="O445" s="5"/>
      <c r="Q445" s="5"/>
    </row>
    <row r="446" spans="1:17" x14ac:dyDescent="0.2">
      <c r="A446" s="130" t="s">
        <v>128</v>
      </c>
      <c r="B446" s="137" t="s">
        <v>84</v>
      </c>
      <c r="C446" s="128">
        <v>249769</v>
      </c>
      <c r="D446" s="131"/>
      <c r="E446" s="146"/>
      <c r="F446" s="146"/>
      <c r="G446" s="146"/>
      <c r="H446" s="146"/>
      <c r="I446" s="146"/>
      <c r="J446" s="129">
        <f t="shared" ref="J446:J451" si="199">+SUM(C446:G446)-(H446+I446)</f>
        <v>249769</v>
      </c>
      <c r="K446" s="156"/>
      <c r="L446" s="5"/>
      <c r="M446" s="5"/>
      <c r="N446" s="5"/>
      <c r="O446" s="5"/>
      <c r="Q446" s="5"/>
    </row>
    <row r="447" spans="1:17" x14ac:dyDescent="0.2">
      <c r="A447" s="130" t="s">
        <v>128</v>
      </c>
      <c r="B447" s="135" t="s">
        <v>36</v>
      </c>
      <c r="C447" s="33">
        <v>71200</v>
      </c>
      <c r="D447" s="32"/>
      <c r="E447" s="33">
        <v>1056000</v>
      </c>
      <c r="F447" s="33"/>
      <c r="G447" s="110"/>
      <c r="H447" s="110">
        <v>55000</v>
      </c>
      <c r="I447" s="33">
        <v>1076875</v>
      </c>
      <c r="J447" s="31">
        <f t="shared" si="199"/>
        <v>-4675</v>
      </c>
      <c r="K447" s="156"/>
      <c r="L447" s="5"/>
      <c r="M447" s="5"/>
      <c r="N447" s="5"/>
      <c r="O447" s="5"/>
      <c r="Q447" s="5"/>
    </row>
    <row r="448" spans="1:17" x14ac:dyDescent="0.2">
      <c r="A448" s="130" t="s">
        <v>128</v>
      </c>
      <c r="B448" s="135" t="s">
        <v>94</v>
      </c>
      <c r="C448" s="33">
        <v>6000</v>
      </c>
      <c r="D448" s="32"/>
      <c r="E448" s="33">
        <v>20000</v>
      </c>
      <c r="F448" s="110"/>
      <c r="G448" s="110"/>
      <c r="H448" s="110"/>
      <c r="I448" s="33">
        <v>21000</v>
      </c>
      <c r="J448" s="31">
        <f t="shared" si="199"/>
        <v>5000</v>
      </c>
      <c r="K448" s="156"/>
      <c r="L448" s="5"/>
      <c r="M448" s="5"/>
      <c r="N448" s="5"/>
      <c r="O448" s="5"/>
      <c r="Q448" s="5"/>
    </row>
    <row r="449" spans="1:17" x14ac:dyDescent="0.2">
      <c r="A449" s="130" t="s">
        <v>128</v>
      </c>
      <c r="B449" s="135" t="s">
        <v>29</v>
      </c>
      <c r="C449" s="33">
        <v>167700</v>
      </c>
      <c r="D449" s="32"/>
      <c r="E449" s="33">
        <v>473000</v>
      </c>
      <c r="F449" s="110"/>
      <c r="G449" s="110"/>
      <c r="H449" s="110"/>
      <c r="I449" s="33">
        <v>567900</v>
      </c>
      <c r="J449" s="31">
        <f t="shared" si="199"/>
        <v>72800</v>
      </c>
      <c r="K449" s="156"/>
      <c r="L449" s="5"/>
      <c r="M449" s="5"/>
      <c r="N449" s="5"/>
      <c r="O449" s="5"/>
      <c r="Q449" s="5"/>
    </row>
    <row r="450" spans="1:17" x14ac:dyDescent="0.2">
      <c r="A450" s="130" t="s">
        <v>128</v>
      </c>
      <c r="B450" s="135" t="s">
        <v>32</v>
      </c>
      <c r="C450" s="33">
        <v>65300</v>
      </c>
      <c r="D450" s="32"/>
      <c r="E450" s="33">
        <v>10000</v>
      </c>
      <c r="F450" s="110"/>
      <c r="G450" s="110"/>
      <c r="H450" s="110">
        <v>20000</v>
      </c>
      <c r="I450" s="33">
        <v>8000</v>
      </c>
      <c r="J450" s="31">
        <f t="shared" si="199"/>
        <v>47300</v>
      </c>
      <c r="K450" s="156"/>
      <c r="L450" s="5"/>
      <c r="M450" s="5"/>
      <c r="N450" s="5"/>
      <c r="O450" s="5"/>
      <c r="Q450" s="5"/>
    </row>
    <row r="451" spans="1:17" x14ac:dyDescent="0.2">
      <c r="A451" s="130" t="s">
        <v>128</v>
      </c>
      <c r="B451" s="136" t="s">
        <v>114</v>
      </c>
      <c r="C451" s="33">
        <v>-11700</v>
      </c>
      <c r="D451" s="127"/>
      <c r="E451" s="53">
        <v>385800</v>
      </c>
      <c r="F451" s="53"/>
      <c r="G451" s="147"/>
      <c r="H451" s="53"/>
      <c r="I451" s="53">
        <v>294500</v>
      </c>
      <c r="J451" s="31">
        <f t="shared" si="199"/>
        <v>79600</v>
      </c>
      <c r="K451" s="156"/>
      <c r="L451" s="5"/>
      <c r="M451" s="5"/>
      <c r="N451" s="5"/>
      <c r="O451" s="5"/>
      <c r="Q451" s="5"/>
    </row>
    <row r="452" spans="1:17" x14ac:dyDescent="0.2">
      <c r="A452" s="35" t="s">
        <v>61</v>
      </c>
      <c r="B452" s="36"/>
      <c r="C452" s="36"/>
      <c r="D452" s="36"/>
      <c r="E452" s="36"/>
      <c r="F452" s="36"/>
      <c r="G452" s="36"/>
      <c r="H452" s="36"/>
      <c r="I452" s="36"/>
      <c r="J452" s="37"/>
      <c r="K452" s="155"/>
      <c r="L452" s="5"/>
      <c r="M452" s="5"/>
      <c r="N452" s="5"/>
      <c r="O452" s="5"/>
      <c r="Q452" s="5"/>
    </row>
    <row r="453" spans="1:17" x14ac:dyDescent="0.2">
      <c r="A453" s="130" t="s">
        <v>128</v>
      </c>
      <c r="B453" s="38" t="s">
        <v>62</v>
      </c>
      <c r="C453" s="39">
        <v>1672959</v>
      </c>
      <c r="D453" s="51">
        <v>3341000</v>
      </c>
      <c r="E453" s="109"/>
      <c r="F453" s="109">
        <v>45000</v>
      </c>
      <c r="G453" s="148"/>
      <c r="H453" s="139">
        <v>2979300</v>
      </c>
      <c r="I453" s="134">
        <v>1611730</v>
      </c>
      <c r="J453" s="46">
        <f>+SUM(C453:G453)-(H453+I453)</f>
        <v>467929</v>
      </c>
      <c r="K453" s="156"/>
      <c r="L453" s="5"/>
      <c r="M453" s="5"/>
      <c r="N453" s="5"/>
      <c r="O453" s="5"/>
      <c r="Q453" s="5"/>
    </row>
    <row r="454" spans="1:17" x14ac:dyDescent="0.2">
      <c r="A454" s="44" t="s">
        <v>63</v>
      </c>
      <c r="B454" s="25"/>
      <c r="C454" s="36"/>
      <c r="D454" s="25"/>
      <c r="E454" s="25"/>
      <c r="F454" s="25"/>
      <c r="G454" s="25"/>
      <c r="H454" s="25"/>
      <c r="I454" s="25"/>
      <c r="J454" s="37"/>
      <c r="K454" s="155"/>
      <c r="L454" s="5"/>
      <c r="M454" s="5"/>
      <c r="N454" s="5"/>
      <c r="O454" s="5"/>
      <c r="Q454" s="5"/>
    </row>
    <row r="455" spans="1:17" x14ac:dyDescent="0.2">
      <c r="A455" s="130" t="s">
        <v>128</v>
      </c>
      <c r="B455" s="38" t="s">
        <v>64</v>
      </c>
      <c r="C455" s="133">
        <v>2957378</v>
      </c>
      <c r="D455" s="140">
        <v>7828953</v>
      </c>
      <c r="E455" s="51"/>
      <c r="F455" s="51"/>
      <c r="G455" s="51"/>
      <c r="H455" s="53">
        <v>3000000</v>
      </c>
      <c r="I455" s="55">
        <v>380404</v>
      </c>
      <c r="J455" s="46">
        <f>+SUM(C455:G455)-(H455+I455)</f>
        <v>7405927</v>
      </c>
      <c r="K455" s="156"/>
      <c r="L455" s="5"/>
      <c r="M455" s="5"/>
      <c r="N455" s="5"/>
      <c r="O455" s="5"/>
      <c r="Q455" s="5"/>
    </row>
    <row r="456" spans="1:17" x14ac:dyDescent="0.2">
      <c r="A456" s="130" t="s">
        <v>128</v>
      </c>
      <c r="B456" s="38" t="s">
        <v>65</v>
      </c>
      <c r="C456" s="133">
        <v>28018504</v>
      </c>
      <c r="D456" s="51"/>
      <c r="E456" s="50"/>
      <c r="F456" s="50"/>
      <c r="G456" s="50"/>
      <c r="H456" s="33">
        <v>341000</v>
      </c>
      <c r="I456" s="52">
        <v>4705439</v>
      </c>
      <c r="J456" s="46">
        <f>SUM(C456:G456)-(H456+I456)</f>
        <v>22972065</v>
      </c>
      <c r="K456" s="156"/>
      <c r="L456" s="5"/>
      <c r="M456" s="5"/>
      <c r="N456" s="5"/>
      <c r="O456" s="5"/>
      <c r="Q456" s="5"/>
    </row>
    <row r="457" spans="1:17" ht="15.75" x14ac:dyDescent="0.25">
      <c r="C457" s="151">
        <f>SUM(C439:C456)</f>
        <v>33471403</v>
      </c>
      <c r="I457" s="149">
        <f>SUM(I439:I456)</f>
        <v>9588313</v>
      </c>
      <c r="J457" s="111">
        <f>+SUM(J439:J456)</f>
        <v>31712043</v>
      </c>
      <c r="L457" s="5"/>
      <c r="M457" s="5"/>
      <c r="N457" s="5"/>
      <c r="O457" s="5"/>
      <c r="Q457" s="5"/>
    </row>
    <row r="458" spans="1:17" ht="16.5" x14ac:dyDescent="0.3">
      <c r="A458" s="14"/>
      <c r="B458" s="15"/>
      <c r="C458" s="12" t="e">
        <f>C457=C377</f>
        <v>#REF!</v>
      </c>
      <c r="D458" s="12"/>
      <c r="E458" s="13"/>
      <c r="F458" s="12"/>
      <c r="G458" s="12"/>
      <c r="H458" s="12"/>
      <c r="I458" s="12"/>
      <c r="L458" s="5"/>
      <c r="M458" s="5"/>
      <c r="N458" s="5"/>
      <c r="O458" s="5"/>
      <c r="Q458" s="5"/>
    </row>
    <row r="459" spans="1:17" x14ac:dyDescent="0.2">
      <c r="A459" s="16" t="s">
        <v>53</v>
      </c>
      <c r="B459" s="16"/>
      <c r="C459" s="16"/>
      <c r="D459" s="17"/>
      <c r="E459" s="17"/>
      <c r="F459" s="17"/>
      <c r="G459" s="17"/>
      <c r="H459" s="17"/>
      <c r="I459" s="17"/>
      <c r="L459" s="5"/>
      <c r="M459" s="5"/>
      <c r="N459" s="5"/>
      <c r="O459" s="5"/>
      <c r="Q459" s="5"/>
    </row>
    <row r="460" spans="1:17" x14ac:dyDescent="0.2">
      <c r="A460" s="18" t="s">
        <v>120</v>
      </c>
      <c r="B460" s="18"/>
      <c r="C460" s="18"/>
      <c r="D460" s="18"/>
      <c r="E460" s="18"/>
      <c r="F460" s="18"/>
      <c r="G460" s="18"/>
      <c r="H460" s="18"/>
      <c r="I460" s="18"/>
      <c r="J460" s="17"/>
      <c r="L460" s="5"/>
      <c r="M460" s="5"/>
      <c r="N460" s="5"/>
      <c r="O460" s="5"/>
      <c r="Q460" s="5"/>
    </row>
    <row r="461" spans="1:17" x14ac:dyDescent="0.2">
      <c r="A461" s="19"/>
      <c r="B461" s="20"/>
      <c r="C461" s="21"/>
      <c r="D461" s="21"/>
      <c r="E461" s="21"/>
      <c r="F461" s="21"/>
      <c r="G461" s="21"/>
      <c r="H461" s="20"/>
      <c r="I461" s="20"/>
      <c r="J461" s="18"/>
      <c r="L461" s="5"/>
      <c r="M461" s="5"/>
      <c r="N461" s="5"/>
      <c r="O461" s="5"/>
      <c r="Q461" s="5"/>
    </row>
    <row r="462" spans="1:17" x14ac:dyDescent="0.2">
      <c r="A462" s="377" t="s">
        <v>54</v>
      </c>
      <c r="B462" s="379" t="s">
        <v>55</v>
      </c>
      <c r="C462" s="381" t="s">
        <v>122</v>
      </c>
      <c r="D462" s="383" t="s">
        <v>56</v>
      </c>
      <c r="E462" s="384"/>
      <c r="F462" s="384"/>
      <c r="G462" s="385"/>
      <c r="H462" s="386" t="s">
        <v>57</v>
      </c>
      <c r="I462" s="373" t="s">
        <v>58</v>
      </c>
      <c r="J462" s="20"/>
      <c r="L462" s="5"/>
      <c r="M462" s="5"/>
      <c r="N462" s="5"/>
      <c r="O462" s="5"/>
      <c r="Q462" s="5"/>
    </row>
    <row r="463" spans="1:17" x14ac:dyDescent="0.25">
      <c r="A463" s="378"/>
      <c r="B463" s="380"/>
      <c r="C463" s="382"/>
      <c r="D463" s="22" t="s">
        <v>24</v>
      </c>
      <c r="E463" s="22" t="s">
        <v>25</v>
      </c>
      <c r="F463" s="154" t="s">
        <v>124</v>
      </c>
      <c r="G463" s="22" t="s">
        <v>59</v>
      </c>
      <c r="H463" s="387"/>
      <c r="I463" s="374"/>
      <c r="J463" s="375" t="s">
        <v>123</v>
      </c>
      <c r="K463" s="155"/>
      <c r="L463" s="5"/>
      <c r="M463" s="5"/>
      <c r="N463" s="5"/>
      <c r="O463" s="5"/>
      <c r="Q463" s="5"/>
    </row>
    <row r="464" spans="1:17" x14ac:dyDescent="0.2">
      <c r="A464" s="24"/>
      <c r="B464" s="25" t="s">
        <v>60</v>
      </c>
      <c r="C464" s="26"/>
      <c r="D464" s="26"/>
      <c r="E464" s="26"/>
      <c r="F464" s="26"/>
      <c r="G464" s="26"/>
      <c r="H464" s="26"/>
      <c r="I464" s="27"/>
      <c r="J464" s="376"/>
      <c r="K464" s="155"/>
      <c r="L464" s="5"/>
      <c r="M464" s="5"/>
      <c r="N464" s="5"/>
      <c r="O464" s="5"/>
      <c r="Q464" s="5"/>
    </row>
    <row r="465" spans="1:17" x14ac:dyDescent="0.2">
      <c r="A465" s="130" t="s">
        <v>121</v>
      </c>
      <c r="B465" s="135" t="s">
        <v>77</v>
      </c>
      <c r="C465" s="33">
        <v>7670</v>
      </c>
      <c r="D465" s="32"/>
      <c r="E465" s="33">
        <v>438000</v>
      </c>
      <c r="F465" s="33"/>
      <c r="G465" s="33"/>
      <c r="H465" s="57">
        <v>40000</v>
      </c>
      <c r="I465" s="33">
        <v>406120</v>
      </c>
      <c r="J465" s="31">
        <f>+SUM(C465:G465)-(H465+I465)</f>
        <v>-450</v>
      </c>
      <c r="K465" s="156" t="e">
        <f>J465=#REF!</f>
        <v>#REF!</v>
      </c>
      <c r="L465" s="5"/>
      <c r="M465" s="5"/>
      <c r="N465" s="5"/>
      <c r="O465" s="5"/>
      <c r="Q465" s="5"/>
    </row>
    <row r="466" spans="1:17" x14ac:dyDescent="0.2">
      <c r="A466" s="130" t="s">
        <v>121</v>
      </c>
      <c r="B466" s="135" t="s">
        <v>48</v>
      </c>
      <c r="C466" s="33">
        <v>4710</v>
      </c>
      <c r="D466" s="32"/>
      <c r="E466" s="33">
        <v>303000</v>
      </c>
      <c r="F466" s="33">
        <f>25000+91000+62000</f>
        <v>178000</v>
      </c>
      <c r="G466" s="33"/>
      <c r="H466" s="57">
        <v>29000</v>
      </c>
      <c r="I466" s="33">
        <v>444200</v>
      </c>
      <c r="J466" s="31">
        <f t="shared" ref="J466:J467" si="200">+SUM(C466:G466)-(H466+I466)</f>
        <v>12510</v>
      </c>
      <c r="K466" s="156" t="b">
        <f>J466=I366</f>
        <v>0</v>
      </c>
      <c r="L466" s="5"/>
      <c r="M466" s="5"/>
      <c r="N466" s="5"/>
      <c r="O466" s="5"/>
      <c r="Q466" s="5"/>
    </row>
    <row r="467" spans="1:17" x14ac:dyDescent="0.2">
      <c r="A467" s="130" t="s">
        <v>121</v>
      </c>
      <c r="B467" s="135" t="s">
        <v>31</v>
      </c>
      <c r="C467" s="33">
        <v>9295</v>
      </c>
      <c r="D467" s="32"/>
      <c r="E467" s="33">
        <v>743000</v>
      </c>
      <c r="F467" s="33">
        <v>2000</v>
      </c>
      <c r="G467" s="33"/>
      <c r="H467" s="33">
        <f>103000+91000+137000+101000+91000</f>
        <v>523000</v>
      </c>
      <c r="I467" s="33">
        <v>228400</v>
      </c>
      <c r="J467" s="107">
        <f t="shared" si="200"/>
        <v>2895</v>
      </c>
      <c r="K467" s="156" t="b">
        <f>J467=I367</f>
        <v>0</v>
      </c>
      <c r="L467" s="5"/>
      <c r="M467" s="5"/>
      <c r="N467" s="5"/>
      <c r="O467" s="5"/>
      <c r="Q467" s="5"/>
    </row>
    <row r="468" spans="1:17" x14ac:dyDescent="0.2">
      <c r="A468" s="130" t="s">
        <v>121</v>
      </c>
      <c r="B468" s="135" t="s">
        <v>78</v>
      </c>
      <c r="C468" s="33">
        <v>-25100</v>
      </c>
      <c r="D468" s="110"/>
      <c r="E468" s="33">
        <v>121100</v>
      </c>
      <c r="F468" s="33">
        <f>103000+1000+28000+137000</f>
        <v>269000</v>
      </c>
      <c r="G468" s="33"/>
      <c r="H468" s="33"/>
      <c r="I468" s="33">
        <v>302960</v>
      </c>
      <c r="J468" s="107">
        <f>+SUM(C468:G468)-(H468+I468)</f>
        <v>62040</v>
      </c>
      <c r="K468" s="156" t="b">
        <f>J468=I368</f>
        <v>0</v>
      </c>
      <c r="L468" s="5"/>
      <c r="M468" s="5"/>
      <c r="N468" s="5"/>
      <c r="O468" s="5"/>
      <c r="Q468" s="5"/>
    </row>
    <row r="469" spans="1:17" x14ac:dyDescent="0.2">
      <c r="A469" s="130" t="s">
        <v>121</v>
      </c>
      <c r="B469" s="135" t="s">
        <v>70</v>
      </c>
      <c r="C469" s="33">
        <v>7384</v>
      </c>
      <c r="D469" s="110"/>
      <c r="E469" s="33">
        <v>319000</v>
      </c>
      <c r="F469" s="33">
        <v>101000</v>
      </c>
      <c r="G469" s="33"/>
      <c r="H469" s="33">
        <v>62000</v>
      </c>
      <c r="I469" s="33">
        <v>365200</v>
      </c>
      <c r="J469" s="107">
        <f t="shared" ref="J469" si="201">+SUM(C469:G469)-(H469+I469)</f>
        <v>184</v>
      </c>
      <c r="K469" s="156" t="e">
        <f>J469=#REF!</f>
        <v>#REF!</v>
      </c>
      <c r="L469" s="5"/>
      <c r="M469" s="5"/>
      <c r="N469" s="5"/>
      <c r="O469" s="5"/>
      <c r="Q469" s="5"/>
    </row>
    <row r="470" spans="1:17" x14ac:dyDescent="0.2">
      <c r="A470" s="130" t="s">
        <v>121</v>
      </c>
      <c r="B470" s="136" t="s">
        <v>30</v>
      </c>
      <c r="C470" s="33">
        <v>61300</v>
      </c>
      <c r="D470" s="127"/>
      <c r="E470" s="53">
        <v>931200</v>
      </c>
      <c r="F470" s="53"/>
      <c r="G470" s="53"/>
      <c r="H470" s="53">
        <v>28000</v>
      </c>
      <c r="I470" s="53">
        <v>1001000</v>
      </c>
      <c r="J470" s="132">
        <f>+SUM(C470:G470)-(H470+I470)</f>
        <v>-36500</v>
      </c>
      <c r="K470" s="156" t="b">
        <f t="shared" ref="K470:K477" si="202">J470=I369</f>
        <v>0</v>
      </c>
      <c r="L470" s="5"/>
      <c r="M470" s="5"/>
      <c r="N470" s="5"/>
      <c r="O470" s="5"/>
      <c r="Q470" s="5"/>
    </row>
    <row r="471" spans="1:17" x14ac:dyDescent="0.2">
      <c r="A471" s="130" t="s">
        <v>121</v>
      </c>
      <c r="B471" s="137" t="s">
        <v>85</v>
      </c>
      <c r="C471" s="128">
        <v>233614</v>
      </c>
      <c r="D471" s="131"/>
      <c r="E471" s="146"/>
      <c r="F471" s="146"/>
      <c r="G471" s="146"/>
      <c r="H471" s="146"/>
      <c r="I471" s="146"/>
      <c r="J471" s="129">
        <f>+SUM(C471:G471)-(H471+I471)</f>
        <v>233614</v>
      </c>
      <c r="K471" s="156" t="b">
        <f t="shared" si="202"/>
        <v>0</v>
      </c>
      <c r="L471" s="5"/>
      <c r="M471" s="5"/>
      <c r="N471" s="5"/>
      <c r="O471" s="5"/>
      <c r="Q471" s="5"/>
    </row>
    <row r="472" spans="1:17" x14ac:dyDescent="0.2">
      <c r="A472" s="130" t="s">
        <v>121</v>
      </c>
      <c r="B472" s="137" t="s">
        <v>84</v>
      </c>
      <c r="C472" s="128">
        <v>249769</v>
      </c>
      <c r="D472" s="131"/>
      <c r="E472" s="146"/>
      <c r="F472" s="146"/>
      <c r="G472" s="146"/>
      <c r="H472" s="146"/>
      <c r="I472" s="146"/>
      <c r="J472" s="129">
        <f t="shared" ref="J472:J475" si="203">+SUM(C472:G472)-(H472+I472)</f>
        <v>249769</v>
      </c>
      <c r="K472" s="156" t="b">
        <f t="shared" si="202"/>
        <v>0</v>
      </c>
      <c r="L472" s="5"/>
      <c r="M472" s="5"/>
      <c r="N472" s="5"/>
      <c r="O472" s="5"/>
      <c r="Q472" s="5"/>
    </row>
    <row r="473" spans="1:17" x14ac:dyDescent="0.2">
      <c r="A473" s="130" t="s">
        <v>121</v>
      </c>
      <c r="B473" s="135" t="s">
        <v>36</v>
      </c>
      <c r="C473" s="33">
        <v>4500</v>
      </c>
      <c r="D473" s="32"/>
      <c r="E473" s="33">
        <v>234000</v>
      </c>
      <c r="F473" s="33">
        <v>40000</v>
      </c>
      <c r="G473" s="110"/>
      <c r="H473" s="110"/>
      <c r="I473" s="33">
        <v>207300</v>
      </c>
      <c r="J473" s="31">
        <f t="shared" si="203"/>
        <v>71200</v>
      </c>
      <c r="K473" s="156" t="b">
        <f t="shared" si="202"/>
        <v>0</v>
      </c>
      <c r="L473" s="5"/>
      <c r="M473" s="5"/>
      <c r="N473" s="5"/>
      <c r="O473" s="5"/>
      <c r="Q473" s="5"/>
    </row>
    <row r="474" spans="1:17" x14ac:dyDescent="0.2">
      <c r="A474" s="130" t="s">
        <v>121</v>
      </c>
      <c r="B474" s="135" t="s">
        <v>94</v>
      </c>
      <c r="C474" s="33">
        <v>-6000</v>
      </c>
      <c r="D474" s="32"/>
      <c r="E474" s="33">
        <v>61000</v>
      </c>
      <c r="F474" s="110"/>
      <c r="G474" s="110"/>
      <c r="H474" s="110"/>
      <c r="I474" s="33">
        <v>49000</v>
      </c>
      <c r="J474" s="31">
        <f t="shared" si="203"/>
        <v>6000</v>
      </c>
      <c r="K474" s="156" t="b">
        <f t="shared" si="202"/>
        <v>0</v>
      </c>
      <c r="L474" s="5"/>
      <c r="M474" s="5"/>
      <c r="N474" s="5"/>
      <c r="O474" s="5"/>
      <c r="Q474" s="5"/>
    </row>
    <row r="475" spans="1:17" x14ac:dyDescent="0.2">
      <c r="A475" s="130" t="s">
        <v>121</v>
      </c>
      <c r="B475" s="135" t="s">
        <v>29</v>
      </c>
      <c r="C475" s="33">
        <v>72200</v>
      </c>
      <c r="D475" s="32"/>
      <c r="E475" s="33">
        <v>722000</v>
      </c>
      <c r="F475" s="110"/>
      <c r="G475" s="110"/>
      <c r="H475" s="110"/>
      <c r="I475" s="33">
        <v>626500</v>
      </c>
      <c r="J475" s="31">
        <f t="shared" si="203"/>
        <v>167700</v>
      </c>
      <c r="K475" s="156" t="b">
        <f t="shared" si="202"/>
        <v>0</v>
      </c>
      <c r="L475" s="5"/>
      <c r="M475" s="5"/>
      <c r="N475" s="5"/>
      <c r="O475" s="5"/>
      <c r="Q475" s="5"/>
    </row>
    <row r="476" spans="1:17" x14ac:dyDescent="0.2">
      <c r="A476" s="130" t="s">
        <v>121</v>
      </c>
      <c r="B476" s="135" t="s">
        <v>32</v>
      </c>
      <c r="C476" s="33">
        <v>9300</v>
      </c>
      <c r="D476" s="32"/>
      <c r="E476" s="33">
        <v>60000</v>
      </c>
      <c r="F476" s="110"/>
      <c r="G476" s="110"/>
      <c r="H476" s="110"/>
      <c r="I476" s="33">
        <v>4000</v>
      </c>
      <c r="J476" s="31">
        <f t="shared" ref="J476:J477" si="204">+SUM(C476:G476)-(H476+I476)</f>
        <v>65300</v>
      </c>
      <c r="K476" s="156" t="b">
        <f t="shared" si="202"/>
        <v>0</v>
      </c>
      <c r="L476" s="5"/>
      <c r="M476" s="5"/>
      <c r="N476" s="5"/>
      <c r="O476" s="5"/>
      <c r="Q476" s="5"/>
    </row>
    <row r="477" spans="1:17" x14ac:dyDescent="0.2">
      <c r="A477" s="130" t="s">
        <v>121</v>
      </c>
      <c r="B477" s="136" t="s">
        <v>114</v>
      </c>
      <c r="C477" s="33">
        <v>-14000</v>
      </c>
      <c r="D477" s="127"/>
      <c r="E477" s="53">
        <v>378000</v>
      </c>
      <c r="F477" s="53">
        <f>29000+91000</f>
        <v>120000</v>
      </c>
      <c r="G477" s="147"/>
      <c r="H477" s="53">
        <f>2000+1000+25000</f>
        <v>28000</v>
      </c>
      <c r="I477" s="53">
        <v>467700</v>
      </c>
      <c r="J477" s="31">
        <f t="shared" si="204"/>
        <v>-11700</v>
      </c>
      <c r="K477" s="156" t="b">
        <f t="shared" si="202"/>
        <v>0</v>
      </c>
      <c r="L477" s="5"/>
      <c r="M477" s="5"/>
      <c r="N477" s="5"/>
      <c r="O477" s="5"/>
      <c r="Q477" s="5"/>
    </row>
    <row r="478" spans="1:17" x14ac:dyDescent="0.2">
      <c r="A478" s="35" t="s">
        <v>61</v>
      </c>
      <c r="B478" s="36"/>
      <c r="C478" s="36"/>
      <c r="D478" s="36"/>
      <c r="E478" s="36"/>
      <c r="F478" s="36"/>
      <c r="G478" s="36"/>
      <c r="H478" s="36"/>
      <c r="I478" s="36"/>
      <c r="J478" s="37"/>
      <c r="K478" s="155"/>
      <c r="L478" s="5"/>
      <c r="M478" s="5"/>
      <c r="N478" s="5"/>
      <c r="O478" s="5"/>
      <c r="Q478" s="5"/>
    </row>
    <row r="479" spans="1:17" x14ac:dyDescent="0.2">
      <c r="A479" s="130" t="s">
        <v>121</v>
      </c>
      <c r="B479" s="38" t="s">
        <v>62</v>
      </c>
      <c r="C479" s="39">
        <v>1148337</v>
      </c>
      <c r="D479" s="51">
        <v>7000000</v>
      </c>
      <c r="E479" s="109"/>
      <c r="F479" s="109"/>
      <c r="G479" s="148"/>
      <c r="H479" s="139">
        <v>4310300</v>
      </c>
      <c r="I479" s="134">
        <v>2165078</v>
      </c>
      <c r="J479" s="46">
        <f>+SUM(C479:G479)-(H479+I479)</f>
        <v>1672959</v>
      </c>
      <c r="K479" s="156" t="b">
        <f>J479=I365</f>
        <v>0</v>
      </c>
      <c r="L479" s="5"/>
      <c r="M479" s="5"/>
      <c r="N479" s="5"/>
      <c r="O479" s="5"/>
      <c r="Q479" s="5"/>
    </row>
    <row r="480" spans="1:17" x14ac:dyDescent="0.2">
      <c r="A480" s="44" t="s">
        <v>63</v>
      </c>
      <c r="B480" s="25"/>
      <c r="C480" s="36"/>
      <c r="D480" s="25"/>
      <c r="E480" s="25"/>
      <c r="F480" s="25"/>
      <c r="G480" s="25"/>
      <c r="H480" s="25"/>
      <c r="I480" s="25"/>
      <c r="J480" s="37"/>
      <c r="K480" s="155"/>
      <c r="L480" s="5"/>
      <c r="M480" s="5"/>
      <c r="N480" s="5"/>
      <c r="O480" s="5"/>
      <c r="Q480" s="5"/>
    </row>
    <row r="481" spans="1:17" x14ac:dyDescent="0.2">
      <c r="A481" s="130" t="s">
        <v>121</v>
      </c>
      <c r="B481" s="38" t="s">
        <v>64</v>
      </c>
      <c r="C481" s="133">
        <v>10113263</v>
      </c>
      <c r="D481" s="140">
        <v>0</v>
      </c>
      <c r="E481" s="51"/>
      <c r="F481" s="51"/>
      <c r="G481" s="51"/>
      <c r="H481" s="53">
        <v>7000000</v>
      </c>
      <c r="I481" s="55">
        <v>155885</v>
      </c>
      <c r="J481" s="46">
        <f>+SUM(C481:G481)-(H481+I481)</f>
        <v>2957378</v>
      </c>
      <c r="K481" s="156" t="e">
        <f>+J481=#REF!</f>
        <v>#REF!</v>
      </c>
      <c r="L481" s="5"/>
      <c r="M481" s="5"/>
      <c r="N481" s="5"/>
      <c r="O481" s="5"/>
      <c r="Q481" s="5"/>
    </row>
    <row r="482" spans="1:17" x14ac:dyDescent="0.2">
      <c r="A482" s="130" t="s">
        <v>121</v>
      </c>
      <c r="B482" s="38" t="s">
        <v>65</v>
      </c>
      <c r="C482" s="133">
        <v>6219904</v>
      </c>
      <c r="D482" s="51">
        <v>28506579</v>
      </c>
      <c r="E482" s="50"/>
      <c r="F482" s="50"/>
      <c r="G482" s="50"/>
      <c r="H482" s="33"/>
      <c r="I482" s="52">
        <v>6707979</v>
      </c>
      <c r="J482" s="46">
        <f>SUM(C482:G482)-(H482+I482)</f>
        <v>28018504</v>
      </c>
      <c r="K482" s="156" t="b">
        <f>+J482=I364</f>
        <v>0</v>
      </c>
      <c r="L482" s="5"/>
      <c r="M482" s="5"/>
      <c r="N482" s="5"/>
      <c r="O482" s="5"/>
      <c r="Q482" s="5"/>
    </row>
    <row r="483" spans="1:17" ht="15.75" x14ac:dyDescent="0.25">
      <c r="C483" s="151">
        <f>SUM(C465:C482)</f>
        <v>18096146</v>
      </c>
      <c r="I483" s="149">
        <f>SUM(I465:I482)</f>
        <v>13131322</v>
      </c>
      <c r="J483" s="111">
        <f>+SUM(J465:J482)</f>
        <v>33471403</v>
      </c>
      <c r="K483" s="5" t="b">
        <f>J483=I377</f>
        <v>0</v>
      </c>
      <c r="L483" s="5"/>
      <c r="M483" s="5"/>
      <c r="N483" s="5"/>
      <c r="O483" s="5"/>
      <c r="Q483" s="5"/>
    </row>
    <row r="484" spans="1:17" ht="16.5" x14ac:dyDescent="0.3">
      <c r="A484" s="14"/>
      <c r="B484" s="15"/>
      <c r="C484" s="12" t="e">
        <f>C483=C377</f>
        <v>#REF!</v>
      </c>
      <c r="D484" s="12"/>
      <c r="E484" s="13"/>
      <c r="F484" s="12"/>
      <c r="G484" s="12"/>
      <c r="H484" s="12"/>
      <c r="I484" s="12"/>
      <c r="L484" s="5"/>
      <c r="M484" s="5"/>
      <c r="N484" s="5"/>
      <c r="O484" s="5"/>
      <c r="Q484" s="5"/>
    </row>
    <row r="485" spans="1:17" ht="16.5" x14ac:dyDescent="0.3">
      <c r="A485" s="14"/>
      <c r="B485" s="15"/>
      <c r="C485" s="12"/>
      <c r="D485" s="12"/>
      <c r="E485" s="13"/>
      <c r="F485" s="12"/>
      <c r="G485" s="12"/>
      <c r="H485" s="12"/>
      <c r="I485" s="12"/>
      <c r="L485" s="5"/>
      <c r="M485" s="5"/>
      <c r="N485" s="5"/>
      <c r="O485" s="5"/>
      <c r="Q485" s="5"/>
    </row>
    <row r="486" spans="1:17" x14ac:dyDescent="0.2">
      <c r="A486" s="16" t="s">
        <v>53</v>
      </c>
      <c r="B486" s="16"/>
      <c r="C486" s="16"/>
      <c r="D486" s="17"/>
      <c r="E486" s="17"/>
      <c r="F486" s="17"/>
      <c r="G486" s="17"/>
      <c r="H486" s="17"/>
      <c r="I486" s="17"/>
      <c r="L486" s="5"/>
      <c r="M486" s="5"/>
      <c r="N486" s="5"/>
      <c r="O486" s="5"/>
      <c r="Q486" s="5"/>
    </row>
    <row r="487" spans="1:17" x14ac:dyDescent="0.2">
      <c r="A487" s="18" t="s">
        <v>115</v>
      </c>
      <c r="B487" s="18"/>
      <c r="C487" s="18"/>
      <c r="D487" s="18"/>
      <c r="E487" s="18"/>
      <c r="F487" s="18"/>
      <c r="G487" s="18"/>
      <c r="H487" s="18"/>
      <c r="I487" s="18"/>
      <c r="J487" s="17"/>
      <c r="L487" s="5"/>
      <c r="M487" s="5"/>
      <c r="N487" s="5"/>
      <c r="O487" s="5"/>
      <c r="Q487" s="5"/>
    </row>
    <row r="488" spans="1:17" x14ac:dyDescent="0.2">
      <c r="A488" s="19"/>
      <c r="B488" s="20"/>
      <c r="C488" s="21"/>
      <c r="D488" s="21"/>
      <c r="E488" s="21"/>
      <c r="F488" s="21"/>
      <c r="G488" s="21"/>
      <c r="H488" s="20"/>
      <c r="I488" s="20"/>
      <c r="J488" s="18"/>
      <c r="L488" s="5"/>
      <c r="M488" s="5"/>
      <c r="N488" s="5"/>
      <c r="O488" s="5"/>
      <c r="Q488" s="5"/>
    </row>
    <row r="489" spans="1:17" x14ac:dyDescent="0.2">
      <c r="A489" s="377" t="s">
        <v>54</v>
      </c>
      <c r="B489" s="379" t="s">
        <v>55</v>
      </c>
      <c r="C489" s="381" t="s">
        <v>117</v>
      </c>
      <c r="D489" s="383" t="s">
        <v>56</v>
      </c>
      <c r="E489" s="384"/>
      <c r="F489" s="384"/>
      <c r="G489" s="385"/>
      <c r="H489" s="386" t="s">
        <v>57</v>
      </c>
      <c r="I489" s="373" t="s">
        <v>58</v>
      </c>
      <c r="J489" s="20"/>
      <c r="L489" s="5"/>
      <c r="M489" s="5"/>
      <c r="N489" s="5"/>
      <c r="O489" s="5"/>
      <c r="Q489" s="5"/>
    </row>
    <row r="490" spans="1:17" x14ac:dyDescent="0.25">
      <c r="A490" s="378"/>
      <c r="B490" s="380"/>
      <c r="C490" s="382"/>
      <c r="D490" s="22" t="s">
        <v>24</v>
      </c>
      <c r="E490" s="22" t="s">
        <v>25</v>
      </c>
      <c r="F490" s="152" t="s">
        <v>119</v>
      </c>
      <c r="G490" s="22" t="s">
        <v>59</v>
      </c>
      <c r="H490" s="387"/>
      <c r="I490" s="374"/>
      <c r="J490" s="375" t="s">
        <v>118</v>
      </c>
      <c r="L490" s="5"/>
      <c r="M490" s="5"/>
      <c r="N490" s="5"/>
      <c r="O490" s="5"/>
      <c r="Q490" s="5"/>
    </row>
    <row r="491" spans="1:17" x14ac:dyDescent="0.2">
      <c r="A491" s="24"/>
      <c r="B491" s="25" t="s">
        <v>60</v>
      </c>
      <c r="C491" s="26"/>
      <c r="D491" s="26"/>
      <c r="E491" s="26"/>
      <c r="F491" s="26"/>
      <c r="G491" s="26"/>
      <c r="H491" s="26"/>
      <c r="I491" s="27"/>
      <c r="J491" s="376"/>
      <c r="L491" s="5"/>
      <c r="M491" s="5"/>
      <c r="N491" s="5"/>
      <c r="O491" s="5"/>
      <c r="Q491" s="5"/>
    </row>
    <row r="492" spans="1:17" x14ac:dyDescent="0.2">
      <c r="A492" s="130" t="s">
        <v>116</v>
      </c>
      <c r="B492" s="135" t="s">
        <v>77</v>
      </c>
      <c r="C492" s="33">
        <v>3670</v>
      </c>
      <c r="D492" s="32"/>
      <c r="E492" s="33">
        <v>118000</v>
      </c>
      <c r="F492" s="33">
        <v>4000</v>
      </c>
      <c r="G492" s="33"/>
      <c r="H492" s="57"/>
      <c r="I492" s="33">
        <v>118000</v>
      </c>
      <c r="J492" s="31">
        <f>+SUM(C492:G492)-(H492+I492)</f>
        <v>7670</v>
      </c>
      <c r="K492" s="153"/>
      <c r="L492" s="5"/>
      <c r="M492" s="5"/>
      <c r="N492" s="5"/>
      <c r="O492" s="5"/>
      <c r="Q492" s="5"/>
    </row>
    <row r="493" spans="1:17" x14ac:dyDescent="0.2">
      <c r="A493" s="130" t="s">
        <v>116</v>
      </c>
      <c r="B493" s="135" t="s">
        <v>48</v>
      </c>
      <c r="C493" s="33">
        <v>-540</v>
      </c>
      <c r="D493" s="32"/>
      <c r="E493" s="33">
        <v>209750</v>
      </c>
      <c r="F493" s="33">
        <v>5000</v>
      </c>
      <c r="G493" s="33"/>
      <c r="H493" s="57"/>
      <c r="I493" s="33">
        <v>209500</v>
      </c>
      <c r="J493" s="31">
        <f t="shared" ref="J493:J494" si="205">+SUM(C493:G493)-(H493+I493)</f>
        <v>4710</v>
      </c>
      <c r="K493" s="153"/>
      <c r="L493" s="5"/>
      <c r="M493" s="5"/>
      <c r="N493" s="5"/>
      <c r="O493" s="5"/>
      <c r="Q493" s="5"/>
    </row>
    <row r="494" spans="1:17" x14ac:dyDescent="0.2">
      <c r="A494" s="130" t="s">
        <v>116</v>
      </c>
      <c r="B494" s="135" t="s">
        <v>31</v>
      </c>
      <c r="C494" s="33">
        <v>2395</v>
      </c>
      <c r="D494" s="32"/>
      <c r="E494" s="33">
        <v>70000</v>
      </c>
      <c r="F494" s="33">
        <v>4000</v>
      </c>
      <c r="G494" s="33"/>
      <c r="H494" s="33"/>
      <c r="I494" s="33">
        <v>67100</v>
      </c>
      <c r="J494" s="107">
        <f t="shared" si="205"/>
        <v>9295</v>
      </c>
      <c r="K494" s="153"/>
      <c r="L494" s="5"/>
      <c r="M494" s="5"/>
      <c r="N494" s="5"/>
      <c r="O494" s="5"/>
      <c r="Q494" s="5"/>
    </row>
    <row r="495" spans="1:17" x14ac:dyDescent="0.2">
      <c r="A495" s="130" t="s">
        <v>116</v>
      </c>
      <c r="B495" s="135" t="s">
        <v>78</v>
      </c>
      <c r="C495" s="33">
        <v>96100</v>
      </c>
      <c r="D495" s="110"/>
      <c r="E495" s="33">
        <v>488100</v>
      </c>
      <c r="F495" s="33">
        <v>4000</v>
      </c>
      <c r="G495" s="33"/>
      <c r="H495" s="33">
        <v>61600</v>
      </c>
      <c r="I495" s="33">
        <v>551700</v>
      </c>
      <c r="J495" s="107">
        <f>+SUM(C495:G495)-(H495+I495)</f>
        <v>-25100</v>
      </c>
      <c r="K495" s="153"/>
      <c r="L495" s="5"/>
      <c r="M495" s="5"/>
      <c r="N495" s="5"/>
      <c r="O495" s="5"/>
      <c r="Q495" s="5"/>
    </row>
    <row r="496" spans="1:17" x14ac:dyDescent="0.2">
      <c r="A496" s="130" t="s">
        <v>116</v>
      </c>
      <c r="B496" s="135" t="s">
        <v>70</v>
      </c>
      <c r="C496" s="33">
        <v>13884</v>
      </c>
      <c r="D496" s="110"/>
      <c r="E496" s="33">
        <v>194000</v>
      </c>
      <c r="F496" s="33"/>
      <c r="G496" s="33"/>
      <c r="H496" s="33">
        <v>17000</v>
      </c>
      <c r="I496" s="33">
        <v>183500</v>
      </c>
      <c r="J496" s="107">
        <f t="shared" ref="J496" si="206">+SUM(C496:G496)-(H496+I496)</f>
        <v>7384</v>
      </c>
      <c r="K496" s="153"/>
      <c r="L496" s="5"/>
      <c r="M496" s="5"/>
      <c r="N496" s="5"/>
      <c r="O496" s="5"/>
      <c r="Q496" s="5"/>
    </row>
    <row r="497" spans="1:17" x14ac:dyDescent="0.2">
      <c r="A497" s="130" t="s">
        <v>116</v>
      </c>
      <c r="B497" s="136" t="s">
        <v>30</v>
      </c>
      <c r="C497" s="33">
        <v>72400</v>
      </c>
      <c r="D497" s="127"/>
      <c r="E497" s="53">
        <v>599900</v>
      </c>
      <c r="F497" s="53"/>
      <c r="G497" s="53"/>
      <c r="H497" s="53"/>
      <c r="I497" s="53">
        <v>611000</v>
      </c>
      <c r="J497" s="132">
        <f>+SUM(C497:G497)-(H497+I497)</f>
        <v>61300</v>
      </c>
      <c r="K497" s="153"/>
      <c r="L497" s="5"/>
      <c r="M497" s="5"/>
      <c r="N497" s="5"/>
      <c r="O497" s="5"/>
      <c r="Q497" s="5"/>
    </row>
    <row r="498" spans="1:17" x14ac:dyDescent="0.2">
      <c r="A498" s="130" t="s">
        <v>116</v>
      </c>
      <c r="B498" s="137" t="s">
        <v>85</v>
      </c>
      <c r="C498" s="128">
        <v>233614</v>
      </c>
      <c r="D498" s="131"/>
      <c r="E498" s="146"/>
      <c r="F498" s="146"/>
      <c r="G498" s="146"/>
      <c r="H498" s="146"/>
      <c r="I498" s="146"/>
      <c r="J498" s="129">
        <f>+SUM(C498:G498)-(H498+I498)</f>
        <v>233614</v>
      </c>
      <c r="K498" s="153"/>
      <c r="L498" s="5"/>
      <c r="M498" s="5"/>
      <c r="N498" s="5"/>
      <c r="O498" s="5"/>
      <c r="Q498" s="5"/>
    </row>
    <row r="499" spans="1:17" x14ac:dyDescent="0.2">
      <c r="A499" s="130" t="s">
        <v>116</v>
      </c>
      <c r="B499" s="137" t="s">
        <v>84</v>
      </c>
      <c r="C499" s="128">
        <v>249769</v>
      </c>
      <c r="D499" s="131"/>
      <c r="E499" s="146"/>
      <c r="F499" s="146"/>
      <c r="G499" s="146"/>
      <c r="H499" s="146"/>
      <c r="I499" s="146"/>
      <c r="J499" s="129">
        <f t="shared" ref="J499:J506" si="207">+SUM(C499:G499)-(H499+I499)</f>
        <v>249769</v>
      </c>
      <c r="K499" s="153"/>
      <c r="L499" s="5"/>
      <c r="M499" s="5"/>
      <c r="N499" s="5"/>
      <c r="O499" s="5"/>
      <c r="Q499" s="5"/>
    </row>
    <row r="500" spans="1:17" x14ac:dyDescent="0.2">
      <c r="A500" s="130" t="s">
        <v>116</v>
      </c>
      <c r="B500" s="135" t="s">
        <v>36</v>
      </c>
      <c r="C500" s="33">
        <v>18490</v>
      </c>
      <c r="D500" s="32"/>
      <c r="E500" s="33">
        <v>796460</v>
      </c>
      <c r="F500" s="33">
        <v>61600</v>
      </c>
      <c r="G500" s="110"/>
      <c r="H500" s="110"/>
      <c r="I500" s="33">
        <v>872050</v>
      </c>
      <c r="J500" s="31">
        <f t="shared" si="207"/>
        <v>4500</v>
      </c>
      <c r="K500" s="153"/>
      <c r="L500" s="5"/>
      <c r="M500" s="5"/>
      <c r="N500" s="5"/>
      <c r="O500" s="5"/>
      <c r="Q500" s="5"/>
    </row>
    <row r="501" spans="1:17" x14ac:dyDescent="0.2">
      <c r="A501" s="130" t="s">
        <v>116</v>
      </c>
      <c r="B501" s="135" t="s">
        <v>94</v>
      </c>
      <c r="C501" s="33">
        <v>4500</v>
      </c>
      <c r="D501" s="32"/>
      <c r="E501" s="33">
        <v>40000</v>
      </c>
      <c r="F501" s="110"/>
      <c r="G501" s="110"/>
      <c r="H501" s="110"/>
      <c r="I501" s="33">
        <v>50500</v>
      </c>
      <c r="J501" s="31">
        <f t="shared" si="207"/>
        <v>-6000</v>
      </c>
      <c r="K501" s="153"/>
      <c r="L501" s="5"/>
      <c r="M501" s="5"/>
      <c r="N501" s="5"/>
      <c r="O501" s="5"/>
      <c r="Q501" s="5"/>
    </row>
    <row r="502" spans="1:17" x14ac:dyDescent="0.2">
      <c r="A502" s="130" t="s">
        <v>116</v>
      </c>
      <c r="B502" s="135" t="s">
        <v>29</v>
      </c>
      <c r="C502" s="33">
        <v>44200</v>
      </c>
      <c r="D502" s="32"/>
      <c r="E502" s="33">
        <v>60000</v>
      </c>
      <c r="F502" s="110"/>
      <c r="G502" s="110"/>
      <c r="H502" s="110"/>
      <c r="I502" s="33">
        <v>32000</v>
      </c>
      <c r="J502" s="31">
        <f t="shared" si="207"/>
        <v>72200</v>
      </c>
      <c r="K502" s="153"/>
      <c r="L502" s="5"/>
      <c r="M502" s="5"/>
      <c r="N502" s="5"/>
      <c r="O502" s="5"/>
      <c r="Q502" s="5"/>
    </row>
    <row r="503" spans="1:17" x14ac:dyDescent="0.2">
      <c r="A503" s="130" t="s">
        <v>116</v>
      </c>
      <c r="B503" s="135" t="s">
        <v>95</v>
      </c>
      <c r="C503" s="33">
        <v>-851709</v>
      </c>
      <c r="D503" s="32"/>
      <c r="E503" s="33">
        <v>851709</v>
      </c>
      <c r="F503" s="110"/>
      <c r="G503" s="110"/>
      <c r="H503" s="110"/>
      <c r="I503" s="33"/>
      <c r="J503" s="31">
        <f>+SUM(C503:G503)-(H503+I503)</f>
        <v>0</v>
      </c>
      <c r="K503" s="153"/>
      <c r="L503" s="5"/>
      <c r="M503" s="5"/>
      <c r="N503" s="5"/>
      <c r="O503" s="5"/>
      <c r="Q503" s="5"/>
    </row>
    <row r="504" spans="1:17" x14ac:dyDescent="0.2">
      <c r="A504" s="130" t="s">
        <v>116</v>
      </c>
      <c r="B504" s="135" t="s">
        <v>102</v>
      </c>
      <c r="C504" s="33">
        <v>90300</v>
      </c>
      <c r="D504" s="32"/>
      <c r="E504" s="33">
        <v>69200</v>
      </c>
      <c r="F504" s="110"/>
      <c r="G504" s="110"/>
      <c r="H504" s="110"/>
      <c r="I504" s="33">
        <v>159500</v>
      </c>
      <c r="J504" s="31">
        <f t="shared" si="207"/>
        <v>0</v>
      </c>
      <c r="K504" s="153"/>
      <c r="L504" s="5"/>
      <c r="M504" s="5"/>
      <c r="N504" s="5"/>
      <c r="O504" s="5"/>
      <c r="Q504" s="5"/>
    </row>
    <row r="505" spans="1:17" x14ac:dyDescent="0.2">
      <c r="A505" s="130" t="s">
        <v>116</v>
      </c>
      <c r="B505" s="135" t="s">
        <v>32</v>
      </c>
      <c r="C505" s="33">
        <v>300</v>
      </c>
      <c r="D505" s="32"/>
      <c r="E505" s="33">
        <v>20000</v>
      </c>
      <c r="F505" s="110"/>
      <c r="G505" s="110"/>
      <c r="H505" s="110"/>
      <c r="I505" s="33">
        <v>11000</v>
      </c>
      <c r="J505" s="31">
        <f t="shared" si="207"/>
        <v>9300</v>
      </c>
      <c r="K505" s="153"/>
      <c r="L505" s="5"/>
      <c r="M505" s="5"/>
      <c r="N505" s="5"/>
      <c r="O505" s="5"/>
      <c r="Q505" s="5"/>
    </row>
    <row r="506" spans="1:17" x14ac:dyDescent="0.2">
      <c r="A506" s="130" t="s">
        <v>116</v>
      </c>
      <c r="B506" s="136" t="s">
        <v>114</v>
      </c>
      <c r="C506" s="33">
        <v>0</v>
      </c>
      <c r="D506" s="127"/>
      <c r="E506" s="145"/>
      <c r="F506" s="145"/>
      <c r="G506" s="147"/>
      <c r="H506" s="145"/>
      <c r="I506" s="53">
        <v>14000</v>
      </c>
      <c r="J506" s="31">
        <f t="shared" si="207"/>
        <v>-14000</v>
      </c>
      <c r="K506" s="153"/>
      <c r="L506" s="5"/>
      <c r="M506" s="5"/>
      <c r="N506" s="5"/>
      <c r="O506" s="5"/>
      <c r="Q506" s="5"/>
    </row>
    <row r="507" spans="1:17" x14ac:dyDescent="0.2">
      <c r="A507" s="35" t="s">
        <v>61</v>
      </c>
      <c r="B507" s="36"/>
      <c r="C507" s="36"/>
      <c r="D507" s="36"/>
      <c r="E507" s="36"/>
      <c r="F507" s="36"/>
      <c r="G507" s="36"/>
      <c r="H507" s="36"/>
      <c r="I507" s="36"/>
      <c r="J507" s="37"/>
      <c r="L507" s="5"/>
      <c r="M507" s="5"/>
      <c r="N507" s="5"/>
      <c r="O507" s="5"/>
      <c r="Q507" s="5"/>
    </row>
    <row r="508" spans="1:17" x14ac:dyDescent="0.2">
      <c r="A508" s="130" t="s">
        <v>116</v>
      </c>
      <c r="B508" s="38" t="s">
        <v>62</v>
      </c>
      <c r="C508" s="39" t="e">
        <f>C365</f>
        <v>#REF!</v>
      </c>
      <c r="D508" s="51">
        <v>5872000</v>
      </c>
      <c r="E508" s="109"/>
      <c r="F508" s="109"/>
      <c r="G508" s="148"/>
      <c r="H508" s="139">
        <v>3517119</v>
      </c>
      <c r="I508" s="134">
        <v>1523260</v>
      </c>
      <c r="J508" s="46" t="e">
        <f>+SUM(C508:G508)-(H508+I508)</f>
        <v>#REF!</v>
      </c>
      <c r="K508" s="153"/>
      <c r="L508" s="5"/>
      <c r="M508" s="5"/>
      <c r="N508" s="5"/>
      <c r="O508" s="5"/>
      <c r="Q508" s="5"/>
    </row>
    <row r="509" spans="1:17" x14ac:dyDescent="0.2">
      <c r="A509" s="44" t="s">
        <v>63</v>
      </c>
      <c r="B509" s="25"/>
      <c r="C509" s="36"/>
      <c r="D509" s="25"/>
      <c r="E509" s="25"/>
      <c r="F509" s="25"/>
      <c r="G509" s="25"/>
      <c r="H509" s="25"/>
      <c r="I509" s="25"/>
      <c r="J509" s="37"/>
      <c r="L509" s="5"/>
      <c r="M509" s="5"/>
      <c r="N509" s="5"/>
      <c r="O509" s="5"/>
      <c r="Q509" s="5"/>
    </row>
    <row r="510" spans="1:17" x14ac:dyDescent="0.2">
      <c r="A510" s="130" t="s">
        <v>116</v>
      </c>
      <c r="B510" s="38" t="s">
        <v>64</v>
      </c>
      <c r="C510" s="133" t="e">
        <f>#REF!</f>
        <v>#REF!</v>
      </c>
      <c r="D510" s="140">
        <v>10380044</v>
      </c>
      <c r="E510" s="51"/>
      <c r="F510" s="51"/>
      <c r="G510" s="51"/>
      <c r="H510" s="53">
        <v>5500000</v>
      </c>
      <c r="I510" s="55">
        <v>277455</v>
      </c>
      <c r="J510" s="46" t="e">
        <f>+SUM(C510:G510)-(H510+I510)</f>
        <v>#REF!</v>
      </c>
      <c r="K510" s="153"/>
      <c r="L510" s="5"/>
      <c r="M510" s="5"/>
      <c r="N510" s="5"/>
      <c r="O510" s="5"/>
      <c r="Q510" s="5"/>
    </row>
    <row r="511" spans="1:17" x14ac:dyDescent="0.2">
      <c r="A511" s="130" t="s">
        <v>116</v>
      </c>
      <c r="B511" s="38" t="s">
        <v>65</v>
      </c>
      <c r="C511" s="133" t="e">
        <f>C364</f>
        <v>#REF!</v>
      </c>
      <c r="D511" s="51"/>
      <c r="E511" s="50"/>
      <c r="F511" s="50"/>
      <c r="G511" s="50"/>
      <c r="H511" s="33">
        <v>372000</v>
      </c>
      <c r="I511" s="52">
        <v>4601760</v>
      </c>
      <c r="J511" s="46" t="e">
        <f>SUM(C511:G511)-(H511+I511)</f>
        <v>#REF!</v>
      </c>
      <c r="K511" s="153"/>
      <c r="L511" s="5"/>
      <c r="M511" s="5"/>
      <c r="N511" s="5"/>
      <c r="O511" s="5"/>
      <c r="Q511" s="5"/>
    </row>
    <row r="512" spans="1:17" ht="15.75" x14ac:dyDescent="0.25">
      <c r="C512" s="151" t="e">
        <f>SUM(C492:C511)</f>
        <v>#REF!</v>
      </c>
      <c r="I512" s="149">
        <f>SUM(I492:I511)</f>
        <v>9282325</v>
      </c>
      <c r="J512" s="111" t="e">
        <f>+SUM(J492:J511)</f>
        <v>#REF!</v>
      </c>
      <c r="L512" s="5"/>
      <c r="M512" s="5"/>
      <c r="N512" s="5"/>
      <c r="O512" s="5"/>
      <c r="Q512" s="5"/>
    </row>
    <row r="513" spans="1:17" ht="16.5" x14ac:dyDescent="0.3">
      <c r="A513" s="14"/>
      <c r="B513" s="15"/>
      <c r="C513" s="12"/>
      <c r="D513" s="12"/>
      <c r="E513" s="13"/>
      <c r="F513" s="12"/>
      <c r="G513" s="12"/>
      <c r="H513" s="12"/>
      <c r="I513" s="12"/>
      <c r="L513" s="5"/>
      <c r="M513" s="5"/>
      <c r="N513" s="5"/>
      <c r="O513" s="5"/>
      <c r="Q513" s="5"/>
    </row>
    <row r="514" spans="1:17" x14ac:dyDescent="0.2">
      <c r="A514" s="16" t="s">
        <v>53</v>
      </c>
      <c r="B514" s="16"/>
      <c r="C514" s="16"/>
      <c r="D514" s="17"/>
      <c r="E514" s="17"/>
      <c r="F514" s="17"/>
      <c r="G514" s="17"/>
      <c r="H514" s="17"/>
      <c r="I514" s="17"/>
      <c r="L514" s="5"/>
      <c r="M514" s="5"/>
      <c r="N514" s="5"/>
      <c r="O514" s="5"/>
      <c r="Q514" s="5"/>
    </row>
    <row r="515" spans="1:17" x14ac:dyDescent="0.2">
      <c r="A515" s="18" t="s">
        <v>110</v>
      </c>
      <c r="B515" s="18"/>
      <c r="C515" s="18"/>
      <c r="D515" s="18"/>
      <c r="E515" s="18"/>
      <c r="F515" s="18"/>
      <c r="G515" s="18"/>
      <c r="H515" s="18"/>
      <c r="I515" s="18"/>
      <c r="J515" s="17"/>
      <c r="L515" s="5"/>
      <c r="M515" s="5"/>
      <c r="N515" s="5"/>
      <c r="O515" s="5"/>
      <c r="Q515" s="5"/>
    </row>
    <row r="516" spans="1:17" x14ac:dyDescent="0.2">
      <c r="A516" s="19"/>
      <c r="B516" s="20"/>
      <c r="C516" s="21"/>
      <c r="D516" s="21"/>
      <c r="E516" s="21"/>
      <c r="F516" s="21"/>
      <c r="G516" s="21"/>
      <c r="H516" s="20"/>
      <c r="I516" s="20"/>
      <c r="J516" s="18"/>
      <c r="L516" s="5"/>
      <c r="M516" s="5"/>
      <c r="N516" s="5"/>
      <c r="O516" s="5"/>
      <c r="Q516" s="5"/>
    </row>
    <row r="517" spans="1:17" x14ac:dyDescent="0.2">
      <c r="A517" s="377" t="s">
        <v>54</v>
      </c>
      <c r="B517" s="379" t="s">
        <v>55</v>
      </c>
      <c r="C517" s="381" t="s">
        <v>111</v>
      </c>
      <c r="D517" s="383" t="s">
        <v>56</v>
      </c>
      <c r="E517" s="384"/>
      <c r="F517" s="384"/>
      <c r="G517" s="385"/>
      <c r="H517" s="386" t="s">
        <v>57</v>
      </c>
      <c r="I517" s="373" t="s">
        <v>58</v>
      </c>
      <c r="J517" s="20"/>
      <c r="L517" s="5"/>
      <c r="M517" s="5"/>
      <c r="N517" s="5"/>
      <c r="O517" s="5"/>
      <c r="Q517" s="5"/>
    </row>
    <row r="518" spans="1:17" x14ac:dyDescent="0.25">
      <c r="A518" s="378"/>
      <c r="B518" s="380"/>
      <c r="C518" s="382"/>
      <c r="D518" s="22" t="s">
        <v>24</v>
      </c>
      <c r="E518" s="22" t="s">
        <v>25</v>
      </c>
      <c r="F518" s="150" t="s">
        <v>113</v>
      </c>
      <c r="G518" s="22" t="s">
        <v>59</v>
      </c>
      <c r="H518" s="387"/>
      <c r="I518" s="374"/>
      <c r="J518" s="375" t="s">
        <v>112</v>
      </c>
      <c r="L518" s="5"/>
      <c r="M518" s="5"/>
      <c r="N518" s="5"/>
      <c r="O518" s="5"/>
      <c r="Q518" s="5"/>
    </row>
    <row r="519" spans="1:17" x14ac:dyDescent="0.2">
      <c r="A519" s="24"/>
      <c r="B519" s="25" t="s">
        <v>60</v>
      </c>
      <c r="C519" s="26"/>
      <c r="D519" s="26"/>
      <c r="E519" s="26"/>
      <c r="F519" s="26"/>
      <c r="G519" s="26"/>
      <c r="H519" s="26"/>
      <c r="I519" s="27"/>
      <c r="J519" s="376"/>
      <c r="L519" s="5"/>
      <c r="M519" s="5"/>
      <c r="N519" s="5"/>
      <c r="O519" s="5"/>
      <c r="Q519" s="5"/>
    </row>
    <row r="520" spans="1:17" x14ac:dyDescent="0.2">
      <c r="A520" s="130" t="s">
        <v>109</v>
      </c>
      <c r="B520" s="135" t="s">
        <v>77</v>
      </c>
      <c r="C520" s="33">
        <v>-11330</v>
      </c>
      <c r="D520" s="32"/>
      <c r="E520" s="33">
        <v>201400</v>
      </c>
      <c r="F520" s="33">
        <v>184300</v>
      </c>
      <c r="G520" s="33"/>
      <c r="H520" s="57"/>
      <c r="I520" s="33">
        <v>370700</v>
      </c>
      <c r="J520" s="31">
        <f>+SUM(C520:G520)-(H520+I520)</f>
        <v>3670</v>
      </c>
      <c r="K520" s="70"/>
      <c r="L520" s="5"/>
      <c r="M520" s="5"/>
      <c r="N520" s="5"/>
      <c r="O520" s="5"/>
      <c r="Q520" s="5"/>
    </row>
    <row r="521" spans="1:17" x14ac:dyDescent="0.2">
      <c r="A521" s="130" t="s">
        <v>109</v>
      </c>
      <c r="B521" s="135" t="s">
        <v>48</v>
      </c>
      <c r="C521" s="33">
        <v>8260</v>
      </c>
      <c r="D521" s="32"/>
      <c r="E521" s="33">
        <v>357900</v>
      </c>
      <c r="F521" s="33"/>
      <c r="G521" s="33"/>
      <c r="H521" s="57">
        <v>50000</v>
      </c>
      <c r="I521" s="33">
        <v>316700</v>
      </c>
      <c r="J521" s="31">
        <f t="shared" ref="J521:J522" si="208">+SUM(C521:G521)-(H521+I521)</f>
        <v>-540</v>
      </c>
      <c r="K521" s="70"/>
      <c r="L521" s="5"/>
      <c r="M521" s="5"/>
      <c r="N521" s="5"/>
      <c r="O521" s="5"/>
      <c r="Q521" s="5"/>
    </row>
    <row r="522" spans="1:17" x14ac:dyDescent="0.2">
      <c r="A522" s="130" t="s">
        <v>109</v>
      </c>
      <c r="B522" s="135" t="s">
        <v>31</v>
      </c>
      <c r="C522" s="33">
        <v>3795</v>
      </c>
      <c r="D522" s="32"/>
      <c r="E522" s="33">
        <v>20000</v>
      </c>
      <c r="F522" s="33"/>
      <c r="G522" s="33"/>
      <c r="H522" s="33"/>
      <c r="I522" s="33">
        <v>21400</v>
      </c>
      <c r="J522" s="107">
        <f t="shared" si="208"/>
        <v>2395</v>
      </c>
      <c r="K522" s="70"/>
      <c r="L522" s="5"/>
      <c r="M522" s="5"/>
      <c r="N522" s="5"/>
      <c r="O522" s="5"/>
      <c r="Q522" s="5"/>
    </row>
    <row r="523" spans="1:17" x14ac:dyDescent="0.2">
      <c r="A523" s="130" t="s">
        <v>109</v>
      </c>
      <c r="B523" s="135" t="s">
        <v>78</v>
      </c>
      <c r="C523" s="33">
        <v>-83100</v>
      </c>
      <c r="D523" s="110"/>
      <c r="E523" s="33">
        <v>699200</v>
      </c>
      <c r="F523" s="33"/>
      <c r="G523" s="33"/>
      <c r="H523" s="33"/>
      <c r="I523" s="33">
        <v>520000</v>
      </c>
      <c r="J523" s="107">
        <f>+SUM(C523:G523)-(H523+I523)</f>
        <v>96100</v>
      </c>
      <c r="K523" s="70"/>
      <c r="L523" s="5"/>
      <c r="M523" s="5"/>
      <c r="N523" s="5"/>
      <c r="O523" s="5"/>
      <c r="Q523" s="5"/>
    </row>
    <row r="524" spans="1:17" x14ac:dyDescent="0.2">
      <c r="A524" s="130" t="s">
        <v>109</v>
      </c>
      <c r="B524" s="135" t="s">
        <v>70</v>
      </c>
      <c r="C524" s="33">
        <v>1784</v>
      </c>
      <c r="D524" s="110"/>
      <c r="E524" s="33">
        <v>568600</v>
      </c>
      <c r="F524" s="33">
        <v>50000</v>
      </c>
      <c r="G524" s="33"/>
      <c r="H524" s="33">
        <v>184300</v>
      </c>
      <c r="I524" s="33">
        <v>422200</v>
      </c>
      <c r="J524" s="107">
        <f t="shared" ref="J524" si="209">+SUM(C524:G524)-(H524+I524)</f>
        <v>13884</v>
      </c>
      <c r="K524" s="70"/>
      <c r="L524" s="5"/>
      <c r="M524" s="5"/>
      <c r="N524" s="5"/>
      <c r="O524" s="5"/>
      <c r="Q524" s="5"/>
    </row>
    <row r="525" spans="1:17" x14ac:dyDescent="0.2">
      <c r="A525" s="130" t="s">
        <v>109</v>
      </c>
      <c r="B525" s="136" t="s">
        <v>30</v>
      </c>
      <c r="C525" s="33">
        <v>88800</v>
      </c>
      <c r="D525" s="127"/>
      <c r="E525" s="53">
        <v>694600</v>
      </c>
      <c r="F525" s="53"/>
      <c r="G525" s="53"/>
      <c r="H525" s="53"/>
      <c r="I525" s="53">
        <v>711000</v>
      </c>
      <c r="J525" s="132">
        <f>+SUM(C525:G525)-(H525+I525)</f>
        <v>72400</v>
      </c>
      <c r="K525" s="70"/>
      <c r="L525" s="5"/>
      <c r="M525" s="5"/>
      <c r="N525" s="5"/>
      <c r="O525" s="5"/>
      <c r="Q525" s="5"/>
    </row>
    <row r="526" spans="1:17" x14ac:dyDescent="0.2">
      <c r="A526" s="130" t="s">
        <v>109</v>
      </c>
      <c r="B526" s="137" t="s">
        <v>85</v>
      </c>
      <c r="C526" s="128">
        <v>233614</v>
      </c>
      <c r="D526" s="131"/>
      <c r="E526" s="146"/>
      <c r="F526" s="146"/>
      <c r="G526" s="146"/>
      <c r="H526" s="146"/>
      <c r="I526" s="146"/>
      <c r="J526" s="129">
        <f>+SUM(C526:G526)-(H526+I526)</f>
        <v>233614</v>
      </c>
      <c r="K526" s="70"/>
      <c r="L526" s="5"/>
      <c r="M526" s="5"/>
      <c r="N526" s="5"/>
      <c r="O526" s="5"/>
      <c r="Q526" s="5"/>
    </row>
    <row r="527" spans="1:17" x14ac:dyDescent="0.2">
      <c r="A527" s="130" t="s">
        <v>109</v>
      </c>
      <c r="B527" s="137" t="s">
        <v>84</v>
      </c>
      <c r="C527" s="128">
        <v>249769</v>
      </c>
      <c r="D527" s="131"/>
      <c r="E527" s="146"/>
      <c r="F527" s="146"/>
      <c r="G527" s="146"/>
      <c r="H527" s="146"/>
      <c r="I527" s="146"/>
      <c r="J527" s="129">
        <f t="shared" ref="J527:J531" si="210">+SUM(C527:G527)-(H527+I527)</f>
        <v>249769</v>
      </c>
      <c r="K527" s="70"/>
      <c r="L527" s="5"/>
      <c r="M527" s="5"/>
      <c r="N527" s="5"/>
      <c r="O527" s="5"/>
      <c r="Q527" s="5"/>
    </row>
    <row r="528" spans="1:17" x14ac:dyDescent="0.2">
      <c r="A528" s="130" t="s">
        <v>109</v>
      </c>
      <c r="B528" s="135" t="s">
        <v>36</v>
      </c>
      <c r="C528" s="33">
        <v>7890</v>
      </c>
      <c r="D528" s="32"/>
      <c r="E528" s="33">
        <v>135600</v>
      </c>
      <c r="F528" s="110"/>
      <c r="G528" s="110"/>
      <c r="H528" s="110"/>
      <c r="I528" s="33">
        <v>125000</v>
      </c>
      <c r="J528" s="31">
        <f t="shared" si="210"/>
        <v>18490</v>
      </c>
      <c r="K528" s="70"/>
      <c r="L528" s="5"/>
      <c r="M528" s="5"/>
      <c r="N528" s="5"/>
      <c r="O528" s="5"/>
      <c r="Q528" s="5"/>
    </row>
    <row r="529" spans="1:17" x14ac:dyDescent="0.2">
      <c r="A529" s="130" t="s">
        <v>109</v>
      </c>
      <c r="B529" s="135" t="s">
        <v>94</v>
      </c>
      <c r="C529" s="33">
        <v>5000</v>
      </c>
      <c r="D529" s="32"/>
      <c r="E529" s="33">
        <v>30000</v>
      </c>
      <c r="F529" s="110"/>
      <c r="G529" s="110"/>
      <c r="H529" s="110"/>
      <c r="I529" s="33">
        <v>30500</v>
      </c>
      <c r="J529" s="31">
        <f t="shared" si="210"/>
        <v>4500</v>
      </c>
      <c r="K529" s="70"/>
      <c r="L529" s="5"/>
      <c r="M529" s="5"/>
      <c r="N529" s="5"/>
      <c r="O529" s="5"/>
      <c r="Q529" s="5"/>
    </row>
    <row r="530" spans="1:17" x14ac:dyDescent="0.2">
      <c r="A530" s="130" t="s">
        <v>109</v>
      </c>
      <c r="B530" s="135" t="s">
        <v>29</v>
      </c>
      <c r="C530" s="33">
        <v>57700</v>
      </c>
      <c r="D530" s="32"/>
      <c r="E530" s="33">
        <v>639000</v>
      </c>
      <c r="F530" s="110"/>
      <c r="G530" s="110"/>
      <c r="H530" s="110"/>
      <c r="I530" s="33">
        <v>652500</v>
      </c>
      <c r="J530" s="31">
        <f t="shared" si="210"/>
        <v>44200</v>
      </c>
      <c r="K530" s="70"/>
      <c r="L530" s="5"/>
      <c r="M530" s="5"/>
      <c r="N530" s="5"/>
      <c r="O530" s="5"/>
      <c r="Q530" s="5"/>
    </row>
    <row r="531" spans="1:17" x14ac:dyDescent="0.2">
      <c r="A531" s="130" t="s">
        <v>109</v>
      </c>
      <c r="B531" s="135" t="s">
        <v>95</v>
      </c>
      <c r="C531" s="33">
        <v>-32081</v>
      </c>
      <c r="D531" s="32"/>
      <c r="E531" s="110"/>
      <c r="F531" s="110"/>
      <c r="G531" s="110"/>
      <c r="H531" s="110"/>
      <c r="I531" s="33">
        <v>819628</v>
      </c>
      <c r="J531" s="31">
        <f t="shared" si="210"/>
        <v>-851709</v>
      </c>
      <c r="K531" s="70"/>
      <c r="L531" s="5"/>
      <c r="M531" s="5"/>
      <c r="N531" s="5"/>
      <c r="O531" s="5"/>
      <c r="Q531" s="5"/>
    </row>
    <row r="532" spans="1:17" x14ac:dyDescent="0.2">
      <c r="A532" s="130" t="s">
        <v>109</v>
      </c>
      <c r="B532" s="135" t="s">
        <v>102</v>
      </c>
      <c r="C532" s="33">
        <v>62000</v>
      </c>
      <c r="D532" s="32"/>
      <c r="E532" s="33">
        <v>622600</v>
      </c>
      <c r="F532" s="110"/>
      <c r="G532" s="110"/>
      <c r="H532" s="110"/>
      <c r="I532" s="33">
        <v>594300</v>
      </c>
      <c r="J532" s="31">
        <f>+SUM(C532:G532)-(H532+I532)</f>
        <v>90300</v>
      </c>
      <c r="K532" s="70"/>
      <c r="L532" s="5"/>
      <c r="M532" s="5"/>
      <c r="N532" s="5"/>
      <c r="O532" s="5"/>
      <c r="Q532" s="5"/>
    </row>
    <row r="533" spans="1:17" x14ac:dyDescent="0.2">
      <c r="A533" s="130" t="s">
        <v>109</v>
      </c>
      <c r="B533" s="136" t="s">
        <v>32</v>
      </c>
      <c r="C533" s="33">
        <v>4300</v>
      </c>
      <c r="D533" s="127"/>
      <c r="E533" s="145"/>
      <c r="F533" s="145"/>
      <c r="G533" s="147"/>
      <c r="H533" s="145"/>
      <c r="I533" s="53">
        <v>4000</v>
      </c>
      <c r="J533" s="31">
        <f t="shared" ref="J533" si="211">+SUM(C533:G533)-(H533+I533)</f>
        <v>300</v>
      </c>
      <c r="K533" s="70"/>
      <c r="L533" s="5"/>
      <c r="M533" s="5"/>
      <c r="N533" s="5"/>
      <c r="O533" s="5"/>
      <c r="Q533" s="5"/>
    </row>
    <row r="534" spans="1:17" x14ac:dyDescent="0.2">
      <c r="A534" s="35" t="s">
        <v>61</v>
      </c>
      <c r="B534" s="36"/>
      <c r="C534" s="36"/>
      <c r="D534" s="36"/>
      <c r="E534" s="36"/>
      <c r="F534" s="36"/>
      <c r="G534" s="36"/>
      <c r="H534" s="36"/>
      <c r="I534" s="36"/>
      <c r="J534" s="37"/>
      <c r="K534" s="70"/>
      <c r="L534" s="5"/>
      <c r="M534" s="5"/>
      <c r="N534" s="5"/>
      <c r="O534" s="5"/>
      <c r="Q534" s="5"/>
    </row>
    <row r="535" spans="1:17" x14ac:dyDescent="0.2">
      <c r="A535" s="130" t="s">
        <v>109</v>
      </c>
      <c r="B535" s="38" t="s">
        <v>62</v>
      </c>
      <c r="C535" s="39">
        <v>62150</v>
      </c>
      <c r="D535" s="51">
        <v>5500000</v>
      </c>
      <c r="E535" s="109"/>
      <c r="F535" s="109"/>
      <c r="G535" s="148"/>
      <c r="H535" s="139">
        <v>3968900</v>
      </c>
      <c r="I535" s="134">
        <v>1276534</v>
      </c>
      <c r="J535" s="46">
        <f>+SUM(C535:G535)-(H535+I535)</f>
        <v>316716</v>
      </c>
      <c r="K535" s="70"/>
      <c r="L535" s="5"/>
      <c r="M535" s="5"/>
      <c r="N535" s="5"/>
      <c r="O535" s="5"/>
      <c r="Q535" s="5"/>
    </row>
    <row r="536" spans="1:17" x14ac:dyDescent="0.2">
      <c r="A536" s="44" t="s">
        <v>63</v>
      </c>
      <c r="B536" s="25"/>
      <c r="C536" s="36"/>
      <c r="D536" s="25"/>
      <c r="E536" s="25"/>
      <c r="F536" s="25"/>
      <c r="G536" s="25"/>
      <c r="H536" s="25"/>
      <c r="I536" s="25"/>
      <c r="J536" s="37"/>
      <c r="L536" s="5"/>
      <c r="M536" s="5"/>
      <c r="N536" s="5"/>
      <c r="O536" s="5"/>
      <c r="Q536" s="5"/>
    </row>
    <row r="537" spans="1:17" x14ac:dyDescent="0.2">
      <c r="A537" s="130" t="s">
        <v>109</v>
      </c>
      <c r="B537" s="38" t="s">
        <v>64</v>
      </c>
      <c r="C537" s="133">
        <v>11284555</v>
      </c>
      <c r="D537" s="140"/>
      <c r="E537" s="51"/>
      <c r="F537" s="51"/>
      <c r="G537" s="51"/>
      <c r="H537" s="53">
        <v>5500000</v>
      </c>
      <c r="I537" s="55">
        <v>273881</v>
      </c>
      <c r="J537" s="46">
        <f>+SUM(C537:G537)-(H537+I537)</f>
        <v>5510674</v>
      </c>
      <c r="K537" s="70"/>
      <c r="L537" s="5"/>
      <c r="M537" s="5"/>
      <c r="N537" s="5"/>
      <c r="O537" s="5"/>
      <c r="Q537" s="5"/>
    </row>
    <row r="538" spans="1:17" x14ac:dyDescent="0.2">
      <c r="A538" s="130" t="s">
        <v>109</v>
      </c>
      <c r="B538" s="38" t="s">
        <v>65</v>
      </c>
      <c r="C538" s="133">
        <v>2158645</v>
      </c>
      <c r="D538" s="51">
        <v>15435980</v>
      </c>
      <c r="E538" s="50"/>
      <c r="F538" s="50"/>
      <c r="G538" s="50"/>
      <c r="H538" s="33"/>
      <c r="I538" s="52">
        <v>6400961</v>
      </c>
      <c r="J538" s="46">
        <f>SUM(C538:G538)-(H538+I538)</f>
        <v>11193664</v>
      </c>
      <c r="K538" s="70"/>
      <c r="L538" s="5"/>
      <c r="M538" s="5"/>
      <c r="N538" s="5"/>
      <c r="O538" s="5"/>
      <c r="Q538" s="5"/>
    </row>
    <row r="539" spans="1:17" ht="15.75" x14ac:dyDescent="0.25">
      <c r="C539" s="151">
        <f>SUM(C520:C538)</f>
        <v>14101751</v>
      </c>
      <c r="I539" s="149">
        <f>SUM(I520:I538)</f>
        <v>12539304</v>
      </c>
      <c r="J539" s="111">
        <f>+SUM(J520:J538)</f>
        <v>16998427</v>
      </c>
      <c r="L539" s="5"/>
      <c r="M539" s="5"/>
      <c r="N539" s="5"/>
      <c r="O539" s="5"/>
      <c r="Q539" s="5"/>
    </row>
    <row r="540" spans="1:17" ht="16.5" x14ac:dyDescent="0.3">
      <c r="A540" s="10"/>
      <c r="B540" s="11"/>
      <c r="C540" s="12"/>
      <c r="D540" s="12"/>
      <c r="E540" s="12"/>
      <c r="F540" s="12"/>
      <c r="G540" s="12"/>
      <c r="H540" s="12"/>
      <c r="I540" s="12"/>
      <c r="J540" s="141"/>
      <c r="L540" s="5"/>
      <c r="M540" s="5"/>
      <c r="N540" s="5"/>
      <c r="O540" s="5"/>
      <c r="Q540" s="5"/>
    </row>
    <row r="541" spans="1:17" ht="16.5" x14ac:dyDescent="0.3">
      <c r="A541" s="14"/>
      <c r="B541" s="15"/>
      <c r="C541" s="12"/>
      <c r="D541" s="12"/>
      <c r="E541" s="13"/>
      <c r="F541" s="12"/>
      <c r="G541" s="12"/>
      <c r="H541" s="12"/>
      <c r="I541" s="12"/>
      <c r="L541" s="5"/>
      <c r="M541" s="5"/>
      <c r="N541" s="5"/>
      <c r="O541" s="5"/>
      <c r="Q541" s="5"/>
    </row>
    <row r="542" spans="1:17" x14ac:dyDescent="0.2">
      <c r="A542" s="16" t="s">
        <v>53</v>
      </c>
      <c r="B542" s="16"/>
      <c r="C542" s="16"/>
      <c r="D542" s="17"/>
      <c r="E542" s="17"/>
      <c r="F542" s="17"/>
      <c r="G542" s="17"/>
      <c r="H542" s="17"/>
      <c r="I542" s="17"/>
      <c r="L542" s="5"/>
      <c r="M542" s="5"/>
      <c r="N542" s="5"/>
      <c r="O542" s="5"/>
      <c r="Q542" s="5"/>
    </row>
    <row r="543" spans="1:17" x14ac:dyDescent="0.2">
      <c r="A543" s="18" t="s">
        <v>107</v>
      </c>
      <c r="B543" s="18"/>
      <c r="C543" s="18"/>
      <c r="D543" s="18"/>
      <c r="E543" s="18"/>
      <c r="F543" s="18"/>
      <c r="G543" s="18"/>
      <c r="H543" s="18"/>
      <c r="I543" s="18"/>
      <c r="J543" s="17"/>
      <c r="L543" s="5"/>
      <c r="M543" s="5"/>
      <c r="N543" s="5"/>
      <c r="O543" s="5"/>
      <c r="Q543" s="5"/>
    </row>
    <row r="544" spans="1:17" x14ac:dyDescent="0.2">
      <c r="A544" s="19"/>
      <c r="B544" s="20"/>
      <c r="C544" s="21"/>
      <c r="D544" s="21"/>
      <c r="E544" s="21"/>
      <c r="F544" s="21"/>
      <c r="G544" s="21"/>
      <c r="H544" s="20"/>
      <c r="I544" s="20"/>
      <c r="J544" s="18"/>
      <c r="L544" s="5"/>
      <c r="M544" s="5"/>
      <c r="N544" s="5"/>
      <c r="O544" s="5"/>
      <c r="Q544" s="5"/>
    </row>
    <row r="545" spans="1:17" x14ac:dyDescent="0.2">
      <c r="A545" s="377" t="s">
        <v>54</v>
      </c>
      <c r="B545" s="379" t="s">
        <v>55</v>
      </c>
      <c r="C545" s="381" t="s">
        <v>105</v>
      </c>
      <c r="D545" s="383" t="s">
        <v>56</v>
      </c>
      <c r="E545" s="384"/>
      <c r="F545" s="384"/>
      <c r="G545" s="385"/>
      <c r="H545" s="386" t="s">
        <v>57</v>
      </c>
      <c r="I545" s="373" t="s">
        <v>58</v>
      </c>
      <c r="J545" s="20"/>
      <c r="L545" s="5"/>
      <c r="M545" s="5"/>
      <c r="N545" s="5"/>
      <c r="O545" s="5"/>
      <c r="Q545" s="5"/>
    </row>
    <row r="546" spans="1:17" x14ac:dyDescent="0.25">
      <c r="A546" s="378"/>
      <c r="B546" s="380"/>
      <c r="C546" s="382"/>
      <c r="D546" s="22" t="s">
        <v>24</v>
      </c>
      <c r="E546" s="22" t="s">
        <v>25</v>
      </c>
      <c r="F546" s="142" t="s">
        <v>108</v>
      </c>
      <c r="G546" s="22" t="s">
        <v>59</v>
      </c>
      <c r="H546" s="387"/>
      <c r="I546" s="374"/>
      <c r="J546" s="375" t="s">
        <v>106</v>
      </c>
      <c r="L546" s="5"/>
      <c r="M546" s="5"/>
      <c r="N546" s="5"/>
      <c r="O546" s="5"/>
      <c r="Q546" s="5"/>
    </row>
    <row r="547" spans="1:17" x14ac:dyDescent="0.2">
      <c r="A547" s="24"/>
      <c r="B547" s="25" t="s">
        <v>60</v>
      </c>
      <c r="C547" s="26"/>
      <c r="D547" s="26"/>
      <c r="E547" s="26"/>
      <c r="F547" s="26"/>
      <c r="G547" s="26"/>
      <c r="H547" s="26"/>
      <c r="I547" s="27"/>
      <c r="J547" s="376"/>
      <c r="L547" s="5"/>
      <c r="M547" s="5"/>
      <c r="N547" s="5"/>
      <c r="O547" s="5"/>
      <c r="Q547" s="5"/>
    </row>
    <row r="548" spans="1:17" x14ac:dyDescent="0.2">
      <c r="A548" s="130" t="s">
        <v>104</v>
      </c>
      <c r="B548" s="135" t="s">
        <v>77</v>
      </c>
      <c r="C548" s="33">
        <v>22200</v>
      </c>
      <c r="D548" s="32"/>
      <c r="E548" s="33">
        <v>439970</v>
      </c>
      <c r="F548" s="110"/>
      <c r="G548" s="110"/>
      <c r="H548" s="144"/>
      <c r="I548" s="33">
        <v>473500</v>
      </c>
      <c r="J548" s="31">
        <f>+SUM(C548:G548)-(H548+I548)</f>
        <v>-11330</v>
      </c>
      <c r="K548" s="70"/>
      <c r="L548" s="5"/>
      <c r="M548" s="5"/>
      <c r="N548" s="5"/>
      <c r="O548" s="5"/>
      <c r="Q548" s="5"/>
    </row>
    <row r="549" spans="1:17" x14ac:dyDescent="0.2">
      <c r="A549" s="130" t="s">
        <v>104</v>
      </c>
      <c r="B549" s="135" t="s">
        <v>48</v>
      </c>
      <c r="C549" s="33">
        <v>3060</v>
      </c>
      <c r="D549" s="32"/>
      <c r="E549" s="33">
        <v>157200</v>
      </c>
      <c r="F549" s="33"/>
      <c r="G549" s="33"/>
      <c r="H549" s="57"/>
      <c r="I549" s="33">
        <v>152000</v>
      </c>
      <c r="J549" s="31">
        <f t="shared" ref="J549:J550" si="212">+SUM(C549:G549)-(H549+I549)</f>
        <v>8260</v>
      </c>
      <c r="K549" s="70"/>
      <c r="L549" s="5"/>
      <c r="M549" s="5"/>
      <c r="N549" s="5"/>
      <c r="O549" s="5"/>
      <c r="Q549" s="5"/>
    </row>
    <row r="550" spans="1:17" x14ac:dyDescent="0.2">
      <c r="A550" s="130" t="s">
        <v>104</v>
      </c>
      <c r="B550" s="135" t="s">
        <v>31</v>
      </c>
      <c r="C550" s="33">
        <v>3795</v>
      </c>
      <c r="D550" s="32"/>
      <c r="E550" s="33">
        <v>45000</v>
      </c>
      <c r="F550" s="33"/>
      <c r="G550" s="33"/>
      <c r="H550" s="33"/>
      <c r="I550" s="33">
        <v>45000</v>
      </c>
      <c r="J550" s="107">
        <f t="shared" si="212"/>
        <v>3795</v>
      </c>
      <c r="K550" s="70"/>
      <c r="L550" s="5"/>
      <c r="M550" s="5"/>
      <c r="N550" s="5"/>
      <c r="O550" s="5"/>
      <c r="Q550" s="5"/>
    </row>
    <row r="551" spans="1:17" x14ac:dyDescent="0.2">
      <c r="A551" s="130" t="s">
        <v>104</v>
      </c>
      <c r="B551" s="135" t="s">
        <v>78</v>
      </c>
      <c r="C551" s="33">
        <v>2300</v>
      </c>
      <c r="D551" s="110"/>
      <c r="E551" s="33">
        <v>266600</v>
      </c>
      <c r="F551" s="33">
        <v>159900</v>
      </c>
      <c r="G551" s="33"/>
      <c r="H551" s="33">
        <v>25000</v>
      </c>
      <c r="I551" s="33">
        <v>486900</v>
      </c>
      <c r="J551" s="107">
        <f>+SUM(C551:G551)-(H551+I551)</f>
        <v>-83100</v>
      </c>
      <c r="K551" s="70"/>
      <c r="L551" s="5"/>
      <c r="M551" s="5"/>
      <c r="N551" s="5"/>
      <c r="O551" s="5"/>
      <c r="Q551" s="5"/>
    </row>
    <row r="552" spans="1:17" x14ac:dyDescent="0.2">
      <c r="A552" s="130" t="s">
        <v>104</v>
      </c>
      <c r="B552" s="135" t="s">
        <v>70</v>
      </c>
      <c r="C552" s="33">
        <v>-14216</v>
      </c>
      <c r="D552" s="110"/>
      <c r="E552" s="33">
        <v>622600</v>
      </c>
      <c r="F552" s="33">
        <v>25000</v>
      </c>
      <c r="G552" s="33"/>
      <c r="H552" s="33">
        <v>260700</v>
      </c>
      <c r="I552" s="33">
        <v>370900</v>
      </c>
      <c r="J552" s="107">
        <f>+SUM(C552:G552)-(H552+I552)</f>
        <v>1784</v>
      </c>
      <c r="K552" s="70"/>
      <c r="L552" s="5"/>
      <c r="M552" s="5"/>
      <c r="N552" s="5"/>
      <c r="O552" s="5"/>
      <c r="Q552" s="5"/>
    </row>
    <row r="553" spans="1:17" x14ac:dyDescent="0.2">
      <c r="A553" s="130" t="s">
        <v>104</v>
      </c>
      <c r="B553" s="136" t="s">
        <v>30</v>
      </c>
      <c r="C553" s="53">
        <v>143300</v>
      </c>
      <c r="D553" s="127"/>
      <c r="E553" s="53">
        <v>466500</v>
      </c>
      <c r="F553" s="145"/>
      <c r="G553" s="145"/>
      <c r="H553" s="145"/>
      <c r="I553" s="53">
        <v>521000</v>
      </c>
      <c r="J553" s="132">
        <f>+SUM(C553:G553)-(H553+I553)</f>
        <v>88800</v>
      </c>
      <c r="K553" s="70"/>
      <c r="L553" s="5"/>
      <c r="M553" s="5"/>
      <c r="N553" s="5"/>
      <c r="O553" s="5"/>
      <c r="Q553" s="5"/>
    </row>
    <row r="554" spans="1:17" x14ac:dyDescent="0.2">
      <c r="A554" s="130" t="s">
        <v>104</v>
      </c>
      <c r="B554" s="137" t="s">
        <v>85</v>
      </c>
      <c r="C554" s="128">
        <v>233614</v>
      </c>
      <c r="D554" s="131"/>
      <c r="E554" s="146"/>
      <c r="F554" s="146"/>
      <c r="G554" s="146"/>
      <c r="H554" s="146"/>
      <c r="I554" s="146"/>
      <c r="J554" s="129">
        <f>+SUM(C554:G554)-(H554+I554)</f>
        <v>233614</v>
      </c>
      <c r="K554" s="70"/>
      <c r="L554" s="5"/>
      <c r="M554" s="5"/>
      <c r="N554" s="5"/>
      <c r="O554" s="5"/>
      <c r="Q554" s="5"/>
    </row>
    <row r="555" spans="1:17" x14ac:dyDescent="0.2">
      <c r="A555" s="130" t="s">
        <v>104</v>
      </c>
      <c r="B555" s="137" t="s">
        <v>84</v>
      </c>
      <c r="C555" s="128">
        <v>249768</v>
      </c>
      <c r="D555" s="131"/>
      <c r="E555" s="146"/>
      <c r="F555" s="146"/>
      <c r="G555" s="146"/>
      <c r="H555" s="146"/>
      <c r="I555" s="146"/>
      <c r="J555" s="129">
        <f t="shared" ref="J555:J561" si="213">+SUM(C555:G555)-(H555+I555)</f>
        <v>249768</v>
      </c>
      <c r="K555" s="70"/>
      <c r="L555" s="5"/>
      <c r="M555" s="5"/>
      <c r="N555" s="5"/>
      <c r="O555" s="5"/>
      <c r="Q555" s="5"/>
    </row>
    <row r="556" spans="1:17" x14ac:dyDescent="0.2">
      <c r="A556" s="130" t="s">
        <v>104</v>
      </c>
      <c r="B556" s="135" t="s">
        <v>36</v>
      </c>
      <c r="C556" s="33">
        <v>55090</v>
      </c>
      <c r="D556" s="32"/>
      <c r="E556" s="33">
        <v>143000</v>
      </c>
      <c r="F556" s="33">
        <v>70800</v>
      </c>
      <c r="G556" s="110"/>
      <c r="H556" s="110"/>
      <c r="I556" s="33">
        <v>261000</v>
      </c>
      <c r="J556" s="31">
        <f t="shared" si="213"/>
        <v>7890</v>
      </c>
      <c r="K556" s="70"/>
      <c r="L556" s="5"/>
      <c r="M556" s="5"/>
      <c r="N556" s="5"/>
      <c r="O556" s="5"/>
      <c r="Q556" s="5"/>
    </row>
    <row r="557" spans="1:17" x14ac:dyDescent="0.2">
      <c r="A557" s="130" t="s">
        <v>104</v>
      </c>
      <c r="B557" s="135" t="s">
        <v>94</v>
      </c>
      <c r="C557" s="33">
        <v>0</v>
      </c>
      <c r="D557" s="32"/>
      <c r="E557" s="33">
        <v>30000</v>
      </c>
      <c r="F557" s="110"/>
      <c r="G557" s="110"/>
      <c r="H557" s="110"/>
      <c r="I557" s="33">
        <v>25000</v>
      </c>
      <c r="J557" s="31">
        <f t="shared" si="213"/>
        <v>5000</v>
      </c>
      <c r="K557" s="70"/>
      <c r="L557" s="5"/>
      <c r="M557" s="5"/>
      <c r="N557" s="5"/>
      <c r="O557" s="5"/>
      <c r="Q557" s="5"/>
    </row>
    <row r="558" spans="1:17" x14ac:dyDescent="0.2">
      <c r="A558" s="130" t="s">
        <v>104</v>
      </c>
      <c r="B558" s="135" t="s">
        <v>29</v>
      </c>
      <c r="C558" s="33">
        <v>110700</v>
      </c>
      <c r="D558" s="32"/>
      <c r="E558" s="33">
        <v>375000</v>
      </c>
      <c r="F558" s="33">
        <v>30000</v>
      </c>
      <c r="G558" s="110"/>
      <c r="H558" s="110"/>
      <c r="I558" s="33">
        <v>458000</v>
      </c>
      <c r="J558" s="31">
        <f t="shared" si="213"/>
        <v>57700</v>
      </c>
      <c r="K558" s="70"/>
      <c r="L558" s="5"/>
      <c r="M558" s="5"/>
      <c r="N558" s="5"/>
      <c r="O558" s="5"/>
      <c r="Q558" s="5"/>
    </row>
    <row r="559" spans="1:17" x14ac:dyDescent="0.2">
      <c r="A559" s="130" t="s">
        <v>104</v>
      </c>
      <c r="B559" s="135" t="s">
        <v>95</v>
      </c>
      <c r="C559" s="33">
        <v>-32081</v>
      </c>
      <c r="D559" s="32"/>
      <c r="E559" s="110">
        <v>0</v>
      </c>
      <c r="F559" s="110"/>
      <c r="G559" s="110"/>
      <c r="H559" s="110"/>
      <c r="I559" s="110">
        <v>0</v>
      </c>
      <c r="J559" s="31">
        <f t="shared" si="213"/>
        <v>-32081</v>
      </c>
      <c r="K559" s="70"/>
      <c r="L559" s="5"/>
      <c r="M559" s="5"/>
      <c r="N559" s="5"/>
      <c r="O559" s="5"/>
      <c r="Q559" s="5"/>
    </row>
    <row r="560" spans="1:17" x14ac:dyDescent="0.2">
      <c r="A560" s="130" t="s">
        <v>104</v>
      </c>
      <c r="B560" s="135" t="s">
        <v>102</v>
      </c>
      <c r="C560" s="33">
        <v>0</v>
      </c>
      <c r="D560" s="32"/>
      <c r="E560" s="33">
        <v>82000</v>
      </c>
      <c r="F560" s="110"/>
      <c r="G560" s="110"/>
      <c r="H560" s="110"/>
      <c r="I560" s="33">
        <v>20000</v>
      </c>
      <c r="J560" s="31">
        <f>+SUM(C560:G560)-(H560+I560)</f>
        <v>62000</v>
      </c>
      <c r="K560" s="70"/>
      <c r="L560" s="5"/>
      <c r="M560" s="5"/>
      <c r="N560" s="5"/>
      <c r="O560" s="5"/>
      <c r="Q560" s="5"/>
    </row>
    <row r="561" spans="1:17" x14ac:dyDescent="0.2">
      <c r="A561" s="130" t="s">
        <v>104</v>
      </c>
      <c r="B561" s="136" t="s">
        <v>32</v>
      </c>
      <c r="C561" s="53">
        <v>7300</v>
      </c>
      <c r="D561" s="127"/>
      <c r="E561" s="145"/>
      <c r="F561" s="145"/>
      <c r="G561" s="147"/>
      <c r="H561" s="145"/>
      <c r="I561" s="53">
        <v>3000</v>
      </c>
      <c r="J561" s="31">
        <f t="shared" si="213"/>
        <v>4300</v>
      </c>
      <c r="K561" s="70"/>
      <c r="L561" s="5"/>
      <c r="M561" s="5"/>
      <c r="N561" s="5"/>
      <c r="O561" s="5"/>
      <c r="Q561" s="5"/>
    </row>
    <row r="562" spans="1:17" x14ac:dyDescent="0.2">
      <c r="A562" s="35" t="s">
        <v>61</v>
      </c>
      <c r="B562" s="36"/>
      <c r="C562" s="36"/>
      <c r="D562" s="36"/>
      <c r="E562" s="36"/>
      <c r="F562" s="36"/>
      <c r="G562" s="36"/>
      <c r="H562" s="36"/>
      <c r="I562" s="36"/>
      <c r="J562" s="37"/>
      <c r="K562" s="70"/>
      <c r="L562" s="5"/>
      <c r="M562" s="5"/>
      <c r="N562" s="5"/>
      <c r="O562" s="5"/>
      <c r="Q562" s="5"/>
    </row>
    <row r="563" spans="1:17" x14ac:dyDescent="0.2">
      <c r="A563" s="130" t="s">
        <v>104</v>
      </c>
      <c r="B563" s="38" t="s">
        <v>62</v>
      </c>
      <c r="C563" s="39">
        <v>817769</v>
      </c>
      <c r="D563" s="51">
        <v>3000000</v>
      </c>
      <c r="E563" s="109"/>
      <c r="F563" s="109"/>
      <c r="G563" s="148"/>
      <c r="H563" s="139">
        <v>2627870</v>
      </c>
      <c r="I563" s="134">
        <v>1127749</v>
      </c>
      <c r="J563" s="46">
        <f>+SUM(C563:G563)-(H563+I563)</f>
        <v>62150</v>
      </c>
      <c r="K563" s="70"/>
      <c r="L563" s="5"/>
      <c r="M563" s="5"/>
      <c r="N563" s="5"/>
      <c r="O563" s="5"/>
      <c r="Q563" s="5"/>
    </row>
    <row r="564" spans="1:17" x14ac:dyDescent="0.2">
      <c r="A564" s="44" t="s">
        <v>63</v>
      </c>
      <c r="B564" s="25"/>
      <c r="C564" s="36"/>
      <c r="D564" s="25"/>
      <c r="E564" s="25"/>
      <c r="F564" s="25"/>
      <c r="G564" s="25"/>
      <c r="H564" s="25"/>
      <c r="I564" s="25"/>
      <c r="J564" s="37"/>
      <c r="L564" s="5"/>
      <c r="M564" s="5"/>
      <c r="N564" s="5"/>
      <c r="O564" s="5"/>
      <c r="Q564" s="5"/>
    </row>
    <row r="565" spans="1:17" x14ac:dyDescent="0.2">
      <c r="A565" s="130" t="s">
        <v>104</v>
      </c>
      <c r="B565" s="38" t="s">
        <v>64</v>
      </c>
      <c r="C565" s="133">
        <v>14712920</v>
      </c>
      <c r="D565" s="140"/>
      <c r="E565" s="51"/>
      <c r="F565" s="51"/>
      <c r="G565" s="51"/>
      <c r="H565" s="53">
        <v>3000000</v>
      </c>
      <c r="I565" s="55">
        <v>428365</v>
      </c>
      <c r="J565" s="46">
        <f>+SUM(C565:G565)-(H565+I565)</f>
        <v>11284555</v>
      </c>
      <c r="K565" s="70"/>
      <c r="L565" s="5"/>
      <c r="M565" s="5"/>
      <c r="N565" s="5"/>
      <c r="O565" s="5"/>
      <c r="Q565" s="5"/>
    </row>
    <row r="566" spans="1:17" x14ac:dyDescent="0.2">
      <c r="A566" s="130" t="s">
        <v>104</v>
      </c>
      <c r="B566" s="38" t="s">
        <v>65</v>
      </c>
      <c r="C566" s="133">
        <v>8361083</v>
      </c>
      <c r="D566" s="51"/>
      <c r="E566" s="50"/>
      <c r="F566" s="50"/>
      <c r="G566" s="50"/>
      <c r="H566" s="33"/>
      <c r="I566" s="52">
        <v>6202438</v>
      </c>
      <c r="J566" s="46">
        <f>SUM(C566:G566)-(H566+I566)</f>
        <v>2158645</v>
      </c>
      <c r="K566" s="70"/>
      <c r="L566" s="5"/>
      <c r="M566" s="5"/>
      <c r="N566" s="5"/>
      <c r="O566" s="5"/>
      <c r="Q566" s="5"/>
    </row>
    <row r="567" spans="1:17" ht="15.75" x14ac:dyDescent="0.25">
      <c r="C567" s="9"/>
      <c r="I567" s="149">
        <f>SUM(I548:I566)</f>
        <v>10574852</v>
      </c>
      <c r="J567" s="111">
        <f>+SUM(J548:J566)</f>
        <v>14101750</v>
      </c>
      <c r="K567" s="9">
        <f>J567-C539</f>
        <v>-1</v>
      </c>
      <c r="L567" s="5"/>
      <c r="M567" s="5"/>
      <c r="N567" s="5"/>
      <c r="O567" s="5"/>
      <c r="Q567" s="5"/>
    </row>
    <row r="568" spans="1:17" ht="16.5" x14ac:dyDescent="0.3">
      <c r="A568" s="10"/>
      <c r="B568" s="11"/>
      <c r="C568" s="12"/>
      <c r="D568" s="12"/>
      <c r="E568" s="12"/>
      <c r="F568" s="12"/>
      <c r="G568" s="12"/>
      <c r="H568" s="12"/>
      <c r="I568" s="12"/>
      <c r="J568" s="141"/>
      <c r="L568" s="5"/>
      <c r="M568" s="5"/>
      <c r="N568" s="5"/>
      <c r="O568" s="5"/>
      <c r="Q568" s="5"/>
    </row>
    <row r="569" spans="1:17" x14ac:dyDescent="0.2">
      <c r="A569" s="16" t="s">
        <v>53</v>
      </c>
      <c r="B569" s="16"/>
      <c r="C569" s="16"/>
      <c r="D569" s="17"/>
      <c r="E569" s="17"/>
      <c r="F569" s="17"/>
      <c r="G569" s="17"/>
      <c r="H569" s="17"/>
      <c r="I569" s="17"/>
      <c r="L569" s="5"/>
      <c r="M569" s="5"/>
      <c r="N569" s="5"/>
      <c r="O569" s="5"/>
      <c r="Q569" s="5"/>
    </row>
    <row r="570" spans="1:17" x14ac:dyDescent="0.2">
      <c r="A570" s="18" t="s">
        <v>96</v>
      </c>
      <c r="B570" s="18"/>
      <c r="C570" s="18"/>
      <c r="D570" s="18"/>
      <c r="E570" s="18"/>
      <c r="F570" s="18"/>
      <c r="G570" s="18"/>
      <c r="H570" s="18"/>
      <c r="I570" s="18"/>
      <c r="J570" s="17"/>
      <c r="L570" s="5"/>
      <c r="M570" s="5"/>
      <c r="N570" s="5"/>
      <c r="O570" s="5"/>
      <c r="Q570" s="5"/>
    </row>
    <row r="571" spans="1:17" x14ac:dyDescent="0.2">
      <c r="A571" s="19"/>
      <c r="B571" s="20"/>
      <c r="C571" s="21"/>
      <c r="D571" s="21"/>
      <c r="E571" s="21"/>
      <c r="F571" s="21"/>
      <c r="G571" s="21"/>
      <c r="H571" s="20"/>
      <c r="I571" s="20"/>
      <c r="J571" s="18"/>
      <c r="L571" s="5"/>
      <c r="M571" s="5"/>
      <c r="N571" s="5"/>
      <c r="O571" s="5"/>
      <c r="Q571" s="5"/>
    </row>
    <row r="572" spans="1:17" ht="15" customHeight="1" x14ac:dyDescent="0.2">
      <c r="A572" s="377" t="s">
        <v>54</v>
      </c>
      <c r="B572" s="379" t="s">
        <v>55</v>
      </c>
      <c r="C572" s="381" t="s">
        <v>97</v>
      </c>
      <c r="D572" s="383" t="s">
        <v>56</v>
      </c>
      <c r="E572" s="384"/>
      <c r="F572" s="384"/>
      <c r="G572" s="385"/>
      <c r="H572" s="386" t="s">
        <v>57</v>
      </c>
      <c r="I572" s="373" t="s">
        <v>58</v>
      </c>
      <c r="J572" s="20"/>
      <c r="L572" s="5"/>
      <c r="M572" s="5"/>
      <c r="N572" s="5"/>
      <c r="O572" s="5"/>
      <c r="Q572" s="5"/>
    </row>
    <row r="573" spans="1:17" ht="15" customHeight="1" x14ac:dyDescent="0.25">
      <c r="A573" s="378"/>
      <c r="B573" s="380"/>
      <c r="C573" s="382"/>
      <c r="D573" s="22" t="s">
        <v>24</v>
      </c>
      <c r="E573" s="22" t="s">
        <v>25</v>
      </c>
      <c r="F573" s="122" t="s">
        <v>100</v>
      </c>
      <c r="G573" s="22" t="s">
        <v>59</v>
      </c>
      <c r="H573" s="387"/>
      <c r="I573" s="374"/>
      <c r="J573" s="375" t="s">
        <v>98</v>
      </c>
      <c r="L573" s="5"/>
      <c r="M573" s="5"/>
      <c r="N573" s="5"/>
      <c r="O573" s="5"/>
      <c r="Q573" s="5"/>
    </row>
    <row r="574" spans="1:17" x14ac:dyDescent="0.2">
      <c r="A574" s="24"/>
      <c r="B574" s="25" t="s">
        <v>60</v>
      </c>
      <c r="C574" s="26"/>
      <c r="D574" s="26"/>
      <c r="E574" s="26"/>
      <c r="F574" s="26"/>
      <c r="G574" s="26"/>
      <c r="H574" s="26"/>
      <c r="I574" s="27"/>
      <c r="J574" s="376"/>
      <c r="L574" s="5"/>
      <c r="M574" s="5"/>
      <c r="N574" s="5"/>
      <c r="O574" s="5"/>
      <c r="Q574" s="5"/>
    </row>
    <row r="575" spans="1:17" x14ac:dyDescent="0.2">
      <c r="A575" s="130" t="s">
        <v>99</v>
      </c>
      <c r="B575" s="135" t="s">
        <v>77</v>
      </c>
      <c r="C575" s="33">
        <v>-10750</v>
      </c>
      <c r="D575" s="32"/>
      <c r="E575" s="32">
        <v>170625</v>
      </c>
      <c r="F575" s="32">
        <v>301700</v>
      </c>
      <c r="G575" s="32"/>
      <c r="H575" s="57">
        <v>27000</v>
      </c>
      <c r="I575" s="33">
        <v>412375</v>
      </c>
      <c r="J575" s="31">
        <f>+SUM(C575:G575)-(H575+I575)</f>
        <v>22200</v>
      </c>
      <c r="K575" s="70"/>
      <c r="L575" s="5"/>
      <c r="M575" s="5"/>
      <c r="N575" s="5"/>
      <c r="O575" s="5"/>
      <c r="Q575" s="5"/>
    </row>
    <row r="576" spans="1:17" x14ac:dyDescent="0.2">
      <c r="A576" s="130" t="s">
        <v>99</v>
      </c>
      <c r="B576" s="135" t="s">
        <v>48</v>
      </c>
      <c r="C576" s="33">
        <v>9060</v>
      </c>
      <c r="D576" s="32"/>
      <c r="E576" s="32">
        <v>0</v>
      </c>
      <c r="F576" s="32"/>
      <c r="G576" s="32"/>
      <c r="H576" s="57"/>
      <c r="I576" s="33">
        <v>6000</v>
      </c>
      <c r="J576" s="31">
        <f t="shared" ref="J576:J577" si="214">+SUM(C576:G576)-(H576+I576)</f>
        <v>3060</v>
      </c>
      <c r="K576" s="70"/>
      <c r="L576" s="5"/>
      <c r="M576" s="5"/>
      <c r="N576" s="5"/>
      <c r="O576" s="5"/>
      <c r="Q576" s="5"/>
    </row>
    <row r="577" spans="1:17" x14ac:dyDescent="0.2">
      <c r="A577" s="130" t="s">
        <v>99</v>
      </c>
      <c r="B577" s="135" t="s">
        <v>31</v>
      </c>
      <c r="C577" s="33">
        <v>1195</v>
      </c>
      <c r="D577" s="32"/>
      <c r="E577" s="32">
        <v>75000</v>
      </c>
      <c r="F577" s="33"/>
      <c r="G577" s="33"/>
      <c r="H577" s="33"/>
      <c r="I577" s="33">
        <v>72400</v>
      </c>
      <c r="J577" s="107">
        <f t="shared" si="214"/>
        <v>3795</v>
      </c>
      <c r="K577" s="70"/>
      <c r="L577" s="5"/>
      <c r="M577" s="5"/>
      <c r="N577" s="5"/>
      <c r="O577" s="5"/>
      <c r="Q577" s="5"/>
    </row>
    <row r="578" spans="1:17" x14ac:dyDescent="0.2">
      <c r="A578" s="130" t="s">
        <v>99</v>
      </c>
      <c r="B578" s="135" t="s">
        <v>78</v>
      </c>
      <c r="C578" s="33">
        <v>-8600</v>
      </c>
      <c r="D578" s="110"/>
      <c r="E578" s="32">
        <v>596900</v>
      </c>
      <c r="F578" s="33"/>
      <c r="G578" s="33"/>
      <c r="H578" s="33"/>
      <c r="I578" s="33">
        <v>586000</v>
      </c>
      <c r="J578" s="107">
        <f>+SUM(C578:G578)-(H578+I578)</f>
        <v>2300</v>
      </c>
      <c r="K578" s="70"/>
      <c r="L578" s="5"/>
      <c r="M578" s="5"/>
      <c r="N578" s="5"/>
      <c r="O578" s="5"/>
      <c r="Q578" s="5"/>
    </row>
    <row r="579" spans="1:17" x14ac:dyDescent="0.2">
      <c r="A579" s="130" t="s">
        <v>99</v>
      </c>
      <c r="B579" s="135" t="s">
        <v>70</v>
      </c>
      <c r="C579" s="33">
        <v>8884</v>
      </c>
      <c r="D579" s="110"/>
      <c r="E579" s="32">
        <v>618600</v>
      </c>
      <c r="F579" s="33">
        <v>27000</v>
      </c>
      <c r="G579" s="33"/>
      <c r="H579" s="33">
        <v>301700</v>
      </c>
      <c r="I579" s="33">
        <v>367000</v>
      </c>
      <c r="J579" s="107">
        <f t="shared" ref="J579" si="215">+SUM(C579:G579)-(H579+I579)</f>
        <v>-14216</v>
      </c>
      <c r="K579" s="70"/>
      <c r="L579" s="5"/>
      <c r="M579" s="5"/>
      <c r="N579" s="5"/>
      <c r="O579" s="5"/>
      <c r="Q579" s="5"/>
    </row>
    <row r="580" spans="1:17" x14ac:dyDescent="0.2">
      <c r="A580" s="127" t="s">
        <v>99</v>
      </c>
      <c r="B580" s="136" t="s">
        <v>30</v>
      </c>
      <c r="C580" s="53">
        <v>191600</v>
      </c>
      <c r="D580" s="127"/>
      <c r="E580" s="127">
        <v>777000</v>
      </c>
      <c r="F580" s="53"/>
      <c r="G580" s="53"/>
      <c r="H580" s="53"/>
      <c r="I580" s="53">
        <v>825300</v>
      </c>
      <c r="J580" s="132">
        <f>+SUM(C580:G580)-(H580+I580)</f>
        <v>143300</v>
      </c>
      <c r="K580" s="70"/>
      <c r="L580" s="5"/>
      <c r="M580" s="5"/>
      <c r="N580" s="5"/>
      <c r="O580" s="5"/>
      <c r="Q580" s="5"/>
    </row>
    <row r="581" spans="1:17" x14ac:dyDescent="0.2">
      <c r="A581" s="131" t="s">
        <v>99</v>
      </c>
      <c r="B581" s="137" t="s">
        <v>85</v>
      </c>
      <c r="C581" s="128">
        <v>233614</v>
      </c>
      <c r="D581" s="131"/>
      <c r="E581" s="131"/>
      <c r="F581" s="131"/>
      <c r="G581" s="131"/>
      <c r="H581" s="128"/>
      <c r="I581" s="128"/>
      <c r="J581" s="129">
        <f>+SUM(C581:G581)-(H581+I581)</f>
        <v>233614</v>
      </c>
      <c r="K581" s="70"/>
      <c r="L581" s="5"/>
      <c r="M581" s="5"/>
      <c r="N581" s="5"/>
      <c r="O581" s="5"/>
      <c r="Q581" s="5"/>
    </row>
    <row r="582" spans="1:17" x14ac:dyDescent="0.2">
      <c r="A582" s="131" t="s">
        <v>99</v>
      </c>
      <c r="B582" s="137" t="s">
        <v>84</v>
      </c>
      <c r="C582" s="128">
        <v>249769</v>
      </c>
      <c r="D582" s="131"/>
      <c r="E582" s="131"/>
      <c r="F582" s="131"/>
      <c r="G582" s="131"/>
      <c r="H582" s="128"/>
      <c r="I582" s="128"/>
      <c r="J582" s="129">
        <f t="shared" ref="J582:J587" si="216">+SUM(C582:G582)-(H582+I582)</f>
        <v>249769</v>
      </c>
      <c r="K582" s="70"/>
      <c r="L582" s="5"/>
      <c r="M582" s="5"/>
      <c r="N582" s="5"/>
      <c r="O582" s="5"/>
      <c r="Q582" s="5"/>
    </row>
    <row r="583" spans="1:17" x14ac:dyDescent="0.2">
      <c r="A583" s="130" t="s">
        <v>99</v>
      </c>
      <c r="B583" s="135" t="s">
        <v>36</v>
      </c>
      <c r="C583" s="33">
        <v>-3510</v>
      </c>
      <c r="D583" s="32"/>
      <c r="E583" s="32">
        <v>240100</v>
      </c>
      <c r="F583" s="32"/>
      <c r="G583" s="32"/>
      <c r="H583" s="33"/>
      <c r="I583" s="33">
        <v>181500</v>
      </c>
      <c r="J583" s="31">
        <f t="shared" si="216"/>
        <v>55090</v>
      </c>
      <c r="K583" s="70"/>
      <c r="L583" s="5"/>
      <c r="M583" s="5"/>
      <c r="N583" s="5"/>
      <c r="O583" s="5"/>
      <c r="Q583" s="5"/>
    </row>
    <row r="584" spans="1:17" x14ac:dyDescent="0.2">
      <c r="A584" s="130" t="s">
        <v>99</v>
      </c>
      <c r="B584" s="135" t="s">
        <v>94</v>
      </c>
      <c r="C584" s="33">
        <v>0</v>
      </c>
      <c r="D584" s="32"/>
      <c r="E584" s="32">
        <v>5000</v>
      </c>
      <c r="F584" s="32"/>
      <c r="G584" s="32"/>
      <c r="H584" s="33"/>
      <c r="I584" s="33">
        <v>5000</v>
      </c>
      <c r="J584" s="31">
        <f t="shared" si="216"/>
        <v>0</v>
      </c>
      <c r="K584" s="70"/>
      <c r="L584" s="5"/>
      <c r="M584" s="5"/>
      <c r="N584" s="5"/>
      <c r="O584" s="5"/>
      <c r="Q584" s="5"/>
    </row>
    <row r="585" spans="1:17" x14ac:dyDescent="0.2">
      <c r="A585" s="130" t="s">
        <v>99</v>
      </c>
      <c r="B585" s="135" t="s">
        <v>29</v>
      </c>
      <c r="C585" s="33">
        <v>111200</v>
      </c>
      <c r="D585" s="32"/>
      <c r="E585" s="32">
        <v>704000</v>
      </c>
      <c r="F585" s="32"/>
      <c r="G585" s="32"/>
      <c r="H585" s="33"/>
      <c r="I585" s="33">
        <v>704500</v>
      </c>
      <c r="J585" s="31">
        <f t="shared" si="216"/>
        <v>110700</v>
      </c>
      <c r="K585" s="70"/>
      <c r="L585" s="5"/>
      <c r="M585" s="5"/>
      <c r="N585" s="5"/>
      <c r="O585" s="5"/>
      <c r="Q585" s="5"/>
    </row>
    <row r="586" spans="1:17" x14ac:dyDescent="0.2">
      <c r="A586" s="130" t="s">
        <v>99</v>
      </c>
      <c r="B586" s="135" t="s">
        <v>95</v>
      </c>
      <c r="C586" s="33">
        <v>-32081</v>
      </c>
      <c r="D586" s="32"/>
      <c r="E586" s="32">
        <v>0</v>
      </c>
      <c r="F586" s="32"/>
      <c r="G586" s="32"/>
      <c r="H586" s="33"/>
      <c r="I586" s="33">
        <v>0</v>
      </c>
      <c r="J586" s="31">
        <f t="shared" si="216"/>
        <v>-32081</v>
      </c>
      <c r="K586" s="70"/>
      <c r="L586" s="5"/>
      <c r="M586" s="5"/>
      <c r="N586" s="5"/>
      <c r="O586" s="5"/>
      <c r="Q586" s="5"/>
    </row>
    <row r="587" spans="1:17" x14ac:dyDescent="0.2">
      <c r="A587" s="130" t="s">
        <v>99</v>
      </c>
      <c r="B587" s="136" t="s">
        <v>32</v>
      </c>
      <c r="C587" s="53">
        <v>5300</v>
      </c>
      <c r="D587" s="127"/>
      <c r="E587" s="127">
        <v>10000</v>
      </c>
      <c r="F587" s="127"/>
      <c r="G587" s="138"/>
      <c r="H587" s="53"/>
      <c r="I587" s="53">
        <v>8000</v>
      </c>
      <c r="J587" s="31">
        <f t="shared" si="216"/>
        <v>7300</v>
      </c>
      <c r="K587" s="70"/>
      <c r="L587" s="5"/>
      <c r="M587" s="5"/>
      <c r="N587" s="5"/>
      <c r="O587" s="5"/>
      <c r="Q587" s="5"/>
    </row>
    <row r="588" spans="1:17" x14ac:dyDescent="0.2">
      <c r="A588" s="35" t="s">
        <v>61</v>
      </c>
      <c r="B588" s="36"/>
      <c r="C588" s="36"/>
      <c r="D588" s="36"/>
      <c r="E588" s="36"/>
      <c r="F588" s="36"/>
      <c r="G588" s="36"/>
      <c r="H588" s="36"/>
      <c r="I588" s="36"/>
      <c r="J588" s="37"/>
      <c r="K588" s="70"/>
      <c r="L588" s="5"/>
      <c r="M588" s="5"/>
      <c r="N588" s="5"/>
      <c r="O588" s="5"/>
      <c r="Q588" s="5"/>
    </row>
    <row r="589" spans="1:17" x14ac:dyDescent="0.2">
      <c r="A589" s="28" t="s">
        <v>99</v>
      </c>
      <c r="B589" s="38" t="s">
        <v>62</v>
      </c>
      <c r="C589" s="39">
        <v>733034</v>
      </c>
      <c r="D589" s="40">
        <v>4293000</v>
      </c>
      <c r="E589" s="40"/>
      <c r="F589" s="40"/>
      <c r="G589" s="133"/>
      <c r="H589" s="139">
        <v>3197225</v>
      </c>
      <c r="I589" s="134">
        <v>1011040</v>
      </c>
      <c r="J589" s="46">
        <f>+SUM(C589:G589)-(H589+I589)</f>
        <v>817769</v>
      </c>
      <c r="K589" s="70"/>
      <c r="L589" s="5"/>
      <c r="M589" s="5"/>
      <c r="N589" s="5"/>
      <c r="O589" s="5"/>
      <c r="Q589" s="5"/>
    </row>
    <row r="590" spans="1:17" x14ac:dyDescent="0.2">
      <c r="A590" s="44" t="s">
        <v>63</v>
      </c>
      <c r="B590" s="25"/>
      <c r="C590" s="36"/>
      <c r="D590" s="25"/>
      <c r="E590" s="25"/>
      <c r="F590" s="25"/>
      <c r="G590" s="25"/>
      <c r="H590" s="25"/>
      <c r="I590" s="25"/>
      <c r="J590" s="37"/>
      <c r="L590" s="5"/>
      <c r="M590" s="5"/>
      <c r="N590" s="5"/>
      <c r="O590" s="5"/>
      <c r="Q590" s="5"/>
    </row>
    <row r="591" spans="1:17" x14ac:dyDescent="0.2">
      <c r="A591" s="28" t="s">
        <v>99</v>
      </c>
      <c r="B591" s="38" t="s">
        <v>64</v>
      </c>
      <c r="C591" s="133">
        <v>19184971</v>
      </c>
      <c r="D591" s="140"/>
      <c r="E591" s="51"/>
      <c r="F591" s="51"/>
      <c r="G591" s="51"/>
      <c r="H591" s="53">
        <v>4000000</v>
      </c>
      <c r="I591" s="55">
        <v>472051</v>
      </c>
      <c r="J591" s="46">
        <f>+SUM(C591:G591)-(H591+I591)</f>
        <v>14712920</v>
      </c>
      <c r="K591" s="70"/>
      <c r="L591" s="5"/>
      <c r="M591" s="5"/>
      <c r="N591" s="5"/>
      <c r="O591" s="5"/>
      <c r="Q591" s="5"/>
    </row>
    <row r="592" spans="1:17" x14ac:dyDescent="0.2">
      <c r="A592" s="28" t="s">
        <v>99</v>
      </c>
      <c r="B592" s="38" t="s">
        <v>65</v>
      </c>
      <c r="C592" s="133">
        <v>14419055</v>
      </c>
      <c r="D592" s="51"/>
      <c r="E592" s="50"/>
      <c r="F592" s="50"/>
      <c r="G592" s="50"/>
      <c r="H592" s="33">
        <v>293000</v>
      </c>
      <c r="I592" s="52">
        <v>5764972</v>
      </c>
      <c r="J592" s="46">
        <f>SUM(C592:G592)-(H592+I592)</f>
        <v>8361083</v>
      </c>
      <c r="K592" s="70"/>
      <c r="L592" s="5"/>
      <c r="M592" s="5"/>
      <c r="N592" s="5"/>
      <c r="O592" s="5"/>
      <c r="Q592" s="5"/>
    </row>
    <row r="593" spans="1:17" ht="15.75" x14ac:dyDescent="0.25">
      <c r="C593" s="9"/>
      <c r="I593" s="9"/>
      <c r="J593" s="111">
        <f>+SUM(J575:J592)</f>
        <v>24676603</v>
      </c>
      <c r="L593" s="5"/>
      <c r="M593" s="5"/>
      <c r="N593" s="5"/>
      <c r="O593" s="5"/>
      <c r="Q593" s="5"/>
    </row>
    <row r="594" spans="1:17" ht="16.5" x14ac:dyDescent="0.3">
      <c r="A594" s="10"/>
      <c r="B594" s="11"/>
      <c r="C594" s="12"/>
      <c r="D594" s="12"/>
      <c r="E594" s="12"/>
      <c r="F594" s="12"/>
      <c r="G594" s="12"/>
      <c r="H594" s="12"/>
      <c r="I594" s="12"/>
      <c r="J594" s="141"/>
      <c r="L594" s="5"/>
      <c r="M594" s="5"/>
      <c r="N594" s="5"/>
      <c r="O594" s="5"/>
      <c r="Q594" s="5"/>
    </row>
    <row r="595" spans="1:17" x14ac:dyDescent="0.2">
      <c r="A595" s="16" t="s">
        <v>53</v>
      </c>
      <c r="B595" s="16"/>
      <c r="C595" s="16"/>
      <c r="D595" s="17"/>
      <c r="E595" s="17"/>
      <c r="F595" s="17"/>
      <c r="G595" s="17"/>
      <c r="H595" s="17"/>
      <c r="I595" s="17"/>
      <c r="L595" s="5"/>
      <c r="M595" s="5"/>
      <c r="N595" s="5"/>
      <c r="O595" s="5"/>
      <c r="Q595" s="5"/>
    </row>
    <row r="596" spans="1:17" x14ac:dyDescent="0.2">
      <c r="A596" s="18" t="s">
        <v>88</v>
      </c>
      <c r="B596" s="18"/>
      <c r="C596" s="18"/>
      <c r="D596" s="18"/>
      <c r="E596" s="18"/>
      <c r="F596" s="18"/>
      <c r="G596" s="18"/>
      <c r="H596" s="18"/>
      <c r="I596" s="18"/>
      <c r="J596" s="17"/>
      <c r="L596" s="5"/>
      <c r="M596" s="5"/>
      <c r="N596" s="5"/>
      <c r="O596" s="5"/>
      <c r="Q596" s="5"/>
    </row>
    <row r="597" spans="1:17" ht="15" customHeight="1" x14ac:dyDescent="0.2">
      <c r="A597" s="19"/>
      <c r="B597" s="20"/>
      <c r="C597" s="21"/>
      <c r="D597" s="21"/>
      <c r="E597" s="21"/>
      <c r="F597" s="21"/>
      <c r="G597" s="21"/>
      <c r="H597" s="20"/>
      <c r="I597" s="20"/>
      <c r="J597" s="18"/>
      <c r="L597" s="5"/>
      <c r="M597" s="5"/>
      <c r="N597" s="5"/>
      <c r="O597" s="5"/>
      <c r="Q597" s="5"/>
    </row>
    <row r="598" spans="1:17" ht="15" customHeight="1" x14ac:dyDescent="0.2">
      <c r="A598" s="377" t="s">
        <v>54</v>
      </c>
      <c r="B598" s="379" t="s">
        <v>55</v>
      </c>
      <c r="C598" s="381" t="s">
        <v>89</v>
      </c>
      <c r="D598" s="383" t="s">
        <v>56</v>
      </c>
      <c r="E598" s="384"/>
      <c r="F598" s="384"/>
      <c r="G598" s="385"/>
      <c r="H598" s="386" t="s">
        <v>57</v>
      </c>
      <c r="I598" s="373" t="s">
        <v>58</v>
      </c>
      <c r="J598" s="20"/>
      <c r="L598" s="5"/>
      <c r="M598" s="5"/>
      <c r="N598" s="5"/>
      <c r="O598" s="5"/>
      <c r="Q598" s="5"/>
    </row>
    <row r="599" spans="1:17" ht="15" customHeight="1" x14ac:dyDescent="0.25">
      <c r="A599" s="378"/>
      <c r="B599" s="380"/>
      <c r="C599" s="382"/>
      <c r="D599" s="22" t="s">
        <v>24</v>
      </c>
      <c r="E599" s="22" t="s">
        <v>25</v>
      </c>
      <c r="F599" s="112" t="s">
        <v>92</v>
      </c>
      <c r="G599" s="22" t="s">
        <v>59</v>
      </c>
      <c r="H599" s="387"/>
      <c r="I599" s="374"/>
      <c r="J599" s="375" t="s">
        <v>90</v>
      </c>
      <c r="L599" s="5"/>
      <c r="M599" s="5"/>
      <c r="N599" s="5"/>
      <c r="O599" s="5"/>
      <c r="Q599" s="5"/>
    </row>
    <row r="600" spans="1:17" x14ac:dyDescent="0.2">
      <c r="A600" s="24"/>
      <c r="B600" s="25" t="s">
        <v>60</v>
      </c>
      <c r="C600" s="26"/>
      <c r="D600" s="26"/>
      <c r="E600" s="26"/>
      <c r="F600" s="26"/>
      <c r="G600" s="26"/>
      <c r="H600" s="26"/>
      <c r="I600" s="27"/>
      <c r="J600" s="376"/>
      <c r="L600" s="5"/>
      <c r="M600" s="5"/>
      <c r="N600" s="5"/>
      <c r="O600" s="5"/>
      <c r="Q600" s="5"/>
    </row>
    <row r="601" spans="1:17" ht="16.5" x14ac:dyDescent="0.3">
      <c r="A601" s="28" t="s">
        <v>91</v>
      </c>
      <c r="B601" s="8" t="s">
        <v>77</v>
      </c>
      <c r="C601" s="29" t="e">
        <f>+#REF!</f>
        <v>#REF!</v>
      </c>
      <c r="D601" s="30"/>
      <c r="E601" s="30">
        <v>271100</v>
      </c>
      <c r="F601" s="30">
        <f>112800+126500</f>
        <v>239300</v>
      </c>
      <c r="G601" s="30"/>
      <c r="H601" s="57"/>
      <c r="I601" s="34">
        <v>521950</v>
      </c>
      <c r="J601" s="31" t="e">
        <f>+SUM(C601:G601)-(H601+I601)</f>
        <v>#REF!</v>
      </c>
      <c r="L601" s="5"/>
      <c r="M601" s="5"/>
      <c r="N601" s="5"/>
      <c r="O601" s="5"/>
      <c r="Q601" s="5"/>
    </row>
    <row r="602" spans="1:17" ht="16.5" x14ac:dyDescent="0.3">
      <c r="A602" s="28" t="s">
        <v>91</v>
      </c>
      <c r="B602" s="8" t="s">
        <v>48</v>
      </c>
      <c r="C602" s="29" t="e">
        <f>+C366</f>
        <v>#REF!</v>
      </c>
      <c r="D602" s="30"/>
      <c r="E602" s="30">
        <v>625000</v>
      </c>
      <c r="F602" s="30"/>
      <c r="G602" s="30"/>
      <c r="H602" s="57">
        <v>247500</v>
      </c>
      <c r="I602" s="34">
        <v>371500</v>
      </c>
      <c r="J602" s="31" t="e">
        <f t="shared" ref="J602:J603" si="217">+SUM(C602:G602)-(H602+I602)</f>
        <v>#REF!</v>
      </c>
      <c r="L602" s="5"/>
      <c r="M602" s="5"/>
      <c r="N602" s="5"/>
      <c r="O602" s="5"/>
      <c r="Q602" s="5"/>
    </row>
    <row r="603" spans="1:17" ht="16.5" x14ac:dyDescent="0.3">
      <c r="A603" s="28" t="s">
        <v>91</v>
      </c>
      <c r="B603" s="8" t="s">
        <v>31</v>
      </c>
      <c r="C603" s="29" t="e">
        <f>+C367</f>
        <v>#REF!</v>
      </c>
      <c r="D603" s="30"/>
      <c r="E603" s="30">
        <v>60000</v>
      </c>
      <c r="F603" s="106"/>
      <c r="G603" s="106"/>
      <c r="H603" s="33"/>
      <c r="I603" s="56">
        <v>67200</v>
      </c>
      <c r="J603" s="107" t="e">
        <f t="shared" si="217"/>
        <v>#REF!</v>
      </c>
      <c r="L603" s="5"/>
      <c r="M603" s="5"/>
      <c r="N603" s="5"/>
      <c r="O603" s="5"/>
      <c r="Q603" s="5"/>
    </row>
    <row r="604" spans="1:17" ht="15.75" customHeight="1" x14ac:dyDescent="0.3">
      <c r="A604" s="28" t="s">
        <v>91</v>
      </c>
      <c r="B604" s="8" t="s">
        <v>78</v>
      </c>
      <c r="C604" s="29" t="e">
        <f>+C368</f>
        <v>#REF!</v>
      </c>
      <c r="D604" s="58"/>
      <c r="E604" s="30">
        <v>140000</v>
      </c>
      <c r="F604" s="106">
        <v>270500</v>
      </c>
      <c r="G604" s="106"/>
      <c r="H604" s="33"/>
      <c r="I604" s="33">
        <v>417300</v>
      </c>
      <c r="J604" s="107" t="e">
        <f>+SUM(C604:G604)-(H604+I604)</f>
        <v>#REF!</v>
      </c>
      <c r="L604" s="5"/>
      <c r="M604" s="5"/>
      <c r="N604" s="5"/>
      <c r="O604" s="5"/>
      <c r="Q604" s="5"/>
    </row>
    <row r="605" spans="1:17" ht="16.5" x14ac:dyDescent="0.3">
      <c r="A605" s="28" t="s">
        <v>91</v>
      </c>
      <c r="B605" s="8" t="s">
        <v>70</v>
      </c>
      <c r="C605" s="29">
        <v>15984</v>
      </c>
      <c r="D605" s="58"/>
      <c r="E605" s="30">
        <v>256400</v>
      </c>
      <c r="F605" s="106"/>
      <c r="G605" s="106"/>
      <c r="H605" s="33"/>
      <c r="I605" s="34">
        <v>263500</v>
      </c>
      <c r="J605" s="107">
        <f t="shared" ref="J605" si="218">+SUM(C605:G605)-(H605+I605)</f>
        <v>8884</v>
      </c>
      <c r="L605" s="5"/>
      <c r="M605" s="5"/>
      <c r="N605" s="5"/>
      <c r="O605" s="5"/>
      <c r="Q605" s="5"/>
    </row>
    <row r="606" spans="1:17" ht="16.5" x14ac:dyDescent="0.3">
      <c r="A606" s="28" t="s">
        <v>91</v>
      </c>
      <c r="B606" s="8" t="s">
        <v>30</v>
      </c>
      <c r="C606" s="29" t="e">
        <f t="shared" ref="C606:C610" si="219">+C369</f>
        <v>#REF!</v>
      </c>
      <c r="D606" s="30"/>
      <c r="E606" s="30">
        <v>858500</v>
      </c>
      <c r="F606" s="106"/>
      <c r="G606" s="106"/>
      <c r="H606" s="33"/>
      <c r="I606" s="34">
        <v>645000</v>
      </c>
      <c r="J606" s="107" t="e">
        <f>+SUM(C606:G606)-(H606+I606)</f>
        <v>#REF!</v>
      </c>
      <c r="L606" s="5"/>
      <c r="M606" s="5"/>
      <c r="N606" s="5"/>
      <c r="O606" s="5"/>
      <c r="Q606" s="5"/>
    </row>
    <row r="607" spans="1:17" ht="16.5" x14ac:dyDescent="0.3">
      <c r="A607" s="28" t="s">
        <v>91</v>
      </c>
      <c r="B607" s="8" t="s">
        <v>36</v>
      </c>
      <c r="C607" s="29" t="e">
        <f t="shared" si="219"/>
        <v>#REF!</v>
      </c>
      <c r="D607" s="30"/>
      <c r="E607" s="30">
        <v>800700</v>
      </c>
      <c r="F607" s="30"/>
      <c r="G607" s="30"/>
      <c r="H607" s="33">
        <v>262300</v>
      </c>
      <c r="I607" s="34">
        <v>543600</v>
      </c>
      <c r="J607" s="31" t="e">
        <f>+SUM(C607:G607)-(H607+I607)</f>
        <v>#REF!</v>
      </c>
      <c r="L607" s="5"/>
      <c r="M607" s="5"/>
      <c r="N607" s="5"/>
      <c r="O607" s="5"/>
      <c r="Q607" s="5"/>
    </row>
    <row r="608" spans="1:17" ht="16.5" x14ac:dyDescent="0.3">
      <c r="A608" s="28" t="s">
        <v>91</v>
      </c>
      <c r="B608" s="8" t="s">
        <v>29</v>
      </c>
      <c r="C608" s="29" t="e">
        <f t="shared" si="219"/>
        <v>#REF!</v>
      </c>
      <c r="D608" s="30"/>
      <c r="E608" s="30">
        <v>971600</v>
      </c>
      <c r="F608" s="30"/>
      <c r="G608" s="30"/>
      <c r="H608" s="33">
        <v>200000</v>
      </c>
      <c r="I608" s="34">
        <v>639450</v>
      </c>
      <c r="J608" s="31" t="e">
        <f t="shared" ref="J608:J609" si="220">+SUM(C608:G608)-(H608+I608)</f>
        <v>#REF!</v>
      </c>
      <c r="L608" s="5"/>
      <c r="M608" s="5"/>
      <c r="N608" s="5"/>
      <c r="O608" s="5"/>
      <c r="Q608" s="5"/>
    </row>
    <row r="609" spans="1:17" ht="16.5" x14ac:dyDescent="0.3">
      <c r="A609" s="28" t="s">
        <v>91</v>
      </c>
      <c r="B609" s="8" t="s">
        <v>5</v>
      </c>
      <c r="C609" s="29" t="e">
        <f t="shared" si="219"/>
        <v>#REF!</v>
      </c>
      <c r="D609" s="30"/>
      <c r="E609" s="30"/>
      <c r="F609" s="30"/>
      <c r="G609" s="30"/>
      <c r="H609" s="33"/>
      <c r="I609" s="56">
        <v>23000</v>
      </c>
      <c r="J609" s="31" t="e">
        <f t="shared" si="220"/>
        <v>#REF!</v>
      </c>
      <c r="L609" s="5"/>
      <c r="M609" s="5"/>
      <c r="N609" s="5"/>
      <c r="O609" s="5"/>
      <c r="Q609" s="5"/>
    </row>
    <row r="610" spans="1:17" ht="16.5" x14ac:dyDescent="0.3">
      <c r="A610" s="28" t="s">
        <v>91</v>
      </c>
      <c r="B610" s="8" t="s">
        <v>32</v>
      </c>
      <c r="C610" s="29" t="e">
        <f t="shared" si="219"/>
        <v>#REF!</v>
      </c>
      <c r="D610" s="30"/>
      <c r="E610" s="30"/>
      <c r="F610" s="30"/>
      <c r="G610" s="30"/>
      <c r="H610" s="33"/>
      <c r="I610" s="34">
        <v>0</v>
      </c>
      <c r="J610" s="31" t="e">
        <f>+SUM(C610:G610)-(H610+I610)</f>
        <v>#REF!</v>
      </c>
      <c r="L610" s="5"/>
      <c r="M610" s="5"/>
      <c r="N610" s="5"/>
      <c r="O610" s="5"/>
      <c r="Q610" s="5"/>
    </row>
    <row r="611" spans="1:17" ht="16.5" x14ac:dyDescent="0.3">
      <c r="A611" s="114" t="s">
        <v>91</v>
      </c>
      <c r="B611" s="115" t="s">
        <v>93</v>
      </c>
      <c r="C611" s="116">
        <v>3721074</v>
      </c>
      <c r="D611" s="117"/>
      <c r="E611" s="118"/>
      <c r="F611" s="117"/>
      <c r="G611" s="119"/>
      <c r="H611" s="116">
        <v>3721074</v>
      </c>
      <c r="I611" s="120"/>
      <c r="J611" s="121">
        <f>+SUM(C611:G611)-(H611+I611)</f>
        <v>0</v>
      </c>
      <c r="L611" s="5"/>
      <c r="M611" s="5"/>
      <c r="N611" s="5"/>
      <c r="O611" s="5"/>
      <c r="Q611" s="5"/>
    </row>
    <row r="612" spans="1:17" x14ac:dyDescent="0.2">
      <c r="A612" s="35" t="s">
        <v>61</v>
      </c>
      <c r="B612" s="36"/>
      <c r="C612" s="36"/>
      <c r="D612" s="36"/>
      <c r="E612" s="36"/>
      <c r="F612" s="36"/>
      <c r="G612" s="36"/>
      <c r="H612" s="36"/>
      <c r="I612" s="36"/>
      <c r="J612" s="37"/>
      <c r="L612" s="5"/>
      <c r="M612" s="5"/>
      <c r="N612" s="5"/>
      <c r="O612" s="5"/>
      <c r="Q612" s="5"/>
    </row>
    <row r="613" spans="1:17" x14ac:dyDescent="0.2">
      <c r="A613" s="28" t="s">
        <v>91</v>
      </c>
      <c r="B613" s="38" t="s">
        <v>62</v>
      </c>
      <c r="C613" s="39" t="e">
        <f>+C365</f>
        <v>#REF!</v>
      </c>
      <c r="D613" s="40">
        <v>5000000</v>
      </c>
      <c r="E613" s="40"/>
      <c r="F613" s="40"/>
      <c r="G613" s="41">
        <v>200000</v>
      </c>
      <c r="H613" s="49">
        <v>3983300</v>
      </c>
      <c r="I613" s="42">
        <v>776245</v>
      </c>
      <c r="J613" s="43" t="e">
        <f>+SUM(C613:G613)-(H613+I613)</f>
        <v>#REF!</v>
      </c>
      <c r="L613" s="5"/>
      <c r="M613" s="5"/>
      <c r="N613" s="5"/>
      <c r="O613" s="5"/>
      <c r="Q613" s="5"/>
    </row>
    <row r="614" spans="1:17" x14ac:dyDescent="0.2">
      <c r="A614" s="44" t="s">
        <v>63</v>
      </c>
      <c r="B614" s="25"/>
      <c r="C614" s="36"/>
      <c r="D614" s="25"/>
      <c r="E614" s="25"/>
      <c r="F614" s="25"/>
      <c r="G614" s="25"/>
      <c r="H614" s="25"/>
      <c r="I614" s="25"/>
      <c r="J614" s="37"/>
      <c r="L614" s="5"/>
      <c r="M614" s="5"/>
      <c r="N614" s="5"/>
      <c r="O614" s="5"/>
      <c r="Q614" s="5"/>
    </row>
    <row r="615" spans="1:17" x14ac:dyDescent="0.25">
      <c r="A615" s="28" t="s">
        <v>91</v>
      </c>
      <c r="B615" s="38" t="s">
        <v>64</v>
      </c>
      <c r="C615" s="45" t="e">
        <f>+#REF!</f>
        <v>#REF!</v>
      </c>
      <c r="D615" s="54">
        <v>19826114</v>
      </c>
      <c r="E615" s="51"/>
      <c r="F615" s="51"/>
      <c r="G615" s="51"/>
      <c r="H615" s="53">
        <v>5000000</v>
      </c>
      <c r="I615" s="55">
        <v>455737</v>
      </c>
      <c r="J615" s="46" t="e">
        <f>+SUM(C615:G615)-(H615+I615)</f>
        <v>#REF!</v>
      </c>
      <c r="L615" s="5"/>
      <c r="M615" s="5"/>
      <c r="N615" s="5"/>
      <c r="O615" s="5"/>
      <c r="Q615" s="5"/>
    </row>
    <row r="616" spans="1:17" x14ac:dyDescent="0.25">
      <c r="A616" s="28" t="s">
        <v>91</v>
      </c>
      <c r="B616" s="38" t="s">
        <v>65</v>
      </c>
      <c r="C616" s="45" t="e">
        <f>+C364</f>
        <v>#REF!</v>
      </c>
      <c r="D616" s="51">
        <v>13119140</v>
      </c>
      <c r="E616" s="50"/>
      <c r="F616" s="50"/>
      <c r="G616" s="50"/>
      <c r="H616" s="33"/>
      <c r="I616" s="52">
        <v>3445919</v>
      </c>
      <c r="J616" s="46" t="e">
        <f>SUM(C616:G616)-(H616+I616)</f>
        <v>#REF!</v>
      </c>
      <c r="L616" s="5"/>
      <c r="M616" s="5"/>
      <c r="N616" s="5"/>
      <c r="O616" s="5"/>
      <c r="Q616" s="5"/>
    </row>
    <row r="617" spans="1:17" x14ac:dyDescent="0.25">
      <c r="A617" s="162" t="s">
        <v>91</v>
      </c>
      <c r="B617" s="158" t="s">
        <v>84</v>
      </c>
      <c r="C617" s="163">
        <v>249769</v>
      </c>
      <c r="D617" s="51"/>
      <c r="E617" s="51"/>
      <c r="F617" s="51"/>
      <c r="G617" s="51"/>
      <c r="H617" s="33"/>
      <c r="I617" s="52"/>
      <c r="J617" s="164">
        <f>SUM(C617:G617)-(H617+I617)</f>
        <v>249769</v>
      </c>
      <c r="L617" s="5"/>
      <c r="M617" s="5"/>
      <c r="N617" s="5"/>
      <c r="O617" s="5"/>
      <c r="Q617" s="5"/>
    </row>
    <row r="618" spans="1:17" x14ac:dyDescent="0.25">
      <c r="A618" s="162" t="s">
        <v>91</v>
      </c>
      <c r="B618" s="160" t="s">
        <v>85</v>
      </c>
      <c r="C618" s="163">
        <v>233614</v>
      </c>
      <c r="D618" s="51"/>
      <c r="E618" s="51"/>
      <c r="F618" s="51"/>
      <c r="G618" s="51"/>
      <c r="H618" s="33"/>
      <c r="I618" s="52"/>
      <c r="J618" s="164">
        <f>SUM(C618:G618)-(H618+I618)</f>
        <v>233614</v>
      </c>
      <c r="L618" s="5"/>
      <c r="M618" s="5"/>
      <c r="N618" s="5"/>
      <c r="O618" s="5"/>
      <c r="Q618" s="5"/>
    </row>
    <row r="619" spans="1:17" x14ac:dyDescent="0.25">
      <c r="A619" s="162" t="s">
        <v>91</v>
      </c>
      <c r="B619" s="161" t="s">
        <v>86</v>
      </c>
      <c r="C619" s="163">
        <v>330169</v>
      </c>
      <c r="D619" s="165"/>
      <c r="E619" s="165"/>
      <c r="F619" s="165"/>
      <c r="G619" s="165"/>
      <c r="H619" s="165"/>
      <c r="I619" s="165"/>
      <c r="J619" s="164">
        <f>SUM(C619:G619)-(H619+I619)</f>
        <v>330169</v>
      </c>
      <c r="L619" s="5"/>
      <c r="M619" s="5"/>
      <c r="N619" s="5"/>
      <c r="O619" s="5"/>
      <c r="Q619" s="5"/>
    </row>
    <row r="620" spans="1:17" ht="15.75" x14ac:dyDescent="0.25">
      <c r="C620" s="9"/>
      <c r="I620" s="9"/>
      <c r="J620" s="111" t="e">
        <f>+SUM(J601:J619)</f>
        <v>#REF!</v>
      </c>
      <c r="K620" s="113" t="e">
        <f>+J620-I377</f>
        <v>#REF!</v>
      </c>
      <c r="L620" s="5"/>
      <c r="M620" s="5"/>
      <c r="N620" s="5"/>
      <c r="O620" s="5"/>
      <c r="Q620" s="5"/>
    </row>
    <row r="622" spans="1:17" x14ac:dyDescent="0.2">
      <c r="A622" s="16" t="s">
        <v>53</v>
      </c>
      <c r="B622" s="16"/>
      <c r="C622" s="16"/>
      <c r="D622" s="17"/>
      <c r="E622" s="17"/>
      <c r="F622" s="17"/>
      <c r="G622" s="17"/>
      <c r="H622" s="17"/>
      <c r="I622" s="17"/>
      <c r="L622" s="5"/>
      <c r="M622" s="5"/>
      <c r="N622" s="5"/>
      <c r="O622" s="5"/>
      <c r="Q622" s="5"/>
    </row>
    <row r="623" spans="1:17" x14ac:dyDescent="0.2">
      <c r="A623" s="18" t="s">
        <v>79</v>
      </c>
      <c r="B623" s="18"/>
      <c r="C623" s="18"/>
      <c r="D623" s="18"/>
      <c r="E623" s="18"/>
      <c r="F623" s="18"/>
      <c r="G623" s="18"/>
      <c r="H623" s="18"/>
      <c r="I623" s="18"/>
      <c r="J623" s="17"/>
      <c r="L623" s="5"/>
      <c r="M623" s="5"/>
      <c r="N623" s="5"/>
      <c r="O623" s="5"/>
      <c r="Q623" s="5"/>
    </row>
    <row r="624" spans="1:17" x14ac:dyDescent="0.2">
      <c r="A624" s="19"/>
      <c r="B624" s="20"/>
      <c r="C624" s="21"/>
      <c r="D624" s="21"/>
      <c r="E624" s="21"/>
      <c r="F624" s="21"/>
      <c r="G624" s="21"/>
      <c r="H624" s="20"/>
      <c r="I624" s="20"/>
      <c r="J624" s="18"/>
      <c r="L624" s="5"/>
      <c r="M624" s="5"/>
      <c r="N624" s="5"/>
      <c r="O624" s="5"/>
      <c r="Q624" s="5"/>
    </row>
    <row r="625" spans="1:17" x14ac:dyDescent="0.2">
      <c r="A625" s="377" t="s">
        <v>54</v>
      </c>
      <c r="B625" s="379" t="s">
        <v>55</v>
      </c>
      <c r="C625" s="381" t="s">
        <v>81</v>
      </c>
      <c r="D625" s="383" t="s">
        <v>56</v>
      </c>
      <c r="E625" s="384"/>
      <c r="F625" s="384"/>
      <c r="G625" s="385"/>
      <c r="H625" s="386" t="s">
        <v>57</v>
      </c>
      <c r="I625" s="373" t="s">
        <v>58</v>
      </c>
      <c r="J625" s="20"/>
      <c r="L625" s="5"/>
      <c r="M625" s="5"/>
      <c r="N625" s="5"/>
      <c r="O625" s="5"/>
      <c r="Q625" s="5"/>
    </row>
    <row r="626" spans="1:17" ht="36.75" customHeight="1" x14ac:dyDescent="0.25">
      <c r="A626" s="378"/>
      <c r="B626" s="380"/>
      <c r="C626" s="382"/>
      <c r="D626" s="22" t="s">
        <v>24</v>
      </c>
      <c r="E626" s="22" t="s">
        <v>25</v>
      </c>
      <c r="F626" s="23" t="s">
        <v>70</v>
      </c>
      <c r="G626" s="22" t="s">
        <v>59</v>
      </c>
      <c r="H626" s="387"/>
      <c r="I626" s="374"/>
      <c r="J626" s="375" t="s">
        <v>87</v>
      </c>
      <c r="L626" s="5"/>
      <c r="M626" s="5"/>
      <c r="N626" s="5"/>
      <c r="O626" s="5"/>
      <c r="Q626" s="5"/>
    </row>
    <row r="627" spans="1:17" x14ac:dyDescent="0.2">
      <c r="A627" s="24"/>
      <c r="B627" s="25" t="s">
        <v>60</v>
      </c>
      <c r="C627" s="26"/>
      <c r="D627" s="26"/>
      <c r="E627" s="26"/>
      <c r="F627" s="26"/>
      <c r="G627" s="26"/>
      <c r="H627" s="26"/>
      <c r="I627" s="27"/>
      <c r="J627" s="376"/>
      <c r="L627" s="5"/>
      <c r="M627" s="5"/>
      <c r="N627" s="5"/>
      <c r="O627" s="5"/>
      <c r="Q627" s="5"/>
    </row>
    <row r="628" spans="1:17" ht="16.5" x14ac:dyDescent="0.3">
      <c r="A628" s="28" t="s">
        <v>80</v>
      </c>
      <c r="B628" s="8" t="s">
        <v>77</v>
      </c>
      <c r="C628" s="29">
        <v>0</v>
      </c>
      <c r="D628" s="30"/>
      <c r="E628" s="30">
        <v>40000</v>
      </c>
      <c r="F628" s="30"/>
      <c r="G628" s="30"/>
      <c r="H628" s="57"/>
      <c r="I628" s="34">
        <v>39200</v>
      </c>
      <c r="J628" s="31">
        <f>+SUM(C628:G628)-(H628+I628)</f>
        <v>800</v>
      </c>
      <c r="L628" s="5"/>
      <c r="M628" s="5"/>
      <c r="N628" s="5"/>
      <c r="O628" s="5"/>
      <c r="Q628" s="5"/>
    </row>
    <row r="629" spans="1:17" ht="16.5" x14ac:dyDescent="0.3">
      <c r="A629" s="28" t="s">
        <v>80</v>
      </c>
      <c r="B629" s="8" t="str">
        <f>+A366</f>
        <v>JUILLET</v>
      </c>
      <c r="C629" s="29">
        <v>19060</v>
      </c>
      <c r="D629" s="30"/>
      <c r="E629" s="30">
        <v>20000</v>
      </c>
      <c r="F629" s="30"/>
      <c r="G629" s="30"/>
      <c r="H629" s="57"/>
      <c r="I629" s="34">
        <v>36000</v>
      </c>
      <c r="J629" s="31">
        <f t="shared" ref="J629:J636" si="221">+SUM(C629:G629)-(H629+I629)</f>
        <v>3060</v>
      </c>
      <c r="L629" s="5"/>
      <c r="M629" s="5"/>
      <c r="N629" s="5"/>
      <c r="O629" s="5"/>
      <c r="Q629" s="5"/>
    </row>
    <row r="630" spans="1:17" ht="16.5" x14ac:dyDescent="0.3">
      <c r="A630" s="28" t="s">
        <v>80</v>
      </c>
      <c r="B630" s="8" t="str">
        <f>+A367</f>
        <v>JUILLET</v>
      </c>
      <c r="C630" s="29">
        <v>8395</v>
      </c>
      <c r="D630" s="30"/>
      <c r="E630" s="30">
        <v>20000</v>
      </c>
      <c r="F630" s="106"/>
      <c r="G630" s="106"/>
      <c r="H630" s="33"/>
      <c r="I630" s="56">
        <v>20000</v>
      </c>
      <c r="J630" s="107">
        <f t="shared" si="221"/>
        <v>8395</v>
      </c>
      <c r="L630" s="5"/>
      <c r="M630" s="5"/>
      <c r="N630" s="5"/>
      <c r="O630" s="5"/>
      <c r="Q630" s="5"/>
    </row>
    <row r="631" spans="1:17" ht="16.5" x14ac:dyDescent="0.3">
      <c r="A631" s="28" t="s">
        <v>80</v>
      </c>
      <c r="B631" s="8" t="str">
        <f>+A368</f>
        <v>JUILLET</v>
      </c>
      <c r="C631" s="29">
        <v>0</v>
      </c>
      <c r="D631" s="58"/>
      <c r="E631" s="30">
        <v>100000</v>
      </c>
      <c r="F631" s="106">
        <v>102200</v>
      </c>
      <c r="G631" s="106"/>
      <c r="H631" s="33"/>
      <c r="I631" s="33">
        <v>204000</v>
      </c>
      <c r="J631" s="107">
        <f>+SUM(C631:G631)-(H631+I631)</f>
        <v>-1800</v>
      </c>
      <c r="L631" s="5"/>
      <c r="M631" s="5"/>
      <c r="N631" s="5"/>
      <c r="O631" s="5"/>
      <c r="Q631" s="5"/>
    </row>
    <row r="632" spans="1:17" ht="16.5" x14ac:dyDescent="0.3">
      <c r="A632" s="28" t="s">
        <v>80</v>
      </c>
      <c r="B632" s="8" t="e">
        <f>+#REF!</f>
        <v>#REF!</v>
      </c>
      <c r="C632" s="29">
        <v>7559</v>
      </c>
      <c r="D632" s="58"/>
      <c r="E632" s="30">
        <v>866200</v>
      </c>
      <c r="F632" s="106"/>
      <c r="G632" s="106"/>
      <c r="H632" s="33">
        <v>252200</v>
      </c>
      <c r="I632" s="34">
        <v>605575</v>
      </c>
      <c r="J632" s="107">
        <f t="shared" si="221"/>
        <v>15984</v>
      </c>
      <c r="L632" s="5"/>
      <c r="M632" s="5"/>
      <c r="N632" s="5"/>
      <c r="O632" s="5"/>
      <c r="Q632" s="5"/>
    </row>
    <row r="633" spans="1:17" ht="16.5" x14ac:dyDescent="0.3">
      <c r="A633" s="28" t="s">
        <v>80</v>
      </c>
      <c r="B633" s="8" t="str">
        <f t="shared" ref="B633:B636" si="222">+A369</f>
        <v>JUILLET</v>
      </c>
      <c r="C633" s="29">
        <v>214000</v>
      </c>
      <c r="D633" s="30"/>
      <c r="E633" s="30">
        <v>724100</v>
      </c>
      <c r="F633" s="106"/>
      <c r="G633" s="106"/>
      <c r="H633" s="33"/>
      <c r="I633" s="34">
        <v>960000</v>
      </c>
      <c r="J633" s="107">
        <f>+SUM(C633:G633)-(H633+I633)</f>
        <v>-21900</v>
      </c>
      <c r="L633" s="5"/>
      <c r="M633" s="5"/>
      <c r="N633" s="5"/>
      <c r="O633" s="5"/>
      <c r="Q633" s="5"/>
    </row>
    <row r="634" spans="1:17" ht="16.5" x14ac:dyDescent="0.3">
      <c r="A634" s="28" t="s">
        <v>80</v>
      </c>
      <c r="B634" s="8" t="str">
        <f t="shared" si="222"/>
        <v>JUILLET</v>
      </c>
      <c r="C634" s="29">
        <v>-13805</v>
      </c>
      <c r="D634" s="30"/>
      <c r="E634" s="30">
        <v>333400</v>
      </c>
      <c r="F634" s="30">
        <v>150000</v>
      </c>
      <c r="G634" s="30"/>
      <c r="H634" s="33">
        <v>129000</v>
      </c>
      <c r="I634" s="34">
        <v>338905</v>
      </c>
      <c r="J634" s="31">
        <f>+SUM(C634:G634)-(H634+I634)</f>
        <v>1690</v>
      </c>
      <c r="L634" s="5"/>
      <c r="M634" s="5"/>
      <c r="N634" s="5"/>
      <c r="O634" s="5"/>
      <c r="Q634" s="5"/>
    </row>
    <row r="635" spans="1:17" ht="16.5" x14ac:dyDescent="0.3">
      <c r="A635" s="28" t="s">
        <v>80</v>
      </c>
      <c r="B635" s="8" t="str">
        <f t="shared" si="222"/>
        <v>JUILLET</v>
      </c>
      <c r="C635" s="29">
        <v>84350</v>
      </c>
      <c r="D635" s="30"/>
      <c r="E635" s="30">
        <v>669400</v>
      </c>
      <c r="F635" s="30"/>
      <c r="G635" s="30"/>
      <c r="H635" s="33">
        <v>100000</v>
      </c>
      <c r="I635" s="34">
        <v>674700</v>
      </c>
      <c r="J635" s="31">
        <f>+SUM(C635:G635)-(H635+I635)</f>
        <v>-20950</v>
      </c>
      <c r="L635" s="5"/>
      <c r="M635" s="5"/>
      <c r="N635" s="5"/>
      <c r="O635" s="5"/>
      <c r="Q635" s="5"/>
    </row>
    <row r="636" spans="1:17" ht="16.5" x14ac:dyDescent="0.3">
      <c r="A636" s="28" t="s">
        <v>80</v>
      </c>
      <c r="B636" s="8" t="str">
        <f t="shared" si="222"/>
        <v>JUILLET</v>
      </c>
      <c r="C636" s="29">
        <v>-216251</v>
      </c>
      <c r="D636" s="30"/>
      <c r="E636" s="30">
        <v>242000</v>
      </c>
      <c r="F636" s="30"/>
      <c r="G636" s="30"/>
      <c r="H636" s="33"/>
      <c r="I636" s="56">
        <v>34830</v>
      </c>
      <c r="J636" s="31">
        <f t="shared" si="221"/>
        <v>-9081</v>
      </c>
      <c r="L636" s="5"/>
      <c r="M636" s="5"/>
      <c r="N636" s="5"/>
      <c r="O636" s="5"/>
      <c r="Q636" s="5"/>
    </row>
    <row r="637" spans="1:17" ht="16.5" x14ac:dyDescent="0.3">
      <c r="A637" s="28" t="s">
        <v>80</v>
      </c>
      <c r="B637" s="8" t="s">
        <v>33</v>
      </c>
      <c r="C637" s="29">
        <v>2025</v>
      </c>
      <c r="D637" s="30"/>
      <c r="E637" s="30">
        <v>25000</v>
      </c>
      <c r="F637" s="30"/>
      <c r="G637" s="30"/>
      <c r="H637" s="33">
        <v>3025</v>
      </c>
      <c r="I637" s="34">
        <v>24000</v>
      </c>
      <c r="J637" s="31">
        <f>+SUM(C637:G637)-(H637+I637)</f>
        <v>0</v>
      </c>
      <c r="L637" s="5"/>
      <c r="M637" s="5"/>
      <c r="N637" s="5"/>
      <c r="O637" s="5"/>
      <c r="Q637" s="5"/>
    </row>
    <row r="638" spans="1:17" ht="16.5" x14ac:dyDescent="0.3">
      <c r="A638" s="28" t="s">
        <v>80</v>
      </c>
      <c r="B638" s="8" t="s">
        <v>32</v>
      </c>
      <c r="C638" s="29">
        <v>10000</v>
      </c>
      <c r="D638" s="32"/>
      <c r="E638" s="30">
        <v>0</v>
      </c>
      <c r="F638" s="32"/>
      <c r="G638" s="32"/>
      <c r="H638" s="33"/>
      <c r="I638" s="34">
        <v>4700</v>
      </c>
      <c r="J638" s="31">
        <f>+SUM(C638:G638)-(H638+I638)</f>
        <v>5300</v>
      </c>
      <c r="L638" s="5"/>
      <c r="M638" s="5"/>
      <c r="N638" s="5"/>
      <c r="O638" s="5"/>
      <c r="Q638" s="5"/>
    </row>
    <row r="639" spans="1:17" x14ac:dyDescent="0.2">
      <c r="A639" s="35" t="s">
        <v>61</v>
      </c>
      <c r="B639" s="36"/>
      <c r="C639" s="36"/>
      <c r="D639" s="36"/>
      <c r="E639" s="36"/>
      <c r="F639" s="36"/>
      <c r="G639" s="36"/>
      <c r="H639" s="36"/>
      <c r="I639" s="36"/>
      <c r="J639" s="37"/>
      <c r="L639" s="5"/>
      <c r="M639" s="5"/>
      <c r="N639" s="5"/>
      <c r="O639" s="5"/>
      <c r="Q639" s="5"/>
    </row>
    <row r="640" spans="1:17" x14ac:dyDescent="0.2">
      <c r="A640" s="28" t="s">
        <v>80</v>
      </c>
      <c r="B640" s="38" t="s">
        <v>62</v>
      </c>
      <c r="C640" s="39">
        <v>791675</v>
      </c>
      <c r="D640" s="40">
        <v>3185100</v>
      </c>
      <c r="E640" s="40"/>
      <c r="F640" s="40"/>
      <c r="G640" s="41">
        <v>237025</v>
      </c>
      <c r="H640" s="49">
        <v>3045100</v>
      </c>
      <c r="I640" s="42">
        <v>876121</v>
      </c>
      <c r="J640" s="43">
        <f>+SUM(C640:G640)-(H640+I640)</f>
        <v>292579</v>
      </c>
      <c r="L640" s="5"/>
      <c r="M640" s="5"/>
      <c r="N640" s="5"/>
      <c r="O640" s="5"/>
      <c r="Q640" s="5"/>
    </row>
    <row r="641" spans="1:17" x14ac:dyDescent="0.2">
      <c r="A641" s="44" t="s">
        <v>63</v>
      </c>
      <c r="B641" s="25"/>
      <c r="C641" s="36"/>
      <c r="D641" s="25"/>
      <c r="E641" s="25"/>
      <c r="F641" s="25"/>
      <c r="G641" s="25"/>
      <c r="H641" s="25"/>
      <c r="I641" s="25"/>
      <c r="J641" s="37"/>
      <c r="L641" s="5"/>
      <c r="M641" s="5"/>
      <c r="N641" s="5"/>
      <c r="O641" s="5"/>
      <c r="Q641" s="5"/>
    </row>
    <row r="642" spans="1:17" x14ac:dyDescent="0.25">
      <c r="A642" s="28" t="s">
        <v>80</v>
      </c>
      <c r="B642" s="38" t="s">
        <v>64</v>
      </c>
      <c r="C642" s="45">
        <v>8039273</v>
      </c>
      <c r="D642" s="54">
        <v>0</v>
      </c>
      <c r="E642" s="51"/>
      <c r="F642" s="51"/>
      <c r="G642" s="51"/>
      <c r="H642" s="53">
        <v>3000000</v>
      </c>
      <c r="I642" s="55">
        <v>224679</v>
      </c>
      <c r="J642" s="46">
        <f>+SUM(C642:G642)-(H642+I642)</f>
        <v>4814594</v>
      </c>
      <c r="L642" s="5"/>
      <c r="M642" s="5"/>
      <c r="N642" s="5"/>
      <c r="O642" s="5"/>
      <c r="Q642" s="5"/>
    </row>
    <row r="643" spans="1:17" x14ac:dyDescent="0.25">
      <c r="A643" s="28" t="s">
        <v>80</v>
      </c>
      <c r="B643" s="38" t="s">
        <v>65</v>
      </c>
      <c r="C643" s="45">
        <v>13283340</v>
      </c>
      <c r="D643" s="51">
        <v>0</v>
      </c>
      <c r="E643" s="50"/>
      <c r="F643" s="50"/>
      <c r="G643" s="50"/>
      <c r="H643" s="33">
        <v>185100</v>
      </c>
      <c r="I643" s="52">
        <v>8352406</v>
      </c>
      <c r="J643" s="46">
        <f>SUM(C643:G643)-(H643+I643)</f>
        <v>4745834</v>
      </c>
      <c r="Q643" s="5"/>
    </row>
    <row r="644" spans="1:17" x14ac:dyDescent="0.25">
      <c r="A644" s="157" t="s">
        <v>80</v>
      </c>
      <c r="B644" s="158" t="s">
        <v>83</v>
      </c>
      <c r="C644" s="45">
        <v>3721074</v>
      </c>
      <c r="D644" s="157"/>
      <c r="E644" s="157"/>
      <c r="F644" s="157"/>
      <c r="G644" s="157"/>
      <c r="H644" s="157"/>
      <c r="I644" s="157"/>
      <c r="J644" s="159">
        <f>SUM(C644:G644)-(H644+I644)</f>
        <v>3721074</v>
      </c>
      <c r="Q644" s="5"/>
    </row>
    <row r="645" spans="1:17" x14ac:dyDescent="0.25">
      <c r="A645" s="157" t="s">
        <v>80</v>
      </c>
      <c r="B645" s="158" t="s">
        <v>84</v>
      </c>
      <c r="C645" s="45">
        <v>249769</v>
      </c>
      <c r="D645" s="51"/>
      <c r="E645" s="51"/>
      <c r="F645" s="51"/>
      <c r="G645" s="51"/>
      <c r="H645" s="33"/>
      <c r="I645" s="52"/>
      <c r="J645" s="159">
        <f>SUM(C645:G645)-(H645+I645)</f>
        <v>249769</v>
      </c>
      <c r="Q645" s="5"/>
    </row>
    <row r="646" spans="1:17" x14ac:dyDescent="0.25">
      <c r="A646" s="157" t="s">
        <v>80</v>
      </c>
      <c r="B646" s="160" t="s">
        <v>85</v>
      </c>
      <c r="C646" s="45">
        <v>233614</v>
      </c>
      <c r="D646" s="51"/>
      <c r="E646" s="51"/>
      <c r="F646" s="51"/>
      <c r="G646" s="51"/>
      <c r="H646" s="33"/>
      <c r="I646" s="52"/>
      <c r="J646" s="159">
        <f>SUM(C646:G646)-(H646+I646)</f>
        <v>233614</v>
      </c>
      <c r="Q646" s="5"/>
    </row>
    <row r="647" spans="1:17" x14ac:dyDescent="0.25">
      <c r="A647" s="157" t="s">
        <v>80</v>
      </c>
      <c r="B647" s="161" t="s">
        <v>86</v>
      </c>
      <c r="C647" s="45">
        <v>330169</v>
      </c>
      <c r="D647" s="157"/>
      <c r="E647" s="157"/>
      <c r="F647" s="157"/>
      <c r="G647" s="157"/>
      <c r="H647" s="157"/>
      <c r="I647" s="157"/>
      <c r="J647" s="159">
        <f>SUM(C647:G647)-(H647+I647)</f>
        <v>330169</v>
      </c>
      <c r="Q647" s="5"/>
    </row>
    <row r="648" spans="1:17" ht="15.75" x14ac:dyDescent="0.25">
      <c r="C648" s="9"/>
      <c r="I648" s="9"/>
      <c r="J648" s="111">
        <f>+SUM(J628:J647)</f>
        <v>14369131</v>
      </c>
      <c r="Q648" s="5"/>
    </row>
    <row r="649" spans="1:17" x14ac:dyDescent="0.25">
      <c r="C649" s="9"/>
      <c r="I649" s="9"/>
      <c r="J649" s="9"/>
      <c r="Q649" s="5"/>
    </row>
    <row r="650" spans="1:17" s="74" customFormat="1" x14ac:dyDescent="0.2">
      <c r="A650" s="72" t="s">
        <v>66</v>
      </c>
      <c r="B650" s="72"/>
      <c r="C650" s="72"/>
      <c r="D650" s="72"/>
      <c r="E650" s="72"/>
      <c r="F650" s="72"/>
      <c r="G650" s="72"/>
      <c r="H650" s="72"/>
      <c r="I650" s="72"/>
      <c r="J650" s="73"/>
      <c r="L650" s="75"/>
      <c r="M650" s="75"/>
      <c r="N650" s="75"/>
      <c r="O650" s="75"/>
    </row>
    <row r="651" spans="1:17" s="74" customFormat="1" x14ac:dyDescent="0.2">
      <c r="A651" s="76"/>
      <c r="B651" s="73"/>
      <c r="C651" s="77"/>
      <c r="D651" s="77"/>
      <c r="E651" s="77"/>
      <c r="F651" s="77"/>
      <c r="G651" s="77"/>
      <c r="H651" s="73"/>
      <c r="I651" s="73"/>
      <c r="J651" s="72"/>
      <c r="L651" s="75"/>
      <c r="M651" s="75"/>
      <c r="N651" s="75"/>
      <c r="O651" s="75"/>
    </row>
    <row r="652" spans="1:17" s="74" customFormat="1" x14ac:dyDescent="0.2">
      <c r="A652" s="377" t="s">
        <v>54</v>
      </c>
      <c r="B652" s="379" t="s">
        <v>55</v>
      </c>
      <c r="C652" s="381" t="s">
        <v>68</v>
      </c>
      <c r="D652" s="400" t="s">
        <v>56</v>
      </c>
      <c r="E652" s="401"/>
      <c r="F652" s="401"/>
      <c r="G652" s="402"/>
      <c r="H652" s="403" t="s">
        <v>57</v>
      </c>
      <c r="I652" s="405" t="s">
        <v>58</v>
      </c>
      <c r="J652" s="73"/>
      <c r="L652" s="75"/>
      <c r="M652" s="75"/>
      <c r="N652" s="75"/>
      <c r="O652" s="75"/>
    </row>
    <row r="653" spans="1:17" s="74" customFormat="1" x14ac:dyDescent="0.25">
      <c r="A653" s="378"/>
      <c r="B653" s="380"/>
      <c r="C653" s="382"/>
      <c r="D653" s="22" t="s">
        <v>24</v>
      </c>
      <c r="E653" s="22" t="s">
        <v>25</v>
      </c>
      <c r="F653" s="71" t="s">
        <v>70</v>
      </c>
      <c r="G653" s="22" t="s">
        <v>59</v>
      </c>
      <c r="H653" s="404"/>
      <c r="I653" s="406"/>
      <c r="J653" s="375" t="s">
        <v>69</v>
      </c>
      <c r="L653" s="75"/>
      <c r="M653" s="75"/>
      <c r="N653" s="75"/>
      <c r="O653" s="75"/>
    </row>
    <row r="654" spans="1:17" s="74" customFormat="1" x14ac:dyDescent="0.2">
      <c r="A654" s="78"/>
      <c r="B654" s="79" t="s">
        <v>60</v>
      </c>
      <c r="C654" s="80"/>
      <c r="D654" s="80"/>
      <c r="E654" s="80"/>
      <c r="F654" s="80"/>
      <c r="G654" s="80"/>
      <c r="H654" s="80"/>
      <c r="I654" s="81"/>
      <c r="J654" s="376"/>
      <c r="L654" s="75"/>
      <c r="M654" s="75"/>
      <c r="N654" s="75"/>
      <c r="O654" s="75"/>
    </row>
    <row r="655" spans="1:17" s="74" customFormat="1" ht="16.5" x14ac:dyDescent="0.3">
      <c r="A655" s="82" t="s">
        <v>67</v>
      </c>
      <c r="B655" s="8" t="s">
        <v>48</v>
      </c>
      <c r="C655" s="83">
        <v>40560</v>
      </c>
      <c r="D655" s="30"/>
      <c r="E655" s="30">
        <v>0</v>
      </c>
      <c r="F655" s="30"/>
      <c r="G655" s="30"/>
      <c r="H655" s="84"/>
      <c r="I655" s="85">
        <f>+SUM([1]COMPTA_CREPIN!$F$3050:$F$3066)</f>
        <v>21500</v>
      </c>
      <c r="J655" s="31">
        <f>+SUM(C655:G655)-(H655+I655)</f>
        <v>19060</v>
      </c>
      <c r="L655" s="75"/>
      <c r="M655" s="75"/>
      <c r="N655" s="75"/>
      <c r="O655" s="75"/>
    </row>
    <row r="656" spans="1:17" s="74" customFormat="1" ht="16.5" x14ac:dyDescent="0.3">
      <c r="A656" s="82" t="s">
        <v>67</v>
      </c>
      <c r="B656" s="8" t="s">
        <v>28</v>
      </c>
      <c r="C656" s="83">
        <v>227975</v>
      </c>
      <c r="D656" s="30"/>
      <c r="E656" s="30">
        <f>+'[2]Compta Dalia (2)'!$E$1908+'[2]Compta Dalia (2)'!$E$1909+'[2]Compta Dalia (2)'!$E$1911+'[2]Compta Dalia (2)'!$E$1917</f>
        <v>119600</v>
      </c>
      <c r="F656" s="30"/>
      <c r="G656" s="30"/>
      <c r="H656" s="84">
        <f>+'[2]Compta Dalia (2)'!$F$1919</f>
        <v>1635</v>
      </c>
      <c r="I656" s="85">
        <v>345940</v>
      </c>
      <c r="J656" s="31">
        <f t="shared" ref="J656:J663" si="223">+SUM(C656:G656)-(H656+I656)</f>
        <v>0</v>
      </c>
      <c r="L656" s="75"/>
      <c r="M656" s="75"/>
      <c r="N656" s="75"/>
      <c r="O656" s="75"/>
    </row>
    <row r="657" spans="1:15" s="74" customFormat="1" ht="16.5" x14ac:dyDescent="0.3">
      <c r="A657" s="82" t="s">
        <v>67</v>
      </c>
      <c r="B657" s="8" t="s">
        <v>31</v>
      </c>
      <c r="C657" s="83">
        <v>-605</v>
      </c>
      <c r="D657" s="30"/>
      <c r="E657" s="30">
        <f>+'[3]compta (3)'!$E$2556+'[3]compta (3)'!$E$2557+'[3]compta (3)'!$E$2558</f>
        <v>30000</v>
      </c>
      <c r="F657" s="30"/>
      <c r="G657" s="30"/>
      <c r="H657" s="86"/>
      <c r="I657" s="87">
        <f>'[3]compta (3)'!$F$2559</f>
        <v>21000</v>
      </c>
      <c r="J657" s="31">
        <f t="shared" si="223"/>
        <v>8395</v>
      </c>
      <c r="L657" s="75"/>
      <c r="M657" s="75"/>
      <c r="N657" s="75"/>
      <c r="O657" s="75"/>
    </row>
    <row r="658" spans="1:15" s="74" customFormat="1" ht="16.5" x14ac:dyDescent="0.3">
      <c r="A658" s="82" t="s">
        <v>67</v>
      </c>
      <c r="B658" s="105" t="s">
        <v>26</v>
      </c>
      <c r="C658" s="83">
        <v>264659</v>
      </c>
      <c r="D658" s="106"/>
      <c r="E658" s="106">
        <f>+'[4]compta (2)'!$E$2521+'[4]compta (2)'!$E$2525+'[4]compta (2)'!$E$2527+'[4]compta (2)'!$E$2529</f>
        <v>325000</v>
      </c>
      <c r="F658" s="106"/>
      <c r="G658" s="106"/>
      <c r="H658" s="33">
        <f>'[4]compta (2)'!$F$2528+60000</f>
        <v>75000</v>
      </c>
      <c r="I658" s="33">
        <f>'[4]compta (2)'!$F$2522+'[4]compta (2)'!$F$2523+'[4]compta (2)'!$F$2524+'[4]compta (2)'!$F$2526+'[4]compta (2)'!$F$2530+'[4]compta (2)'!$F$2532+'[4]compta (2)'!$F$2533+'[4]compta (2)'!$F$2534</f>
        <v>507100</v>
      </c>
      <c r="J658" s="107">
        <f t="shared" si="223"/>
        <v>7559</v>
      </c>
      <c r="L658" s="75"/>
      <c r="M658" s="75"/>
      <c r="N658" s="75"/>
      <c r="O658" s="75"/>
    </row>
    <row r="659" spans="1:15" s="74" customFormat="1" ht="16.5" x14ac:dyDescent="0.3">
      <c r="A659" s="82" t="s">
        <v>67</v>
      </c>
      <c r="B659" s="105" t="s">
        <v>49</v>
      </c>
      <c r="C659" s="83">
        <v>272500</v>
      </c>
      <c r="D659" s="106"/>
      <c r="E659" s="106">
        <f>+'[5]COMPTA_I23C (2)'!$E$4171+'[5]COMPTA_I23C (2)'!$E$4172+'[5]COMPTA_I23C (2)'!$E$4174+'[5]COMPTA_I23C (2)'!$E$4178+'[5]COMPTA_I23C (2)'!$E$4180+'[5]COMPTA_I23C (2)'!$E$4181</f>
        <v>695000</v>
      </c>
      <c r="F659" s="106"/>
      <c r="G659" s="106"/>
      <c r="H659" s="33"/>
      <c r="I659" s="83">
        <v>753500</v>
      </c>
      <c r="J659" s="107">
        <f t="shared" si="223"/>
        <v>214000</v>
      </c>
      <c r="L659" s="75"/>
      <c r="M659" s="75"/>
      <c r="N659" s="75"/>
      <c r="O659" s="75"/>
    </row>
    <row r="660" spans="1:15" s="74" customFormat="1" ht="16.5" x14ac:dyDescent="0.3">
      <c r="A660" s="82" t="s">
        <v>67</v>
      </c>
      <c r="B660" s="8" t="s">
        <v>36</v>
      </c>
      <c r="C660" s="83">
        <v>284595</v>
      </c>
      <c r="D660" s="30"/>
      <c r="E660" s="30">
        <f>+'[6]Feuil1 (2)'!$E$2684+'[6]Feuil1 (2)'!$E$2689+'[6]Feuil1 (2)'!$E$2691</f>
        <v>275000</v>
      </c>
      <c r="F660" s="30">
        <f>'[4]compta (2)'!$F$2531</f>
        <v>60000</v>
      </c>
      <c r="G660" s="30"/>
      <c r="H660" s="86"/>
      <c r="I660" s="85">
        <v>633400</v>
      </c>
      <c r="J660" s="31">
        <f t="shared" si="223"/>
        <v>-13805</v>
      </c>
      <c r="L660" s="75"/>
      <c r="M660" s="75"/>
      <c r="N660" s="75"/>
      <c r="O660" s="75"/>
    </row>
    <row r="661" spans="1:15" s="74" customFormat="1" ht="16.5" x14ac:dyDescent="0.3">
      <c r="A661" s="82" t="s">
        <v>67</v>
      </c>
      <c r="B661" s="8" t="s">
        <v>27</v>
      </c>
      <c r="C661" s="83">
        <v>-1750</v>
      </c>
      <c r="D661" s="30"/>
      <c r="E661" s="30">
        <f>+'[7]Compta Jospin (2)'!$E$1583+'[7]Compta Jospin (2)'!$E$1584+'[7]Compta Jospin (2)'!$E$1587</f>
        <v>96400</v>
      </c>
      <c r="F661" s="30"/>
      <c r="G661" s="30"/>
      <c r="H661" s="86">
        <f>+'[7]Compta Jospin (2)'!$F$1592</f>
        <v>950</v>
      </c>
      <c r="I661" s="85">
        <v>93700</v>
      </c>
      <c r="J661" s="31">
        <f t="shared" si="223"/>
        <v>0</v>
      </c>
      <c r="L661" s="75"/>
      <c r="M661" s="75"/>
      <c r="N661" s="75"/>
      <c r="O661" s="75"/>
    </row>
    <row r="662" spans="1:15" s="74" customFormat="1" ht="16.5" x14ac:dyDescent="0.3">
      <c r="A662" s="82" t="s">
        <v>67</v>
      </c>
      <c r="B662" s="8" t="s">
        <v>29</v>
      </c>
      <c r="C662" s="83">
        <v>265600</v>
      </c>
      <c r="D662" s="30"/>
      <c r="E662" s="30">
        <f>+'[8]COMPT-P29 (2)'!$E$190+'[8]COMPT-P29 (2)'!$E$191+'[8]COMPT-P29 (2)'!$E$196+'[8]COMPT-P29 (2)'!$E$201+'[8]COMPT-P29 (2)'!$E$202+'[8]COMPT-P29 (2)'!$E$204+'[8]COMPT-P29 (2)'!$E$207+'[8]COMPT-P29 (2)'!$E$215</f>
        <v>855600</v>
      </c>
      <c r="F662" s="30"/>
      <c r="G662" s="30"/>
      <c r="H662" s="86"/>
      <c r="I662" s="85">
        <v>1036850</v>
      </c>
      <c r="J662" s="31">
        <f t="shared" si="223"/>
        <v>84350</v>
      </c>
      <c r="L662" s="75"/>
      <c r="M662" s="75"/>
      <c r="N662" s="75"/>
      <c r="O662" s="75"/>
    </row>
    <row r="663" spans="1:15" s="74" customFormat="1" ht="16.5" x14ac:dyDescent="0.3">
      <c r="A663" s="82" t="s">
        <v>67</v>
      </c>
      <c r="B663" s="8" t="s">
        <v>50</v>
      </c>
      <c r="C663" s="83">
        <f t="shared" ref="C663" si="224">+C636</f>
        <v>-216251</v>
      </c>
      <c r="D663" s="30"/>
      <c r="E663" s="30">
        <v>0</v>
      </c>
      <c r="F663" s="30"/>
      <c r="G663" s="30"/>
      <c r="H663" s="86"/>
      <c r="I663" s="87">
        <v>0</v>
      </c>
      <c r="J663" s="31">
        <f t="shared" si="223"/>
        <v>-216251</v>
      </c>
      <c r="L663" s="75"/>
      <c r="M663" s="75"/>
      <c r="N663" s="75"/>
      <c r="O663" s="75"/>
    </row>
    <row r="664" spans="1:15" s="74" customFormat="1" ht="16.5" x14ac:dyDescent="0.3">
      <c r="A664" s="82" t="s">
        <v>67</v>
      </c>
      <c r="B664" s="8" t="s">
        <v>33</v>
      </c>
      <c r="C664" s="83">
        <v>1025</v>
      </c>
      <c r="D664" s="30"/>
      <c r="E664" s="30">
        <f>+'[9]compta shely'!$E$90+'[9]compta shely'!$E$97+'[9]compta shely'!$E$100</f>
        <v>25000</v>
      </c>
      <c r="F664" s="30"/>
      <c r="G664" s="30"/>
      <c r="H664" s="86"/>
      <c r="I664" s="85">
        <v>24000</v>
      </c>
      <c r="J664" s="31">
        <f>+SUM(C664:G664)-(H664+I664)</f>
        <v>2025</v>
      </c>
      <c r="L664" s="75"/>
      <c r="M664" s="75"/>
      <c r="N664" s="75"/>
      <c r="O664" s="75"/>
    </row>
    <row r="665" spans="1:15" s="74" customFormat="1" ht="16.5" x14ac:dyDescent="0.3">
      <c r="A665" s="32" t="s">
        <v>67</v>
      </c>
      <c r="B665" s="8" t="s">
        <v>32</v>
      </c>
      <c r="C665" s="83">
        <v>0</v>
      </c>
      <c r="D665" s="32"/>
      <c r="E665" s="32">
        <f>+'[10]compta ted'!$E$11</f>
        <v>10000</v>
      </c>
      <c r="F665" s="32"/>
      <c r="G665" s="32"/>
      <c r="H665" s="86"/>
      <c r="I665" s="85">
        <v>0</v>
      </c>
      <c r="J665" s="31">
        <f>+SUM(C665:G665)-(H665+I665)</f>
        <v>10000</v>
      </c>
      <c r="L665" s="75"/>
      <c r="M665" s="75"/>
      <c r="N665" s="75"/>
      <c r="O665" s="75"/>
    </row>
    <row r="666" spans="1:15" s="74" customFormat="1" x14ac:dyDescent="0.2">
      <c r="A666" s="88" t="s">
        <v>61</v>
      </c>
      <c r="B666" s="89"/>
      <c r="C666" s="89"/>
      <c r="D666" s="89"/>
      <c r="E666" s="89"/>
      <c r="F666" s="89"/>
      <c r="G666" s="89"/>
      <c r="H666" s="89"/>
      <c r="I666" s="89"/>
      <c r="J666" s="90"/>
      <c r="L666" s="75"/>
      <c r="M666" s="75"/>
      <c r="N666" s="75"/>
      <c r="O666" s="75"/>
    </row>
    <row r="667" spans="1:15" s="74" customFormat="1" x14ac:dyDescent="0.2">
      <c r="A667" s="32" t="s">
        <v>67</v>
      </c>
      <c r="B667" s="38" t="s">
        <v>62</v>
      </c>
      <c r="C667" s="39">
        <v>954796</v>
      </c>
      <c r="D667" s="30">
        <v>3000000</v>
      </c>
      <c r="E667" s="30"/>
      <c r="F667" s="30"/>
      <c r="G667" s="91">
        <v>17585</v>
      </c>
      <c r="H667" s="92">
        <v>2431600</v>
      </c>
      <c r="I667" s="93">
        <v>749106</v>
      </c>
      <c r="J667" s="94">
        <f>+SUM(C667:G667)-(H667+I667)</f>
        <v>791675</v>
      </c>
      <c r="L667" s="75"/>
      <c r="M667" s="75"/>
      <c r="N667" s="75"/>
      <c r="O667" s="75"/>
    </row>
    <row r="668" spans="1:15" s="74" customFormat="1" x14ac:dyDescent="0.2">
      <c r="A668" s="95" t="s">
        <v>63</v>
      </c>
      <c r="B668" s="79"/>
      <c r="C668" s="89"/>
      <c r="D668" s="79"/>
      <c r="E668" s="79"/>
      <c r="F668" s="79"/>
      <c r="G668" s="79"/>
      <c r="H668" s="79"/>
      <c r="I668" s="79"/>
      <c r="J668" s="90"/>
      <c r="L668" s="75"/>
      <c r="M668" s="75"/>
      <c r="N668" s="75"/>
      <c r="O668" s="75"/>
    </row>
    <row r="669" spans="1:15" s="74" customFormat="1" x14ac:dyDescent="0.25">
      <c r="A669" s="32" t="s">
        <v>67</v>
      </c>
      <c r="B669" s="38" t="s">
        <v>64</v>
      </c>
      <c r="C669" s="83">
        <v>705838</v>
      </c>
      <c r="D669" s="96">
        <v>10801800</v>
      </c>
      <c r="E669" s="97"/>
      <c r="F669" s="97"/>
      <c r="G669" s="97"/>
      <c r="H669" s="98">
        <v>3000000</v>
      </c>
      <c r="I669" s="99">
        <v>468365</v>
      </c>
      <c r="J669" s="31">
        <f>+SUM(C669:G669)-(H669+I669)</f>
        <v>8039273</v>
      </c>
      <c r="L669" s="75"/>
      <c r="M669" s="75"/>
      <c r="N669" s="75"/>
      <c r="O669" s="75"/>
    </row>
    <row r="670" spans="1:15" s="74" customFormat="1" x14ac:dyDescent="0.25">
      <c r="A670" s="32" t="s">
        <v>67</v>
      </c>
      <c r="B670" s="38" t="s">
        <v>65</v>
      </c>
      <c r="C670" s="83">
        <v>14874402</v>
      </c>
      <c r="D670" s="97">
        <v>3279785</v>
      </c>
      <c r="E670" s="100"/>
      <c r="F670" s="100"/>
      <c r="G670" s="100"/>
      <c r="H670" s="101"/>
      <c r="I670" s="102">
        <v>4870847</v>
      </c>
      <c r="J670" s="31">
        <f>SUM(C670:G670)-(H670+I670)</f>
        <v>13283340</v>
      </c>
      <c r="L670" s="75"/>
      <c r="M670" s="75"/>
      <c r="N670" s="75"/>
      <c r="O670" s="75"/>
    </row>
    <row r="671" spans="1:15" s="74" customFormat="1" x14ac:dyDescent="0.25">
      <c r="L671" s="75"/>
      <c r="M671" s="75"/>
      <c r="N671" s="75"/>
      <c r="O671" s="75"/>
    </row>
    <row r="672" spans="1:15" s="74" customFormat="1" x14ac:dyDescent="0.25">
      <c r="C672" s="103">
        <f>+SUM(C655:C670)</f>
        <v>17673344</v>
      </c>
      <c r="I672" s="103">
        <f>SUM(I655:I670)</f>
        <v>9525308</v>
      </c>
      <c r="J672" s="103">
        <f>+SUM(J655:J670)</f>
        <v>22229621</v>
      </c>
      <c r="L672" s="75"/>
      <c r="M672" s="75"/>
      <c r="N672" s="75"/>
      <c r="O672" s="75"/>
    </row>
    <row r="673" spans="1:17" x14ac:dyDescent="0.25">
      <c r="C673" s="9"/>
      <c r="I673" s="9"/>
      <c r="J673" s="9"/>
      <c r="Q673" s="5"/>
    </row>
    <row r="674" spans="1:17" x14ac:dyDescent="0.25">
      <c r="A674" s="64" t="s">
        <v>71</v>
      </c>
      <c r="B674" s="64"/>
      <c r="Q674" s="5"/>
    </row>
    <row r="675" spans="1:17" x14ac:dyDescent="0.25">
      <c r="A675" s="65" t="s">
        <v>72</v>
      </c>
      <c r="B675" s="65"/>
      <c r="C675" s="65"/>
      <c r="D675" s="65"/>
      <c r="E675" s="65"/>
      <c r="F675" s="65"/>
      <c r="G675" s="65"/>
      <c r="H675" s="65"/>
      <c r="I675" s="65"/>
      <c r="J675" s="65"/>
      <c r="L675" s="5"/>
      <c r="M675" s="5"/>
      <c r="N675" s="5"/>
      <c r="O675" s="5"/>
      <c r="Q675" s="5"/>
    </row>
    <row r="677" spans="1:17" ht="15" customHeight="1" x14ac:dyDescent="0.25">
      <c r="A677" s="388" t="s">
        <v>54</v>
      </c>
      <c r="B677" s="388" t="s">
        <v>55</v>
      </c>
      <c r="C677" s="399" t="s">
        <v>74</v>
      </c>
      <c r="D677" s="394" t="s">
        <v>56</v>
      </c>
      <c r="E677" s="394"/>
      <c r="F677" s="394"/>
      <c r="G677" s="394"/>
      <c r="H677" s="395" t="s">
        <v>57</v>
      </c>
      <c r="I677" s="397" t="s">
        <v>58</v>
      </c>
      <c r="J677" s="390" t="s">
        <v>75</v>
      </c>
      <c r="K677" s="391"/>
      <c r="L677" s="5"/>
      <c r="M677" s="5"/>
      <c r="N677" s="5"/>
      <c r="O677" s="5"/>
      <c r="Q677" s="5"/>
    </row>
    <row r="678" spans="1:17" ht="28.5" customHeight="1" x14ac:dyDescent="0.25">
      <c r="A678" s="389"/>
      <c r="B678" s="389"/>
      <c r="C678" s="389"/>
      <c r="D678" s="69" t="s">
        <v>24</v>
      </c>
      <c r="E678" s="66" t="s">
        <v>25</v>
      </c>
      <c r="F678" s="66" t="s">
        <v>27</v>
      </c>
      <c r="G678" s="66" t="s">
        <v>59</v>
      </c>
      <c r="H678" s="396"/>
      <c r="I678" s="398"/>
      <c r="J678" s="392"/>
      <c r="K678" s="393"/>
      <c r="L678" s="5"/>
      <c r="M678" s="5"/>
      <c r="N678" s="5"/>
      <c r="O678" s="5"/>
      <c r="Q678" s="5"/>
    </row>
    <row r="679" spans="1:17" x14ac:dyDescent="0.25">
      <c r="A679" s="47"/>
      <c r="B679" s="47" t="s">
        <v>60</v>
      </c>
      <c r="C679" s="49"/>
      <c r="D679" s="49"/>
      <c r="E679" s="49"/>
      <c r="F679" s="49"/>
      <c r="G679" s="49"/>
      <c r="H679" s="49"/>
      <c r="I679" s="49"/>
      <c r="J679" s="49"/>
      <c r="K679" s="47"/>
      <c r="L679" s="5"/>
      <c r="M679" s="5"/>
      <c r="N679" s="5"/>
      <c r="O679" s="5"/>
      <c r="Q679" s="5"/>
    </row>
    <row r="680" spans="1:17" x14ac:dyDescent="0.25">
      <c r="A680" s="47" t="s">
        <v>73</v>
      </c>
      <c r="B680" s="47" t="s">
        <v>48</v>
      </c>
      <c r="C680" s="49">
        <v>89360</v>
      </c>
      <c r="D680" s="49"/>
      <c r="E680" s="49">
        <v>13000</v>
      </c>
      <c r="F680" s="49"/>
      <c r="G680" s="49"/>
      <c r="H680" s="49"/>
      <c r="I680" s="49">
        <v>61800</v>
      </c>
      <c r="J680" s="49">
        <v>40560</v>
      </c>
      <c r="K680" s="47"/>
      <c r="L680" s="5"/>
      <c r="M680" s="5"/>
      <c r="N680" s="5"/>
      <c r="O680" s="5"/>
      <c r="Q680" s="5"/>
    </row>
    <row r="681" spans="1:17" x14ac:dyDescent="0.25">
      <c r="A681" s="47" t="s">
        <v>73</v>
      </c>
      <c r="B681" s="47" t="s">
        <v>28</v>
      </c>
      <c r="C681" s="49">
        <v>-1025</v>
      </c>
      <c r="D681" s="49"/>
      <c r="E681" s="49">
        <v>684500</v>
      </c>
      <c r="F681" s="49"/>
      <c r="G681" s="49"/>
      <c r="H681" s="49"/>
      <c r="I681" s="49">
        <v>455500</v>
      </c>
      <c r="J681" s="49">
        <v>227975</v>
      </c>
      <c r="K681" s="47"/>
      <c r="L681" s="5"/>
      <c r="M681" s="5"/>
      <c r="N681" s="5"/>
      <c r="O681" s="5"/>
      <c r="Q681" s="5"/>
    </row>
    <row r="682" spans="1:17" x14ac:dyDescent="0.25">
      <c r="A682" s="47" t="s">
        <v>73</v>
      </c>
      <c r="B682" s="47" t="s">
        <v>31</v>
      </c>
      <c r="C682" s="49">
        <v>14395</v>
      </c>
      <c r="D682" s="49"/>
      <c r="E682" s="49">
        <v>40000</v>
      </c>
      <c r="F682" s="49"/>
      <c r="G682" s="49"/>
      <c r="H682" s="49"/>
      <c r="I682" s="49">
        <v>55000</v>
      </c>
      <c r="J682" s="49">
        <v>-605</v>
      </c>
      <c r="K682" s="47"/>
      <c r="L682" s="5"/>
      <c r="M682" s="5"/>
      <c r="N682" s="5"/>
      <c r="O682" s="5"/>
      <c r="Q682" s="5"/>
    </row>
    <row r="683" spans="1:17" x14ac:dyDescent="0.25">
      <c r="A683" s="47" t="s">
        <v>73</v>
      </c>
      <c r="B683" s="47" t="s">
        <v>26</v>
      </c>
      <c r="C683" s="49">
        <v>8559</v>
      </c>
      <c r="D683" s="49"/>
      <c r="E683" s="49">
        <v>428750</v>
      </c>
      <c r="F683" s="49">
        <v>280200</v>
      </c>
      <c r="G683" s="49"/>
      <c r="H683" s="49"/>
      <c r="I683" s="49">
        <v>452850</v>
      </c>
      <c r="J683" s="49">
        <v>264659</v>
      </c>
      <c r="K683" s="47"/>
      <c r="L683" s="5"/>
      <c r="M683" s="5"/>
      <c r="N683" s="5"/>
      <c r="O683" s="5"/>
      <c r="Q683" s="5"/>
    </row>
    <row r="684" spans="1:17" x14ac:dyDescent="0.25">
      <c r="A684" s="47" t="s">
        <v>73</v>
      </c>
      <c r="B684" s="47" t="s">
        <v>49</v>
      </c>
      <c r="C684" s="49">
        <v>-5750</v>
      </c>
      <c r="D684" s="49"/>
      <c r="E684" s="49">
        <v>1161750</v>
      </c>
      <c r="F684" s="49"/>
      <c r="G684" s="49"/>
      <c r="H684" s="49">
        <v>124000</v>
      </c>
      <c r="I684" s="49">
        <v>759500</v>
      </c>
      <c r="J684" s="49">
        <v>272500</v>
      </c>
      <c r="K684" s="47"/>
      <c r="L684" s="5"/>
      <c r="M684" s="5"/>
      <c r="N684" s="5"/>
      <c r="O684" s="5"/>
      <c r="Q684" s="5"/>
    </row>
    <row r="685" spans="1:17" x14ac:dyDescent="0.25">
      <c r="A685" s="47" t="s">
        <v>73</v>
      </c>
      <c r="B685" s="47" t="s">
        <v>36</v>
      </c>
      <c r="C685" s="49">
        <v>12995</v>
      </c>
      <c r="D685" s="49"/>
      <c r="E685" s="49">
        <v>726000</v>
      </c>
      <c r="F685" s="49"/>
      <c r="G685" s="49"/>
      <c r="H685" s="49"/>
      <c r="I685" s="49">
        <v>454400</v>
      </c>
      <c r="J685" s="49">
        <v>284595</v>
      </c>
      <c r="K685" s="47"/>
      <c r="L685" s="5"/>
      <c r="M685" s="5"/>
      <c r="N685" s="5"/>
      <c r="O685" s="5"/>
      <c r="Q685" s="5"/>
    </row>
    <row r="686" spans="1:17" x14ac:dyDescent="0.25">
      <c r="A686" s="47" t="s">
        <v>73</v>
      </c>
      <c r="B686" s="47" t="s">
        <v>27</v>
      </c>
      <c r="C686" s="49">
        <v>6050</v>
      </c>
      <c r="D686" s="49"/>
      <c r="E686" s="49">
        <v>736300</v>
      </c>
      <c r="F686" s="49"/>
      <c r="G686" s="49"/>
      <c r="H686" s="49">
        <v>405200</v>
      </c>
      <c r="I686" s="49">
        <v>338900</v>
      </c>
      <c r="J686" s="49">
        <v>-1750</v>
      </c>
      <c r="K686" s="47"/>
      <c r="L686" s="5"/>
      <c r="M686" s="5"/>
      <c r="N686" s="5"/>
      <c r="O686" s="5"/>
      <c r="Q686" s="5"/>
    </row>
    <row r="687" spans="1:17" x14ac:dyDescent="0.25">
      <c r="A687" s="47" t="s">
        <v>73</v>
      </c>
      <c r="B687" s="47" t="s">
        <v>29</v>
      </c>
      <c r="C687" s="49">
        <v>142400</v>
      </c>
      <c r="D687" s="49"/>
      <c r="E687" s="49">
        <v>1014000</v>
      </c>
      <c r="F687" s="49"/>
      <c r="G687" s="49"/>
      <c r="H687" s="49">
        <v>100000</v>
      </c>
      <c r="I687" s="49">
        <v>790800</v>
      </c>
      <c r="J687" s="49">
        <v>265600</v>
      </c>
      <c r="K687" s="47"/>
      <c r="L687" s="5"/>
      <c r="M687" s="5"/>
      <c r="N687" s="5"/>
      <c r="O687" s="5"/>
      <c r="Q687" s="5"/>
    </row>
    <row r="688" spans="1:17" x14ac:dyDescent="0.25">
      <c r="A688" s="47" t="s">
        <v>73</v>
      </c>
      <c r="B688" s="47" t="s">
        <v>50</v>
      </c>
      <c r="C688" s="49">
        <v>-221251.00072999997</v>
      </c>
      <c r="D688" s="49"/>
      <c r="E688" s="49">
        <v>485000</v>
      </c>
      <c r="F688" s="49"/>
      <c r="G688" s="49"/>
      <c r="H688" s="49">
        <v>5000</v>
      </c>
      <c r="I688" s="49">
        <v>475000</v>
      </c>
      <c r="J688" s="49">
        <v>-216251.00072999997</v>
      </c>
      <c r="K688" s="47"/>
      <c r="L688" s="5"/>
      <c r="M688" s="5"/>
      <c r="N688" s="5"/>
      <c r="O688" s="5"/>
      <c r="Q688" s="5"/>
    </row>
    <row r="689" spans="1:17" x14ac:dyDescent="0.25">
      <c r="A689" s="47" t="s">
        <v>73</v>
      </c>
      <c r="B689" s="47" t="s">
        <v>33</v>
      </c>
      <c r="C689" s="49">
        <v>14225</v>
      </c>
      <c r="D689" s="49"/>
      <c r="E689" s="49">
        <v>30000</v>
      </c>
      <c r="F689" s="49"/>
      <c r="G689" s="49"/>
      <c r="H689" s="49"/>
      <c r="I689" s="49">
        <v>43200</v>
      </c>
      <c r="J689" s="49">
        <v>1025</v>
      </c>
      <c r="K689" s="47"/>
      <c r="L689" s="5"/>
      <c r="M689" s="5"/>
      <c r="N689" s="5"/>
      <c r="O689" s="5"/>
      <c r="Q689" s="5"/>
    </row>
    <row r="690" spans="1:17" x14ac:dyDescent="0.25">
      <c r="A690" s="67" t="s">
        <v>61</v>
      </c>
      <c r="B690" s="67"/>
      <c r="C690" s="68"/>
      <c r="D690" s="68"/>
      <c r="E690" s="68"/>
      <c r="F690" s="68"/>
      <c r="G690" s="68"/>
      <c r="H690" s="68"/>
      <c r="I690" s="68"/>
      <c r="J690" s="68"/>
      <c r="K690" s="67"/>
      <c r="L690" s="5"/>
      <c r="M690" s="5"/>
      <c r="N690" s="5"/>
      <c r="O690" s="5"/>
      <c r="Q690" s="5"/>
    </row>
    <row r="691" spans="1:17" x14ac:dyDescent="0.25">
      <c r="A691" s="47" t="s">
        <v>73</v>
      </c>
      <c r="B691" s="47" t="s">
        <v>62</v>
      </c>
      <c r="C691" s="49">
        <v>494738</v>
      </c>
      <c r="D691" s="49">
        <v>6000000</v>
      </c>
      <c r="E691" s="49"/>
      <c r="F691" s="49"/>
      <c r="G691" s="49">
        <v>105000</v>
      </c>
      <c r="H691" s="49">
        <v>5070300</v>
      </c>
      <c r="I691" s="49">
        <v>574642</v>
      </c>
      <c r="J691" s="49">
        <v>954796</v>
      </c>
      <c r="K691" s="47"/>
      <c r="L691" s="5"/>
      <c r="M691" s="5"/>
      <c r="N691" s="5"/>
      <c r="O691" s="5"/>
      <c r="Q691" s="5"/>
    </row>
    <row r="692" spans="1:17" x14ac:dyDescent="0.25">
      <c r="A692" s="67" t="s">
        <v>63</v>
      </c>
      <c r="B692" s="67"/>
      <c r="C692" s="68"/>
      <c r="D692" s="68"/>
      <c r="E692" s="68"/>
      <c r="F692" s="68"/>
      <c r="G692" s="68"/>
      <c r="H692" s="68"/>
      <c r="I692" s="68"/>
      <c r="J692" s="68"/>
      <c r="K692" s="67"/>
      <c r="L692" s="5"/>
      <c r="M692" s="5"/>
      <c r="N692" s="5"/>
      <c r="O692" s="5"/>
      <c r="Q692" s="5"/>
    </row>
    <row r="693" spans="1:17" x14ac:dyDescent="0.25">
      <c r="A693" s="47" t="s">
        <v>73</v>
      </c>
      <c r="B693" s="47" t="s">
        <v>64</v>
      </c>
      <c r="C693" s="49">
        <v>11363703</v>
      </c>
      <c r="D693" s="49"/>
      <c r="E693" s="49"/>
      <c r="F693" s="49"/>
      <c r="G693" s="49"/>
      <c r="H693" s="49">
        <v>10000000</v>
      </c>
      <c r="I693" s="49">
        <v>657865</v>
      </c>
      <c r="J693" s="49">
        <v>705838</v>
      </c>
      <c r="K693" s="47"/>
      <c r="L693" s="5"/>
      <c r="M693" s="5"/>
      <c r="N693" s="5"/>
      <c r="O693" s="5"/>
      <c r="Q693" s="5"/>
    </row>
    <row r="694" spans="1:17" x14ac:dyDescent="0.25">
      <c r="A694" s="47" t="s">
        <v>73</v>
      </c>
      <c r="B694" s="47" t="s">
        <v>65</v>
      </c>
      <c r="C694" s="49">
        <v>4902843</v>
      </c>
      <c r="D694" s="49">
        <v>17119140</v>
      </c>
      <c r="E694" s="49"/>
      <c r="F694" s="49"/>
      <c r="G694" s="49"/>
      <c r="H694" s="49"/>
      <c r="I694" s="49">
        <v>7147581</v>
      </c>
      <c r="J694" s="49">
        <v>14874402</v>
      </c>
      <c r="K694" s="47"/>
      <c r="L694" s="5"/>
      <c r="M694" s="5"/>
      <c r="N694" s="5"/>
      <c r="O694" s="5"/>
      <c r="Q694" s="5"/>
    </row>
    <row r="695" spans="1:17" x14ac:dyDescent="0.25">
      <c r="A695" s="47"/>
      <c r="B695" s="47"/>
      <c r="C695" s="49"/>
      <c r="D695" s="49"/>
      <c r="E695" s="49"/>
      <c r="F695" s="49"/>
      <c r="G695" s="49"/>
      <c r="H695" s="49"/>
      <c r="I695" s="49"/>
      <c r="J695" s="49"/>
      <c r="K695" s="47"/>
      <c r="L695" s="5"/>
      <c r="M695" s="5"/>
      <c r="N695" s="5"/>
      <c r="O695" s="5"/>
      <c r="Q695" s="5"/>
    </row>
    <row r="696" spans="1:17" x14ac:dyDescent="0.25">
      <c r="A696" s="47"/>
      <c r="B696" s="47"/>
      <c r="C696" s="49"/>
      <c r="D696" s="49"/>
      <c r="E696" s="49"/>
      <c r="F696" s="49"/>
      <c r="G696" s="49"/>
      <c r="H696" s="49"/>
      <c r="I696" s="49">
        <v>12267038</v>
      </c>
      <c r="J696" s="49">
        <v>17673343.99927</v>
      </c>
      <c r="K696" s="47" t="b">
        <v>1</v>
      </c>
      <c r="L696" s="5"/>
      <c r="M696" s="5"/>
      <c r="N696" s="5"/>
      <c r="O696" s="5"/>
      <c r="Q696" s="5"/>
    </row>
    <row r="697" spans="1:17" x14ac:dyDescent="0.25">
      <c r="J697" s="70" t="b">
        <f>J696=[11]TABLEAU!$I$16</f>
        <v>1</v>
      </c>
      <c r="L697" s="5"/>
      <c r="M697" s="5"/>
      <c r="N697" s="5"/>
      <c r="O697" s="5"/>
      <c r="Q697" s="5"/>
    </row>
  </sheetData>
  <mergeCells count="133">
    <mergeCell ref="A216:A217"/>
    <mergeCell ref="B216:B217"/>
    <mergeCell ref="C216:C217"/>
    <mergeCell ref="D216:G216"/>
    <mergeCell ref="H216:H217"/>
    <mergeCell ref="I216:I217"/>
    <mergeCell ref="J217:J218"/>
    <mergeCell ref="A169:A170"/>
    <mergeCell ref="B169:B170"/>
    <mergeCell ref="C169:C170"/>
    <mergeCell ref="D169:G169"/>
    <mergeCell ref="H169:H170"/>
    <mergeCell ref="I169:I170"/>
    <mergeCell ref="J170:J171"/>
    <mergeCell ref="A264:A265"/>
    <mergeCell ref="B264:B265"/>
    <mergeCell ref="C264:C265"/>
    <mergeCell ref="D264:G264"/>
    <mergeCell ref="H264:H265"/>
    <mergeCell ref="I264:I265"/>
    <mergeCell ref="J265:J266"/>
    <mergeCell ref="A385:A386"/>
    <mergeCell ref="B385:B386"/>
    <mergeCell ref="C385:C386"/>
    <mergeCell ref="D385:G385"/>
    <mergeCell ref="H385:H386"/>
    <mergeCell ref="I314:I315"/>
    <mergeCell ref="J315:J316"/>
    <mergeCell ref="A314:A315"/>
    <mergeCell ref="B314:B315"/>
    <mergeCell ref="C314:C315"/>
    <mergeCell ref="D314:G314"/>
    <mergeCell ref="H314:H315"/>
    <mergeCell ref="I337:I338"/>
    <mergeCell ref="J338:J339"/>
    <mergeCell ref="A337:A338"/>
    <mergeCell ref="B337:B338"/>
    <mergeCell ref="C337:C338"/>
    <mergeCell ref="B361:B362"/>
    <mergeCell ref="C361:C362"/>
    <mergeCell ref="D361:G361"/>
    <mergeCell ref="H361:H362"/>
    <mergeCell ref="H462:H463"/>
    <mergeCell ref="B410:B411"/>
    <mergeCell ref="C410:C411"/>
    <mergeCell ref="D410:G410"/>
    <mergeCell ref="H410:H411"/>
    <mergeCell ref="A677:A678"/>
    <mergeCell ref="J626:J627"/>
    <mergeCell ref="A625:A626"/>
    <mergeCell ref="B625:B626"/>
    <mergeCell ref="C625:C626"/>
    <mergeCell ref="D625:G625"/>
    <mergeCell ref="H625:H626"/>
    <mergeCell ref="I625:I626"/>
    <mergeCell ref="B677:B678"/>
    <mergeCell ref="J677:K678"/>
    <mergeCell ref="D677:G677"/>
    <mergeCell ref="H677:H678"/>
    <mergeCell ref="I677:I678"/>
    <mergeCell ref="C677:C678"/>
    <mergeCell ref="B652:B653"/>
    <mergeCell ref="C652:C653"/>
    <mergeCell ref="A652:A653"/>
    <mergeCell ref="D652:G652"/>
    <mergeCell ref="H652:H653"/>
    <mergeCell ref="J653:J654"/>
    <mergeCell ref="I652:I653"/>
    <mergeCell ref="I462:I463"/>
    <mergeCell ref="J463:J464"/>
    <mergeCell ref="A462:A463"/>
    <mergeCell ref="B462:B463"/>
    <mergeCell ref="C462:C463"/>
    <mergeCell ref="D462:G462"/>
    <mergeCell ref="J599:J600"/>
    <mergeCell ref="A598:A599"/>
    <mergeCell ref="B598:B599"/>
    <mergeCell ref="C598:C599"/>
    <mergeCell ref="D598:G598"/>
    <mergeCell ref="H598:H599"/>
    <mergeCell ref="I489:I490"/>
    <mergeCell ref="J490:J491"/>
    <mergeCell ref="A489:A490"/>
    <mergeCell ref="B489:B490"/>
    <mergeCell ref="C489:C490"/>
    <mergeCell ref="D489:G489"/>
    <mergeCell ref="H489:H490"/>
    <mergeCell ref="B545:B546"/>
    <mergeCell ref="C545:C546"/>
    <mergeCell ref="D545:G545"/>
    <mergeCell ref="H545:H546"/>
    <mergeCell ref="I598:I599"/>
    <mergeCell ref="I572:I573"/>
    <mergeCell ref="J573:J574"/>
    <mergeCell ref="A572:A573"/>
    <mergeCell ref="B572:B573"/>
    <mergeCell ref="C572:C573"/>
    <mergeCell ref="D572:G572"/>
    <mergeCell ref="H572:H573"/>
    <mergeCell ref="I517:I518"/>
    <mergeCell ref="J518:J519"/>
    <mergeCell ref="A517:A518"/>
    <mergeCell ref="B517:B518"/>
    <mergeCell ref="C517:C518"/>
    <mergeCell ref="D517:G517"/>
    <mergeCell ref="H517:H518"/>
    <mergeCell ref="I545:I546"/>
    <mergeCell ref="J546:J547"/>
    <mergeCell ref="A545:A546"/>
    <mergeCell ref="I436:I437"/>
    <mergeCell ref="J437:J438"/>
    <mergeCell ref="A436:A437"/>
    <mergeCell ref="B436:B437"/>
    <mergeCell ref="C436:C437"/>
    <mergeCell ref="D436:G436"/>
    <mergeCell ref="H436:H437"/>
    <mergeCell ref="A289:A290"/>
    <mergeCell ref="B289:B290"/>
    <mergeCell ref="C289:C290"/>
    <mergeCell ref="D289:G289"/>
    <mergeCell ref="H289:H290"/>
    <mergeCell ref="I289:I290"/>
    <mergeCell ref="J290:J291"/>
    <mergeCell ref="I361:I362"/>
    <mergeCell ref="J362:J363"/>
    <mergeCell ref="A361:A362"/>
    <mergeCell ref="A410:A411"/>
    <mergeCell ref="I385:I386"/>
    <mergeCell ref="I410:I411"/>
    <mergeCell ref="J386:J387"/>
    <mergeCell ref="J411:J412"/>
    <mergeCell ref="D337:G337"/>
    <mergeCell ref="H337:H3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D23"/>
  <sheetViews>
    <sheetView workbookViewId="0">
      <selection activeCell="D10" sqref="D10"/>
    </sheetView>
  </sheetViews>
  <sheetFormatPr baseColWidth="10" defaultRowHeight="15" x14ac:dyDescent="0.25"/>
  <cols>
    <col min="1" max="1" width="21" customWidth="1"/>
    <col min="2" max="2" width="16.140625" customWidth="1"/>
    <col min="3" max="4" width="15.140625" bestFit="1" customWidth="1"/>
    <col min="5" max="5" width="12.5703125" bestFit="1" customWidth="1"/>
    <col min="6" max="6" width="21" bestFit="1" customWidth="1"/>
    <col min="7" max="7" width="23.85546875" bestFit="1" customWidth="1"/>
    <col min="8" max="8" width="7.85546875" customWidth="1"/>
    <col min="9" max="9" width="6.28515625" customWidth="1"/>
    <col min="10" max="10" width="12.5703125" bestFit="1" customWidth="1"/>
  </cols>
  <sheetData>
    <row r="3" spans="1:2" x14ac:dyDescent="0.25">
      <c r="A3" s="1" t="s">
        <v>129</v>
      </c>
      <c r="B3" t="s">
        <v>136</v>
      </c>
    </row>
    <row r="4" spans="1:2" x14ac:dyDescent="0.25">
      <c r="A4" s="2" t="s">
        <v>103</v>
      </c>
      <c r="B4" s="370">
        <v>5753684</v>
      </c>
    </row>
    <row r="5" spans="1:2" x14ac:dyDescent="0.25">
      <c r="A5" s="2" t="s">
        <v>166</v>
      </c>
      <c r="B5" s="370">
        <v>3301225</v>
      </c>
    </row>
    <row r="6" spans="1:2" x14ac:dyDescent="0.25">
      <c r="A6" s="2" t="s">
        <v>130</v>
      </c>
      <c r="B6" s="370">
        <v>9054909</v>
      </c>
    </row>
    <row r="16" spans="1:2" x14ac:dyDescent="0.25">
      <c r="A16" s="1" t="s">
        <v>136</v>
      </c>
      <c r="B16" s="1" t="s">
        <v>131</v>
      </c>
    </row>
    <row r="17" spans="1:4" x14ac:dyDescent="0.25">
      <c r="A17" s="1" t="s">
        <v>129</v>
      </c>
      <c r="B17" t="s">
        <v>103</v>
      </c>
      <c r="C17" t="s">
        <v>166</v>
      </c>
      <c r="D17" t="s">
        <v>130</v>
      </c>
    </row>
    <row r="18" spans="1:4" x14ac:dyDescent="0.25">
      <c r="A18" s="2" t="s">
        <v>216</v>
      </c>
      <c r="B18" s="370"/>
      <c r="C18" s="370">
        <v>1267649</v>
      </c>
      <c r="D18" s="370">
        <v>1267649</v>
      </c>
    </row>
    <row r="19" spans="1:4" x14ac:dyDescent="0.25">
      <c r="A19" s="2" t="s">
        <v>217</v>
      </c>
      <c r="B19" s="370">
        <v>5753684</v>
      </c>
      <c r="C19" s="370">
        <v>2033576</v>
      </c>
      <c r="D19" s="370">
        <v>7787260</v>
      </c>
    </row>
    <row r="20" spans="1:4" x14ac:dyDescent="0.25">
      <c r="A20" s="2" t="s">
        <v>130</v>
      </c>
      <c r="B20" s="370">
        <v>5753684</v>
      </c>
      <c r="C20" s="370">
        <v>3301225</v>
      </c>
      <c r="D20" s="370">
        <v>9054909</v>
      </c>
    </row>
    <row r="22" spans="1:4" x14ac:dyDescent="0.25">
      <c r="B22" s="340">
        <f>(B19*100%)/D19</f>
        <v>0.73885859724729874</v>
      </c>
      <c r="C22" s="341" t="s">
        <v>219</v>
      </c>
    </row>
    <row r="23" spans="1:4" x14ac:dyDescent="0.25">
      <c r="B23" s="340">
        <f>(C19*100%)/D19</f>
        <v>0.2611414027527012</v>
      </c>
      <c r="C23" s="341" t="s">
        <v>220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S21"/>
  <sheetViews>
    <sheetView workbookViewId="0">
      <pane xSplit="1" topLeftCell="AM1" activePane="topRight" state="frozen"/>
      <selection pane="topRight" activeCell="AM23" sqref="AM23"/>
    </sheetView>
  </sheetViews>
  <sheetFormatPr baseColWidth="10" defaultRowHeight="15" x14ac:dyDescent="0.25"/>
  <cols>
    <col min="1" max="1" width="21" customWidth="1"/>
    <col min="2" max="2" width="23.85546875" bestFit="1" customWidth="1"/>
    <col min="3" max="3" width="19.140625" customWidth="1"/>
    <col min="4" max="4" width="16.140625" customWidth="1"/>
    <col min="5" max="5" width="19.140625" customWidth="1"/>
    <col min="6" max="6" width="16.140625" customWidth="1"/>
    <col min="7" max="7" width="19.140625" customWidth="1"/>
    <col min="8" max="8" width="16.140625" customWidth="1"/>
    <col min="9" max="9" width="19.140625" customWidth="1"/>
    <col min="10" max="10" width="16.140625" customWidth="1"/>
    <col min="11" max="11" width="19.140625" customWidth="1"/>
    <col min="12" max="12" width="16.140625" customWidth="1"/>
    <col min="13" max="13" width="19.140625" customWidth="1"/>
    <col min="14" max="14" width="16.140625" customWidth="1"/>
    <col min="15" max="15" width="19.140625" customWidth="1"/>
    <col min="16" max="16" width="16.140625" customWidth="1"/>
    <col min="17" max="17" width="19.140625" customWidth="1"/>
    <col min="18" max="18" width="16.140625" customWidth="1"/>
    <col min="19" max="19" width="19.140625" customWidth="1"/>
    <col min="20" max="20" width="16.140625" customWidth="1"/>
    <col min="21" max="21" width="19.140625" customWidth="1"/>
    <col min="22" max="22" width="16.140625" customWidth="1"/>
    <col min="23" max="23" width="19.140625" customWidth="1"/>
    <col min="24" max="24" width="16.140625" customWidth="1"/>
    <col min="25" max="25" width="19.140625" customWidth="1"/>
    <col min="26" max="26" width="16.140625" customWidth="1"/>
    <col min="27" max="27" width="19.140625" customWidth="1"/>
    <col min="28" max="28" width="16.140625" customWidth="1"/>
    <col min="29" max="29" width="19.140625" customWidth="1"/>
    <col min="30" max="30" width="16.140625" customWidth="1"/>
    <col min="31" max="31" width="19.140625" customWidth="1"/>
    <col min="32" max="32" width="17.5703125" bestFit="1" customWidth="1"/>
    <col min="33" max="33" width="19.140625" customWidth="1"/>
    <col min="34" max="34" width="16.140625" customWidth="1"/>
    <col min="35" max="35" width="19.140625" customWidth="1"/>
    <col min="36" max="36" width="16.140625" customWidth="1"/>
    <col min="37" max="37" width="19.140625" customWidth="1"/>
    <col min="38" max="38" width="21" customWidth="1"/>
    <col min="39" max="39" width="24.140625" customWidth="1"/>
    <col min="40" max="40" width="21" customWidth="1"/>
    <col min="41" max="41" width="24.140625" customWidth="1"/>
    <col min="42" max="42" width="15.5703125" customWidth="1"/>
    <col min="43" max="43" width="14.5703125" customWidth="1"/>
  </cols>
  <sheetData>
    <row r="3" spans="1:45" x14ac:dyDescent="0.25">
      <c r="B3" s="1" t="s">
        <v>131</v>
      </c>
    </row>
    <row r="4" spans="1:45" x14ac:dyDescent="0.25">
      <c r="B4" t="s">
        <v>197</v>
      </c>
      <c r="D4" t="s">
        <v>205</v>
      </c>
      <c r="F4" t="s">
        <v>196</v>
      </c>
      <c r="H4" t="s">
        <v>284</v>
      </c>
      <c r="J4" t="s">
        <v>174</v>
      </c>
      <c r="L4" t="s">
        <v>140</v>
      </c>
      <c r="N4" t="s">
        <v>359</v>
      </c>
      <c r="P4" t="s">
        <v>399</v>
      </c>
      <c r="R4" t="s">
        <v>35</v>
      </c>
      <c r="T4" t="s">
        <v>182</v>
      </c>
      <c r="V4" t="s">
        <v>188</v>
      </c>
      <c r="X4" t="s">
        <v>3</v>
      </c>
      <c r="Z4" t="s">
        <v>183</v>
      </c>
      <c r="AB4" t="s">
        <v>184</v>
      </c>
      <c r="AD4" t="s">
        <v>34</v>
      </c>
      <c r="AF4" t="s">
        <v>157</v>
      </c>
      <c r="AH4" t="s">
        <v>400</v>
      </c>
      <c r="AJ4" t="s">
        <v>76</v>
      </c>
      <c r="AL4" t="s">
        <v>139</v>
      </c>
      <c r="AM4" t="s">
        <v>137</v>
      </c>
    </row>
    <row r="5" spans="1:45" x14ac:dyDescent="0.25">
      <c r="A5" s="1" t="s">
        <v>129</v>
      </c>
      <c r="B5" t="s">
        <v>136</v>
      </c>
      <c r="C5" t="s">
        <v>138</v>
      </c>
      <c r="D5" t="s">
        <v>136</v>
      </c>
      <c r="E5" t="s">
        <v>138</v>
      </c>
      <c r="F5" t="s">
        <v>136</v>
      </c>
      <c r="G5" t="s">
        <v>138</v>
      </c>
      <c r="H5" t="s">
        <v>136</v>
      </c>
      <c r="I5" t="s">
        <v>138</v>
      </c>
      <c r="J5" t="s">
        <v>136</v>
      </c>
      <c r="K5" t="s">
        <v>138</v>
      </c>
      <c r="L5" t="s">
        <v>136</v>
      </c>
      <c r="M5" t="s">
        <v>138</v>
      </c>
      <c r="N5" t="s">
        <v>136</v>
      </c>
      <c r="O5" t="s">
        <v>138</v>
      </c>
      <c r="P5" t="s">
        <v>136</v>
      </c>
      <c r="Q5" t="s">
        <v>138</v>
      </c>
      <c r="R5" t="s">
        <v>136</v>
      </c>
      <c r="S5" t="s">
        <v>138</v>
      </c>
      <c r="T5" t="s">
        <v>136</v>
      </c>
      <c r="U5" t="s">
        <v>138</v>
      </c>
      <c r="V5" t="s">
        <v>136</v>
      </c>
      <c r="W5" t="s">
        <v>138</v>
      </c>
      <c r="X5" t="s">
        <v>136</v>
      </c>
      <c r="Y5" t="s">
        <v>138</v>
      </c>
      <c r="Z5" t="s">
        <v>136</v>
      </c>
      <c r="AA5" t="s">
        <v>138</v>
      </c>
      <c r="AB5" t="s">
        <v>136</v>
      </c>
      <c r="AC5" t="s">
        <v>138</v>
      </c>
      <c r="AD5" t="s">
        <v>136</v>
      </c>
      <c r="AE5" t="s">
        <v>138</v>
      </c>
      <c r="AF5" t="s">
        <v>136</v>
      </c>
      <c r="AG5" t="s">
        <v>138</v>
      </c>
      <c r="AH5" t="s">
        <v>136</v>
      </c>
      <c r="AI5" t="s">
        <v>138</v>
      </c>
      <c r="AJ5" t="s">
        <v>136</v>
      </c>
      <c r="AK5" t="s">
        <v>138</v>
      </c>
      <c r="AO5" s="47" t="s">
        <v>198</v>
      </c>
      <c r="AP5" s="47" t="s">
        <v>43</v>
      </c>
      <c r="AQ5" s="47" t="s">
        <v>44</v>
      </c>
      <c r="AR5" s="47" t="s">
        <v>45</v>
      </c>
      <c r="AS5" s="47" t="s">
        <v>46</v>
      </c>
    </row>
    <row r="6" spans="1:45" x14ac:dyDescent="0.25">
      <c r="A6" s="2" t="s">
        <v>24</v>
      </c>
      <c r="B6" s="169">
        <v>23345</v>
      </c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>
        <v>5000000</v>
      </c>
      <c r="AK6" s="169"/>
      <c r="AL6" s="169">
        <v>5023345</v>
      </c>
      <c r="AM6" s="169"/>
      <c r="AO6" s="47" t="str">
        <f>A6</f>
        <v>BCI</v>
      </c>
      <c r="AP6" s="49">
        <f>AM6</f>
        <v>0</v>
      </c>
      <c r="AQ6" s="49">
        <f>AJ6</f>
        <v>5000000</v>
      </c>
      <c r="AR6" s="49">
        <f>AL6-AQ6</f>
        <v>23345</v>
      </c>
      <c r="AS6" s="49">
        <v>0</v>
      </c>
    </row>
    <row r="7" spans="1:45" x14ac:dyDescent="0.25">
      <c r="A7" s="2" t="s">
        <v>158</v>
      </c>
      <c r="B7" s="169">
        <v>14701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>
        <v>750000</v>
      </c>
      <c r="Q7" s="169"/>
      <c r="R7" s="169"/>
      <c r="S7" s="169"/>
      <c r="T7" s="169">
        <v>4305604</v>
      </c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>
        <v>5070305</v>
      </c>
      <c r="AM7" s="169"/>
      <c r="AO7" s="47" t="str">
        <f t="shared" ref="AO7:AO18" si="0">A7</f>
        <v>BCI-Sous Compte</v>
      </c>
      <c r="AP7" s="49">
        <f t="shared" ref="AP7:AP18" si="1">AM7</f>
        <v>0</v>
      </c>
      <c r="AQ7" s="49">
        <f t="shared" ref="AQ7:AQ18" si="2">AJ7</f>
        <v>0</v>
      </c>
      <c r="AR7" s="49">
        <f t="shared" ref="AR7:AR18" si="3">AL7-AQ7</f>
        <v>5070305</v>
      </c>
      <c r="AS7" s="49">
        <v>0</v>
      </c>
    </row>
    <row r="8" spans="1:45" x14ac:dyDescent="0.25">
      <c r="A8" s="2" t="s">
        <v>25</v>
      </c>
      <c r="B8" s="169"/>
      <c r="C8" s="169"/>
      <c r="D8" s="169">
        <v>264000</v>
      </c>
      <c r="E8" s="169"/>
      <c r="F8" s="169"/>
      <c r="G8" s="169"/>
      <c r="H8" s="169">
        <v>150000</v>
      </c>
      <c r="I8" s="169"/>
      <c r="J8" s="169"/>
      <c r="K8" s="169"/>
      <c r="L8" s="169">
        <v>89175</v>
      </c>
      <c r="M8" s="169"/>
      <c r="N8" s="169"/>
      <c r="O8" s="169"/>
      <c r="P8" s="169">
        <v>292000</v>
      </c>
      <c r="Q8" s="169"/>
      <c r="R8" s="169">
        <v>341450</v>
      </c>
      <c r="S8" s="169"/>
      <c r="T8" s="169">
        <v>235829</v>
      </c>
      <c r="U8" s="169"/>
      <c r="V8" s="169">
        <v>12750</v>
      </c>
      <c r="W8" s="169"/>
      <c r="X8" s="169">
        <v>95625</v>
      </c>
      <c r="Y8" s="169"/>
      <c r="Z8" s="169">
        <v>326000</v>
      </c>
      <c r="AA8" s="169"/>
      <c r="AB8" s="169">
        <v>16080</v>
      </c>
      <c r="AC8" s="169"/>
      <c r="AD8" s="169"/>
      <c r="AE8" s="169"/>
      <c r="AF8" s="169"/>
      <c r="AG8" s="169"/>
      <c r="AH8" s="169"/>
      <c r="AI8" s="169"/>
      <c r="AJ8" s="169">
        <v>3474000</v>
      </c>
      <c r="AK8" s="169">
        <v>5100000</v>
      </c>
      <c r="AL8" s="169">
        <v>5296909</v>
      </c>
      <c r="AM8" s="169">
        <v>5100000</v>
      </c>
      <c r="AO8" s="47" t="str">
        <f t="shared" si="0"/>
        <v>Caisse</v>
      </c>
      <c r="AP8" s="49">
        <f t="shared" si="1"/>
        <v>5100000</v>
      </c>
      <c r="AQ8" s="49">
        <f t="shared" si="2"/>
        <v>3474000</v>
      </c>
      <c r="AR8" s="49">
        <f t="shared" si="3"/>
        <v>1822909</v>
      </c>
      <c r="AS8" s="49">
        <v>0</v>
      </c>
    </row>
    <row r="9" spans="1:45" x14ac:dyDescent="0.25">
      <c r="A9" s="2" t="s">
        <v>48</v>
      </c>
      <c r="B9" s="169"/>
      <c r="C9" s="169"/>
      <c r="D9" s="169">
        <v>110000</v>
      </c>
      <c r="E9" s="169"/>
      <c r="F9" s="169"/>
      <c r="G9" s="169"/>
      <c r="H9" s="169"/>
      <c r="I9" s="169"/>
      <c r="J9" s="169"/>
      <c r="K9" s="169"/>
      <c r="L9" s="169"/>
      <c r="M9" s="169"/>
      <c r="N9" s="169">
        <v>25000</v>
      </c>
      <c r="O9" s="169"/>
      <c r="P9" s="169"/>
      <c r="Q9" s="169"/>
      <c r="R9" s="169">
        <v>900</v>
      </c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>
        <v>144000</v>
      </c>
      <c r="AE9" s="169"/>
      <c r="AF9" s="169">
        <v>182300</v>
      </c>
      <c r="AG9" s="169"/>
      <c r="AH9" s="169"/>
      <c r="AI9" s="169"/>
      <c r="AJ9" s="169"/>
      <c r="AK9" s="169">
        <v>462000</v>
      </c>
      <c r="AL9" s="169">
        <v>462200</v>
      </c>
      <c r="AM9" s="169">
        <v>462000</v>
      </c>
      <c r="AO9" s="47" t="str">
        <f t="shared" si="0"/>
        <v>Crépin</v>
      </c>
      <c r="AP9" s="49">
        <f t="shared" si="1"/>
        <v>462000</v>
      </c>
      <c r="AQ9" s="49">
        <f t="shared" si="2"/>
        <v>0</v>
      </c>
      <c r="AR9" s="49">
        <f t="shared" si="3"/>
        <v>462200</v>
      </c>
      <c r="AS9" s="49">
        <v>0</v>
      </c>
    </row>
    <row r="10" spans="1:45" x14ac:dyDescent="0.25">
      <c r="A10" s="2" t="s">
        <v>31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>
        <v>36000</v>
      </c>
      <c r="AE10" s="169"/>
      <c r="AF10" s="169"/>
      <c r="AG10" s="169"/>
      <c r="AH10" s="169"/>
      <c r="AI10" s="169"/>
      <c r="AJ10" s="169"/>
      <c r="AK10" s="169">
        <v>30000</v>
      </c>
      <c r="AL10" s="169">
        <v>36000</v>
      </c>
      <c r="AM10" s="169">
        <v>30000</v>
      </c>
      <c r="AO10" s="47" t="str">
        <f t="shared" si="0"/>
        <v>Evariste</v>
      </c>
      <c r="AP10" s="49">
        <f t="shared" si="1"/>
        <v>30000</v>
      </c>
      <c r="AQ10" s="49">
        <f t="shared" si="2"/>
        <v>0</v>
      </c>
      <c r="AR10" s="49">
        <f t="shared" si="3"/>
        <v>36000</v>
      </c>
      <c r="AS10" s="49">
        <v>0</v>
      </c>
    </row>
    <row r="11" spans="1:45" x14ac:dyDescent="0.25">
      <c r="A11" s="2" t="s">
        <v>153</v>
      </c>
      <c r="B11" s="169"/>
      <c r="C11" s="169"/>
      <c r="D11" s="169"/>
      <c r="E11" s="169"/>
      <c r="F11" s="169">
        <v>30000</v>
      </c>
      <c r="G11" s="169"/>
      <c r="H11" s="169"/>
      <c r="I11" s="169"/>
      <c r="J11" s="169"/>
      <c r="K11" s="169"/>
      <c r="L11" s="169"/>
      <c r="M11" s="169"/>
      <c r="N11" s="169">
        <v>65950</v>
      </c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>
        <v>120200</v>
      </c>
      <c r="AE11" s="169"/>
      <c r="AF11" s="169">
        <v>150000</v>
      </c>
      <c r="AG11" s="169"/>
      <c r="AH11" s="169"/>
      <c r="AI11" s="169"/>
      <c r="AJ11" s="169"/>
      <c r="AK11" s="169">
        <v>486000</v>
      </c>
      <c r="AL11" s="169">
        <v>366150</v>
      </c>
      <c r="AM11" s="169">
        <v>486000</v>
      </c>
      <c r="AO11" s="47" t="str">
        <f t="shared" si="0"/>
        <v>Godfré</v>
      </c>
      <c r="AP11" s="49">
        <f t="shared" si="1"/>
        <v>486000</v>
      </c>
      <c r="AQ11" s="49">
        <f t="shared" si="2"/>
        <v>0</v>
      </c>
      <c r="AR11" s="49">
        <f t="shared" si="3"/>
        <v>366150</v>
      </c>
      <c r="AS11" s="49">
        <v>0</v>
      </c>
    </row>
    <row r="12" spans="1:45" x14ac:dyDescent="0.25">
      <c r="A12" s="2" t="s">
        <v>152</v>
      </c>
      <c r="B12" s="169"/>
      <c r="C12" s="169"/>
      <c r="D12" s="169"/>
      <c r="E12" s="169"/>
      <c r="F12" s="169"/>
      <c r="G12" s="169"/>
      <c r="H12" s="169"/>
      <c r="I12" s="169"/>
      <c r="J12" s="169">
        <v>1500</v>
      </c>
      <c r="K12" s="169"/>
      <c r="L12" s="169"/>
      <c r="M12" s="169"/>
      <c r="N12" s="169"/>
      <c r="O12" s="169"/>
      <c r="P12" s="169"/>
      <c r="Q12" s="169"/>
      <c r="R12" s="169">
        <v>1000</v>
      </c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>
        <v>8000</v>
      </c>
      <c r="AE12" s="169"/>
      <c r="AF12" s="169"/>
      <c r="AG12" s="169"/>
      <c r="AH12" s="169"/>
      <c r="AI12" s="169"/>
      <c r="AJ12" s="169"/>
      <c r="AK12" s="169">
        <v>10000</v>
      </c>
      <c r="AL12" s="169">
        <v>10500</v>
      </c>
      <c r="AM12" s="169">
        <v>10000</v>
      </c>
      <c r="AO12" s="47" t="str">
        <f t="shared" si="0"/>
        <v>Grace</v>
      </c>
      <c r="AP12" s="49">
        <f t="shared" si="1"/>
        <v>10000</v>
      </c>
      <c r="AQ12" s="49">
        <f t="shared" si="2"/>
        <v>0</v>
      </c>
      <c r="AR12" s="49">
        <f t="shared" si="3"/>
        <v>10500</v>
      </c>
      <c r="AS12" s="49">
        <v>0</v>
      </c>
    </row>
    <row r="13" spans="1:45" x14ac:dyDescent="0.25">
      <c r="A13" s="2" t="s">
        <v>215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>
        <v>4000</v>
      </c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>
        <v>68500</v>
      </c>
      <c r="AE13" s="169"/>
      <c r="AF13" s="169">
        <v>49000</v>
      </c>
      <c r="AG13" s="169"/>
      <c r="AH13" s="169"/>
      <c r="AI13" s="169"/>
      <c r="AJ13" s="169"/>
      <c r="AK13" s="169">
        <v>113000</v>
      </c>
      <c r="AL13" s="169">
        <v>121500</v>
      </c>
      <c r="AM13" s="169">
        <v>113000</v>
      </c>
      <c r="AO13" s="47" t="str">
        <f t="shared" si="0"/>
        <v>Hurielle</v>
      </c>
      <c r="AP13" s="49">
        <f t="shared" si="1"/>
        <v>113000</v>
      </c>
      <c r="AQ13" s="49">
        <f t="shared" si="2"/>
        <v>0</v>
      </c>
      <c r="AR13" s="49">
        <f t="shared" si="3"/>
        <v>121500</v>
      </c>
      <c r="AS13" s="49">
        <v>0</v>
      </c>
    </row>
    <row r="14" spans="1:45" x14ac:dyDescent="0.25">
      <c r="A14" s="2" t="s">
        <v>49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>
        <v>172500</v>
      </c>
      <c r="AE14" s="169"/>
      <c r="AF14" s="169">
        <v>325000</v>
      </c>
      <c r="AG14" s="169"/>
      <c r="AH14" s="169">
        <v>40000</v>
      </c>
      <c r="AI14" s="169"/>
      <c r="AJ14" s="169"/>
      <c r="AK14" s="169">
        <v>599000</v>
      </c>
      <c r="AL14" s="169">
        <v>537500</v>
      </c>
      <c r="AM14" s="169">
        <v>599000</v>
      </c>
      <c r="AO14" s="47" t="str">
        <f t="shared" si="0"/>
        <v>i23c</v>
      </c>
      <c r="AP14" s="49">
        <f t="shared" si="1"/>
        <v>599000</v>
      </c>
      <c r="AQ14" s="49">
        <f t="shared" si="2"/>
        <v>0</v>
      </c>
      <c r="AR14" s="49">
        <f t="shared" si="3"/>
        <v>537500</v>
      </c>
      <c r="AS14" s="49">
        <v>0</v>
      </c>
    </row>
    <row r="15" spans="1:45" x14ac:dyDescent="0.25">
      <c r="A15" s="2" t="s">
        <v>94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>
        <v>20000</v>
      </c>
      <c r="AE15" s="169"/>
      <c r="AF15" s="169"/>
      <c r="AG15" s="169"/>
      <c r="AH15" s="169"/>
      <c r="AI15" s="169"/>
      <c r="AJ15" s="169"/>
      <c r="AK15" s="169">
        <v>20000</v>
      </c>
      <c r="AL15" s="169">
        <v>20000</v>
      </c>
      <c r="AM15" s="169">
        <v>20000</v>
      </c>
      <c r="AO15" s="47" t="str">
        <f t="shared" si="0"/>
        <v>Merveille</v>
      </c>
      <c r="AP15" s="49">
        <f t="shared" si="1"/>
        <v>20000</v>
      </c>
      <c r="AQ15" s="49">
        <f t="shared" si="2"/>
        <v>0</v>
      </c>
      <c r="AR15" s="49">
        <f t="shared" si="3"/>
        <v>20000</v>
      </c>
      <c r="AS15" s="49">
        <v>0</v>
      </c>
    </row>
    <row r="16" spans="1:45" x14ac:dyDescent="0.25">
      <c r="A16" s="2" t="s">
        <v>29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>
        <v>128500</v>
      </c>
      <c r="AE16" s="169"/>
      <c r="AF16" s="169">
        <v>325000</v>
      </c>
      <c r="AG16" s="169"/>
      <c r="AH16" s="169">
        <v>42000</v>
      </c>
      <c r="AI16" s="169"/>
      <c r="AJ16" s="169">
        <v>100000</v>
      </c>
      <c r="AK16" s="169">
        <v>874000</v>
      </c>
      <c r="AL16" s="169">
        <v>595500</v>
      </c>
      <c r="AM16" s="169">
        <v>874000</v>
      </c>
      <c r="AO16" s="47" t="str">
        <f t="shared" si="0"/>
        <v>P29</v>
      </c>
      <c r="AP16" s="49">
        <f t="shared" si="1"/>
        <v>874000</v>
      </c>
      <c r="AQ16" s="49">
        <f t="shared" si="2"/>
        <v>100000</v>
      </c>
      <c r="AR16" s="49">
        <f t="shared" si="3"/>
        <v>495500</v>
      </c>
      <c r="AS16" s="49">
        <v>0</v>
      </c>
    </row>
    <row r="17" spans="1:45" x14ac:dyDescent="0.25">
      <c r="A17" s="2" t="s">
        <v>214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>
        <v>3000</v>
      </c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>
        <v>49500</v>
      </c>
      <c r="AE17" s="169"/>
      <c r="AF17" s="169">
        <v>20000</v>
      </c>
      <c r="AG17" s="169"/>
      <c r="AH17" s="169"/>
      <c r="AI17" s="169"/>
      <c r="AJ17" s="169"/>
      <c r="AK17" s="169">
        <v>80000</v>
      </c>
      <c r="AL17" s="169">
        <v>72500</v>
      </c>
      <c r="AM17" s="169">
        <v>80000</v>
      </c>
      <c r="AO17" s="47" t="str">
        <f t="shared" si="0"/>
        <v>Paule</v>
      </c>
      <c r="AP17" s="49">
        <f t="shared" si="1"/>
        <v>80000</v>
      </c>
      <c r="AQ17" s="49">
        <f t="shared" si="2"/>
        <v>0</v>
      </c>
      <c r="AR17" s="49">
        <f t="shared" si="3"/>
        <v>72500</v>
      </c>
      <c r="AS17" s="49">
        <v>0</v>
      </c>
    </row>
    <row r="18" spans="1:45" x14ac:dyDescent="0.25">
      <c r="A18" s="2" t="s">
        <v>114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>
        <v>10500</v>
      </c>
      <c r="AA18" s="169"/>
      <c r="AB18" s="169"/>
      <c r="AC18" s="169"/>
      <c r="AD18" s="169">
        <v>6000</v>
      </c>
      <c r="AE18" s="169"/>
      <c r="AF18" s="169"/>
      <c r="AG18" s="169"/>
      <c r="AH18" s="169"/>
      <c r="AI18" s="169"/>
      <c r="AJ18" s="169"/>
      <c r="AK18" s="169">
        <v>800000</v>
      </c>
      <c r="AL18" s="169">
        <v>16500</v>
      </c>
      <c r="AM18" s="169">
        <v>800000</v>
      </c>
      <c r="AO18" s="47" t="str">
        <f t="shared" si="0"/>
        <v>Tiffany</v>
      </c>
      <c r="AP18" s="49">
        <f t="shared" si="1"/>
        <v>800000</v>
      </c>
      <c r="AQ18" s="49">
        <f t="shared" si="2"/>
        <v>0</v>
      </c>
      <c r="AR18" s="49">
        <f t="shared" si="3"/>
        <v>16500</v>
      </c>
      <c r="AS18" s="49">
        <v>0</v>
      </c>
    </row>
    <row r="19" spans="1:45" x14ac:dyDescent="0.25">
      <c r="A19" s="2" t="s">
        <v>130</v>
      </c>
      <c r="B19" s="169">
        <v>38046</v>
      </c>
      <c r="C19" s="169"/>
      <c r="D19" s="169">
        <v>374000</v>
      </c>
      <c r="E19" s="169"/>
      <c r="F19" s="169">
        <v>30000</v>
      </c>
      <c r="G19" s="169"/>
      <c r="H19" s="169">
        <v>150000</v>
      </c>
      <c r="I19" s="169"/>
      <c r="J19" s="169">
        <v>1500</v>
      </c>
      <c r="K19" s="169"/>
      <c r="L19" s="169">
        <v>89175</v>
      </c>
      <c r="M19" s="169"/>
      <c r="N19" s="169">
        <v>97950</v>
      </c>
      <c r="O19" s="169"/>
      <c r="P19" s="169">
        <v>1042000</v>
      </c>
      <c r="Q19" s="169"/>
      <c r="R19" s="169">
        <v>343350</v>
      </c>
      <c r="S19" s="169"/>
      <c r="T19" s="169">
        <v>4541433</v>
      </c>
      <c r="U19" s="169"/>
      <c r="V19" s="169">
        <v>12750</v>
      </c>
      <c r="W19" s="169"/>
      <c r="X19" s="169">
        <v>95625</v>
      </c>
      <c r="Y19" s="169"/>
      <c r="Z19" s="169">
        <v>336500</v>
      </c>
      <c r="AA19" s="169"/>
      <c r="AB19" s="169">
        <v>16080</v>
      </c>
      <c r="AC19" s="169"/>
      <c r="AD19" s="169">
        <v>753200</v>
      </c>
      <c r="AE19" s="169"/>
      <c r="AF19" s="169">
        <v>1051300</v>
      </c>
      <c r="AG19" s="169"/>
      <c r="AH19" s="169">
        <v>82000</v>
      </c>
      <c r="AI19" s="169"/>
      <c r="AJ19" s="169">
        <v>8574000</v>
      </c>
      <c r="AK19" s="169">
        <v>8574000</v>
      </c>
      <c r="AL19" s="169">
        <v>17628909</v>
      </c>
      <c r="AM19" s="169">
        <v>8574000</v>
      </c>
      <c r="AP19" s="49">
        <f>SUM(AP6:AP18)</f>
        <v>8574000</v>
      </c>
      <c r="AQ19" s="49">
        <f>SUM(AQ6:AQ18)</f>
        <v>8574000</v>
      </c>
      <c r="AR19" s="49">
        <f>SUM(AR6:AR18)</f>
        <v>9054909</v>
      </c>
      <c r="AS19" s="49">
        <f>SUM(AS6:AS18)</f>
        <v>0</v>
      </c>
    </row>
    <row r="21" spans="1:45" x14ac:dyDescent="0.25">
      <c r="AQ21" s="241">
        <f>+AQ19-AP19</f>
        <v>0</v>
      </c>
      <c r="AR21" s="24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>
    <tabColor rgb="FF7030A0"/>
  </sheetPr>
  <dimension ref="A1:AE425"/>
  <sheetViews>
    <sheetView tabSelected="1" zoomScale="64" zoomScaleNormal="64" workbookViewId="0">
      <pane ySplit="11" topLeftCell="A14" activePane="bottomLeft" state="frozen"/>
      <selection pane="bottomLeft" activeCell="F247" sqref="F247"/>
    </sheetView>
  </sheetViews>
  <sheetFormatPr baseColWidth="10" defaultColWidth="11.42578125" defaultRowHeight="15.75" x14ac:dyDescent="0.25"/>
  <cols>
    <col min="1" max="1" width="15.85546875" style="277" customWidth="1"/>
    <col min="2" max="2" width="92.28515625" style="178" customWidth="1"/>
    <col min="3" max="3" width="24.7109375" style="178" customWidth="1"/>
    <col min="4" max="4" width="15" style="178" customWidth="1"/>
    <col min="5" max="5" width="12.42578125" style="195" customWidth="1"/>
    <col min="6" max="6" width="18.5703125" style="358" customWidth="1"/>
    <col min="7" max="7" width="16.7109375" style="196" customWidth="1"/>
    <col min="8" max="8" width="17.7109375" style="178" customWidth="1"/>
    <col min="9" max="9" width="13.5703125" style="183" customWidth="1"/>
    <col min="10" max="10" width="9.28515625" style="183" customWidth="1"/>
    <col min="11" max="11" width="8.7109375" style="178" customWidth="1"/>
    <col min="12" max="12" width="10.5703125" style="178" customWidth="1"/>
    <col min="13" max="13" width="15.85546875" style="178" customWidth="1"/>
    <col min="14" max="14" width="16.28515625" style="177" customWidth="1"/>
    <col min="15" max="15" width="70.5703125" style="244" customWidth="1"/>
    <col min="16" max="16384" width="11.42578125" style="178"/>
  </cols>
  <sheetData>
    <row r="1" spans="1:15" s="192" customFormat="1" ht="26.25" customHeight="1" x14ac:dyDescent="0.25">
      <c r="A1" s="407" t="s">
        <v>228</v>
      </c>
      <c r="B1" s="407"/>
      <c r="C1" s="407"/>
      <c r="D1" s="407"/>
      <c r="E1" s="407"/>
      <c r="F1" s="408"/>
      <c r="G1" s="407"/>
      <c r="H1" s="407"/>
      <c r="I1" s="409"/>
      <c r="J1" s="407"/>
      <c r="K1" s="407"/>
      <c r="L1" s="407"/>
      <c r="M1" s="407"/>
      <c r="N1" s="407"/>
      <c r="O1" s="410"/>
    </row>
    <row r="2" spans="1:15" x14ac:dyDescent="0.25">
      <c r="B2" s="193" t="s">
        <v>229</v>
      </c>
      <c r="C2" s="194">
        <f>+G12</f>
        <v>31829567</v>
      </c>
    </row>
    <row r="4" spans="1:15" x14ac:dyDescent="0.25">
      <c r="B4" s="197" t="s">
        <v>6</v>
      </c>
      <c r="C4" s="197" t="s">
        <v>7</v>
      </c>
    </row>
    <row r="5" spans="1:15" x14ac:dyDescent="0.25">
      <c r="B5" s="178" t="s">
        <v>8</v>
      </c>
      <c r="C5" s="198">
        <f>SUM(E13:E1124)</f>
        <v>8574000</v>
      </c>
      <c r="E5" s="195" t="s">
        <v>101</v>
      </c>
      <c r="H5" s="198"/>
    </row>
    <row r="6" spans="1:15" x14ac:dyDescent="0.25">
      <c r="B6" s="178" t="s">
        <v>9</v>
      </c>
      <c r="C6" s="198">
        <f>SUM(F13:F1125)</f>
        <v>17628909</v>
      </c>
      <c r="E6" s="242">
        <f>+C7-Récapitulatif!I19</f>
        <v>0</v>
      </c>
      <c r="J6" s="215"/>
      <c r="K6" s="191"/>
    </row>
    <row r="7" spans="1:15" x14ac:dyDescent="0.25">
      <c r="B7" s="273" t="s">
        <v>10</v>
      </c>
      <c r="C7" s="287">
        <f>C2+C5-C6</f>
        <v>22774658</v>
      </c>
      <c r="D7" s="199">
        <f>C7-Récapitulatif!I19</f>
        <v>0</v>
      </c>
      <c r="K7" s="191"/>
    </row>
    <row r="9" spans="1:15" x14ac:dyDescent="0.25">
      <c r="B9" s="189"/>
    </row>
    <row r="11" spans="1:15" x14ac:dyDescent="0.25">
      <c r="A11" s="296" t="s">
        <v>0</v>
      </c>
      <c r="B11" s="202" t="s">
        <v>11</v>
      </c>
      <c r="C11" s="202" t="s">
        <v>12</v>
      </c>
      <c r="D11" s="202" t="s">
        <v>13</v>
      </c>
      <c r="E11" s="339" t="s">
        <v>14</v>
      </c>
      <c r="F11" s="359" t="s">
        <v>15</v>
      </c>
      <c r="G11" s="203" t="s">
        <v>16</v>
      </c>
      <c r="H11" s="202" t="s">
        <v>17</v>
      </c>
      <c r="I11" s="204" t="s">
        <v>18</v>
      </c>
      <c r="J11" s="204" t="s">
        <v>19</v>
      </c>
      <c r="K11" s="202" t="s">
        <v>20</v>
      </c>
      <c r="L11" s="202" t="s">
        <v>21</v>
      </c>
      <c r="M11" s="202" t="s">
        <v>82</v>
      </c>
      <c r="N11" s="239" t="s">
        <v>23</v>
      </c>
      <c r="O11" s="202" t="s">
        <v>22</v>
      </c>
    </row>
    <row r="12" spans="1:15" ht="15.75" hidden="1" customHeight="1" x14ac:dyDescent="0.25">
      <c r="A12" s="277">
        <v>44652</v>
      </c>
      <c r="B12" s="225" t="s">
        <v>229</v>
      </c>
      <c r="C12" s="225"/>
      <c r="D12" s="274"/>
      <c r="E12" s="211"/>
      <c r="F12" s="190"/>
      <c r="G12" s="275">
        <v>31829567</v>
      </c>
      <c r="H12" s="225"/>
      <c r="I12" s="225"/>
      <c r="J12" s="225"/>
      <c r="K12" s="225"/>
      <c r="L12" s="225" t="s">
        <v>185</v>
      </c>
      <c r="N12" s="225"/>
      <c r="O12" s="225"/>
    </row>
    <row r="13" spans="1:15" ht="15" hidden="1" customHeight="1" x14ac:dyDescent="0.25">
      <c r="A13" s="277">
        <v>44652</v>
      </c>
      <c r="B13" s="225" t="s">
        <v>214</v>
      </c>
      <c r="C13" s="183" t="s">
        <v>76</v>
      </c>
      <c r="D13" s="274"/>
      <c r="E13" s="211"/>
      <c r="F13" s="211">
        <v>5000</v>
      </c>
      <c r="G13" s="233">
        <f t="shared" ref="G13" si="0">+G12+E13-F13</f>
        <v>31824567</v>
      </c>
      <c r="H13" s="225" t="s">
        <v>25</v>
      </c>
      <c r="J13" s="225"/>
      <c r="K13" s="225"/>
      <c r="L13" s="225" t="s">
        <v>185</v>
      </c>
      <c r="N13" s="225"/>
      <c r="O13" s="225"/>
    </row>
    <row r="14" spans="1:15" ht="15" customHeight="1" x14ac:dyDescent="0.25">
      <c r="A14" s="277">
        <v>44652</v>
      </c>
      <c r="B14" s="225" t="s">
        <v>235</v>
      </c>
      <c r="C14" s="183" t="s">
        <v>183</v>
      </c>
      <c r="D14" s="274" t="s">
        <v>4</v>
      </c>
      <c r="E14" s="211"/>
      <c r="F14" s="360">
        <v>20000</v>
      </c>
      <c r="G14" s="233">
        <f t="shared" ref="G14:G77" si="1">+G13+E14-F14</f>
        <v>31804567</v>
      </c>
      <c r="H14" s="225" t="s">
        <v>25</v>
      </c>
      <c r="I14" s="183" t="s">
        <v>232</v>
      </c>
      <c r="J14" s="225" t="s">
        <v>166</v>
      </c>
      <c r="K14" s="225" t="s">
        <v>217</v>
      </c>
      <c r="L14" s="225" t="s">
        <v>185</v>
      </c>
      <c r="M14" s="178" t="s">
        <v>423</v>
      </c>
      <c r="N14" s="177" t="s">
        <v>414</v>
      </c>
      <c r="O14" s="225"/>
    </row>
    <row r="15" spans="1:15" ht="15" hidden="1" customHeight="1" x14ac:dyDescent="0.25">
      <c r="A15" s="277">
        <v>44652</v>
      </c>
      <c r="B15" s="225" t="s">
        <v>153</v>
      </c>
      <c r="C15" s="335" t="s">
        <v>76</v>
      </c>
      <c r="D15" s="274"/>
      <c r="E15" s="211"/>
      <c r="F15" s="211">
        <v>92000</v>
      </c>
      <c r="G15" s="233">
        <f t="shared" si="1"/>
        <v>31712567</v>
      </c>
      <c r="H15" s="225" t="s">
        <v>25</v>
      </c>
      <c r="J15" s="225"/>
      <c r="K15" s="225"/>
      <c r="L15" s="225" t="s">
        <v>185</v>
      </c>
      <c r="O15" s="225"/>
    </row>
    <row r="16" spans="1:15" ht="15" hidden="1" customHeight="1" x14ac:dyDescent="0.25">
      <c r="A16" s="277">
        <v>44652</v>
      </c>
      <c r="B16" s="225" t="s">
        <v>538</v>
      </c>
      <c r="C16" s="183" t="s">
        <v>76</v>
      </c>
      <c r="D16" s="274"/>
      <c r="E16" s="211">
        <v>92000</v>
      </c>
      <c r="F16" s="213"/>
      <c r="G16" s="233">
        <f t="shared" si="1"/>
        <v>31804567</v>
      </c>
      <c r="H16" s="225" t="s">
        <v>153</v>
      </c>
      <c r="I16" s="274"/>
      <c r="J16" s="225"/>
      <c r="K16" s="225"/>
      <c r="L16" s="225" t="s">
        <v>185</v>
      </c>
      <c r="N16" s="308"/>
      <c r="O16" s="225"/>
    </row>
    <row r="17" spans="1:16" ht="15" hidden="1" customHeight="1" x14ac:dyDescent="0.25">
      <c r="A17" s="277">
        <v>44652</v>
      </c>
      <c r="B17" s="225" t="s">
        <v>545</v>
      </c>
      <c r="C17" s="183" t="s">
        <v>363</v>
      </c>
      <c r="D17" s="274"/>
      <c r="E17" s="211">
        <v>5000</v>
      </c>
      <c r="F17" s="360"/>
      <c r="G17" s="233">
        <f t="shared" si="1"/>
        <v>31809567</v>
      </c>
      <c r="H17" s="225" t="s">
        <v>214</v>
      </c>
      <c r="J17" s="225"/>
      <c r="K17" s="225"/>
      <c r="L17" s="225" t="s">
        <v>185</v>
      </c>
      <c r="N17" s="225"/>
      <c r="O17" s="225"/>
    </row>
    <row r="18" spans="1:16" ht="15" customHeight="1" x14ac:dyDescent="0.25">
      <c r="A18" s="280">
        <v>44652</v>
      </c>
      <c r="B18" s="281" t="s">
        <v>364</v>
      </c>
      <c r="C18" s="183" t="s">
        <v>359</v>
      </c>
      <c r="D18" s="274" t="s">
        <v>164</v>
      </c>
      <c r="E18" s="212"/>
      <c r="F18" s="212">
        <v>3000</v>
      </c>
      <c r="G18" s="233">
        <f t="shared" si="1"/>
        <v>31806567</v>
      </c>
      <c r="H18" s="237" t="s">
        <v>214</v>
      </c>
      <c r="I18" s="274" t="s">
        <v>247</v>
      </c>
      <c r="J18" s="225" t="s">
        <v>166</v>
      </c>
      <c r="K18" s="225" t="s">
        <v>216</v>
      </c>
      <c r="L18" s="225" t="s">
        <v>185</v>
      </c>
      <c r="M18" s="225"/>
      <c r="N18" s="225"/>
      <c r="O18" s="225"/>
    </row>
    <row r="19" spans="1:16" ht="15" customHeight="1" x14ac:dyDescent="0.25">
      <c r="A19" s="277">
        <v>44652</v>
      </c>
      <c r="B19" s="225" t="s">
        <v>233</v>
      </c>
      <c r="C19" s="183" t="s">
        <v>183</v>
      </c>
      <c r="D19" s="274" t="s">
        <v>164</v>
      </c>
      <c r="E19" s="211"/>
      <c r="F19" s="211">
        <v>37000</v>
      </c>
      <c r="G19" s="233">
        <f t="shared" si="1"/>
        <v>31769567</v>
      </c>
      <c r="H19" s="225" t="s">
        <v>25</v>
      </c>
      <c r="I19" s="183" t="s">
        <v>232</v>
      </c>
      <c r="J19" s="225" t="s">
        <v>166</v>
      </c>
      <c r="K19" s="225" t="s">
        <v>217</v>
      </c>
      <c r="L19" s="225" t="s">
        <v>185</v>
      </c>
      <c r="M19" s="178" t="s">
        <v>424</v>
      </c>
      <c r="N19" s="177" t="s">
        <v>414</v>
      </c>
      <c r="O19" s="225"/>
    </row>
    <row r="20" spans="1:16" ht="15" customHeight="1" x14ac:dyDescent="0.25">
      <c r="A20" s="277">
        <v>44652</v>
      </c>
      <c r="B20" s="225" t="s">
        <v>234</v>
      </c>
      <c r="C20" s="183" t="s">
        <v>183</v>
      </c>
      <c r="D20" s="274" t="s">
        <v>164</v>
      </c>
      <c r="E20" s="211"/>
      <c r="F20" s="211">
        <v>42000</v>
      </c>
      <c r="G20" s="233">
        <f t="shared" si="1"/>
        <v>31727567</v>
      </c>
      <c r="H20" s="225" t="s">
        <v>25</v>
      </c>
      <c r="I20" s="183" t="s">
        <v>232</v>
      </c>
      <c r="J20" s="225" t="s">
        <v>166</v>
      </c>
      <c r="K20" s="225" t="s">
        <v>216</v>
      </c>
      <c r="L20" s="225" t="s">
        <v>185</v>
      </c>
      <c r="O20" s="225"/>
    </row>
    <row r="21" spans="1:16" ht="15" customHeight="1" x14ac:dyDescent="0.25">
      <c r="A21" s="277">
        <v>44652</v>
      </c>
      <c r="B21" s="225" t="s">
        <v>230</v>
      </c>
      <c r="C21" s="183" t="s">
        <v>183</v>
      </c>
      <c r="D21" s="369" t="s">
        <v>231</v>
      </c>
      <c r="E21" s="211"/>
      <c r="F21" s="360">
        <v>48000</v>
      </c>
      <c r="G21" s="233">
        <f t="shared" si="1"/>
        <v>31679567</v>
      </c>
      <c r="H21" s="225" t="s">
        <v>25</v>
      </c>
      <c r="I21" s="183" t="s">
        <v>232</v>
      </c>
      <c r="J21" s="225" t="s">
        <v>166</v>
      </c>
      <c r="K21" s="225" t="s">
        <v>217</v>
      </c>
      <c r="L21" s="225" t="s">
        <v>185</v>
      </c>
      <c r="M21" s="178" t="s">
        <v>425</v>
      </c>
      <c r="N21" s="177" t="s">
        <v>414</v>
      </c>
      <c r="O21" s="225"/>
    </row>
    <row r="22" spans="1:16" ht="15" customHeight="1" x14ac:dyDescent="0.25">
      <c r="A22" s="277">
        <v>44652</v>
      </c>
      <c r="B22" s="225" t="s">
        <v>236</v>
      </c>
      <c r="C22" s="183" t="s">
        <v>183</v>
      </c>
      <c r="D22" s="274" t="s">
        <v>165</v>
      </c>
      <c r="E22" s="211"/>
      <c r="F22" s="360">
        <v>5000</v>
      </c>
      <c r="G22" s="233">
        <f t="shared" si="1"/>
        <v>31674567</v>
      </c>
      <c r="H22" s="225" t="s">
        <v>25</v>
      </c>
      <c r="I22" s="183" t="s">
        <v>232</v>
      </c>
      <c r="J22" s="225" t="s">
        <v>166</v>
      </c>
      <c r="K22" s="225" t="s">
        <v>217</v>
      </c>
      <c r="L22" s="225" t="s">
        <v>185</v>
      </c>
      <c r="M22" s="178" t="s">
        <v>426</v>
      </c>
      <c r="N22" s="177" t="s">
        <v>414</v>
      </c>
      <c r="O22" s="225"/>
    </row>
    <row r="23" spans="1:16" ht="15" customHeight="1" x14ac:dyDescent="0.25">
      <c r="A23" s="280">
        <v>44652</v>
      </c>
      <c r="B23" s="281" t="s">
        <v>237</v>
      </c>
      <c r="C23" s="183" t="s">
        <v>183</v>
      </c>
      <c r="D23" s="274" t="s">
        <v>231</v>
      </c>
      <c r="E23" s="213"/>
      <c r="F23" s="213">
        <v>26000</v>
      </c>
      <c r="G23" s="233">
        <f t="shared" si="1"/>
        <v>31648567</v>
      </c>
      <c r="H23" s="237" t="s">
        <v>25</v>
      </c>
      <c r="I23" s="183" t="s">
        <v>232</v>
      </c>
      <c r="J23" s="225" t="s">
        <v>166</v>
      </c>
      <c r="K23" s="225" t="s">
        <v>217</v>
      </c>
      <c r="L23" s="225" t="s">
        <v>185</v>
      </c>
      <c r="M23" s="178" t="s">
        <v>427</v>
      </c>
      <c r="N23" s="177" t="s">
        <v>414</v>
      </c>
      <c r="O23" s="225"/>
    </row>
    <row r="24" spans="1:16" ht="15" customHeight="1" x14ac:dyDescent="0.25">
      <c r="A24" s="277">
        <v>44652</v>
      </c>
      <c r="B24" s="225" t="s">
        <v>238</v>
      </c>
      <c r="C24" s="183" t="s">
        <v>183</v>
      </c>
      <c r="D24" s="274" t="s">
        <v>164</v>
      </c>
      <c r="E24" s="211"/>
      <c r="F24" s="360">
        <v>5000</v>
      </c>
      <c r="G24" s="233">
        <f t="shared" si="1"/>
        <v>31643567</v>
      </c>
      <c r="H24" s="225" t="s">
        <v>25</v>
      </c>
      <c r="I24" s="183" t="s">
        <v>232</v>
      </c>
      <c r="J24" s="225" t="s">
        <v>166</v>
      </c>
      <c r="K24" s="225" t="s">
        <v>217</v>
      </c>
      <c r="L24" s="225" t="s">
        <v>185</v>
      </c>
      <c r="M24" s="178" t="s">
        <v>428</v>
      </c>
      <c r="N24" s="177" t="s">
        <v>414</v>
      </c>
      <c r="O24" s="225"/>
    </row>
    <row r="25" spans="1:16" ht="15" customHeight="1" x14ac:dyDescent="0.25">
      <c r="A25" s="277">
        <v>44652</v>
      </c>
      <c r="B25" s="225" t="s">
        <v>239</v>
      </c>
      <c r="C25" s="183" t="s">
        <v>183</v>
      </c>
      <c r="D25" s="369" t="s">
        <v>4</v>
      </c>
      <c r="E25" s="211"/>
      <c r="F25" s="360">
        <v>32000</v>
      </c>
      <c r="G25" s="233">
        <f t="shared" si="1"/>
        <v>31611567</v>
      </c>
      <c r="H25" s="225" t="s">
        <v>25</v>
      </c>
      <c r="I25" s="183" t="s">
        <v>232</v>
      </c>
      <c r="J25" s="225" t="s">
        <v>166</v>
      </c>
      <c r="K25" s="225" t="s">
        <v>217</v>
      </c>
      <c r="L25" s="225" t="s">
        <v>185</v>
      </c>
      <c r="M25" s="178" t="s">
        <v>429</v>
      </c>
      <c r="N25" s="177" t="s">
        <v>414</v>
      </c>
      <c r="O25" s="225"/>
    </row>
    <row r="26" spans="1:16" ht="15" customHeight="1" x14ac:dyDescent="0.25">
      <c r="A26" s="277">
        <v>44652</v>
      </c>
      <c r="B26" s="225" t="s">
        <v>240</v>
      </c>
      <c r="C26" s="183" t="s">
        <v>183</v>
      </c>
      <c r="D26" s="274" t="s">
        <v>165</v>
      </c>
      <c r="E26" s="211"/>
      <c r="F26" s="360">
        <v>11000</v>
      </c>
      <c r="G26" s="233">
        <f t="shared" si="1"/>
        <v>31600567</v>
      </c>
      <c r="H26" s="225" t="s">
        <v>25</v>
      </c>
      <c r="I26" s="183" t="s">
        <v>232</v>
      </c>
      <c r="J26" s="225" t="s">
        <v>166</v>
      </c>
      <c r="K26" s="225" t="s">
        <v>217</v>
      </c>
      <c r="L26" s="225" t="s">
        <v>185</v>
      </c>
      <c r="M26" s="178" t="s">
        <v>430</v>
      </c>
      <c r="N26" s="177" t="s">
        <v>414</v>
      </c>
      <c r="O26" s="225"/>
    </row>
    <row r="27" spans="1:16" ht="15" customHeight="1" x14ac:dyDescent="0.25">
      <c r="A27" s="277">
        <v>44652</v>
      </c>
      <c r="B27" s="333" t="s">
        <v>294</v>
      </c>
      <c r="C27" s="183" t="s">
        <v>399</v>
      </c>
      <c r="D27" s="274" t="s">
        <v>164</v>
      </c>
      <c r="F27" s="213">
        <v>150000</v>
      </c>
      <c r="G27" s="233">
        <f t="shared" si="1"/>
        <v>31450567</v>
      </c>
      <c r="H27" s="225" t="s">
        <v>158</v>
      </c>
      <c r="I27" s="274">
        <v>3643642</v>
      </c>
      <c r="J27" s="183" t="s">
        <v>103</v>
      </c>
      <c r="K27" s="178" t="s">
        <v>217</v>
      </c>
      <c r="L27" s="225" t="s">
        <v>185</v>
      </c>
      <c r="M27" s="178" t="s">
        <v>431</v>
      </c>
      <c r="N27" s="238" t="s">
        <v>406</v>
      </c>
      <c r="O27" s="226"/>
    </row>
    <row r="28" spans="1:16" ht="15" customHeight="1" x14ac:dyDescent="0.25">
      <c r="A28" s="277">
        <v>44652</v>
      </c>
      <c r="B28" s="333" t="s">
        <v>293</v>
      </c>
      <c r="C28" s="183" t="s">
        <v>197</v>
      </c>
      <c r="D28" s="274" t="s">
        <v>245</v>
      </c>
      <c r="F28" s="213">
        <v>14701</v>
      </c>
      <c r="G28" s="233">
        <f t="shared" si="1"/>
        <v>31435866</v>
      </c>
      <c r="H28" s="225" t="s">
        <v>158</v>
      </c>
      <c r="I28" s="183" t="s">
        <v>289</v>
      </c>
      <c r="J28" s="183" t="s">
        <v>166</v>
      </c>
      <c r="K28" s="178" t="s">
        <v>217</v>
      </c>
      <c r="L28" s="225" t="s">
        <v>185</v>
      </c>
      <c r="M28" s="178" t="s">
        <v>432</v>
      </c>
      <c r="N28" s="238" t="s">
        <v>401</v>
      </c>
      <c r="O28" s="226"/>
    </row>
    <row r="29" spans="1:16" ht="15" customHeight="1" x14ac:dyDescent="0.25">
      <c r="A29" s="277">
        <v>44653</v>
      </c>
      <c r="B29" s="178" t="s">
        <v>370</v>
      </c>
      <c r="C29" s="183" t="s">
        <v>157</v>
      </c>
      <c r="D29" s="274" t="s">
        <v>164</v>
      </c>
      <c r="F29" s="190">
        <v>30000</v>
      </c>
      <c r="G29" s="233">
        <f t="shared" si="1"/>
        <v>31405866</v>
      </c>
      <c r="H29" s="178" t="s">
        <v>215</v>
      </c>
      <c r="I29" s="183" t="s">
        <v>346</v>
      </c>
      <c r="J29" s="178" t="s">
        <v>166</v>
      </c>
      <c r="K29" s="178" t="s">
        <v>216</v>
      </c>
      <c r="L29" s="225" t="s">
        <v>185</v>
      </c>
      <c r="O29" s="178"/>
      <c r="P29" s="226"/>
    </row>
    <row r="30" spans="1:16" ht="15" customHeight="1" x14ac:dyDescent="0.25">
      <c r="A30" s="280">
        <v>44653</v>
      </c>
      <c r="B30" s="281" t="s">
        <v>371</v>
      </c>
      <c r="C30" s="335" t="s">
        <v>34</v>
      </c>
      <c r="D30" s="274" t="s">
        <v>164</v>
      </c>
      <c r="E30" s="212"/>
      <c r="F30" s="212">
        <v>10000</v>
      </c>
      <c r="G30" s="233">
        <f t="shared" si="1"/>
        <v>31395866</v>
      </c>
      <c r="H30" s="237" t="s">
        <v>215</v>
      </c>
      <c r="I30" s="274" t="s">
        <v>232</v>
      </c>
      <c r="J30" s="225" t="s">
        <v>166</v>
      </c>
      <c r="K30" s="178" t="s">
        <v>216</v>
      </c>
      <c r="L30" s="225" t="s">
        <v>185</v>
      </c>
      <c r="N30" s="327"/>
      <c r="O30" s="225"/>
    </row>
    <row r="31" spans="1:16" ht="15" customHeight="1" x14ac:dyDescent="0.25">
      <c r="A31" s="280">
        <v>44654</v>
      </c>
      <c r="B31" s="281" t="s">
        <v>314</v>
      </c>
      <c r="C31" s="183" t="s">
        <v>34</v>
      </c>
      <c r="D31" s="274" t="s">
        <v>164</v>
      </c>
      <c r="E31" s="212"/>
      <c r="F31" s="363">
        <v>15000</v>
      </c>
      <c r="G31" s="233">
        <f t="shared" si="1"/>
        <v>31380866</v>
      </c>
      <c r="H31" s="237" t="s">
        <v>153</v>
      </c>
      <c r="I31" s="183" t="s">
        <v>232</v>
      </c>
      <c r="J31" s="225" t="s">
        <v>166</v>
      </c>
      <c r="K31" s="178" t="s">
        <v>217</v>
      </c>
      <c r="L31" s="225" t="s">
        <v>185</v>
      </c>
      <c r="M31" s="178" t="s">
        <v>433</v>
      </c>
      <c r="N31" s="238" t="s">
        <v>415</v>
      </c>
      <c r="O31" s="225"/>
    </row>
    <row r="32" spans="1:16" ht="15" customHeight="1" x14ac:dyDescent="0.25">
      <c r="A32" s="280">
        <v>44655</v>
      </c>
      <c r="B32" s="225" t="s">
        <v>242</v>
      </c>
      <c r="C32" s="183" t="s">
        <v>182</v>
      </c>
      <c r="D32" s="274" t="s">
        <v>231</v>
      </c>
      <c r="E32" s="190"/>
      <c r="F32" s="360">
        <v>235829</v>
      </c>
      <c r="G32" s="233">
        <f t="shared" si="1"/>
        <v>31145037</v>
      </c>
      <c r="H32" s="225" t="s">
        <v>25</v>
      </c>
      <c r="I32" s="183" t="s">
        <v>232</v>
      </c>
      <c r="J32" s="225" t="s">
        <v>166</v>
      </c>
      <c r="K32" s="225" t="s">
        <v>216</v>
      </c>
      <c r="L32" s="225" t="s">
        <v>185</v>
      </c>
      <c r="N32" s="308"/>
      <c r="O32" s="225"/>
    </row>
    <row r="33" spans="1:16" ht="15" hidden="1" customHeight="1" x14ac:dyDescent="0.25">
      <c r="A33" s="280">
        <v>44655</v>
      </c>
      <c r="B33" s="281" t="s">
        <v>214</v>
      </c>
      <c r="C33" s="183" t="s">
        <v>76</v>
      </c>
      <c r="D33" s="274"/>
      <c r="E33" s="212"/>
      <c r="F33" s="212">
        <v>15000</v>
      </c>
      <c r="G33" s="233">
        <f t="shared" si="1"/>
        <v>31130037</v>
      </c>
      <c r="H33" s="237" t="s">
        <v>25</v>
      </c>
      <c r="J33" s="225"/>
      <c r="K33" s="225"/>
      <c r="L33" s="225" t="s">
        <v>185</v>
      </c>
      <c r="N33" s="225"/>
      <c r="O33" s="225"/>
    </row>
    <row r="34" spans="1:16" ht="15.75" hidden="1" customHeight="1" x14ac:dyDescent="0.25">
      <c r="A34" s="279">
        <v>44655</v>
      </c>
      <c r="B34" s="225" t="s">
        <v>29</v>
      </c>
      <c r="C34" s="183" t="s">
        <v>76</v>
      </c>
      <c r="D34" s="294"/>
      <c r="E34" s="292"/>
      <c r="F34" s="213">
        <v>145000</v>
      </c>
      <c r="G34" s="233">
        <f t="shared" si="1"/>
        <v>30985037</v>
      </c>
      <c r="H34" s="225" t="s">
        <v>25</v>
      </c>
      <c r="J34" s="225"/>
      <c r="K34" s="225"/>
      <c r="L34" s="225" t="s">
        <v>185</v>
      </c>
      <c r="N34" s="308"/>
      <c r="O34" s="225"/>
    </row>
    <row r="35" spans="1:16" ht="15" hidden="1" customHeight="1" x14ac:dyDescent="0.25">
      <c r="A35" s="277">
        <v>44655</v>
      </c>
      <c r="B35" s="225" t="s">
        <v>545</v>
      </c>
      <c r="C35" s="183" t="s">
        <v>363</v>
      </c>
      <c r="D35" s="274"/>
      <c r="E35" s="220">
        <v>15000</v>
      </c>
      <c r="F35" s="292"/>
      <c r="G35" s="233">
        <f t="shared" si="1"/>
        <v>31000037</v>
      </c>
      <c r="H35" s="178" t="s">
        <v>214</v>
      </c>
      <c r="J35" s="225"/>
      <c r="K35" s="225"/>
      <c r="L35" s="225" t="s">
        <v>185</v>
      </c>
      <c r="O35" s="178"/>
    </row>
    <row r="36" spans="1:16" ht="15.75" hidden="1" customHeight="1" x14ac:dyDescent="0.25">
      <c r="A36" s="277">
        <v>44655</v>
      </c>
      <c r="B36" s="225" t="s">
        <v>542</v>
      </c>
      <c r="C36" s="183" t="s">
        <v>76</v>
      </c>
      <c r="D36" s="274"/>
      <c r="E36" s="211">
        <v>145000</v>
      </c>
      <c r="F36" s="360"/>
      <c r="G36" s="233">
        <f t="shared" si="1"/>
        <v>31145037</v>
      </c>
      <c r="H36" s="225" t="s">
        <v>29</v>
      </c>
      <c r="I36" s="274"/>
      <c r="J36" s="178"/>
      <c r="K36" s="225"/>
      <c r="L36" s="225" t="s">
        <v>185</v>
      </c>
      <c r="N36" s="225"/>
      <c r="O36" s="225"/>
    </row>
    <row r="37" spans="1:16" ht="15.75" customHeight="1" x14ac:dyDescent="0.25">
      <c r="A37" s="277">
        <v>44655</v>
      </c>
      <c r="B37" s="225" t="s">
        <v>315</v>
      </c>
      <c r="C37" s="183" t="s">
        <v>157</v>
      </c>
      <c r="D37" s="274" t="s">
        <v>164</v>
      </c>
      <c r="E37" s="211"/>
      <c r="F37" s="360">
        <v>20000</v>
      </c>
      <c r="G37" s="233">
        <f t="shared" si="1"/>
        <v>31125037</v>
      </c>
      <c r="H37" s="225" t="s">
        <v>153</v>
      </c>
      <c r="I37" s="274" t="s">
        <v>247</v>
      </c>
      <c r="J37" s="225" t="s">
        <v>166</v>
      </c>
      <c r="K37" s="225" t="s">
        <v>217</v>
      </c>
      <c r="L37" s="225" t="s">
        <v>185</v>
      </c>
      <c r="M37" s="178" t="s">
        <v>434</v>
      </c>
      <c r="N37" s="308" t="s">
        <v>416</v>
      </c>
      <c r="O37" s="225"/>
    </row>
    <row r="38" spans="1:16" ht="15.75" customHeight="1" x14ac:dyDescent="0.25">
      <c r="A38" s="277">
        <v>44655</v>
      </c>
      <c r="B38" s="225" t="s">
        <v>379</v>
      </c>
      <c r="C38" s="183" t="s">
        <v>34</v>
      </c>
      <c r="D38" s="369" t="s">
        <v>4</v>
      </c>
      <c r="E38" s="213"/>
      <c r="F38" s="360">
        <v>12000</v>
      </c>
      <c r="G38" s="233">
        <f t="shared" si="1"/>
        <v>31113037</v>
      </c>
      <c r="H38" s="225" t="s">
        <v>29</v>
      </c>
      <c r="I38" s="274" t="s">
        <v>232</v>
      </c>
      <c r="J38" s="225" t="s">
        <v>166</v>
      </c>
      <c r="K38" s="178" t="s">
        <v>217</v>
      </c>
      <c r="L38" s="225" t="s">
        <v>185</v>
      </c>
      <c r="M38" s="178" t="s">
        <v>435</v>
      </c>
      <c r="N38" s="238" t="s">
        <v>415</v>
      </c>
      <c r="O38" s="225"/>
    </row>
    <row r="39" spans="1:16" ht="15.75" customHeight="1" x14ac:dyDescent="0.25">
      <c r="A39" s="280">
        <v>44655</v>
      </c>
      <c r="B39" s="281" t="s">
        <v>241</v>
      </c>
      <c r="C39" s="183" t="s">
        <v>399</v>
      </c>
      <c r="D39" s="274" t="s">
        <v>164</v>
      </c>
      <c r="E39" s="300"/>
      <c r="F39" s="360">
        <v>111000</v>
      </c>
      <c r="G39" s="233">
        <f t="shared" si="1"/>
        <v>31002037</v>
      </c>
      <c r="H39" s="225" t="s">
        <v>25</v>
      </c>
      <c r="I39" s="183" t="s">
        <v>232</v>
      </c>
      <c r="J39" s="183" t="s">
        <v>103</v>
      </c>
      <c r="K39" s="178" t="s">
        <v>217</v>
      </c>
      <c r="L39" s="225" t="s">
        <v>185</v>
      </c>
      <c r="M39" s="178" t="s">
        <v>436</v>
      </c>
      <c r="N39" s="177" t="s">
        <v>407</v>
      </c>
      <c r="O39" s="225"/>
    </row>
    <row r="40" spans="1:16" s="273" customFormat="1" ht="15.75" hidden="1" customHeight="1" x14ac:dyDescent="0.25">
      <c r="A40" s="280">
        <v>44656</v>
      </c>
      <c r="B40" s="178" t="s">
        <v>30</v>
      </c>
      <c r="C40" s="183" t="s">
        <v>76</v>
      </c>
      <c r="D40" s="324"/>
      <c r="E40" s="206"/>
      <c r="F40" s="213">
        <v>181000</v>
      </c>
      <c r="G40" s="233">
        <f t="shared" si="1"/>
        <v>30821037</v>
      </c>
      <c r="H40" s="178" t="s">
        <v>25</v>
      </c>
      <c r="I40" s="183"/>
      <c r="J40" s="178"/>
      <c r="K40" s="225"/>
      <c r="L40" s="225" t="s">
        <v>185</v>
      </c>
      <c r="M40" s="178"/>
      <c r="N40" s="177"/>
      <c r="O40" s="178"/>
      <c r="P40" s="178"/>
    </row>
    <row r="41" spans="1:16" ht="15.75" hidden="1" customHeight="1" x14ac:dyDescent="0.25">
      <c r="A41" s="277">
        <v>44656</v>
      </c>
      <c r="B41" s="224" t="s">
        <v>243</v>
      </c>
      <c r="C41" s="183" t="s">
        <v>76</v>
      </c>
      <c r="D41" s="215"/>
      <c r="E41" s="178">
        <v>2000000</v>
      </c>
      <c r="F41" s="213"/>
      <c r="G41" s="233">
        <f t="shared" si="1"/>
        <v>32821037</v>
      </c>
      <c r="H41" s="178" t="s">
        <v>25</v>
      </c>
      <c r="L41" s="225" t="s">
        <v>185</v>
      </c>
      <c r="N41" s="225"/>
      <c r="O41" s="178"/>
      <c r="P41" s="217"/>
    </row>
    <row r="42" spans="1:16" ht="15.75" hidden="1" customHeight="1" x14ac:dyDescent="0.25">
      <c r="A42" s="277">
        <v>44656</v>
      </c>
      <c r="B42" s="224" t="s">
        <v>114</v>
      </c>
      <c r="C42" s="183" t="s">
        <v>76</v>
      </c>
      <c r="D42" s="274"/>
      <c r="E42" s="225"/>
      <c r="F42" s="213">
        <v>800000</v>
      </c>
      <c r="G42" s="233">
        <f t="shared" si="1"/>
        <v>32021037</v>
      </c>
      <c r="H42" s="178" t="s">
        <v>25</v>
      </c>
      <c r="L42" s="225" t="s">
        <v>185</v>
      </c>
      <c r="O42" s="225"/>
    </row>
    <row r="43" spans="1:16" ht="15.75" customHeight="1" x14ac:dyDescent="0.25">
      <c r="A43" s="277">
        <v>44656</v>
      </c>
      <c r="B43" s="225" t="s">
        <v>244</v>
      </c>
      <c r="C43" s="183" t="s">
        <v>3</v>
      </c>
      <c r="D43" s="274" t="s">
        <v>245</v>
      </c>
      <c r="E43" s="211"/>
      <c r="F43" s="360">
        <v>5000</v>
      </c>
      <c r="G43" s="233">
        <f t="shared" si="1"/>
        <v>32016037</v>
      </c>
      <c r="H43" s="225" t="s">
        <v>25</v>
      </c>
      <c r="I43" s="183" t="s">
        <v>232</v>
      </c>
      <c r="J43" s="225" t="s">
        <v>166</v>
      </c>
      <c r="K43" s="225" t="s">
        <v>216</v>
      </c>
      <c r="L43" s="225" t="s">
        <v>185</v>
      </c>
      <c r="N43" s="229"/>
      <c r="O43" s="225"/>
    </row>
    <row r="44" spans="1:16" ht="15" hidden="1" customHeight="1" x14ac:dyDescent="0.25">
      <c r="A44" s="280">
        <v>44656</v>
      </c>
      <c r="B44" s="274" t="s">
        <v>288</v>
      </c>
      <c r="C44" s="324" t="s">
        <v>76</v>
      </c>
      <c r="D44" s="336"/>
      <c r="F44" s="305">
        <v>2000000</v>
      </c>
      <c r="G44" s="233">
        <f t="shared" si="1"/>
        <v>30016037</v>
      </c>
      <c r="H44" s="225" t="s">
        <v>24</v>
      </c>
      <c r="I44" s="274"/>
      <c r="L44" s="225" t="s">
        <v>185</v>
      </c>
      <c r="O44" s="225"/>
    </row>
    <row r="45" spans="1:16" ht="15" customHeight="1" x14ac:dyDescent="0.25">
      <c r="A45" s="277">
        <v>44656</v>
      </c>
      <c r="B45" s="225" t="s">
        <v>377</v>
      </c>
      <c r="C45" s="183" t="s">
        <v>157</v>
      </c>
      <c r="D45" s="369" t="s">
        <v>4</v>
      </c>
      <c r="E45" s="213"/>
      <c r="F45" s="213">
        <v>70000</v>
      </c>
      <c r="G45" s="233">
        <f t="shared" si="1"/>
        <v>29946037</v>
      </c>
      <c r="H45" s="225" t="s">
        <v>29</v>
      </c>
      <c r="I45" s="274" t="s">
        <v>378</v>
      </c>
      <c r="J45" s="225" t="s">
        <v>166</v>
      </c>
      <c r="K45" s="225" t="s">
        <v>217</v>
      </c>
      <c r="L45" s="225" t="s">
        <v>185</v>
      </c>
      <c r="M45" s="178" t="s">
        <v>437</v>
      </c>
      <c r="N45" s="308" t="s">
        <v>416</v>
      </c>
      <c r="O45" s="225"/>
    </row>
    <row r="46" spans="1:16" ht="15" hidden="1" customHeight="1" x14ac:dyDescent="0.25">
      <c r="A46" s="280">
        <v>44656</v>
      </c>
      <c r="B46" s="225" t="s">
        <v>540</v>
      </c>
      <c r="C46" s="183" t="s">
        <v>76</v>
      </c>
      <c r="D46" s="274"/>
      <c r="E46" s="213">
        <v>181000</v>
      </c>
      <c r="F46" s="213"/>
      <c r="G46" s="233">
        <f t="shared" si="1"/>
        <v>30127037</v>
      </c>
      <c r="H46" s="225" t="s">
        <v>49</v>
      </c>
      <c r="I46" s="274"/>
      <c r="J46" s="225"/>
      <c r="K46" s="225"/>
      <c r="L46" s="225" t="s">
        <v>185</v>
      </c>
      <c r="M46" s="225"/>
      <c r="N46" s="225"/>
      <c r="O46" s="225"/>
    </row>
    <row r="47" spans="1:16" ht="15" hidden="1" customHeight="1" x14ac:dyDescent="0.25">
      <c r="A47" s="277">
        <v>44656</v>
      </c>
      <c r="B47" s="224" t="s">
        <v>367</v>
      </c>
      <c r="C47" s="183" t="s">
        <v>76</v>
      </c>
      <c r="D47" s="328"/>
      <c r="E47" s="225">
        <v>800000</v>
      </c>
      <c r="F47" s="213"/>
      <c r="G47" s="233">
        <f t="shared" si="1"/>
        <v>30927037</v>
      </c>
      <c r="H47" s="178" t="s">
        <v>114</v>
      </c>
      <c r="I47" s="274"/>
      <c r="L47" s="225" t="s">
        <v>185</v>
      </c>
      <c r="O47" s="225"/>
    </row>
    <row r="48" spans="1:16" ht="15" customHeight="1" x14ac:dyDescent="0.25">
      <c r="A48" s="277">
        <v>44657</v>
      </c>
      <c r="B48" s="224" t="s">
        <v>329</v>
      </c>
      <c r="C48" s="183" t="s">
        <v>34</v>
      </c>
      <c r="D48" s="369" t="s">
        <v>4</v>
      </c>
      <c r="E48" s="213"/>
      <c r="F48" s="360">
        <v>15000</v>
      </c>
      <c r="G48" s="233">
        <f t="shared" si="1"/>
        <v>30912037</v>
      </c>
      <c r="H48" s="225" t="s">
        <v>49</v>
      </c>
      <c r="I48" s="274" t="s">
        <v>330</v>
      </c>
      <c r="J48" s="225" t="s">
        <v>166</v>
      </c>
      <c r="K48" s="178" t="s">
        <v>217</v>
      </c>
      <c r="L48" s="225" t="s">
        <v>185</v>
      </c>
      <c r="M48" s="178" t="s">
        <v>438</v>
      </c>
      <c r="N48" s="238" t="s">
        <v>415</v>
      </c>
      <c r="O48" s="225"/>
    </row>
    <row r="49" spans="1:21" ht="15" customHeight="1" x14ac:dyDescent="0.25">
      <c r="A49" s="277">
        <v>44657</v>
      </c>
      <c r="B49" s="225" t="s">
        <v>316</v>
      </c>
      <c r="C49" s="183" t="s">
        <v>157</v>
      </c>
      <c r="D49" s="274" t="s">
        <v>164</v>
      </c>
      <c r="E49" s="211"/>
      <c r="F49" s="360">
        <v>30000</v>
      </c>
      <c r="G49" s="233">
        <f t="shared" si="1"/>
        <v>30882037</v>
      </c>
      <c r="H49" s="225" t="s">
        <v>153</v>
      </c>
      <c r="I49" s="183" t="s">
        <v>232</v>
      </c>
      <c r="J49" s="225" t="s">
        <v>166</v>
      </c>
      <c r="K49" s="225" t="s">
        <v>217</v>
      </c>
      <c r="L49" s="225" t="s">
        <v>185</v>
      </c>
      <c r="M49" s="178" t="s">
        <v>439</v>
      </c>
      <c r="N49" s="308" t="s">
        <v>416</v>
      </c>
      <c r="O49" s="225"/>
    </row>
    <row r="50" spans="1:21" ht="15" hidden="1" customHeight="1" x14ac:dyDescent="0.25">
      <c r="A50" s="277">
        <v>44657</v>
      </c>
      <c r="B50" s="178" t="s">
        <v>94</v>
      </c>
      <c r="C50" s="183" t="s">
        <v>76</v>
      </c>
      <c r="D50" s="183"/>
      <c r="E50" s="220"/>
      <c r="F50" s="292">
        <v>20000</v>
      </c>
      <c r="G50" s="233">
        <f t="shared" si="1"/>
        <v>30862037</v>
      </c>
      <c r="H50" s="178" t="s">
        <v>25</v>
      </c>
      <c r="J50" s="178"/>
      <c r="L50" s="225" t="s">
        <v>185</v>
      </c>
      <c r="P50" s="244"/>
    </row>
    <row r="51" spans="1:21" ht="15" customHeight="1" x14ac:dyDescent="0.25">
      <c r="A51" s="277">
        <v>44657</v>
      </c>
      <c r="B51" s="326" t="s">
        <v>290</v>
      </c>
      <c r="C51" s="183" t="s">
        <v>197</v>
      </c>
      <c r="D51" s="274" t="s">
        <v>245</v>
      </c>
      <c r="F51" s="360">
        <f>14701+8644</f>
        <v>23345</v>
      </c>
      <c r="G51" s="233">
        <f t="shared" si="1"/>
        <v>30838692</v>
      </c>
      <c r="H51" s="178" t="s">
        <v>24</v>
      </c>
      <c r="I51" s="183" t="s">
        <v>289</v>
      </c>
      <c r="J51" s="183" t="s">
        <v>166</v>
      </c>
      <c r="K51" s="178" t="s">
        <v>216</v>
      </c>
      <c r="L51" s="225" t="s">
        <v>185</v>
      </c>
      <c r="N51" s="238"/>
      <c r="O51" s="178"/>
      <c r="P51" s="227"/>
    </row>
    <row r="52" spans="1:21" ht="15" hidden="1" customHeight="1" x14ac:dyDescent="0.25">
      <c r="A52" s="277">
        <v>44657</v>
      </c>
      <c r="B52" s="225" t="s">
        <v>541</v>
      </c>
      <c r="C52" s="183" t="s">
        <v>76</v>
      </c>
      <c r="D52" s="274"/>
      <c r="E52" s="211">
        <v>20000</v>
      </c>
      <c r="F52" s="360"/>
      <c r="G52" s="233">
        <f t="shared" si="1"/>
        <v>30858692</v>
      </c>
      <c r="H52" s="225" t="s">
        <v>94</v>
      </c>
      <c r="J52" s="225"/>
      <c r="K52" s="225"/>
      <c r="L52" s="225" t="s">
        <v>185</v>
      </c>
      <c r="N52" s="225"/>
      <c r="O52" s="225"/>
    </row>
    <row r="53" spans="1:21" ht="15" customHeight="1" x14ac:dyDescent="0.25">
      <c r="A53" s="277">
        <v>44657</v>
      </c>
      <c r="B53" s="225" t="s">
        <v>331</v>
      </c>
      <c r="C53" s="183" t="s">
        <v>157</v>
      </c>
      <c r="D53" s="369" t="s">
        <v>4</v>
      </c>
      <c r="E53" s="211"/>
      <c r="F53" s="211">
        <v>70000</v>
      </c>
      <c r="G53" s="233">
        <f t="shared" si="1"/>
        <v>30788692</v>
      </c>
      <c r="H53" s="225" t="s">
        <v>49</v>
      </c>
      <c r="I53" s="183" t="s">
        <v>247</v>
      </c>
      <c r="J53" s="225" t="s">
        <v>166</v>
      </c>
      <c r="K53" s="225" t="s">
        <v>217</v>
      </c>
      <c r="L53" s="225" t="s">
        <v>185</v>
      </c>
      <c r="M53" s="178" t="s">
        <v>440</v>
      </c>
      <c r="N53" s="308" t="s">
        <v>416</v>
      </c>
      <c r="O53" s="225"/>
    </row>
    <row r="54" spans="1:21" ht="15" customHeight="1" x14ac:dyDescent="0.25">
      <c r="A54" s="277">
        <v>44657</v>
      </c>
      <c r="B54" s="225" t="s">
        <v>317</v>
      </c>
      <c r="C54" s="183" t="s">
        <v>34</v>
      </c>
      <c r="D54" s="274" t="s">
        <v>164</v>
      </c>
      <c r="E54" s="211"/>
      <c r="F54" s="360">
        <v>15000</v>
      </c>
      <c r="G54" s="233">
        <f t="shared" si="1"/>
        <v>30773692</v>
      </c>
      <c r="H54" s="225" t="s">
        <v>153</v>
      </c>
      <c r="I54" s="183" t="s">
        <v>232</v>
      </c>
      <c r="J54" s="225" t="s">
        <v>166</v>
      </c>
      <c r="K54" s="178" t="s">
        <v>217</v>
      </c>
      <c r="L54" s="225" t="s">
        <v>185</v>
      </c>
      <c r="M54" s="178" t="s">
        <v>441</v>
      </c>
      <c r="N54" s="238" t="s">
        <v>415</v>
      </c>
      <c r="O54" s="225"/>
    </row>
    <row r="55" spans="1:21" ht="15" customHeight="1" x14ac:dyDescent="0.25">
      <c r="A55" s="279">
        <v>44658</v>
      </c>
      <c r="B55" s="281" t="s">
        <v>246</v>
      </c>
      <c r="C55" s="183" t="s">
        <v>205</v>
      </c>
      <c r="D55" s="274" t="s">
        <v>165</v>
      </c>
      <c r="E55" s="212"/>
      <c r="F55" s="212">
        <v>29000</v>
      </c>
      <c r="G55" s="233">
        <f t="shared" si="1"/>
        <v>30744692</v>
      </c>
      <c r="H55" s="281" t="s">
        <v>25</v>
      </c>
      <c r="I55" s="183" t="s">
        <v>247</v>
      </c>
      <c r="J55" s="225" t="s">
        <v>166</v>
      </c>
      <c r="K55" s="178" t="s">
        <v>216</v>
      </c>
      <c r="L55" s="225" t="s">
        <v>185</v>
      </c>
      <c r="N55" s="327"/>
      <c r="O55" s="232"/>
    </row>
    <row r="56" spans="1:21" ht="15" customHeight="1" x14ac:dyDescent="0.25">
      <c r="A56" s="277">
        <v>44658</v>
      </c>
      <c r="B56" s="225" t="s">
        <v>248</v>
      </c>
      <c r="C56" s="183" t="s">
        <v>205</v>
      </c>
      <c r="D56" s="274" t="s">
        <v>165</v>
      </c>
      <c r="E56" s="211"/>
      <c r="F56" s="211">
        <v>29000</v>
      </c>
      <c r="G56" s="233">
        <f t="shared" si="1"/>
        <v>30715692</v>
      </c>
      <c r="H56" s="225" t="s">
        <v>25</v>
      </c>
      <c r="I56" s="183" t="s">
        <v>247</v>
      </c>
      <c r="J56" s="225" t="s">
        <v>166</v>
      </c>
      <c r="K56" s="178" t="s">
        <v>216</v>
      </c>
      <c r="L56" s="225" t="s">
        <v>185</v>
      </c>
      <c r="N56" s="327"/>
      <c r="O56" s="225"/>
      <c r="U56" s="178">
        <f>39000+156000+117000+111000+62000+92000+154000</f>
        <v>731000</v>
      </c>
    </row>
    <row r="57" spans="1:21" ht="15" hidden="1" customHeight="1" x14ac:dyDescent="0.25">
      <c r="A57" s="277">
        <v>44658</v>
      </c>
      <c r="B57" s="225" t="s">
        <v>29</v>
      </c>
      <c r="C57" s="183" t="s">
        <v>76</v>
      </c>
      <c r="D57" s="331"/>
      <c r="E57" s="213"/>
      <c r="F57" s="360">
        <v>100000</v>
      </c>
      <c r="G57" s="233">
        <f t="shared" si="1"/>
        <v>30615692</v>
      </c>
      <c r="H57" s="225" t="s">
        <v>25</v>
      </c>
      <c r="J57" s="225"/>
      <c r="L57" s="225" t="s">
        <v>185</v>
      </c>
      <c r="N57" s="327"/>
      <c r="O57" s="225"/>
    </row>
    <row r="58" spans="1:21" ht="15" hidden="1" customHeight="1" x14ac:dyDescent="0.25">
      <c r="A58" s="277">
        <v>44658</v>
      </c>
      <c r="B58" s="225" t="s">
        <v>215</v>
      </c>
      <c r="C58" s="183" t="s">
        <v>76</v>
      </c>
      <c r="D58" s="274"/>
      <c r="E58" s="213"/>
      <c r="F58" s="360">
        <v>15000</v>
      </c>
      <c r="G58" s="233">
        <f t="shared" si="1"/>
        <v>30600692</v>
      </c>
      <c r="H58" s="225" t="s">
        <v>25</v>
      </c>
      <c r="J58" s="178"/>
      <c r="K58" s="225"/>
      <c r="L58" s="225" t="s">
        <v>185</v>
      </c>
      <c r="N58" s="225"/>
      <c r="O58" s="225"/>
    </row>
    <row r="59" spans="1:21" ht="15" hidden="1" customHeight="1" x14ac:dyDescent="0.25">
      <c r="A59" s="277">
        <v>44658</v>
      </c>
      <c r="B59" s="225" t="s">
        <v>539</v>
      </c>
      <c r="C59" s="183" t="s">
        <v>76</v>
      </c>
      <c r="D59" s="274"/>
      <c r="E59" s="211">
        <v>15000</v>
      </c>
      <c r="F59" s="211"/>
      <c r="G59" s="233">
        <f t="shared" si="1"/>
        <v>30615692</v>
      </c>
      <c r="H59" s="225" t="s">
        <v>215</v>
      </c>
      <c r="I59" s="274"/>
      <c r="J59" s="225"/>
      <c r="K59" s="225"/>
      <c r="L59" s="225" t="s">
        <v>185</v>
      </c>
      <c r="M59" s="225"/>
      <c r="N59" s="225"/>
      <c r="O59" s="225"/>
    </row>
    <row r="60" spans="1:21" ht="15" hidden="1" customHeight="1" x14ac:dyDescent="0.25">
      <c r="A60" s="277">
        <v>44658</v>
      </c>
      <c r="B60" s="225" t="s">
        <v>542</v>
      </c>
      <c r="C60" s="183" t="s">
        <v>76</v>
      </c>
      <c r="D60" s="274"/>
      <c r="E60" s="213">
        <v>100000</v>
      </c>
      <c r="F60" s="213"/>
      <c r="G60" s="233">
        <f t="shared" si="1"/>
        <v>30715692</v>
      </c>
      <c r="H60" s="225" t="s">
        <v>29</v>
      </c>
      <c r="I60" s="274"/>
      <c r="J60" s="225"/>
      <c r="L60" s="225" t="s">
        <v>185</v>
      </c>
      <c r="N60" s="327"/>
      <c r="O60" s="225"/>
    </row>
    <row r="61" spans="1:21" ht="15" customHeight="1" x14ac:dyDescent="0.25">
      <c r="A61" s="280">
        <v>44658</v>
      </c>
      <c r="B61" s="225" t="s">
        <v>249</v>
      </c>
      <c r="C61" s="183" t="s">
        <v>184</v>
      </c>
      <c r="D61" s="274" t="s">
        <v>245</v>
      </c>
      <c r="E61" s="300"/>
      <c r="F61" s="360">
        <v>3000</v>
      </c>
      <c r="G61" s="233">
        <f t="shared" si="1"/>
        <v>30712692</v>
      </c>
      <c r="H61" s="225" t="s">
        <v>25</v>
      </c>
      <c r="I61" s="183" t="s">
        <v>232</v>
      </c>
      <c r="J61" s="178" t="s">
        <v>103</v>
      </c>
      <c r="K61" s="178" t="s">
        <v>217</v>
      </c>
      <c r="L61" s="225" t="s">
        <v>185</v>
      </c>
      <c r="M61" s="178" t="s">
        <v>442</v>
      </c>
      <c r="N61" s="177" t="s">
        <v>401</v>
      </c>
      <c r="O61" s="225"/>
    </row>
    <row r="62" spans="1:21" ht="15" customHeight="1" x14ac:dyDescent="0.25">
      <c r="A62" s="357">
        <v>44659</v>
      </c>
      <c r="B62" s="325" t="s">
        <v>296</v>
      </c>
      <c r="C62" s="183" t="s">
        <v>182</v>
      </c>
      <c r="D62" s="183" t="s">
        <v>165</v>
      </c>
      <c r="E62" s="178"/>
      <c r="F62" s="213">
        <v>104643</v>
      </c>
      <c r="G62" s="233">
        <f t="shared" si="1"/>
        <v>30608049</v>
      </c>
      <c r="H62" s="225" t="s">
        <v>158</v>
      </c>
      <c r="I62" s="183">
        <v>3643639</v>
      </c>
      <c r="J62" s="183" t="s">
        <v>103</v>
      </c>
      <c r="K62" s="178" t="s">
        <v>217</v>
      </c>
      <c r="L62" s="225" t="s">
        <v>185</v>
      </c>
      <c r="M62" s="178" t="s">
        <v>443</v>
      </c>
      <c r="N62" s="177" t="s">
        <v>410</v>
      </c>
      <c r="O62" s="178"/>
    </row>
    <row r="63" spans="1:21" ht="15" customHeight="1" x14ac:dyDescent="0.25">
      <c r="A63" s="280">
        <v>44659</v>
      </c>
      <c r="B63" s="183" t="s">
        <v>295</v>
      </c>
      <c r="C63" s="183" t="s">
        <v>182</v>
      </c>
      <c r="D63" s="274" t="s">
        <v>164</v>
      </c>
      <c r="F63" s="213">
        <v>221454</v>
      </c>
      <c r="G63" s="233">
        <f t="shared" si="1"/>
        <v>30386595</v>
      </c>
      <c r="H63" s="225" t="s">
        <v>158</v>
      </c>
      <c r="I63" s="274">
        <v>3643639</v>
      </c>
      <c r="J63" s="183" t="s">
        <v>103</v>
      </c>
      <c r="K63" s="178" t="s">
        <v>217</v>
      </c>
      <c r="L63" s="225" t="s">
        <v>185</v>
      </c>
      <c r="M63" s="178" t="s">
        <v>444</v>
      </c>
      <c r="N63" s="177" t="s">
        <v>409</v>
      </c>
      <c r="O63" s="178"/>
      <c r="P63" s="226"/>
    </row>
    <row r="64" spans="1:21" ht="15" customHeight="1" x14ac:dyDescent="0.25">
      <c r="A64" s="277">
        <v>44659</v>
      </c>
      <c r="B64" s="274" t="s">
        <v>299</v>
      </c>
      <c r="C64" s="183" t="s">
        <v>182</v>
      </c>
      <c r="D64" s="274" t="s">
        <v>164</v>
      </c>
      <c r="F64" s="213">
        <v>103493</v>
      </c>
      <c r="G64" s="233">
        <f t="shared" si="1"/>
        <v>30283102</v>
      </c>
      <c r="H64" s="225" t="s">
        <v>158</v>
      </c>
      <c r="I64" s="274">
        <v>3643639</v>
      </c>
      <c r="J64" s="183" t="s">
        <v>103</v>
      </c>
      <c r="K64" s="178" t="s">
        <v>217</v>
      </c>
      <c r="L64" s="225" t="s">
        <v>185</v>
      </c>
      <c r="M64" s="178" t="s">
        <v>445</v>
      </c>
      <c r="N64" s="308" t="s">
        <v>409</v>
      </c>
      <c r="O64" s="225"/>
    </row>
    <row r="65" spans="1:31" ht="15" customHeight="1" x14ac:dyDescent="0.25">
      <c r="A65" s="277">
        <v>44659</v>
      </c>
      <c r="B65" s="325" t="s">
        <v>297</v>
      </c>
      <c r="C65" s="183" t="s">
        <v>182</v>
      </c>
      <c r="D65" s="274" t="s">
        <v>231</v>
      </c>
      <c r="F65" s="360">
        <v>167724</v>
      </c>
      <c r="G65" s="233">
        <f t="shared" si="1"/>
        <v>30115378</v>
      </c>
      <c r="H65" s="225" t="s">
        <v>158</v>
      </c>
      <c r="I65" s="200">
        <v>3643639</v>
      </c>
      <c r="J65" s="183" t="s">
        <v>103</v>
      </c>
      <c r="K65" s="178" t="s">
        <v>217</v>
      </c>
      <c r="L65" s="225" t="s">
        <v>185</v>
      </c>
      <c r="M65" s="178" t="s">
        <v>446</v>
      </c>
      <c r="N65" s="177" t="s">
        <v>411</v>
      </c>
      <c r="O65" s="178"/>
    </row>
    <row r="66" spans="1:31" ht="15" customHeight="1" x14ac:dyDescent="0.25">
      <c r="A66" s="277">
        <v>44659</v>
      </c>
      <c r="B66" s="274" t="s">
        <v>298</v>
      </c>
      <c r="C66" s="183" t="s">
        <v>182</v>
      </c>
      <c r="D66" s="274" t="s">
        <v>231</v>
      </c>
      <c r="F66" s="360">
        <v>215485</v>
      </c>
      <c r="G66" s="233">
        <f t="shared" si="1"/>
        <v>29899893</v>
      </c>
      <c r="H66" s="225" t="s">
        <v>158</v>
      </c>
      <c r="I66" s="274">
        <v>3643639</v>
      </c>
      <c r="J66" s="183" t="s">
        <v>103</v>
      </c>
      <c r="K66" s="178" t="s">
        <v>217</v>
      </c>
      <c r="L66" s="225" t="s">
        <v>185</v>
      </c>
      <c r="M66" s="178" t="s">
        <v>447</v>
      </c>
      <c r="N66" s="327" t="s">
        <v>411</v>
      </c>
      <c r="O66" s="225"/>
    </row>
    <row r="67" spans="1:31" ht="15" customHeight="1" x14ac:dyDescent="0.25">
      <c r="A67" s="277">
        <v>44659</v>
      </c>
      <c r="B67" s="178" t="s">
        <v>380</v>
      </c>
      <c r="C67" s="183" t="s">
        <v>157</v>
      </c>
      <c r="D67" s="369" t="s">
        <v>4</v>
      </c>
      <c r="F67" s="190">
        <v>45000</v>
      </c>
      <c r="G67" s="233">
        <f t="shared" si="1"/>
        <v>29854893</v>
      </c>
      <c r="H67" s="178" t="s">
        <v>29</v>
      </c>
      <c r="I67" s="183" t="s">
        <v>330</v>
      </c>
      <c r="J67" s="225" t="s">
        <v>166</v>
      </c>
      <c r="K67" s="225" t="s">
        <v>217</v>
      </c>
      <c r="L67" s="225" t="s">
        <v>185</v>
      </c>
      <c r="M67" s="178" t="s">
        <v>448</v>
      </c>
      <c r="N67" s="308" t="s">
        <v>416</v>
      </c>
      <c r="O67" s="178"/>
      <c r="P67" s="226"/>
      <c r="Z67" s="178">
        <v>44188</v>
      </c>
      <c r="AA67" s="178" t="s">
        <v>267</v>
      </c>
      <c r="AB67" s="178" t="s">
        <v>182</v>
      </c>
      <c r="AC67" s="178" t="s">
        <v>268</v>
      </c>
      <c r="AE67" s="178">
        <v>882</v>
      </c>
    </row>
    <row r="68" spans="1:31" ht="15" customHeight="1" x14ac:dyDescent="0.25">
      <c r="A68" s="277">
        <v>44659</v>
      </c>
      <c r="B68" s="225" t="s">
        <v>381</v>
      </c>
      <c r="C68" s="183" t="s">
        <v>34</v>
      </c>
      <c r="D68" s="369" t="s">
        <v>4</v>
      </c>
      <c r="E68" s="213"/>
      <c r="F68" s="213">
        <v>5000</v>
      </c>
      <c r="G68" s="233">
        <f t="shared" si="1"/>
        <v>29849893</v>
      </c>
      <c r="H68" s="225" t="s">
        <v>29</v>
      </c>
      <c r="I68" s="274" t="s">
        <v>232</v>
      </c>
      <c r="J68" s="225" t="s">
        <v>166</v>
      </c>
      <c r="K68" s="178" t="s">
        <v>217</v>
      </c>
      <c r="L68" s="225" t="s">
        <v>185</v>
      </c>
      <c r="M68" s="178" t="s">
        <v>449</v>
      </c>
      <c r="N68" s="238" t="s">
        <v>415</v>
      </c>
      <c r="O68" s="225"/>
    </row>
    <row r="69" spans="1:31" ht="15" hidden="1" customHeight="1" x14ac:dyDescent="0.25">
      <c r="A69" s="279">
        <v>44659</v>
      </c>
      <c r="B69" s="230" t="s">
        <v>30</v>
      </c>
      <c r="C69" s="183" t="s">
        <v>76</v>
      </c>
      <c r="D69" s="332"/>
      <c r="E69" s="301"/>
      <c r="F69" s="212">
        <v>100000</v>
      </c>
      <c r="G69" s="233">
        <f t="shared" si="1"/>
        <v>29749893</v>
      </c>
      <c r="H69" s="230" t="s">
        <v>25</v>
      </c>
      <c r="J69" s="232"/>
      <c r="K69" s="230"/>
      <c r="L69" s="225" t="s">
        <v>185</v>
      </c>
      <c r="N69" s="295"/>
      <c r="O69" s="232"/>
    </row>
    <row r="70" spans="1:31" ht="15" hidden="1" customHeight="1" x14ac:dyDescent="0.25">
      <c r="A70" s="277">
        <v>44659</v>
      </c>
      <c r="B70" s="225" t="s">
        <v>540</v>
      </c>
      <c r="C70" s="183" t="s">
        <v>76</v>
      </c>
      <c r="D70" s="274"/>
      <c r="E70" s="211">
        <v>100000</v>
      </c>
      <c r="F70" s="211"/>
      <c r="G70" s="233">
        <f t="shared" si="1"/>
        <v>29849893</v>
      </c>
      <c r="H70" s="225" t="s">
        <v>49</v>
      </c>
      <c r="J70" s="225"/>
      <c r="K70" s="225"/>
      <c r="L70" s="225" t="s">
        <v>185</v>
      </c>
      <c r="M70" s="225"/>
      <c r="N70" s="225"/>
      <c r="O70" s="225"/>
    </row>
    <row r="71" spans="1:31" ht="15" customHeight="1" x14ac:dyDescent="0.25">
      <c r="A71" s="280">
        <v>44659</v>
      </c>
      <c r="B71" s="178" t="s">
        <v>250</v>
      </c>
      <c r="C71" s="183" t="s">
        <v>184</v>
      </c>
      <c r="D71" s="274" t="s">
        <v>245</v>
      </c>
      <c r="E71" s="206"/>
      <c r="F71" s="213">
        <v>3000</v>
      </c>
      <c r="G71" s="233">
        <f t="shared" si="1"/>
        <v>29846893</v>
      </c>
      <c r="H71" s="178" t="s">
        <v>25</v>
      </c>
      <c r="I71" s="183" t="s">
        <v>232</v>
      </c>
      <c r="J71" s="178" t="s">
        <v>103</v>
      </c>
      <c r="K71" s="178" t="s">
        <v>217</v>
      </c>
      <c r="L71" s="225" t="s">
        <v>185</v>
      </c>
      <c r="M71" s="178" t="s">
        <v>450</v>
      </c>
      <c r="N71" s="177" t="s">
        <v>401</v>
      </c>
      <c r="O71" s="178"/>
    </row>
    <row r="72" spans="1:31" ht="15" customHeight="1" x14ac:dyDescent="0.25">
      <c r="A72" s="277">
        <v>44660</v>
      </c>
      <c r="B72" s="225" t="s">
        <v>332</v>
      </c>
      <c r="C72" s="183" t="s">
        <v>34</v>
      </c>
      <c r="D72" s="369" t="s">
        <v>4</v>
      </c>
      <c r="E72" s="211"/>
      <c r="F72" s="360">
        <v>5000</v>
      </c>
      <c r="G72" s="233">
        <f t="shared" si="1"/>
        <v>29841893</v>
      </c>
      <c r="H72" s="225" t="s">
        <v>49</v>
      </c>
      <c r="I72" s="274" t="s">
        <v>330</v>
      </c>
      <c r="J72" s="225" t="s">
        <v>166</v>
      </c>
      <c r="K72" s="178" t="s">
        <v>217</v>
      </c>
      <c r="L72" s="225" t="s">
        <v>185</v>
      </c>
      <c r="M72" s="178" t="s">
        <v>451</v>
      </c>
      <c r="N72" s="238" t="s">
        <v>415</v>
      </c>
      <c r="O72" s="225"/>
    </row>
    <row r="73" spans="1:31" ht="15" customHeight="1" x14ac:dyDescent="0.25">
      <c r="A73" s="279">
        <v>44660</v>
      </c>
      <c r="B73" s="281" t="s">
        <v>333</v>
      </c>
      <c r="C73" s="183" t="s">
        <v>34</v>
      </c>
      <c r="D73" s="369" t="s">
        <v>4</v>
      </c>
      <c r="E73" s="306"/>
      <c r="F73" s="212">
        <v>5000</v>
      </c>
      <c r="G73" s="233">
        <f t="shared" si="1"/>
        <v>29836893</v>
      </c>
      <c r="H73" s="281" t="s">
        <v>49</v>
      </c>
      <c r="I73" s="274" t="s">
        <v>330</v>
      </c>
      <c r="J73" s="225" t="s">
        <v>166</v>
      </c>
      <c r="K73" s="178" t="s">
        <v>217</v>
      </c>
      <c r="L73" s="225" t="s">
        <v>185</v>
      </c>
      <c r="M73" s="178" t="s">
        <v>452</v>
      </c>
      <c r="N73" s="238" t="s">
        <v>415</v>
      </c>
      <c r="O73" s="225"/>
    </row>
    <row r="74" spans="1:31" ht="15" customHeight="1" x14ac:dyDescent="0.25">
      <c r="A74" s="277">
        <v>44661</v>
      </c>
      <c r="B74" s="225" t="s">
        <v>382</v>
      </c>
      <c r="C74" s="183" t="s">
        <v>157</v>
      </c>
      <c r="D74" s="369" t="s">
        <v>4</v>
      </c>
      <c r="E74" s="213"/>
      <c r="F74" s="213">
        <v>30000</v>
      </c>
      <c r="G74" s="233">
        <f t="shared" si="1"/>
        <v>29806893</v>
      </c>
      <c r="H74" s="225" t="s">
        <v>29</v>
      </c>
      <c r="I74" s="274" t="s">
        <v>330</v>
      </c>
      <c r="J74" s="225" t="s">
        <v>166</v>
      </c>
      <c r="K74" s="225" t="s">
        <v>217</v>
      </c>
      <c r="L74" s="225" t="s">
        <v>185</v>
      </c>
      <c r="M74" s="178" t="s">
        <v>453</v>
      </c>
      <c r="N74" s="308" t="s">
        <v>416</v>
      </c>
      <c r="O74" s="225"/>
    </row>
    <row r="75" spans="1:31" ht="16.5" customHeight="1" x14ac:dyDescent="0.25">
      <c r="A75" s="277">
        <v>44661</v>
      </c>
      <c r="B75" s="225" t="s">
        <v>383</v>
      </c>
      <c r="C75" s="183" t="s">
        <v>34</v>
      </c>
      <c r="D75" s="369" t="s">
        <v>4</v>
      </c>
      <c r="E75" s="213"/>
      <c r="F75" s="360">
        <v>5000</v>
      </c>
      <c r="G75" s="233">
        <f t="shared" si="1"/>
        <v>29801893</v>
      </c>
      <c r="H75" s="225" t="s">
        <v>29</v>
      </c>
      <c r="I75" s="274" t="s">
        <v>232</v>
      </c>
      <c r="J75" s="225" t="s">
        <v>166</v>
      </c>
      <c r="K75" s="178" t="s">
        <v>217</v>
      </c>
      <c r="L75" s="225" t="s">
        <v>185</v>
      </c>
      <c r="M75" s="178" t="s">
        <v>454</v>
      </c>
      <c r="N75" s="238" t="s">
        <v>415</v>
      </c>
      <c r="O75" s="225"/>
    </row>
    <row r="76" spans="1:31" ht="15" customHeight="1" x14ac:dyDescent="0.25">
      <c r="A76" s="277">
        <v>44662</v>
      </c>
      <c r="B76" s="225" t="s">
        <v>422</v>
      </c>
      <c r="C76" s="183" t="s">
        <v>157</v>
      </c>
      <c r="D76" s="369" t="s">
        <v>4</v>
      </c>
      <c r="E76" s="213"/>
      <c r="F76" s="360">
        <v>75000</v>
      </c>
      <c r="G76" s="233">
        <f t="shared" si="1"/>
        <v>29726893</v>
      </c>
      <c r="H76" s="225" t="s">
        <v>49</v>
      </c>
      <c r="I76" s="183" t="s">
        <v>330</v>
      </c>
      <c r="J76" s="225" t="s">
        <v>166</v>
      </c>
      <c r="K76" s="225" t="s">
        <v>217</v>
      </c>
      <c r="L76" s="225" t="s">
        <v>185</v>
      </c>
      <c r="M76" s="178" t="s">
        <v>455</v>
      </c>
      <c r="N76" s="308" t="s">
        <v>416</v>
      </c>
      <c r="O76" s="225"/>
    </row>
    <row r="77" spans="1:31" ht="15" customHeight="1" x14ac:dyDescent="0.25">
      <c r="A77" s="279">
        <v>44662</v>
      </c>
      <c r="B77" s="281" t="s">
        <v>334</v>
      </c>
      <c r="C77" s="183" t="s">
        <v>34</v>
      </c>
      <c r="D77" s="369" t="s">
        <v>4</v>
      </c>
      <c r="E77" s="212"/>
      <c r="F77" s="212">
        <v>5000</v>
      </c>
      <c r="G77" s="233">
        <f t="shared" si="1"/>
        <v>29721893</v>
      </c>
      <c r="H77" s="281" t="s">
        <v>49</v>
      </c>
      <c r="I77" s="274" t="s">
        <v>330</v>
      </c>
      <c r="J77" s="225" t="s">
        <v>166</v>
      </c>
      <c r="K77" s="178" t="s">
        <v>217</v>
      </c>
      <c r="L77" s="225" t="s">
        <v>185</v>
      </c>
      <c r="M77" s="178" t="s">
        <v>456</v>
      </c>
      <c r="N77" s="238" t="s">
        <v>415</v>
      </c>
      <c r="O77" s="232"/>
    </row>
    <row r="78" spans="1:31" ht="15" hidden="1" customHeight="1" x14ac:dyDescent="0.25">
      <c r="A78" s="277">
        <v>44662</v>
      </c>
      <c r="B78" s="225" t="s">
        <v>153</v>
      </c>
      <c r="C78" s="183" t="s">
        <v>76</v>
      </c>
      <c r="D78" s="274"/>
      <c r="E78" s="211"/>
      <c r="F78" s="211">
        <v>40000</v>
      </c>
      <c r="G78" s="233">
        <f t="shared" ref="G78:G141" si="2">+G77+E78-F78</f>
        <v>29681893</v>
      </c>
      <c r="H78" s="225" t="s">
        <v>25</v>
      </c>
      <c r="J78" s="225"/>
      <c r="L78" s="225" t="s">
        <v>185</v>
      </c>
      <c r="O78" s="225"/>
    </row>
    <row r="79" spans="1:31" ht="15" hidden="1" customHeight="1" x14ac:dyDescent="0.25">
      <c r="A79" s="277">
        <v>44662</v>
      </c>
      <c r="B79" s="225" t="s">
        <v>538</v>
      </c>
      <c r="C79" s="183" t="s">
        <v>76</v>
      </c>
      <c r="D79" s="335"/>
      <c r="E79" s="220">
        <v>40000</v>
      </c>
      <c r="F79" s="292"/>
      <c r="G79" s="233">
        <f t="shared" si="2"/>
        <v>29721893</v>
      </c>
      <c r="H79" s="178" t="s">
        <v>153</v>
      </c>
      <c r="L79" s="225" t="s">
        <v>185</v>
      </c>
      <c r="N79" s="252"/>
      <c r="P79" s="244"/>
    </row>
    <row r="80" spans="1:31" ht="15" customHeight="1" x14ac:dyDescent="0.25">
      <c r="A80" s="277">
        <v>44662</v>
      </c>
      <c r="B80" s="178" t="s">
        <v>254</v>
      </c>
      <c r="C80" s="183" t="s">
        <v>35</v>
      </c>
      <c r="D80" s="274" t="s">
        <v>245</v>
      </c>
      <c r="E80" s="220"/>
      <c r="F80" s="360">
        <v>240000</v>
      </c>
      <c r="G80" s="233">
        <f t="shared" si="2"/>
        <v>29481893</v>
      </c>
      <c r="H80" s="225" t="s">
        <v>25</v>
      </c>
      <c r="I80" s="183" t="s">
        <v>232</v>
      </c>
      <c r="J80" s="183" t="s">
        <v>103</v>
      </c>
      <c r="K80" s="178" t="s">
        <v>217</v>
      </c>
      <c r="L80" s="225" t="s">
        <v>185</v>
      </c>
      <c r="M80" s="178" t="s">
        <v>457</v>
      </c>
      <c r="N80" s="308" t="s">
        <v>408</v>
      </c>
      <c r="P80" s="244"/>
    </row>
    <row r="81" spans="1:16" ht="15" customHeight="1" x14ac:dyDescent="0.25">
      <c r="A81" s="277">
        <v>44662</v>
      </c>
      <c r="B81" s="224" t="s">
        <v>251</v>
      </c>
      <c r="C81" s="183" t="s">
        <v>35</v>
      </c>
      <c r="D81" s="274" t="s">
        <v>245</v>
      </c>
      <c r="E81" s="225"/>
      <c r="F81" s="360">
        <v>16500</v>
      </c>
      <c r="G81" s="233">
        <f t="shared" si="2"/>
        <v>29465393</v>
      </c>
      <c r="H81" s="178" t="s">
        <v>25</v>
      </c>
      <c r="I81" s="183" t="s">
        <v>232</v>
      </c>
      <c r="J81" s="183" t="s">
        <v>166</v>
      </c>
      <c r="K81" s="178" t="s">
        <v>217</v>
      </c>
      <c r="L81" s="225" t="s">
        <v>185</v>
      </c>
      <c r="M81" s="178" t="s">
        <v>458</v>
      </c>
      <c r="N81" s="308" t="s">
        <v>408</v>
      </c>
      <c r="O81" s="225"/>
    </row>
    <row r="82" spans="1:16" ht="15" customHeight="1" x14ac:dyDescent="0.25">
      <c r="A82" s="277">
        <v>44662</v>
      </c>
      <c r="B82" s="225" t="s">
        <v>252</v>
      </c>
      <c r="C82" s="183" t="s">
        <v>35</v>
      </c>
      <c r="D82" s="274" t="s">
        <v>245</v>
      </c>
      <c r="E82" s="211"/>
      <c r="F82" s="211">
        <v>13500</v>
      </c>
      <c r="G82" s="233">
        <f t="shared" si="2"/>
        <v>29451893</v>
      </c>
      <c r="H82" s="225" t="s">
        <v>25</v>
      </c>
      <c r="I82" s="274" t="s">
        <v>232</v>
      </c>
      <c r="J82" s="183" t="s">
        <v>166</v>
      </c>
      <c r="K82" s="178" t="s">
        <v>217</v>
      </c>
      <c r="L82" s="225" t="s">
        <v>185</v>
      </c>
      <c r="M82" s="178" t="s">
        <v>459</v>
      </c>
      <c r="N82" s="308" t="s">
        <v>408</v>
      </c>
      <c r="O82" s="225"/>
    </row>
    <row r="83" spans="1:16" ht="15" customHeight="1" x14ac:dyDescent="0.25">
      <c r="A83" s="277">
        <v>44662</v>
      </c>
      <c r="B83" s="225" t="s">
        <v>253</v>
      </c>
      <c r="C83" s="183" t="s">
        <v>35</v>
      </c>
      <c r="D83" s="274" t="s">
        <v>245</v>
      </c>
      <c r="E83" s="211"/>
      <c r="F83" s="360">
        <v>28250</v>
      </c>
      <c r="G83" s="233">
        <f t="shared" si="2"/>
        <v>29423643</v>
      </c>
      <c r="H83" s="225" t="s">
        <v>25</v>
      </c>
      <c r="I83" s="183" t="s">
        <v>232</v>
      </c>
      <c r="J83" s="183" t="s">
        <v>166</v>
      </c>
      <c r="K83" s="178" t="s">
        <v>217</v>
      </c>
      <c r="L83" s="225" t="s">
        <v>185</v>
      </c>
      <c r="M83" s="178" t="s">
        <v>460</v>
      </c>
      <c r="N83" s="308" t="s">
        <v>408</v>
      </c>
      <c r="O83" s="225"/>
    </row>
    <row r="84" spans="1:16" ht="15" customHeight="1" x14ac:dyDescent="0.25">
      <c r="A84" s="277">
        <v>44663</v>
      </c>
      <c r="B84" s="225" t="s">
        <v>384</v>
      </c>
      <c r="C84" s="183" t="s">
        <v>34</v>
      </c>
      <c r="D84" s="369" t="s">
        <v>4</v>
      </c>
      <c r="E84" s="213"/>
      <c r="F84" s="213">
        <v>7000</v>
      </c>
      <c r="G84" s="233">
        <f t="shared" si="2"/>
        <v>29416643</v>
      </c>
      <c r="H84" s="225" t="s">
        <v>29</v>
      </c>
      <c r="I84" s="274" t="s">
        <v>232</v>
      </c>
      <c r="J84" s="225" t="s">
        <v>166</v>
      </c>
      <c r="K84" s="178" t="s">
        <v>217</v>
      </c>
      <c r="L84" s="225" t="s">
        <v>185</v>
      </c>
      <c r="M84" s="178" t="s">
        <v>461</v>
      </c>
      <c r="N84" s="238" t="s">
        <v>415</v>
      </c>
      <c r="O84" s="225"/>
    </row>
    <row r="85" spans="1:16" ht="17.25" customHeight="1" x14ac:dyDescent="0.25">
      <c r="A85" s="277">
        <v>44663</v>
      </c>
      <c r="B85" s="178" t="s">
        <v>385</v>
      </c>
      <c r="C85" s="183" t="s">
        <v>157</v>
      </c>
      <c r="D85" s="369" t="s">
        <v>4</v>
      </c>
      <c r="E85" s="220"/>
      <c r="F85" s="292">
        <v>30000</v>
      </c>
      <c r="G85" s="233">
        <f t="shared" si="2"/>
        <v>29386643</v>
      </c>
      <c r="H85" s="178" t="s">
        <v>29</v>
      </c>
      <c r="I85" s="183" t="s">
        <v>330</v>
      </c>
      <c r="J85" s="225" t="s">
        <v>166</v>
      </c>
      <c r="K85" s="225" t="s">
        <v>217</v>
      </c>
      <c r="L85" s="225" t="s">
        <v>185</v>
      </c>
      <c r="M85" s="178" t="s">
        <v>462</v>
      </c>
      <c r="N85" s="308" t="s">
        <v>416</v>
      </c>
      <c r="O85" s="178"/>
    </row>
    <row r="86" spans="1:16" ht="17.25" customHeight="1" x14ac:dyDescent="0.25">
      <c r="A86" s="279">
        <v>44663</v>
      </c>
      <c r="B86" s="225" t="s">
        <v>335</v>
      </c>
      <c r="C86" s="183" t="s">
        <v>34</v>
      </c>
      <c r="D86" s="369" t="s">
        <v>4</v>
      </c>
      <c r="E86" s="292"/>
      <c r="F86" s="211">
        <v>10000</v>
      </c>
      <c r="G86" s="233">
        <f t="shared" si="2"/>
        <v>29376643</v>
      </c>
      <c r="H86" s="225" t="s">
        <v>49</v>
      </c>
      <c r="I86" s="274" t="s">
        <v>330</v>
      </c>
      <c r="J86" s="225" t="s">
        <v>166</v>
      </c>
      <c r="K86" s="178" t="s">
        <v>217</v>
      </c>
      <c r="L86" s="225" t="s">
        <v>185</v>
      </c>
      <c r="M86" s="178" t="s">
        <v>463</v>
      </c>
      <c r="N86" s="238" t="s">
        <v>415</v>
      </c>
      <c r="O86" s="225"/>
    </row>
    <row r="87" spans="1:16" ht="13.5" hidden="1" customHeight="1" x14ac:dyDescent="0.25">
      <c r="A87" s="277">
        <v>44663</v>
      </c>
      <c r="B87" s="225" t="s">
        <v>214</v>
      </c>
      <c r="C87" s="183" t="s">
        <v>76</v>
      </c>
      <c r="D87" s="274"/>
      <c r="E87" s="211"/>
      <c r="F87" s="360">
        <v>15000</v>
      </c>
      <c r="G87" s="233">
        <f t="shared" si="2"/>
        <v>29361643</v>
      </c>
      <c r="H87" s="225" t="s">
        <v>25</v>
      </c>
      <c r="J87" s="225"/>
      <c r="K87" s="225"/>
      <c r="L87" s="225" t="s">
        <v>185</v>
      </c>
      <c r="N87" s="225"/>
      <c r="O87" s="225"/>
    </row>
    <row r="88" spans="1:16" ht="15" hidden="1" customHeight="1" x14ac:dyDescent="0.25">
      <c r="A88" s="277">
        <v>44663</v>
      </c>
      <c r="B88" s="225" t="s">
        <v>545</v>
      </c>
      <c r="C88" s="183" t="s">
        <v>363</v>
      </c>
      <c r="D88" s="274"/>
      <c r="E88" s="211">
        <v>15000</v>
      </c>
      <c r="F88" s="360"/>
      <c r="G88" s="233">
        <f t="shared" si="2"/>
        <v>29376643</v>
      </c>
      <c r="H88" s="225" t="s">
        <v>214</v>
      </c>
      <c r="I88" s="274"/>
      <c r="J88" s="178"/>
      <c r="L88" s="225" t="s">
        <v>185</v>
      </c>
      <c r="O88" s="225"/>
    </row>
    <row r="89" spans="1:16" ht="15" customHeight="1" x14ac:dyDescent="0.25">
      <c r="A89" s="277">
        <v>44664</v>
      </c>
      <c r="B89" s="225" t="s">
        <v>420</v>
      </c>
      <c r="C89" s="183" t="s">
        <v>157</v>
      </c>
      <c r="D89" s="369" t="s">
        <v>4</v>
      </c>
      <c r="E89" s="213"/>
      <c r="F89" s="292">
        <v>30000</v>
      </c>
      <c r="G89" s="233">
        <f t="shared" si="2"/>
        <v>29346643</v>
      </c>
      <c r="H89" s="225" t="s">
        <v>49</v>
      </c>
      <c r="I89" s="274" t="s">
        <v>330</v>
      </c>
      <c r="J89" s="225" t="s">
        <v>166</v>
      </c>
      <c r="K89" s="225" t="s">
        <v>217</v>
      </c>
      <c r="L89" s="225" t="s">
        <v>185</v>
      </c>
      <c r="M89" s="178" t="s">
        <v>464</v>
      </c>
      <c r="N89" s="308" t="s">
        <v>416</v>
      </c>
      <c r="O89" s="225"/>
    </row>
    <row r="90" spans="1:16" ht="15" customHeight="1" x14ac:dyDescent="0.25">
      <c r="A90" s="277">
        <v>44664</v>
      </c>
      <c r="B90" s="183" t="s">
        <v>300</v>
      </c>
      <c r="C90" s="183" t="s">
        <v>399</v>
      </c>
      <c r="D90" s="274" t="s">
        <v>164</v>
      </c>
      <c r="F90" s="360">
        <v>300000</v>
      </c>
      <c r="G90" s="233">
        <f t="shared" si="2"/>
        <v>29046643</v>
      </c>
      <c r="H90" s="225" t="s">
        <v>158</v>
      </c>
      <c r="I90" s="274">
        <v>3643646</v>
      </c>
      <c r="J90" s="183" t="s">
        <v>103</v>
      </c>
      <c r="K90" s="178" t="s">
        <v>217</v>
      </c>
      <c r="L90" s="225" t="s">
        <v>185</v>
      </c>
      <c r="M90" s="178" t="s">
        <v>465</v>
      </c>
      <c r="N90" s="177" t="s">
        <v>407</v>
      </c>
      <c r="O90" s="178"/>
      <c r="P90" s="226"/>
    </row>
    <row r="91" spans="1:16" ht="15" hidden="1" customHeight="1" x14ac:dyDescent="0.25">
      <c r="A91" s="280">
        <v>44664</v>
      </c>
      <c r="B91" s="281" t="s">
        <v>215</v>
      </c>
      <c r="C91" s="183" t="s">
        <v>76</v>
      </c>
      <c r="D91" s="274"/>
      <c r="E91" s="212"/>
      <c r="F91" s="212">
        <v>15000</v>
      </c>
      <c r="G91" s="233">
        <f t="shared" si="2"/>
        <v>29031643</v>
      </c>
      <c r="H91" s="237" t="s">
        <v>25</v>
      </c>
      <c r="J91" s="225"/>
      <c r="K91" s="225"/>
      <c r="L91" s="225" t="s">
        <v>185</v>
      </c>
      <c r="N91" s="225"/>
      <c r="O91" s="225"/>
    </row>
    <row r="92" spans="1:16" ht="15" hidden="1" customHeight="1" x14ac:dyDescent="0.25">
      <c r="A92" s="277">
        <v>44664</v>
      </c>
      <c r="B92" s="225" t="s">
        <v>153</v>
      </c>
      <c r="C92" s="183" t="s">
        <v>76</v>
      </c>
      <c r="D92" s="294"/>
      <c r="E92" s="213"/>
      <c r="F92" s="360">
        <v>202000</v>
      </c>
      <c r="G92" s="233">
        <f t="shared" si="2"/>
        <v>28829643</v>
      </c>
      <c r="H92" s="225" t="s">
        <v>25</v>
      </c>
      <c r="J92" s="225"/>
      <c r="K92" s="225"/>
      <c r="L92" s="225" t="s">
        <v>185</v>
      </c>
      <c r="N92" s="308"/>
      <c r="O92" s="225"/>
    </row>
    <row r="93" spans="1:16" ht="15" hidden="1" customHeight="1" x14ac:dyDescent="0.25">
      <c r="A93" s="277">
        <v>44664</v>
      </c>
      <c r="B93" s="225" t="s">
        <v>29</v>
      </c>
      <c r="C93" s="183" t="s">
        <v>76</v>
      </c>
      <c r="D93" s="274"/>
      <c r="E93" s="213"/>
      <c r="F93" s="360">
        <v>200000</v>
      </c>
      <c r="G93" s="233">
        <f t="shared" si="2"/>
        <v>28629643</v>
      </c>
      <c r="H93" s="225" t="s">
        <v>25</v>
      </c>
      <c r="J93" s="225"/>
      <c r="L93" s="225" t="s">
        <v>185</v>
      </c>
      <c r="N93" s="327"/>
      <c r="O93" s="225"/>
    </row>
    <row r="94" spans="1:16" ht="15" customHeight="1" x14ac:dyDescent="0.25">
      <c r="A94" s="277">
        <v>44664</v>
      </c>
      <c r="B94" s="281" t="s">
        <v>255</v>
      </c>
      <c r="C94" s="183" t="s">
        <v>35</v>
      </c>
      <c r="D94" s="274" t="s">
        <v>245</v>
      </c>
      <c r="E94" s="213"/>
      <c r="F94" s="360">
        <v>3200</v>
      </c>
      <c r="G94" s="233">
        <f t="shared" si="2"/>
        <v>28626443</v>
      </c>
      <c r="H94" s="225" t="s">
        <v>25</v>
      </c>
      <c r="I94" s="183" t="s">
        <v>232</v>
      </c>
      <c r="J94" s="225" t="s">
        <v>166</v>
      </c>
      <c r="K94" s="178" t="s">
        <v>216</v>
      </c>
      <c r="L94" s="225" t="s">
        <v>185</v>
      </c>
      <c r="O94" s="225"/>
    </row>
    <row r="95" spans="1:16" ht="15" hidden="1" customHeight="1" x14ac:dyDescent="0.25">
      <c r="A95" s="277">
        <v>44664</v>
      </c>
      <c r="B95" s="225" t="s">
        <v>538</v>
      </c>
      <c r="C95" s="183" t="s">
        <v>76</v>
      </c>
      <c r="D95" s="333"/>
      <c r="E95" s="213">
        <v>202000</v>
      </c>
      <c r="F95" s="360"/>
      <c r="G95" s="233">
        <f t="shared" si="2"/>
        <v>28828443</v>
      </c>
      <c r="H95" s="225" t="s">
        <v>153</v>
      </c>
      <c r="J95" s="225"/>
      <c r="K95" s="225"/>
      <c r="L95" s="225" t="s">
        <v>185</v>
      </c>
      <c r="N95" s="225"/>
      <c r="O95" s="225"/>
    </row>
    <row r="96" spans="1:16" ht="15" hidden="1" customHeight="1" x14ac:dyDescent="0.25">
      <c r="A96" s="277">
        <v>44664</v>
      </c>
      <c r="B96" s="225" t="s">
        <v>539</v>
      </c>
      <c r="C96" s="183" t="s">
        <v>76</v>
      </c>
      <c r="D96" s="333"/>
      <c r="E96" s="212">
        <v>15000</v>
      </c>
      <c r="F96" s="213"/>
      <c r="G96" s="233">
        <f t="shared" si="2"/>
        <v>28843443</v>
      </c>
      <c r="H96" s="225" t="s">
        <v>215</v>
      </c>
      <c r="I96" s="274"/>
      <c r="J96" s="225"/>
      <c r="K96" s="225"/>
      <c r="L96" s="225" t="s">
        <v>185</v>
      </c>
      <c r="N96" s="225"/>
      <c r="O96" s="225"/>
    </row>
    <row r="97" spans="1:16" ht="15" hidden="1" customHeight="1" x14ac:dyDescent="0.25">
      <c r="A97" s="277">
        <v>44664</v>
      </c>
      <c r="B97" s="225" t="s">
        <v>543</v>
      </c>
      <c r="C97" s="183" t="s">
        <v>76</v>
      </c>
      <c r="D97" s="274"/>
      <c r="E97" s="213">
        <v>200000</v>
      </c>
      <c r="F97" s="292"/>
      <c r="G97" s="233">
        <f t="shared" si="2"/>
        <v>29043443</v>
      </c>
      <c r="H97" s="225" t="s">
        <v>29</v>
      </c>
      <c r="I97" s="274"/>
      <c r="J97" s="225"/>
      <c r="L97" s="225" t="s">
        <v>185</v>
      </c>
      <c r="N97" s="327"/>
      <c r="O97" s="225"/>
    </row>
    <row r="98" spans="1:16" ht="15" customHeight="1" x14ac:dyDescent="0.25">
      <c r="A98" s="277">
        <v>44664</v>
      </c>
      <c r="B98" s="274" t="s">
        <v>301</v>
      </c>
      <c r="C98" s="183" t="s">
        <v>399</v>
      </c>
      <c r="D98" s="274" t="s">
        <v>164</v>
      </c>
      <c r="F98" s="360">
        <v>300000</v>
      </c>
      <c r="G98" s="233">
        <f t="shared" si="2"/>
        <v>28743443</v>
      </c>
      <c r="H98" s="225" t="s">
        <v>158</v>
      </c>
      <c r="I98" s="274">
        <v>3643647</v>
      </c>
      <c r="J98" s="183" t="s">
        <v>103</v>
      </c>
      <c r="K98" s="178" t="s">
        <v>217</v>
      </c>
      <c r="L98" s="225" t="s">
        <v>185</v>
      </c>
      <c r="M98" s="178" t="s">
        <v>466</v>
      </c>
      <c r="N98" s="177" t="s">
        <v>407</v>
      </c>
      <c r="O98" s="229"/>
    </row>
    <row r="99" spans="1:16" ht="15" customHeight="1" x14ac:dyDescent="0.25">
      <c r="A99" s="277">
        <v>44665</v>
      </c>
      <c r="B99" s="225" t="s">
        <v>319</v>
      </c>
      <c r="C99" s="183" t="s">
        <v>157</v>
      </c>
      <c r="D99" s="274" t="s">
        <v>164</v>
      </c>
      <c r="E99" s="211"/>
      <c r="F99" s="360">
        <v>20000</v>
      </c>
      <c r="G99" s="233">
        <f t="shared" si="2"/>
        <v>28723443</v>
      </c>
      <c r="H99" s="225" t="s">
        <v>153</v>
      </c>
      <c r="I99" s="183" t="s">
        <v>247</v>
      </c>
      <c r="J99" s="225" t="s">
        <v>166</v>
      </c>
      <c r="K99" s="225" t="s">
        <v>217</v>
      </c>
      <c r="L99" s="225" t="s">
        <v>185</v>
      </c>
      <c r="M99" s="178" t="s">
        <v>467</v>
      </c>
      <c r="N99" s="308" t="s">
        <v>416</v>
      </c>
      <c r="O99" s="225"/>
    </row>
    <row r="100" spans="1:16" ht="15" customHeight="1" x14ac:dyDescent="0.25">
      <c r="A100" s="277">
        <v>44665</v>
      </c>
      <c r="B100" s="178" t="s">
        <v>318</v>
      </c>
      <c r="C100" s="183" t="s">
        <v>34</v>
      </c>
      <c r="D100" s="274" t="s">
        <v>164</v>
      </c>
      <c r="E100" s="220"/>
      <c r="F100" s="213">
        <v>10000</v>
      </c>
      <c r="G100" s="233">
        <f t="shared" si="2"/>
        <v>28713443</v>
      </c>
      <c r="H100" s="178" t="s">
        <v>153</v>
      </c>
      <c r="I100" s="183" t="s">
        <v>232</v>
      </c>
      <c r="J100" s="225" t="s">
        <v>166</v>
      </c>
      <c r="K100" s="178" t="s">
        <v>217</v>
      </c>
      <c r="L100" s="225" t="s">
        <v>185</v>
      </c>
      <c r="M100" s="178" t="s">
        <v>468</v>
      </c>
      <c r="N100" s="238" t="s">
        <v>415</v>
      </c>
      <c r="O100" s="178"/>
      <c r="P100" s="232"/>
    </row>
    <row r="101" spans="1:16" ht="15" customHeight="1" x14ac:dyDescent="0.25">
      <c r="A101" s="277">
        <v>44666</v>
      </c>
      <c r="B101" s="178" t="s">
        <v>336</v>
      </c>
      <c r="C101" s="183" t="s">
        <v>34</v>
      </c>
      <c r="D101" s="369" t="s">
        <v>4</v>
      </c>
      <c r="F101" s="358">
        <v>15000</v>
      </c>
      <c r="G101" s="233">
        <f t="shared" si="2"/>
        <v>28698443</v>
      </c>
      <c r="H101" s="178" t="s">
        <v>49</v>
      </c>
      <c r="I101" s="183" t="s">
        <v>330</v>
      </c>
      <c r="J101" s="225" t="s">
        <v>166</v>
      </c>
      <c r="K101" s="178" t="s">
        <v>217</v>
      </c>
      <c r="L101" s="225" t="s">
        <v>185</v>
      </c>
      <c r="M101" s="178" t="s">
        <v>469</v>
      </c>
      <c r="N101" s="238" t="s">
        <v>415</v>
      </c>
      <c r="O101" s="178"/>
      <c r="P101" s="226"/>
    </row>
    <row r="102" spans="1:16" ht="15" customHeight="1" x14ac:dyDescent="0.25">
      <c r="A102" s="277">
        <v>44665</v>
      </c>
      <c r="B102" s="178" t="s">
        <v>419</v>
      </c>
      <c r="C102" s="183" t="s">
        <v>218</v>
      </c>
      <c r="D102" s="274" t="s">
        <v>164</v>
      </c>
      <c r="E102" s="220"/>
      <c r="F102" s="213">
        <v>58950</v>
      </c>
      <c r="G102" s="233">
        <f t="shared" si="2"/>
        <v>28639493</v>
      </c>
      <c r="H102" s="178" t="s">
        <v>153</v>
      </c>
      <c r="I102" s="183" t="s">
        <v>232</v>
      </c>
      <c r="J102" s="225" t="s">
        <v>166</v>
      </c>
      <c r="K102" s="178" t="s">
        <v>216</v>
      </c>
      <c r="L102" s="225" t="s">
        <v>185</v>
      </c>
      <c r="N102" s="238"/>
      <c r="O102" s="178"/>
      <c r="P102" s="232"/>
    </row>
    <row r="103" spans="1:16" ht="15" hidden="1" customHeight="1" x14ac:dyDescent="0.25">
      <c r="A103" s="277">
        <v>44666</v>
      </c>
      <c r="B103" s="225" t="s">
        <v>256</v>
      </c>
      <c r="C103" s="183" t="s">
        <v>76</v>
      </c>
      <c r="D103" s="274"/>
      <c r="E103" s="213">
        <v>1000000</v>
      </c>
      <c r="F103" s="360"/>
      <c r="G103" s="233">
        <f t="shared" si="2"/>
        <v>29639493</v>
      </c>
      <c r="H103" s="225" t="s">
        <v>25</v>
      </c>
      <c r="J103" s="225"/>
      <c r="K103" s="225"/>
      <c r="L103" s="225" t="s">
        <v>185</v>
      </c>
      <c r="N103" s="225"/>
      <c r="O103" s="225"/>
    </row>
    <row r="104" spans="1:16" ht="15" hidden="1" customHeight="1" x14ac:dyDescent="0.25">
      <c r="A104" s="277">
        <v>44666</v>
      </c>
      <c r="B104" s="225" t="s">
        <v>30</v>
      </c>
      <c r="C104" s="183" t="s">
        <v>76</v>
      </c>
      <c r="D104" s="333"/>
      <c r="E104" s="213"/>
      <c r="F104" s="360">
        <v>100000</v>
      </c>
      <c r="G104" s="233">
        <f t="shared" si="2"/>
        <v>29539493</v>
      </c>
      <c r="H104" s="225" t="s">
        <v>25</v>
      </c>
      <c r="J104" s="225"/>
      <c r="K104" s="225"/>
      <c r="L104" s="225" t="s">
        <v>185</v>
      </c>
      <c r="N104" s="225"/>
      <c r="O104" s="225"/>
    </row>
    <row r="105" spans="1:16" ht="15" hidden="1" customHeight="1" x14ac:dyDescent="0.25">
      <c r="A105" s="280">
        <v>44666</v>
      </c>
      <c r="B105" s="224" t="s">
        <v>29</v>
      </c>
      <c r="C105" s="183" t="s">
        <v>76</v>
      </c>
      <c r="D105" s="274"/>
      <c r="E105" s="206"/>
      <c r="F105" s="213">
        <v>100000</v>
      </c>
      <c r="G105" s="233">
        <f t="shared" si="2"/>
        <v>29439493</v>
      </c>
      <c r="H105" s="178" t="s">
        <v>25</v>
      </c>
      <c r="J105" s="178"/>
      <c r="K105" s="225"/>
      <c r="L105" s="225" t="s">
        <v>185</v>
      </c>
      <c r="O105" s="178"/>
    </row>
    <row r="106" spans="1:16" ht="15" hidden="1" customHeight="1" x14ac:dyDescent="0.25">
      <c r="A106" s="277">
        <v>44666</v>
      </c>
      <c r="B106" s="224" t="s">
        <v>48</v>
      </c>
      <c r="C106" s="183" t="s">
        <v>76</v>
      </c>
      <c r="D106" s="183"/>
      <c r="E106" s="225"/>
      <c r="F106" s="213">
        <v>121000</v>
      </c>
      <c r="G106" s="233">
        <f t="shared" si="2"/>
        <v>29318493</v>
      </c>
      <c r="H106" s="178" t="s">
        <v>25</v>
      </c>
      <c r="L106" s="225" t="s">
        <v>185</v>
      </c>
      <c r="O106" s="225"/>
    </row>
    <row r="107" spans="1:16" ht="15" customHeight="1" x14ac:dyDescent="0.25">
      <c r="A107" s="279">
        <v>44666</v>
      </c>
      <c r="B107" s="281" t="s">
        <v>417</v>
      </c>
      <c r="C107" s="183" t="s">
        <v>3</v>
      </c>
      <c r="D107" s="274" t="s">
        <v>245</v>
      </c>
      <c r="E107" s="212"/>
      <c r="F107" s="360">
        <v>15000</v>
      </c>
      <c r="G107" s="233">
        <f t="shared" si="2"/>
        <v>29303493</v>
      </c>
      <c r="H107" s="281" t="s">
        <v>25</v>
      </c>
      <c r="I107" s="183" t="s">
        <v>232</v>
      </c>
      <c r="J107" s="225" t="s">
        <v>166</v>
      </c>
      <c r="K107" s="225" t="s">
        <v>216</v>
      </c>
      <c r="L107" s="225" t="s">
        <v>185</v>
      </c>
      <c r="N107" s="225"/>
      <c r="O107" s="232"/>
    </row>
    <row r="108" spans="1:16" ht="15" customHeight="1" x14ac:dyDescent="0.25">
      <c r="A108" s="277">
        <v>44666</v>
      </c>
      <c r="B108" s="178" t="s">
        <v>259</v>
      </c>
      <c r="C108" s="183" t="s">
        <v>183</v>
      </c>
      <c r="D108" s="274" t="s">
        <v>164</v>
      </c>
      <c r="E108" s="218"/>
      <c r="F108" s="211">
        <v>20000</v>
      </c>
      <c r="G108" s="233">
        <f t="shared" si="2"/>
        <v>29283493</v>
      </c>
      <c r="H108" s="178" t="s">
        <v>25</v>
      </c>
      <c r="I108" s="183" t="s">
        <v>232</v>
      </c>
      <c r="J108" s="183" t="s">
        <v>166</v>
      </c>
      <c r="K108" s="178" t="s">
        <v>216</v>
      </c>
      <c r="L108" s="225" t="s">
        <v>185</v>
      </c>
      <c r="O108" s="178"/>
      <c r="P108" s="226"/>
    </row>
    <row r="109" spans="1:16" ht="15" customHeight="1" x14ac:dyDescent="0.25">
      <c r="A109" s="280">
        <v>44666</v>
      </c>
      <c r="B109" s="225" t="s">
        <v>264</v>
      </c>
      <c r="C109" s="183" t="s">
        <v>188</v>
      </c>
      <c r="D109" s="274" t="s">
        <v>245</v>
      </c>
      <c r="E109" s="305"/>
      <c r="F109" s="360">
        <v>12750</v>
      </c>
      <c r="G109" s="233">
        <f t="shared" si="2"/>
        <v>29270743</v>
      </c>
      <c r="H109" s="225" t="s">
        <v>25</v>
      </c>
      <c r="I109" s="183" t="s">
        <v>232</v>
      </c>
      <c r="J109" s="225" t="s">
        <v>166</v>
      </c>
      <c r="K109" s="225" t="s">
        <v>217</v>
      </c>
      <c r="L109" s="225" t="s">
        <v>185</v>
      </c>
      <c r="M109" s="178" t="s">
        <v>470</v>
      </c>
      <c r="N109" s="295" t="s">
        <v>404</v>
      </c>
      <c r="O109" s="232"/>
    </row>
    <row r="110" spans="1:16" ht="15" hidden="1" customHeight="1" x14ac:dyDescent="0.25">
      <c r="A110" s="280">
        <v>44666</v>
      </c>
      <c r="B110" s="274" t="s">
        <v>291</v>
      </c>
      <c r="C110" s="183" t="s">
        <v>76</v>
      </c>
      <c r="D110" s="368"/>
      <c r="F110" s="213">
        <v>1000000</v>
      </c>
      <c r="G110" s="233">
        <f t="shared" si="2"/>
        <v>28270743</v>
      </c>
      <c r="H110" s="209" t="s">
        <v>24</v>
      </c>
      <c r="L110" s="225" t="s">
        <v>185</v>
      </c>
      <c r="O110" s="178"/>
    </row>
    <row r="111" spans="1:16" ht="15" customHeight="1" x14ac:dyDescent="0.25">
      <c r="A111" s="280">
        <v>44666</v>
      </c>
      <c r="B111" s="184" t="s">
        <v>320</v>
      </c>
      <c r="C111" s="183" t="s">
        <v>218</v>
      </c>
      <c r="D111" s="274" t="s">
        <v>164</v>
      </c>
      <c r="E111" s="221"/>
      <c r="F111" s="365">
        <v>7000</v>
      </c>
      <c r="G111" s="233">
        <f t="shared" si="2"/>
        <v>28263743</v>
      </c>
      <c r="H111" s="206" t="s">
        <v>153</v>
      </c>
      <c r="I111" s="183" t="s">
        <v>247</v>
      </c>
      <c r="J111" s="225" t="s">
        <v>166</v>
      </c>
      <c r="K111" s="225" t="s">
        <v>216</v>
      </c>
      <c r="L111" s="225" t="s">
        <v>185</v>
      </c>
      <c r="P111" s="244"/>
    </row>
    <row r="112" spans="1:16" ht="14.25" hidden="1" customHeight="1" x14ac:dyDescent="0.25">
      <c r="A112" s="280">
        <v>44666</v>
      </c>
      <c r="B112" s="225" t="s">
        <v>540</v>
      </c>
      <c r="C112" s="183" t="s">
        <v>76</v>
      </c>
      <c r="D112" s="274"/>
      <c r="E112" s="212">
        <v>100000</v>
      </c>
      <c r="F112" s="360"/>
      <c r="G112" s="233">
        <f t="shared" si="2"/>
        <v>28363743</v>
      </c>
      <c r="H112" s="281" t="s">
        <v>49</v>
      </c>
      <c r="I112" s="274"/>
      <c r="J112" s="225"/>
      <c r="K112" s="225"/>
      <c r="L112" s="225" t="s">
        <v>185</v>
      </c>
      <c r="N112" s="308"/>
      <c r="O112" s="232"/>
    </row>
    <row r="113" spans="1:16" ht="15.75" hidden="1" customHeight="1" x14ac:dyDescent="0.25">
      <c r="A113" s="277">
        <v>44666</v>
      </c>
      <c r="B113" s="178" t="s">
        <v>535</v>
      </c>
      <c r="C113" s="183" t="s">
        <v>76</v>
      </c>
      <c r="D113" s="274"/>
      <c r="E113" s="195">
        <v>121000</v>
      </c>
      <c r="F113" s="190"/>
      <c r="G113" s="233">
        <f t="shared" si="2"/>
        <v>28484743</v>
      </c>
      <c r="H113" s="178" t="s">
        <v>48</v>
      </c>
      <c r="L113" s="225" t="s">
        <v>185</v>
      </c>
      <c r="O113" s="178"/>
      <c r="P113" s="217"/>
    </row>
    <row r="114" spans="1:16" ht="16.5" hidden="1" customHeight="1" x14ac:dyDescent="0.25">
      <c r="A114" s="277">
        <v>44666</v>
      </c>
      <c r="B114" s="225" t="s">
        <v>542</v>
      </c>
      <c r="C114" s="183" t="s">
        <v>76</v>
      </c>
      <c r="D114" s="274"/>
      <c r="E114" s="211">
        <v>100000</v>
      </c>
      <c r="F114" s="360"/>
      <c r="G114" s="233">
        <f t="shared" si="2"/>
        <v>28584743</v>
      </c>
      <c r="H114" s="225" t="s">
        <v>29</v>
      </c>
      <c r="I114" s="274"/>
      <c r="J114" s="225"/>
      <c r="K114" s="225"/>
      <c r="L114" s="225" t="s">
        <v>185</v>
      </c>
      <c r="N114" s="225"/>
      <c r="O114" s="225"/>
    </row>
    <row r="115" spans="1:16" ht="15" customHeight="1" x14ac:dyDescent="0.25">
      <c r="A115" s="288">
        <v>44666</v>
      </c>
      <c r="B115" s="281" t="s">
        <v>257</v>
      </c>
      <c r="C115" s="183" t="s">
        <v>183</v>
      </c>
      <c r="D115" s="274" t="s">
        <v>231</v>
      </c>
      <c r="E115" s="303"/>
      <c r="F115" s="363">
        <v>15000</v>
      </c>
      <c r="G115" s="233">
        <f t="shared" si="2"/>
        <v>28569743</v>
      </c>
      <c r="H115" s="290" t="s">
        <v>25</v>
      </c>
      <c r="I115" s="183" t="s">
        <v>232</v>
      </c>
      <c r="J115" s="225" t="s">
        <v>166</v>
      </c>
      <c r="K115" s="225" t="s">
        <v>217</v>
      </c>
      <c r="L115" s="225" t="s">
        <v>185</v>
      </c>
      <c r="M115" s="178" t="s">
        <v>471</v>
      </c>
      <c r="N115" s="177" t="s">
        <v>414</v>
      </c>
      <c r="O115" s="225"/>
    </row>
    <row r="116" spans="1:16" ht="15" customHeight="1" x14ac:dyDescent="0.25">
      <c r="A116" s="277">
        <v>44666</v>
      </c>
      <c r="B116" s="225" t="s">
        <v>258</v>
      </c>
      <c r="C116" s="183" t="s">
        <v>183</v>
      </c>
      <c r="D116" s="274" t="s">
        <v>164</v>
      </c>
      <c r="E116" s="211"/>
      <c r="F116" s="364">
        <v>15000</v>
      </c>
      <c r="G116" s="233">
        <f t="shared" si="2"/>
        <v>28554743</v>
      </c>
      <c r="H116" s="225" t="s">
        <v>25</v>
      </c>
      <c r="I116" s="183" t="s">
        <v>232</v>
      </c>
      <c r="J116" s="225" t="s">
        <v>166</v>
      </c>
      <c r="K116" s="225" t="s">
        <v>217</v>
      </c>
      <c r="L116" s="225" t="s">
        <v>185</v>
      </c>
      <c r="M116" s="178" t="s">
        <v>472</v>
      </c>
      <c r="N116" s="177" t="s">
        <v>414</v>
      </c>
      <c r="O116" s="225"/>
    </row>
    <row r="117" spans="1:16" ht="15" customHeight="1" x14ac:dyDescent="0.25">
      <c r="A117" s="277">
        <v>44666</v>
      </c>
      <c r="B117" s="178" t="s">
        <v>260</v>
      </c>
      <c r="C117" s="183" t="s">
        <v>183</v>
      </c>
      <c r="D117" s="369" t="s">
        <v>4</v>
      </c>
      <c r="E117" s="220"/>
      <c r="F117" s="292">
        <v>20000</v>
      </c>
      <c r="G117" s="233">
        <f t="shared" si="2"/>
        <v>28534743</v>
      </c>
      <c r="H117" s="178" t="s">
        <v>25</v>
      </c>
      <c r="I117" s="183" t="s">
        <v>232</v>
      </c>
      <c r="J117" s="225" t="s">
        <v>166</v>
      </c>
      <c r="K117" s="225" t="s">
        <v>217</v>
      </c>
      <c r="L117" s="225" t="s">
        <v>185</v>
      </c>
      <c r="M117" s="178" t="s">
        <v>473</v>
      </c>
      <c r="N117" s="177" t="s">
        <v>414</v>
      </c>
      <c r="O117" s="226"/>
      <c r="P117" s="227"/>
    </row>
    <row r="118" spans="1:16" ht="15" customHeight="1" x14ac:dyDescent="0.25">
      <c r="A118" s="280">
        <v>44666</v>
      </c>
      <c r="B118" s="281" t="s">
        <v>257</v>
      </c>
      <c r="C118" s="183" t="s">
        <v>183</v>
      </c>
      <c r="D118" s="274" t="s">
        <v>165</v>
      </c>
      <c r="E118" s="212"/>
      <c r="F118" s="365">
        <v>10000</v>
      </c>
      <c r="G118" s="233">
        <f t="shared" si="2"/>
        <v>28524743</v>
      </c>
      <c r="H118" s="237" t="s">
        <v>25</v>
      </c>
      <c r="I118" s="183" t="s">
        <v>232</v>
      </c>
      <c r="J118" s="225" t="s">
        <v>166</v>
      </c>
      <c r="K118" s="225" t="s">
        <v>217</v>
      </c>
      <c r="L118" s="225" t="s">
        <v>185</v>
      </c>
      <c r="M118" s="178" t="s">
        <v>474</v>
      </c>
      <c r="N118" s="177" t="s">
        <v>414</v>
      </c>
      <c r="O118" s="225"/>
    </row>
    <row r="119" spans="1:16" ht="15" customHeight="1" x14ac:dyDescent="0.25">
      <c r="A119" s="277">
        <v>44666</v>
      </c>
      <c r="B119" s="225" t="s">
        <v>261</v>
      </c>
      <c r="C119" s="183" t="s">
        <v>183</v>
      </c>
      <c r="D119" s="274" t="s">
        <v>231</v>
      </c>
      <c r="E119" s="213"/>
      <c r="F119" s="360">
        <v>5000</v>
      </c>
      <c r="G119" s="233">
        <f t="shared" si="2"/>
        <v>28519743</v>
      </c>
      <c r="H119" s="225" t="s">
        <v>25</v>
      </c>
      <c r="I119" s="183" t="s">
        <v>232</v>
      </c>
      <c r="J119" s="225" t="s">
        <v>166</v>
      </c>
      <c r="K119" s="225" t="s">
        <v>217</v>
      </c>
      <c r="L119" s="225" t="s">
        <v>185</v>
      </c>
      <c r="M119" s="178" t="s">
        <v>475</v>
      </c>
      <c r="N119" s="177" t="s">
        <v>414</v>
      </c>
      <c r="O119" s="225"/>
    </row>
    <row r="120" spans="1:16" ht="15" customHeight="1" x14ac:dyDescent="0.25">
      <c r="A120" s="277">
        <v>44666</v>
      </c>
      <c r="B120" s="225" t="s">
        <v>262</v>
      </c>
      <c r="C120" s="183" t="s">
        <v>183</v>
      </c>
      <c r="D120" s="274" t="s">
        <v>164</v>
      </c>
      <c r="E120" s="211"/>
      <c r="F120" s="360">
        <v>5000</v>
      </c>
      <c r="G120" s="233">
        <f t="shared" si="2"/>
        <v>28514743</v>
      </c>
      <c r="H120" s="225" t="s">
        <v>25</v>
      </c>
      <c r="I120" s="183" t="s">
        <v>232</v>
      </c>
      <c r="J120" s="225" t="s">
        <v>166</v>
      </c>
      <c r="K120" s="225" t="s">
        <v>217</v>
      </c>
      <c r="L120" s="225" t="s">
        <v>185</v>
      </c>
      <c r="M120" s="178" t="s">
        <v>476</v>
      </c>
      <c r="N120" s="177" t="s">
        <v>414</v>
      </c>
      <c r="O120" s="225"/>
    </row>
    <row r="121" spans="1:16" ht="15" customHeight="1" x14ac:dyDescent="0.25">
      <c r="A121" s="280">
        <v>44666</v>
      </c>
      <c r="B121" s="225" t="s">
        <v>263</v>
      </c>
      <c r="C121" s="183" t="s">
        <v>183</v>
      </c>
      <c r="D121" s="369" t="s">
        <v>4</v>
      </c>
      <c r="E121" s="305"/>
      <c r="F121" s="213">
        <v>10000</v>
      </c>
      <c r="G121" s="233">
        <f t="shared" si="2"/>
        <v>28504743</v>
      </c>
      <c r="H121" s="225" t="s">
        <v>25</v>
      </c>
      <c r="I121" s="276" t="s">
        <v>232</v>
      </c>
      <c r="J121" s="225" t="s">
        <v>166</v>
      </c>
      <c r="K121" s="225" t="s">
        <v>217</v>
      </c>
      <c r="L121" s="225" t="s">
        <v>185</v>
      </c>
      <c r="M121" s="178" t="s">
        <v>477</v>
      </c>
      <c r="N121" s="177" t="s">
        <v>414</v>
      </c>
      <c r="O121" s="232"/>
    </row>
    <row r="122" spans="1:16" ht="15" customHeight="1" x14ac:dyDescent="0.25">
      <c r="A122" s="277">
        <v>44667</v>
      </c>
      <c r="B122" s="178" t="s">
        <v>321</v>
      </c>
      <c r="C122" s="183" t="s">
        <v>157</v>
      </c>
      <c r="D122" s="274" t="s">
        <v>164</v>
      </c>
      <c r="E122" s="178"/>
      <c r="F122" s="213">
        <v>30000</v>
      </c>
      <c r="G122" s="233">
        <f t="shared" si="2"/>
        <v>28474743</v>
      </c>
      <c r="H122" s="178" t="s">
        <v>153</v>
      </c>
      <c r="I122" s="183" t="s">
        <v>232</v>
      </c>
      <c r="J122" s="225" t="s">
        <v>166</v>
      </c>
      <c r="K122" s="225" t="s">
        <v>217</v>
      </c>
      <c r="L122" s="225" t="s">
        <v>185</v>
      </c>
      <c r="M122" s="178" t="s">
        <v>478</v>
      </c>
      <c r="N122" s="308" t="s">
        <v>416</v>
      </c>
      <c r="O122" s="178"/>
    </row>
    <row r="123" spans="1:16" ht="15" customHeight="1" x14ac:dyDescent="0.25">
      <c r="A123" s="277">
        <v>44667</v>
      </c>
      <c r="B123" s="225" t="s">
        <v>322</v>
      </c>
      <c r="C123" s="183" t="s">
        <v>34</v>
      </c>
      <c r="D123" s="274" t="s">
        <v>164</v>
      </c>
      <c r="E123" s="213"/>
      <c r="F123" s="213">
        <v>10000</v>
      </c>
      <c r="G123" s="233">
        <f t="shared" si="2"/>
        <v>28464743</v>
      </c>
      <c r="H123" s="225" t="s">
        <v>153</v>
      </c>
      <c r="I123" s="326" t="s">
        <v>232</v>
      </c>
      <c r="J123" s="225" t="s">
        <v>166</v>
      </c>
      <c r="K123" s="178" t="s">
        <v>217</v>
      </c>
      <c r="L123" s="225" t="s">
        <v>185</v>
      </c>
      <c r="M123" s="178" t="s">
        <v>479</v>
      </c>
      <c r="N123" s="238" t="s">
        <v>415</v>
      </c>
      <c r="O123" s="225"/>
    </row>
    <row r="124" spans="1:16" ht="15" customHeight="1" x14ac:dyDescent="0.25">
      <c r="A124" s="280">
        <v>44668</v>
      </c>
      <c r="B124" s="184" t="s">
        <v>387</v>
      </c>
      <c r="C124" s="183" t="s">
        <v>34</v>
      </c>
      <c r="D124" s="369" t="s">
        <v>4</v>
      </c>
      <c r="E124" s="221"/>
      <c r="F124" s="365">
        <v>12000</v>
      </c>
      <c r="G124" s="233">
        <f t="shared" si="2"/>
        <v>28452743</v>
      </c>
      <c r="H124" s="206" t="s">
        <v>29</v>
      </c>
      <c r="I124" s="183" t="s">
        <v>232</v>
      </c>
      <c r="J124" s="225" t="s">
        <v>166</v>
      </c>
      <c r="K124" s="178" t="s">
        <v>217</v>
      </c>
      <c r="L124" s="225" t="s">
        <v>185</v>
      </c>
      <c r="M124" s="178" t="s">
        <v>480</v>
      </c>
      <c r="N124" s="238" t="s">
        <v>415</v>
      </c>
      <c r="O124" s="178"/>
      <c r="P124" s="232"/>
    </row>
    <row r="125" spans="1:16" ht="15.75" customHeight="1" x14ac:dyDescent="0.25">
      <c r="A125" s="277">
        <v>44669</v>
      </c>
      <c r="B125" s="178" t="s">
        <v>337</v>
      </c>
      <c r="C125" s="183" t="s">
        <v>157</v>
      </c>
      <c r="D125" s="369" t="s">
        <v>4</v>
      </c>
      <c r="E125" s="220"/>
      <c r="F125" s="292">
        <v>40000</v>
      </c>
      <c r="G125" s="233">
        <f t="shared" si="2"/>
        <v>28412743</v>
      </c>
      <c r="H125" s="178" t="s">
        <v>49</v>
      </c>
      <c r="I125" s="183" t="s">
        <v>247</v>
      </c>
      <c r="J125" s="225" t="s">
        <v>166</v>
      </c>
      <c r="K125" s="225" t="s">
        <v>217</v>
      </c>
      <c r="L125" s="225" t="s">
        <v>185</v>
      </c>
      <c r="M125" s="178" t="s">
        <v>481</v>
      </c>
      <c r="N125" s="308" t="s">
        <v>416</v>
      </c>
      <c r="O125" s="226"/>
    </row>
    <row r="126" spans="1:16" ht="15" customHeight="1" x14ac:dyDescent="0.25">
      <c r="A126" s="277">
        <v>44669</v>
      </c>
      <c r="B126" s="178" t="s">
        <v>386</v>
      </c>
      <c r="C126" s="183" t="s">
        <v>157</v>
      </c>
      <c r="D126" s="369" t="s">
        <v>4</v>
      </c>
      <c r="E126" s="220"/>
      <c r="F126" s="213">
        <v>40000</v>
      </c>
      <c r="G126" s="233">
        <f t="shared" si="2"/>
        <v>28372743</v>
      </c>
      <c r="H126" s="178" t="s">
        <v>29</v>
      </c>
      <c r="I126" s="183" t="s">
        <v>378</v>
      </c>
      <c r="J126" s="225" t="s">
        <v>166</v>
      </c>
      <c r="K126" s="225" t="s">
        <v>217</v>
      </c>
      <c r="L126" s="225" t="s">
        <v>185</v>
      </c>
      <c r="M126" s="178" t="s">
        <v>482</v>
      </c>
      <c r="N126" s="308" t="s">
        <v>416</v>
      </c>
      <c r="O126" s="178"/>
      <c r="P126" s="232"/>
    </row>
    <row r="127" spans="1:16" ht="15" customHeight="1" x14ac:dyDescent="0.25">
      <c r="A127" s="277">
        <v>44669</v>
      </c>
      <c r="B127" s="225" t="s">
        <v>347</v>
      </c>
      <c r="C127" s="183" t="s">
        <v>34</v>
      </c>
      <c r="D127" s="274" t="s">
        <v>231</v>
      </c>
      <c r="E127" s="213"/>
      <c r="F127" s="360">
        <v>15000</v>
      </c>
      <c r="G127" s="233">
        <f t="shared" si="2"/>
        <v>28357743</v>
      </c>
      <c r="H127" s="225" t="s">
        <v>48</v>
      </c>
      <c r="I127" s="183" t="s">
        <v>232</v>
      </c>
      <c r="J127" s="225" t="s">
        <v>166</v>
      </c>
      <c r="K127" s="178" t="s">
        <v>217</v>
      </c>
      <c r="L127" s="225" t="s">
        <v>185</v>
      </c>
      <c r="M127" s="178" t="s">
        <v>483</v>
      </c>
      <c r="N127" s="238" t="s">
        <v>415</v>
      </c>
      <c r="O127" s="225"/>
    </row>
    <row r="128" spans="1:16" ht="15" customHeight="1" x14ac:dyDescent="0.25">
      <c r="A128" s="277">
        <v>44670</v>
      </c>
      <c r="B128" s="225" t="s">
        <v>355</v>
      </c>
      <c r="C128" s="183" t="s">
        <v>157</v>
      </c>
      <c r="D128" s="274" t="s">
        <v>231</v>
      </c>
      <c r="E128" s="213"/>
      <c r="F128" s="364">
        <v>40000</v>
      </c>
      <c r="G128" s="233">
        <f t="shared" si="2"/>
        <v>28317743</v>
      </c>
      <c r="H128" s="225" t="s">
        <v>48</v>
      </c>
      <c r="I128" s="274" t="s">
        <v>247</v>
      </c>
      <c r="J128" s="225" t="s">
        <v>166</v>
      </c>
      <c r="K128" s="225" t="s">
        <v>217</v>
      </c>
      <c r="L128" s="225" t="s">
        <v>185</v>
      </c>
      <c r="M128" s="178" t="s">
        <v>484</v>
      </c>
      <c r="N128" s="308" t="s">
        <v>416</v>
      </c>
      <c r="O128" s="225"/>
    </row>
    <row r="129" spans="1:16" ht="15" hidden="1" customHeight="1" x14ac:dyDescent="0.25">
      <c r="A129" s="277">
        <v>44670</v>
      </c>
      <c r="B129" s="224" t="s">
        <v>214</v>
      </c>
      <c r="C129" s="183" t="s">
        <v>76</v>
      </c>
      <c r="D129" s="274"/>
      <c r="E129" s="213"/>
      <c r="F129" s="360">
        <v>15000</v>
      </c>
      <c r="G129" s="233">
        <f t="shared" si="2"/>
        <v>28302743</v>
      </c>
      <c r="H129" s="225" t="s">
        <v>25</v>
      </c>
      <c r="J129" s="225"/>
      <c r="K129" s="225"/>
      <c r="L129" s="225" t="s">
        <v>185</v>
      </c>
      <c r="N129" s="232"/>
      <c r="O129" s="225"/>
    </row>
    <row r="130" spans="1:16" ht="15" hidden="1" customHeight="1" x14ac:dyDescent="0.25">
      <c r="A130" s="280">
        <v>44670</v>
      </c>
      <c r="B130" s="281" t="s">
        <v>215</v>
      </c>
      <c r="C130" s="183" t="s">
        <v>76</v>
      </c>
      <c r="D130" s="274"/>
      <c r="E130" s="212"/>
      <c r="F130" s="212">
        <v>15000</v>
      </c>
      <c r="G130" s="233">
        <f t="shared" si="2"/>
        <v>28287743</v>
      </c>
      <c r="H130" s="237" t="s">
        <v>25</v>
      </c>
      <c r="I130" s="274"/>
      <c r="J130" s="225"/>
      <c r="K130" s="225"/>
      <c r="L130" s="225" t="s">
        <v>185</v>
      </c>
      <c r="N130" s="225"/>
      <c r="O130" s="225"/>
    </row>
    <row r="131" spans="1:16" ht="15" hidden="1" customHeight="1" x14ac:dyDescent="0.25">
      <c r="A131" s="277">
        <v>44670</v>
      </c>
      <c r="B131" s="178" t="s">
        <v>265</v>
      </c>
      <c r="C131" s="183" t="s">
        <v>76</v>
      </c>
      <c r="D131" s="274"/>
      <c r="E131" s="218"/>
      <c r="F131" s="211">
        <v>60000</v>
      </c>
      <c r="G131" s="233">
        <f t="shared" si="2"/>
        <v>28227743</v>
      </c>
      <c r="H131" s="178" t="s">
        <v>25</v>
      </c>
      <c r="J131" s="225"/>
      <c r="K131" s="225"/>
      <c r="L131" s="225" t="s">
        <v>185</v>
      </c>
      <c r="O131" s="178"/>
    </row>
    <row r="132" spans="1:16" ht="15" customHeight="1" x14ac:dyDescent="0.25">
      <c r="A132" s="277">
        <v>44670</v>
      </c>
      <c r="B132" s="178" t="s">
        <v>266</v>
      </c>
      <c r="C132" s="183" t="s">
        <v>205</v>
      </c>
      <c r="D132" s="326" t="s">
        <v>165</v>
      </c>
      <c r="E132" s="218"/>
      <c r="F132" s="211">
        <v>10000</v>
      </c>
      <c r="G132" s="233">
        <f t="shared" si="2"/>
        <v>28217743</v>
      </c>
      <c r="H132" s="178" t="s">
        <v>25</v>
      </c>
      <c r="I132" s="183" t="s">
        <v>247</v>
      </c>
      <c r="J132" s="225" t="s">
        <v>166</v>
      </c>
      <c r="K132" s="178" t="s">
        <v>216</v>
      </c>
      <c r="L132" s="225" t="s">
        <v>185</v>
      </c>
      <c r="N132" s="252"/>
      <c r="P132" s="244"/>
    </row>
    <row r="133" spans="1:16" ht="15" hidden="1" customHeight="1" x14ac:dyDescent="0.25">
      <c r="A133" s="277">
        <v>44670</v>
      </c>
      <c r="B133" s="225" t="s">
        <v>538</v>
      </c>
      <c r="C133" s="183" t="s">
        <v>76</v>
      </c>
      <c r="D133" s="333"/>
      <c r="E133" s="220">
        <v>60000</v>
      </c>
      <c r="F133" s="292"/>
      <c r="G133" s="233">
        <f t="shared" si="2"/>
        <v>28277743</v>
      </c>
      <c r="H133" s="178" t="s">
        <v>153</v>
      </c>
      <c r="J133" s="225"/>
      <c r="K133" s="225"/>
      <c r="L133" s="225" t="s">
        <v>185</v>
      </c>
      <c r="N133" s="225"/>
      <c r="O133" s="178"/>
    </row>
    <row r="134" spans="1:16" ht="15" hidden="1" customHeight="1" x14ac:dyDescent="0.25">
      <c r="A134" s="277">
        <v>44670</v>
      </c>
      <c r="B134" s="225" t="s">
        <v>545</v>
      </c>
      <c r="C134" s="183" t="s">
        <v>363</v>
      </c>
      <c r="D134" s="336"/>
      <c r="E134" s="222">
        <v>15000</v>
      </c>
      <c r="F134" s="213"/>
      <c r="G134" s="233">
        <f t="shared" si="2"/>
        <v>28292743</v>
      </c>
      <c r="H134" s="225" t="s">
        <v>214</v>
      </c>
      <c r="J134" s="225"/>
      <c r="K134" s="225"/>
      <c r="L134" s="225" t="s">
        <v>185</v>
      </c>
      <c r="N134" s="225"/>
      <c r="O134" s="225"/>
    </row>
    <row r="135" spans="1:16" ht="15" hidden="1" customHeight="1" x14ac:dyDescent="0.25">
      <c r="A135" s="284">
        <v>44670</v>
      </c>
      <c r="B135" s="225" t="s">
        <v>539</v>
      </c>
      <c r="C135" s="183" t="s">
        <v>76</v>
      </c>
      <c r="D135" s="337"/>
      <c r="E135" s="214">
        <v>15000</v>
      </c>
      <c r="F135" s="214"/>
      <c r="G135" s="233">
        <f t="shared" si="2"/>
        <v>28307743</v>
      </c>
      <c r="H135" s="286" t="s">
        <v>215</v>
      </c>
      <c r="I135" s="274"/>
      <c r="J135" s="224"/>
      <c r="K135" s="286"/>
      <c r="L135" s="225" t="s">
        <v>185</v>
      </c>
      <c r="N135" s="225"/>
      <c r="O135" s="225"/>
    </row>
    <row r="136" spans="1:16" ht="15" customHeight="1" x14ac:dyDescent="0.25">
      <c r="A136" s="284">
        <v>44671</v>
      </c>
      <c r="B136" s="207" t="s">
        <v>388</v>
      </c>
      <c r="C136" s="183" t="s">
        <v>157</v>
      </c>
      <c r="D136" s="369" t="s">
        <v>4</v>
      </c>
      <c r="E136" s="222"/>
      <c r="F136" s="214">
        <v>30000</v>
      </c>
      <c r="G136" s="233">
        <f t="shared" si="2"/>
        <v>28277743</v>
      </c>
      <c r="H136" s="209" t="s">
        <v>29</v>
      </c>
      <c r="I136" s="183" t="s">
        <v>330</v>
      </c>
      <c r="J136" s="225" t="s">
        <v>166</v>
      </c>
      <c r="K136" s="225" t="s">
        <v>217</v>
      </c>
      <c r="L136" s="225" t="s">
        <v>185</v>
      </c>
      <c r="M136" s="178" t="s">
        <v>485</v>
      </c>
      <c r="N136" s="308" t="s">
        <v>416</v>
      </c>
      <c r="O136" s="178"/>
      <c r="P136" s="232"/>
    </row>
    <row r="137" spans="1:16" ht="15" customHeight="1" x14ac:dyDescent="0.25">
      <c r="A137" s="284">
        <v>44671</v>
      </c>
      <c r="B137" s="285" t="s">
        <v>389</v>
      </c>
      <c r="C137" s="183" t="s">
        <v>34</v>
      </c>
      <c r="D137" s="369" t="s">
        <v>4</v>
      </c>
      <c r="E137" s="213"/>
      <c r="F137" s="360">
        <v>10000</v>
      </c>
      <c r="G137" s="233">
        <f t="shared" si="2"/>
        <v>28267743</v>
      </c>
      <c r="H137" s="286" t="s">
        <v>29</v>
      </c>
      <c r="I137" s="274" t="s">
        <v>232</v>
      </c>
      <c r="J137" s="225" t="s">
        <v>166</v>
      </c>
      <c r="K137" s="178" t="s">
        <v>217</v>
      </c>
      <c r="L137" s="225" t="s">
        <v>185</v>
      </c>
      <c r="M137" s="178" t="s">
        <v>486</v>
      </c>
      <c r="N137" s="238" t="s">
        <v>415</v>
      </c>
      <c r="O137" s="225"/>
    </row>
    <row r="138" spans="1:16" ht="15" hidden="1" customHeight="1" x14ac:dyDescent="0.25">
      <c r="A138" s="280">
        <v>44671</v>
      </c>
      <c r="B138" s="178" t="s">
        <v>29</v>
      </c>
      <c r="C138" s="183" t="s">
        <v>76</v>
      </c>
      <c r="D138" s="333"/>
      <c r="E138" s="218"/>
      <c r="F138" s="360">
        <v>53000</v>
      </c>
      <c r="G138" s="233">
        <f t="shared" si="2"/>
        <v>28214743</v>
      </c>
      <c r="H138" s="178" t="s">
        <v>25</v>
      </c>
      <c r="J138" s="178"/>
      <c r="L138" s="225" t="s">
        <v>185</v>
      </c>
      <c r="O138" s="178"/>
      <c r="P138" s="232"/>
    </row>
    <row r="139" spans="1:16" ht="15" hidden="1" customHeight="1" x14ac:dyDescent="0.25">
      <c r="A139" s="277">
        <v>44671</v>
      </c>
      <c r="B139" s="225" t="s">
        <v>30</v>
      </c>
      <c r="C139" s="183" t="s">
        <v>76</v>
      </c>
      <c r="D139" s="274"/>
      <c r="E139" s="211"/>
      <c r="F139" s="211">
        <v>68000</v>
      </c>
      <c r="G139" s="233">
        <f t="shared" si="2"/>
        <v>28146743</v>
      </c>
      <c r="H139" s="225" t="s">
        <v>25</v>
      </c>
      <c r="J139" s="225"/>
      <c r="K139" s="225"/>
      <c r="L139" s="225" t="s">
        <v>185</v>
      </c>
      <c r="N139" s="308"/>
      <c r="O139" s="225"/>
    </row>
    <row r="140" spans="1:16" ht="15" hidden="1" customHeight="1" x14ac:dyDescent="0.25">
      <c r="A140" s="280">
        <v>44671</v>
      </c>
      <c r="B140" s="281" t="s">
        <v>48</v>
      </c>
      <c r="C140" s="183" t="s">
        <v>76</v>
      </c>
      <c r="D140" s="274"/>
      <c r="E140" s="212"/>
      <c r="F140" s="212">
        <v>170000</v>
      </c>
      <c r="G140" s="233">
        <f t="shared" si="2"/>
        <v>27976743</v>
      </c>
      <c r="H140" s="237" t="s">
        <v>25</v>
      </c>
      <c r="I140" s="274"/>
      <c r="J140" s="225"/>
      <c r="K140" s="225"/>
      <c r="L140" s="225" t="s">
        <v>185</v>
      </c>
      <c r="N140" s="225"/>
      <c r="O140" s="225"/>
    </row>
    <row r="141" spans="1:16" ht="15" customHeight="1" x14ac:dyDescent="0.25">
      <c r="A141" s="277">
        <v>44671</v>
      </c>
      <c r="B141" s="225" t="s">
        <v>270</v>
      </c>
      <c r="C141" s="183" t="s">
        <v>205</v>
      </c>
      <c r="D141" s="274" t="s">
        <v>165</v>
      </c>
      <c r="E141" s="213"/>
      <c r="F141" s="213">
        <v>29000</v>
      </c>
      <c r="G141" s="233">
        <f t="shared" si="2"/>
        <v>27947743</v>
      </c>
      <c r="H141" s="225" t="s">
        <v>25</v>
      </c>
      <c r="I141" s="183" t="s">
        <v>247</v>
      </c>
      <c r="J141" s="225" t="s">
        <v>166</v>
      </c>
      <c r="K141" s="178" t="s">
        <v>216</v>
      </c>
      <c r="L141" s="225" t="s">
        <v>185</v>
      </c>
      <c r="N141" s="225"/>
      <c r="O141" s="225"/>
    </row>
    <row r="142" spans="1:16" ht="15" hidden="1" customHeight="1" x14ac:dyDescent="0.25">
      <c r="A142" s="280">
        <v>44671</v>
      </c>
      <c r="B142" s="184" t="s">
        <v>31</v>
      </c>
      <c r="C142" s="183" t="s">
        <v>76</v>
      </c>
      <c r="D142" s="274"/>
      <c r="E142" s="221"/>
      <c r="F142" s="212">
        <v>15000</v>
      </c>
      <c r="G142" s="233">
        <f t="shared" ref="G142:G205" si="3">+G141+E142-F142</f>
        <v>27932743</v>
      </c>
      <c r="H142" s="205" t="s">
        <v>25</v>
      </c>
      <c r="L142" s="225" t="s">
        <v>185</v>
      </c>
      <c r="O142" s="178"/>
    </row>
    <row r="143" spans="1:16" ht="15" hidden="1" customHeight="1" x14ac:dyDescent="0.25">
      <c r="A143" s="277">
        <v>44671</v>
      </c>
      <c r="B143" s="225" t="s">
        <v>540</v>
      </c>
      <c r="C143" s="183" t="s">
        <v>76</v>
      </c>
      <c r="D143" s="183"/>
      <c r="E143" s="218">
        <v>68000</v>
      </c>
      <c r="F143" s="360"/>
      <c r="G143" s="233">
        <f t="shared" si="3"/>
        <v>28000743</v>
      </c>
      <c r="H143" s="178" t="s">
        <v>49</v>
      </c>
      <c r="L143" s="225" t="s">
        <v>185</v>
      </c>
      <c r="O143" s="178"/>
    </row>
    <row r="144" spans="1:16" ht="15" customHeight="1" x14ac:dyDescent="0.25">
      <c r="A144" s="280">
        <v>44671</v>
      </c>
      <c r="B144" s="281" t="s">
        <v>269</v>
      </c>
      <c r="C144" s="183" t="s">
        <v>184</v>
      </c>
      <c r="D144" s="274" t="s">
        <v>245</v>
      </c>
      <c r="E144" s="304"/>
      <c r="F144" s="360">
        <v>8730</v>
      </c>
      <c r="G144" s="233">
        <f t="shared" si="3"/>
        <v>27992013</v>
      </c>
      <c r="H144" s="225" t="s">
        <v>25</v>
      </c>
      <c r="I144" s="183" t="s">
        <v>232</v>
      </c>
      <c r="J144" s="178" t="s">
        <v>103</v>
      </c>
      <c r="K144" s="178" t="s">
        <v>217</v>
      </c>
      <c r="L144" s="225" t="s">
        <v>185</v>
      </c>
      <c r="M144" s="178" t="s">
        <v>487</v>
      </c>
      <c r="N144" s="177" t="s">
        <v>401</v>
      </c>
      <c r="O144" s="225"/>
    </row>
    <row r="145" spans="1:15" ht="15" hidden="1" customHeight="1" x14ac:dyDescent="0.25">
      <c r="A145" s="277">
        <v>44671</v>
      </c>
      <c r="B145" s="178" t="s">
        <v>535</v>
      </c>
      <c r="C145" s="183" t="s">
        <v>76</v>
      </c>
      <c r="D145" s="183"/>
      <c r="E145" s="220">
        <v>170000</v>
      </c>
      <c r="F145" s="213"/>
      <c r="G145" s="233">
        <f t="shared" si="3"/>
        <v>28162013</v>
      </c>
      <c r="H145" s="178" t="s">
        <v>48</v>
      </c>
      <c r="L145" s="225" t="s">
        <v>185</v>
      </c>
      <c r="O145" s="178"/>
    </row>
    <row r="146" spans="1:15" ht="15" hidden="1" customHeight="1" x14ac:dyDescent="0.25">
      <c r="A146" s="277">
        <v>44671</v>
      </c>
      <c r="B146" s="225" t="s">
        <v>537</v>
      </c>
      <c r="C146" s="325" t="s">
        <v>76</v>
      </c>
      <c r="D146" s="274"/>
      <c r="E146" s="225">
        <v>15000</v>
      </c>
      <c r="F146" s="213"/>
      <c r="G146" s="233">
        <f t="shared" si="3"/>
        <v>28177013</v>
      </c>
      <c r="H146" s="178" t="s">
        <v>31</v>
      </c>
      <c r="I146" s="274"/>
      <c r="L146" s="225" t="s">
        <v>185</v>
      </c>
      <c r="O146" s="225"/>
    </row>
    <row r="147" spans="1:15" ht="15" hidden="1" customHeight="1" x14ac:dyDescent="0.25">
      <c r="A147" s="277">
        <v>44671</v>
      </c>
      <c r="B147" s="225" t="s">
        <v>542</v>
      </c>
      <c r="C147" s="183" t="s">
        <v>76</v>
      </c>
      <c r="D147" s="274"/>
      <c r="E147" s="211">
        <v>53000</v>
      </c>
      <c r="F147" s="211"/>
      <c r="G147" s="233">
        <f t="shared" si="3"/>
        <v>28230013</v>
      </c>
      <c r="H147" s="225" t="s">
        <v>29</v>
      </c>
      <c r="I147" s="274"/>
      <c r="J147" s="225"/>
      <c r="K147" s="225"/>
      <c r="L147" s="225" t="s">
        <v>185</v>
      </c>
      <c r="M147" s="225"/>
      <c r="N147" s="225"/>
      <c r="O147" s="225"/>
    </row>
    <row r="148" spans="1:15" ht="15" customHeight="1" x14ac:dyDescent="0.25">
      <c r="A148" s="277">
        <v>44672</v>
      </c>
      <c r="B148" s="225" t="s">
        <v>338</v>
      </c>
      <c r="C148" s="183" t="s">
        <v>34</v>
      </c>
      <c r="D148" s="369" t="s">
        <v>4</v>
      </c>
      <c r="E148" s="214"/>
      <c r="F148" s="213">
        <v>5000</v>
      </c>
      <c r="G148" s="233">
        <f t="shared" si="3"/>
        <v>28225013</v>
      </c>
      <c r="H148" s="225" t="s">
        <v>49</v>
      </c>
      <c r="I148" s="183" t="s">
        <v>330</v>
      </c>
      <c r="J148" s="225" t="s">
        <v>166</v>
      </c>
      <c r="K148" s="178" t="s">
        <v>217</v>
      </c>
      <c r="L148" s="225" t="s">
        <v>185</v>
      </c>
      <c r="M148" s="178" t="s">
        <v>488</v>
      </c>
      <c r="N148" s="238" t="s">
        <v>415</v>
      </c>
      <c r="O148" s="225"/>
    </row>
    <row r="149" spans="1:15" ht="15" customHeight="1" x14ac:dyDescent="0.25">
      <c r="A149" s="277">
        <v>44672</v>
      </c>
      <c r="B149" s="225" t="s">
        <v>339</v>
      </c>
      <c r="C149" s="183" t="s">
        <v>34</v>
      </c>
      <c r="D149" s="369" t="s">
        <v>4</v>
      </c>
      <c r="E149" s="211"/>
      <c r="F149" s="211">
        <v>15000</v>
      </c>
      <c r="G149" s="233">
        <f t="shared" si="3"/>
        <v>28210013</v>
      </c>
      <c r="H149" s="225" t="s">
        <v>49</v>
      </c>
      <c r="I149" s="274" t="s">
        <v>330</v>
      </c>
      <c r="J149" s="225" t="s">
        <v>166</v>
      </c>
      <c r="K149" s="178" t="s">
        <v>217</v>
      </c>
      <c r="L149" s="225" t="s">
        <v>185</v>
      </c>
      <c r="M149" s="178" t="s">
        <v>489</v>
      </c>
      <c r="N149" s="238" t="s">
        <v>415</v>
      </c>
      <c r="O149" s="225"/>
    </row>
    <row r="150" spans="1:15" ht="15" customHeight="1" x14ac:dyDescent="0.25">
      <c r="A150" s="277">
        <v>44673</v>
      </c>
      <c r="B150" s="225" t="s">
        <v>421</v>
      </c>
      <c r="C150" s="367" t="s">
        <v>157</v>
      </c>
      <c r="D150" s="369" t="s">
        <v>4</v>
      </c>
      <c r="E150" s="211"/>
      <c r="F150" s="213">
        <v>60000</v>
      </c>
      <c r="G150" s="233">
        <f t="shared" si="3"/>
        <v>28150013</v>
      </c>
      <c r="H150" s="225" t="s">
        <v>49</v>
      </c>
      <c r="I150" s="274" t="s">
        <v>330</v>
      </c>
      <c r="J150" s="225" t="s">
        <v>166</v>
      </c>
      <c r="K150" s="225" t="s">
        <v>217</v>
      </c>
      <c r="L150" s="225" t="s">
        <v>185</v>
      </c>
      <c r="M150" s="178" t="s">
        <v>490</v>
      </c>
      <c r="N150" s="308" t="s">
        <v>416</v>
      </c>
      <c r="O150" s="225"/>
    </row>
    <row r="151" spans="1:15" ht="15" customHeight="1" x14ac:dyDescent="0.25">
      <c r="A151" s="277">
        <v>44671</v>
      </c>
      <c r="B151" s="225" t="s">
        <v>348</v>
      </c>
      <c r="C151" s="183" t="s">
        <v>35</v>
      </c>
      <c r="D151" s="274" t="s">
        <v>279</v>
      </c>
      <c r="E151" s="211"/>
      <c r="F151" s="360">
        <v>900</v>
      </c>
      <c r="G151" s="233">
        <f t="shared" si="3"/>
        <v>28149113</v>
      </c>
      <c r="H151" s="225" t="s">
        <v>48</v>
      </c>
      <c r="I151" s="183" t="s">
        <v>232</v>
      </c>
      <c r="J151" s="225" t="s">
        <v>166</v>
      </c>
      <c r="K151" s="178" t="s">
        <v>216</v>
      </c>
      <c r="L151" s="225" t="s">
        <v>185</v>
      </c>
      <c r="N151" s="327"/>
      <c r="O151" s="225"/>
    </row>
    <row r="152" spans="1:15" ht="15" customHeight="1" x14ac:dyDescent="0.25">
      <c r="A152" s="277">
        <v>44672</v>
      </c>
      <c r="B152" s="224" t="s">
        <v>349</v>
      </c>
      <c r="C152" s="183" t="s">
        <v>34</v>
      </c>
      <c r="D152" s="274" t="s">
        <v>279</v>
      </c>
      <c r="E152" s="213"/>
      <c r="F152" s="360">
        <v>50000</v>
      </c>
      <c r="G152" s="233">
        <f t="shared" si="3"/>
        <v>28099113</v>
      </c>
      <c r="H152" s="225" t="s">
        <v>48</v>
      </c>
      <c r="I152" s="274" t="s">
        <v>232</v>
      </c>
      <c r="J152" s="225" t="s">
        <v>166</v>
      </c>
      <c r="K152" s="178" t="s">
        <v>216</v>
      </c>
      <c r="L152" s="225" t="s">
        <v>185</v>
      </c>
      <c r="N152" s="238"/>
      <c r="O152" s="229"/>
    </row>
    <row r="153" spans="1:15" ht="15" customHeight="1" x14ac:dyDescent="0.25">
      <c r="A153" s="277">
        <v>44672</v>
      </c>
      <c r="B153" s="225" t="s">
        <v>403</v>
      </c>
      <c r="C153" s="183" t="s">
        <v>174</v>
      </c>
      <c r="D153" s="274" t="s">
        <v>164</v>
      </c>
      <c r="E153" s="211"/>
      <c r="F153" s="211">
        <v>1500</v>
      </c>
      <c r="G153" s="233">
        <f t="shared" si="3"/>
        <v>28097613</v>
      </c>
      <c r="H153" s="225" t="s">
        <v>152</v>
      </c>
      <c r="I153" s="183" t="s">
        <v>232</v>
      </c>
      <c r="J153" s="225" t="s">
        <v>166</v>
      </c>
      <c r="K153" s="178" t="s">
        <v>216</v>
      </c>
      <c r="L153" s="225" t="s">
        <v>185</v>
      </c>
      <c r="O153" s="225"/>
    </row>
    <row r="154" spans="1:15" ht="15" customHeight="1" x14ac:dyDescent="0.25">
      <c r="A154" s="279">
        <v>44672</v>
      </c>
      <c r="B154" s="281" t="s">
        <v>351</v>
      </c>
      <c r="C154" s="183" t="s">
        <v>34</v>
      </c>
      <c r="D154" s="274" t="s">
        <v>279</v>
      </c>
      <c r="E154" s="212"/>
      <c r="F154" s="365">
        <v>16000</v>
      </c>
      <c r="G154" s="233">
        <f t="shared" si="3"/>
        <v>28081613</v>
      </c>
      <c r="H154" s="281" t="s">
        <v>48</v>
      </c>
      <c r="I154" s="183" t="s">
        <v>232</v>
      </c>
      <c r="J154" s="225" t="s">
        <v>166</v>
      </c>
      <c r="K154" s="178" t="s">
        <v>216</v>
      </c>
      <c r="L154" s="225" t="s">
        <v>185</v>
      </c>
      <c r="N154" s="238"/>
      <c r="O154" s="232"/>
    </row>
    <row r="155" spans="1:15" ht="15" customHeight="1" x14ac:dyDescent="0.25">
      <c r="A155" s="277">
        <v>44672</v>
      </c>
      <c r="B155" s="225" t="s">
        <v>350</v>
      </c>
      <c r="C155" s="183" t="s">
        <v>157</v>
      </c>
      <c r="D155" s="333" t="s">
        <v>279</v>
      </c>
      <c r="E155" s="211"/>
      <c r="F155" s="360">
        <v>7300</v>
      </c>
      <c r="G155" s="233">
        <f t="shared" si="3"/>
        <v>28074313</v>
      </c>
      <c r="H155" s="225" t="s">
        <v>48</v>
      </c>
      <c r="I155" s="183" t="s">
        <v>232</v>
      </c>
      <c r="J155" s="225" t="s">
        <v>166</v>
      </c>
      <c r="K155" s="225" t="s">
        <v>216</v>
      </c>
      <c r="L155" s="225" t="s">
        <v>185</v>
      </c>
      <c r="N155" s="225"/>
      <c r="O155" s="225"/>
    </row>
    <row r="156" spans="1:15" ht="17.25" customHeight="1" x14ac:dyDescent="0.25">
      <c r="A156" s="277">
        <v>44673</v>
      </c>
      <c r="B156" s="225" t="s">
        <v>390</v>
      </c>
      <c r="C156" s="183" t="s">
        <v>157</v>
      </c>
      <c r="D156" s="369" t="s">
        <v>4</v>
      </c>
      <c r="E156" s="213"/>
      <c r="F156" s="292">
        <v>30000</v>
      </c>
      <c r="G156" s="233">
        <f t="shared" si="3"/>
        <v>28044313</v>
      </c>
      <c r="H156" s="225" t="s">
        <v>29</v>
      </c>
      <c r="I156" s="274" t="s">
        <v>330</v>
      </c>
      <c r="J156" s="225" t="s">
        <v>166</v>
      </c>
      <c r="K156" s="225" t="s">
        <v>217</v>
      </c>
      <c r="L156" s="225" t="s">
        <v>185</v>
      </c>
      <c r="M156" s="178" t="s">
        <v>491</v>
      </c>
      <c r="N156" s="308" t="s">
        <v>416</v>
      </c>
      <c r="O156" s="225"/>
    </row>
    <row r="157" spans="1:15" ht="15" customHeight="1" x14ac:dyDescent="0.25">
      <c r="A157" s="277">
        <v>44673</v>
      </c>
      <c r="B157" s="225" t="s">
        <v>391</v>
      </c>
      <c r="C157" s="183" t="s">
        <v>34</v>
      </c>
      <c r="D157" s="369" t="s">
        <v>4</v>
      </c>
      <c r="E157" s="211"/>
      <c r="F157" s="360">
        <v>8000</v>
      </c>
      <c r="G157" s="233">
        <f t="shared" si="3"/>
        <v>28036313</v>
      </c>
      <c r="H157" s="225" t="s">
        <v>29</v>
      </c>
      <c r="I157" s="274" t="s">
        <v>232</v>
      </c>
      <c r="J157" s="225" t="s">
        <v>166</v>
      </c>
      <c r="K157" s="178" t="s">
        <v>217</v>
      </c>
      <c r="L157" s="225" t="s">
        <v>185</v>
      </c>
      <c r="M157" s="178" t="s">
        <v>492</v>
      </c>
      <c r="N157" s="238" t="s">
        <v>415</v>
      </c>
      <c r="O157" s="225"/>
    </row>
    <row r="158" spans="1:15" ht="14.25" customHeight="1" x14ac:dyDescent="0.25">
      <c r="A158" s="277">
        <v>44672</v>
      </c>
      <c r="B158" s="225" t="s">
        <v>352</v>
      </c>
      <c r="C158" s="367" t="s">
        <v>205</v>
      </c>
      <c r="D158" s="274" t="s">
        <v>279</v>
      </c>
      <c r="E158" s="213"/>
      <c r="F158" s="213">
        <v>110000</v>
      </c>
      <c r="G158" s="233">
        <f t="shared" si="3"/>
        <v>27926313</v>
      </c>
      <c r="H158" s="225" t="s">
        <v>48</v>
      </c>
      <c r="I158" s="274" t="s">
        <v>232</v>
      </c>
      <c r="J158" s="225" t="s">
        <v>166</v>
      </c>
      <c r="K158" s="178" t="s">
        <v>216</v>
      </c>
      <c r="L158" s="225" t="s">
        <v>185</v>
      </c>
      <c r="N158" s="225"/>
      <c r="O158" s="225"/>
    </row>
    <row r="159" spans="1:15" ht="15" customHeight="1" x14ac:dyDescent="0.25">
      <c r="A159" s="277">
        <v>44673</v>
      </c>
      <c r="B159" s="225" t="s">
        <v>273</v>
      </c>
      <c r="C159" s="183" t="s">
        <v>399</v>
      </c>
      <c r="D159" s="274" t="s">
        <v>164</v>
      </c>
      <c r="F159" s="360">
        <v>111000</v>
      </c>
      <c r="G159" s="233">
        <f t="shared" si="3"/>
        <v>27815313</v>
      </c>
      <c r="H159" s="225" t="s">
        <v>25</v>
      </c>
      <c r="I159" s="183" t="s">
        <v>232</v>
      </c>
      <c r="J159" s="183" t="s">
        <v>103</v>
      </c>
      <c r="K159" s="178" t="s">
        <v>217</v>
      </c>
      <c r="L159" s="225" t="s">
        <v>185</v>
      </c>
      <c r="M159" s="178" t="s">
        <v>493</v>
      </c>
      <c r="N159" s="177" t="s">
        <v>407</v>
      </c>
      <c r="O159" s="225"/>
    </row>
    <row r="160" spans="1:15" ht="15" hidden="1" customHeight="1" x14ac:dyDescent="0.25">
      <c r="A160" s="280">
        <v>44673</v>
      </c>
      <c r="B160" s="178" t="s">
        <v>48</v>
      </c>
      <c r="C160" s="183" t="s">
        <v>76</v>
      </c>
      <c r="D160" s="274"/>
      <c r="E160" s="218"/>
      <c r="F160" s="360">
        <v>45000</v>
      </c>
      <c r="G160" s="233">
        <f t="shared" si="3"/>
        <v>27770313</v>
      </c>
      <c r="H160" s="178" t="s">
        <v>25</v>
      </c>
      <c r="J160" s="225"/>
      <c r="K160" s="225"/>
      <c r="L160" s="225" t="s">
        <v>185</v>
      </c>
      <c r="O160" s="178"/>
    </row>
    <row r="161" spans="1:16" ht="15" hidden="1" customHeight="1" x14ac:dyDescent="0.25">
      <c r="A161" s="277">
        <v>44673</v>
      </c>
      <c r="B161" s="178" t="s">
        <v>215</v>
      </c>
      <c r="C161" s="183" t="s">
        <v>76</v>
      </c>
      <c r="D161" s="274"/>
      <c r="E161" s="220"/>
      <c r="F161" s="213">
        <v>3000</v>
      </c>
      <c r="G161" s="233">
        <f t="shared" si="3"/>
        <v>27767313</v>
      </c>
      <c r="H161" s="225" t="s">
        <v>25</v>
      </c>
      <c r="J161" s="225"/>
      <c r="K161" s="225"/>
      <c r="L161" s="225" t="s">
        <v>185</v>
      </c>
      <c r="O161" s="178"/>
      <c r="P161" s="232"/>
    </row>
    <row r="162" spans="1:16" ht="15" hidden="1" customHeight="1" x14ac:dyDescent="0.25">
      <c r="A162" s="277">
        <v>44673</v>
      </c>
      <c r="B162" s="224" t="s">
        <v>272</v>
      </c>
      <c r="C162" s="183" t="s">
        <v>76</v>
      </c>
      <c r="D162" s="183"/>
      <c r="F162" s="213">
        <v>92000</v>
      </c>
      <c r="G162" s="233">
        <f t="shared" si="3"/>
        <v>27675313</v>
      </c>
      <c r="H162" s="225" t="s">
        <v>25</v>
      </c>
      <c r="L162" s="225" t="s">
        <v>185</v>
      </c>
      <c r="N162" s="225"/>
      <c r="O162" s="225"/>
    </row>
    <row r="163" spans="1:16" ht="15" hidden="1" customHeight="1" x14ac:dyDescent="0.25">
      <c r="A163" s="280">
        <v>44673</v>
      </c>
      <c r="B163" s="225" t="s">
        <v>538</v>
      </c>
      <c r="C163" s="183" t="s">
        <v>76</v>
      </c>
      <c r="D163" s="274"/>
      <c r="E163" s="212">
        <v>92000</v>
      </c>
      <c r="F163" s="306"/>
      <c r="G163" s="233">
        <f t="shared" si="3"/>
        <v>27767313</v>
      </c>
      <c r="H163" s="281" t="s">
        <v>153</v>
      </c>
      <c r="J163" s="232"/>
      <c r="K163" s="281"/>
      <c r="L163" s="225" t="s">
        <v>185</v>
      </c>
      <c r="N163" s="295"/>
      <c r="O163" s="232"/>
    </row>
    <row r="164" spans="1:16" ht="16.5" hidden="1" customHeight="1" x14ac:dyDescent="0.25">
      <c r="A164" s="277">
        <v>44673</v>
      </c>
      <c r="B164" s="178" t="s">
        <v>535</v>
      </c>
      <c r="C164" s="335" t="s">
        <v>76</v>
      </c>
      <c r="D164" s="274"/>
      <c r="E164" s="211">
        <v>45000</v>
      </c>
      <c r="F164" s="211"/>
      <c r="G164" s="233">
        <f t="shared" si="3"/>
        <v>27812313</v>
      </c>
      <c r="H164" s="225" t="s">
        <v>48</v>
      </c>
      <c r="J164" s="225"/>
      <c r="L164" s="225" t="s">
        <v>185</v>
      </c>
      <c r="O164" s="225"/>
    </row>
    <row r="165" spans="1:16" ht="15" hidden="1" customHeight="1" x14ac:dyDescent="0.25">
      <c r="A165" s="277">
        <v>44673</v>
      </c>
      <c r="B165" s="225" t="s">
        <v>539</v>
      </c>
      <c r="C165" s="183" t="s">
        <v>76</v>
      </c>
      <c r="D165" s="274"/>
      <c r="E165" s="211">
        <v>3000</v>
      </c>
      <c r="F165" s="211"/>
      <c r="G165" s="233">
        <f t="shared" si="3"/>
        <v>27815313</v>
      </c>
      <c r="H165" s="225" t="s">
        <v>215</v>
      </c>
      <c r="I165" s="274"/>
      <c r="J165" s="225"/>
      <c r="K165" s="225"/>
      <c r="L165" s="225" t="s">
        <v>185</v>
      </c>
      <c r="N165" s="308"/>
      <c r="O165" s="225"/>
    </row>
    <row r="166" spans="1:16" ht="15" customHeight="1" x14ac:dyDescent="0.25">
      <c r="A166" s="277">
        <v>44673</v>
      </c>
      <c r="B166" s="225" t="s">
        <v>372</v>
      </c>
      <c r="C166" s="183" t="s">
        <v>218</v>
      </c>
      <c r="D166" s="274" t="s">
        <v>164</v>
      </c>
      <c r="E166" s="211"/>
      <c r="F166" s="211">
        <v>4000</v>
      </c>
      <c r="G166" s="233">
        <f t="shared" si="3"/>
        <v>27811313</v>
      </c>
      <c r="H166" s="225" t="s">
        <v>215</v>
      </c>
      <c r="I166" s="274" t="s">
        <v>247</v>
      </c>
      <c r="J166" s="225" t="s">
        <v>166</v>
      </c>
      <c r="K166" s="225" t="s">
        <v>216</v>
      </c>
      <c r="L166" s="225" t="s">
        <v>185</v>
      </c>
      <c r="N166" s="225"/>
      <c r="O166" s="225"/>
    </row>
    <row r="167" spans="1:16" ht="15" customHeight="1" x14ac:dyDescent="0.25">
      <c r="A167" s="277">
        <v>44673</v>
      </c>
      <c r="B167" s="178" t="s">
        <v>271</v>
      </c>
      <c r="C167" s="183" t="s">
        <v>184</v>
      </c>
      <c r="D167" s="274" t="s">
        <v>245</v>
      </c>
      <c r="E167" s="218"/>
      <c r="F167" s="211">
        <v>1350</v>
      </c>
      <c r="G167" s="233">
        <f t="shared" si="3"/>
        <v>27809963</v>
      </c>
      <c r="H167" s="178" t="s">
        <v>25</v>
      </c>
      <c r="I167" s="183" t="s">
        <v>232</v>
      </c>
      <c r="J167" s="178" t="s">
        <v>103</v>
      </c>
      <c r="K167" s="178" t="s">
        <v>217</v>
      </c>
      <c r="L167" s="225" t="s">
        <v>185</v>
      </c>
      <c r="M167" s="178" t="s">
        <v>494</v>
      </c>
      <c r="N167" s="177" t="s">
        <v>401</v>
      </c>
      <c r="O167" s="178"/>
    </row>
    <row r="168" spans="1:16" ht="15" customHeight="1" x14ac:dyDescent="0.25">
      <c r="A168" s="277">
        <v>44673</v>
      </c>
      <c r="B168" s="225" t="s">
        <v>353</v>
      </c>
      <c r="C168" s="183" t="s">
        <v>34</v>
      </c>
      <c r="D168" s="274" t="s">
        <v>231</v>
      </c>
      <c r="E168" s="213"/>
      <c r="F168" s="360">
        <v>15000</v>
      </c>
      <c r="G168" s="233">
        <f t="shared" si="3"/>
        <v>27794963</v>
      </c>
      <c r="H168" s="225" t="s">
        <v>48</v>
      </c>
      <c r="I168" s="183" t="s">
        <v>232</v>
      </c>
      <c r="J168" s="225" t="s">
        <v>166</v>
      </c>
      <c r="K168" s="178" t="s">
        <v>217</v>
      </c>
      <c r="L168" s="225" t="s">
        <v>185</v>
      </c>
      <c r="M168" s="178" t="s">
        <v>495</v>
      </c>
      <c r="N168" s="238" t="s">
        <v>415</v>
      </c>
      <c r="O168" s="225"/>
    </row>
    <row r="169" spans="1:16" ht="15" customHeight="1" x14ac:dyDescent="0.25">
      <c r="A169" s="277">
        <v>44674</v>
      </c>
      <c r="B169" s="178" t="s">
        <v>354</v>
      </c>
      <c r="C169" s="183" t="s">
        <v>157</v>
      </c>
      <c r="D169" s="274" t="s">
        <v>231</v>
      </c>
      <c r="F169" s="190">
        <v>60000</v>
      </c>
      <c r="G169" s="233">
        <f t="shared" si="3"/>
        <v>27734963</v>
      </c>
      <c r="H169" s="178" t="s">
        <v>48</v>
      </c>
      <c r="I169" s="183" t="s">
        <v>232</v>
      </c>
      <c r="J169" s="225" t="s">
        <v>166</v>
      </c>
      <c r="K169" s="225" t="s">
        <v>217</v>
      </c>
      <c r="L169" s="225" t="s">
        <v>185</v>
      </c>
      <c r="M169" s="178" t="s">
        <v>496</v>
      </c>
      <c r="N169" s="308" t="s">
        <v>416</v>
      </c>
      <c r="O169" s="178"/>
      <c r="P169" s="227"/>
    </row>
    <row r="170" spans="1:16" ht="16.5" customHeight="1" x14ac:dyDescent="0.25">
      <c r="A170" s="280">
        <v>44675</v>
      </c>
      <c r="B170" s="281" t="s">
        <v>323</v>
      </c>
      <c r="C170" s="183" t="s">
        <v>34</v>
      </c>
      <c r="D170" s="274" t="s">
        <v>164</v>
      </c>
      <c r="E170" s="212"/>
      <c r="F170" s="360">
        <v>15000</v>
      </c>
      <c r="G170" s="233">
        <f t="shared" si="3"/>
        <v>27719963</v>
      </c>
      <c r="H170" s="281" t="s">
        <v>153</v>
      </c>
      <c r="I170" s="183" t="s">
        <v>232</v>
      </c>
      <c r="J170" s="225" t="s">
        <v>166</v>
      </c>
      <c r="K170" s="178" t="s">
        <v>217</v>
      </c>
      <c r="L170" s="225" t="s">
        <v>185</v>
      </c>
      <c r="M170" s="178" t="s">
        <v>497</v>
      </c>
      <c r="N170" s="238" t="s">
        <v>415</v>
      </c>
      <c r="O170" s="225"/>
    </row>
    <row r="171" spans="1:16" ht="15" customHeight="1" x14ac:dyDescent="0.25">
      <c r="A171" s="280">
        <v>44676</v>
      </c>
      <c r="B171" s="274" t="s">
        <v>302</v>
      </c>
      <c r="C171" s="183" t="s">
        <v>182</v>
      </c>
      <c r="D171" s="274" t="s">
        <v>231</v>
      </c>
      <c r="F171" s="360">
        <v>1311914</v>
      </c>
      <c r="G171" s="233">
        <f t="shared" si="3"/>
        <v>26408049</v>
      </c>
      <c r="H171" s="225" t="s">
        <v>158</v>
      </c>
      <c r="I171" s="274">
        <v>3643653</v>
      </c>
      <c r="J171" s="183" t="s">
        <v>103</v>
      </c>
      <c r="K171" s="178" t="s">
        <v>217</v>
      </c>
      <c r="L171" s="225" t="s">
        <v>185</v>
      </c>
      <c r="M171" s="178" t="s">
        <v>498</v>
      </c>
      <c r="N171" s="308" t="s">
        <v>412</v>
      </c>
      <c r="O171" s="225"/>
    </row>
    <row r="172" spans="1:16" ht="15" customHeight="1" x14ac:dyDescent="0.25">
      <c r="A172" s="277">
        <v>44676</v>
      </c>
      <c r="B172" s="331" t="s">
        <v>307</v>
      </c>
      <c r="C172" s="183" t="s">
        <v>182</v>
      </c>
      <c r="D172" s="274" t="s">
        <v>165</v>
      </c>
      <c r="F172" s="360">
        <v>234309</v>
      </c>
      <c r="G172" s="233">
        <f t="shared" si="3"/>
        <v>26173740</v>
      </c>
      <c r="H172" s="225" t="s">
        <v>158</v>
      </c>
      <c r="I172" s="274">
        <v>3643652</v>
      </c>
      <c r="J172" s="183" t="s">
        <v>103</v>
      </c>
      <c r="K172" s="178" t="s">
        <v>217</v>
      </c>
      <c r="L172" s="225" t="s">
        <v>185</v>
      </c>
      <c r="M172" s="178" t="s">
        <v>499</v>
      </c>
      <c r="N172" s="308" t="s">
        <v>410</v>
      </c>
      <c r="O172" s="225"/>
    </row>
    <row r="173" spans="1:16" ht="15" customHeight="1" x14ac:dyDescent="0.25">
      <c r="A173" s="280">
        <v>44676</v>
      </c>
      <c r="B173" s="183" t="s">
        <v>306</v>
      </c>
      <c r="C173" s="183" t="s">
        <v>182</v>
      </c>
      <c r="D173" s="274" t="s">
        <v>164</v>
      </c>
      <c r="F173" s="213">
        <v>193600</v>
      </c>
      <c r="G173" s="233">
        <f t="shared" si="3"/>
        <v>25980140</v>
      </c>
      <c r="H173" s="225" t="s">
        <v>158</v>
      </c>
      <c r="I173" s="183">
        <v>3643650</v>
      </c>
      <c r="J173" s="183" t="s">
        <v>103</v>
      </c>
      <c r="K173" s="178" t="s">
        <v>217</v>
      </c>
      <c r="L173" s="225" t="s">
        <v>185</v>
      </c>
      <c r="M173" s="178" t="s">
        <v>500</v>
      </c>
      <c r="N173" s="177" t="s">
        <v>409</v>
      </c>
      <c r="O173" s="178"/>
      <c r="P173" s="226"/>
    </row>
    <row r="174" spans="1:16" ht="15" customHeight="1" x14ac:dyDescent="0.25">
      <c r="A174" s="277">
        <v>44676</v>
      </c>
      <c r="B174" s="326" t="s">
        <v>308</v>
      </c>
      <c r="C174" s="183" t="s">
        <v>182</v>
      </c>
      <c r="D174" s="274" t="s">
        <v>164</v>
      </c>
      <c r="F174" s="360">
        <v>357982</v>
      </c>
      <c r="G174" s="233">
        <f t="shared" si="3"/>
        <v>25622158</v>
      </c>
      <c r="H174" s="225" t="s">
        <v>158</v>
      </c>
      <c r="I174" s="294">
        <v>3643649</v>
      </c>
      <c r="J174" s="183" t="s">
        <v>103</v>
      </c>
      <c r="K174" s="178" t="s">
        <v>217</v>
      </c>
      <c r="L174" s="225" t="s">
        <v>185</v>
      </c>
      <c r="M174" s="178" t="s">
        <v>501</v>
      </c>
      <c r="N174" s="177" t="s">
        <v>409</v>
      </c>
      <c r="O174" s="225"/>
    </row>
    <row r="175" spans="1:16" ht="15" customHeight="1" x14ac:dyDescent="0.25">
      <c r="A175" s="277">
        <v>44676</v>
      </c>
      <c r="B175" s="333" t="s">
        <v>303</v>
      </c>
      <c r="C175" s="183" t="s">
        <v>182</v>
      </c>
      <c r="D175" s="274" t="s">
        <v>231</v>
      </c>
      <c r="F175" s="360">
        <v>300000</v>
      </c>
      <c r="G175" s="233">
        <f t="shared" si="3"/>
        <v>25322158</v>
      </c>
      <c r="H175" s="225" t="s">
        <v>158</v>
      </c>
      <c r="I175" s="274">
        <v>3643651</v>
      </c>
      <c r="J175" s="183" t="s">
        <v>103</v>
      </c>
      <c r="K175" s="178" t="s">
        <v>217</v>
      </c>
      <c r="L175" s="225" t="s">
        <v>185</v>
      </c>
      <c r="M175" s="178" t="s">
        <v>502</v>
      </c>
      <c r="N175" s="238" t="s">
        <v>411</v>
      </c>
      <c r="O175" s="226"/>
      <c r="P175" s="227"/>
    </row>
    <row r="176" spans="1:16" ht="15" customHeight="1" x14ac:dyDescent="0.25">
      <c r="A176" s="277">
        <v>44676</v>
      </c>
      <c r="B176" s="333" t="s">
        <v>305</v>
      </c>
      <c r="C176" s="183" t="s">
        <v>182</v>
      </c>
      <c r="D176" s="274" t="s">
        <v>231</v>
      </c>
      <c r="F176" s="360">
        <v>350000</v>
      </c>
      <c r="G176" s="233">
        <f t="shared" si="3"/>
        <v>24972158</v>
      </c>
      <c r="H176" s="225" t="s">
        <v>158</v>
      </c>
      <c r="I176" s="183" t="s">
        <v>304</v>
      </c>
      <c r="J176" s="183" t="s">
        <v>103</v>
      </c>
      <c r="K176" s="178" t="s">
        <v>217</v>
      </c>
      <c r="L176" s="225" t="s">
        <v>185</v>
      </c>
      <c r="M176" s="178" t="s">
        <v>503</v>
      </c>
      <c r="N176" s="177" t="s">
        <v>411</v>
      </c>
      <c r="O176" s="178"/>
    </row>
    <row r="177" spans="1:16" ht="15" customHeight="1" x14ac:dyDescent="0.25">
      <c r="A177" s="280">
        <v>44676</v>
      </c>
      <c r="B177" s="281" t="s">
        <v>324</v>
      </c>
      <c r="C177" s="183" t="s">
        <v>157</v>
      </c>
      <c r="D177" s="274" t="s">
        <v>164</v>
      </c>
      <c r="E177" s="212"/>
      <c r="F177" s="212">
        <v>20000</v>
      </c>
      <c r="G177" s="233">
        <f t="shared" si="3"/>
        <v>24952158</v>
      </c>
      <c r="H177" s="237" t="s">
        <v>153</v>
      </c>
      <c r="I177" s="274" t="s">
        <v>247</v>
      </c>
      <c r="J177" s="225" t="s">
        <v>166</v>
      </c>
      <c r="K177" s="225" t="s">
        <v>217</v>
      </c>
      <c r="L177" s="225" t="s">
        <v>185</v>
      </c>
      <c r="M177" s="178" t="s">
        <v>504</v>
      </c>
      <c r="N177" s="308" t="s">
        <v>416</v>
      </c>
      <c r="O177" s="225"/>
    </row>
    <row r="178" spans="1:16" ht="15" customHeight="1" x14ac:dyDescent="0.25">
      <c r="A178" s="277">
        <v>44676</v>
      </c>
      <c r="B178" s="225" t="s">
        <v>313</v>
      </c>
      <c r="C178" s="183" t="s">
        <v>34</v>
      </c>
      <c r="D178" s="274" t="s">
        <v>231</v>
      </c>
      <c r="E178" s="211"/>
      <c r="F178" s="360">
        <v>20000</v>
      </c>
      <c r="G178" s="233">
        <f t="shared" si="3"/>
        <v>24932158</v>
      </c>
      <c r="H178" s="225" t="s">
        <v>94</v>
      </c>
      <c r="I178" s="274" t="s">
        <v>247</v>
      </c>
      <c r="J178" s="225" t="s">
        <v>166</v>
      </c>
      <c r="K178" s="178" t="s">
        <v>217</v>
      </c>
      <c r="L178" s="225" t="s">
        <v>185</v>
      </c>
      <c r="M178" s="178" t="s">
        <v>505</v>
      </c>
      <c r="N178" s="238" t="s">
        <v>415</v>
      </c>
      <c r="O178" s="225"/>
    </row>
    <row r="179" spans="1:16" ht="14.25" customHeight="1" x14ac:dyDescent="0.25">
      <c r="A179" s="277">
        <v>44676</v>
      </c>
      <c r="B179" s="225" t="s">
        <v>340</v>
      </c>
      <c r="C179" s="183" t="s">
        <v>34</v>
      </c>
      <c r="D179" s="369" t="s">
        <v>4</v>
      </c>
      <c r="E179" s="211"/>
      <c r="F179" s="211">
        <v>10000</v>
      </c>
      <c r="G179" s="233">
        <f t="shared" si="3"/>
        <v>24922158</v>
      </c>
      <c r="H179" s="225" t="s">
        <v>49</v>
      </c>
      <c r="I179" s="274" t="s">
        <v>330</v>
      </c>
      <c r="J179" s="225" t="s">
        <v>166</v>
      </c>
      <c r="K179" s="178" t="s">
        <v>217</v>
      </c>
      <c r="L179" s="225" t="s">
        <v>185</v>
      </c>
      <c r="M179" s="178" t="s">
        <v>506</v>
      </c>
      <c r="N179" s="238" t="s">
        <v>415</v>
      </c>
      <c r="O179" s="225"/>
    </row>
    <row r="180" spans="1:16" ht="15" customHeight="1" x14ac:dyDescent="0.25">
      <c r="A180" s="277">
        <v>44676</v>
      </c>
      <c r="B180" s="225" t="s">
        <v>356</v>
      </c>
      <c r="C180" s="183" t="s">
        <v>34</v>
      </c>
      <c r="D180" s="274" t="s">
        <v>231</v>
      </c>
      <c r="E180" s="211"/>
      <c r="F180" s="211">
        <v>7000</v>
      </c>
      <c r="G180" s="233">
        <f t="shared" si="3"/>
        <v>24915158</v>
      </c>
      <c r="H180" s="225" t="s">
        <v>48</v>
      </c>
      <c r="I180" s="274" t="s">
        <v>232</v>
      </c>
      <c r="J180" s="225" t="s">
        <v>166</v>
      </c>
      <c r="K180" s="178" t="s">
        <v>217</v>
      </c>
      <c r="L180" s="225" t="s">
        <v>185</v>
      </c>
      <c r="M180" s="178" t="s">
        <v>507</v>
      </c>
      <c r="N180" s="238" t="s">
        <v>415</v>
      </c>
      <c r="O180" s="225"/>
    </row>
    <row r="181" spans="1:16" ht="15" customHeight="1" x14ac:dyDescent="0.25">
      <c r="A181" s="277">
        <v>44676</v>
      </c>
      <c r="B181" s="225" t="s">
        <v>277</v>
      </c>
      <c r="C181" s="183" t="s">
        <v>35</v>
      </c>
      <c r="D181" s="274" t="s">
        <v>245</v>
      </c>
      <c r="E181" s="211"/>
      <c r="F181" s="211">
        <v>40000</v>
      </c>
      <c r="G181" s="233">
        <f t="shared" si="3"/>
        <v>24875158</v>
      </c>
      <c r="H181" s="225" t="s">
        <v>25</v>
      </c>
      <c r="I181" s="183" t="s">
        <v>232</v>
      </c>
      <c r="J181" s="183" t="s">
        <v>166</v>
      </c>
      <c r="K181" s="178" t="s">
        <v>217</v>
      </c>
      <c r="L181" s="225" t="s">
        <v>185</v>
      </c>
      <c r="M181" s="178" t="s">
        <v>508</v>
      </c>
      <c r="N181" s="308" t="s">
        <v>408</v>
      </c>
      <c r="O181" s="225"/>
    </row>
    <row r="182" spans="1:16" ht="15" hidden="1" customHeight="1" x14ac:dyDescent="0.25">
      <c r="A182" s="280">
        <v>44676</v>
      </c>
      <c r="B182" s="225" t="s">
        <v>256</v>
      </c>
      <c r="C182" s="324" t="s">
        <v>76</v>
      </c>
      <c r="D182" s="334"/>
      <c r="E182" s="237">
        <v>2000000</v>
      </c>
      <c r="F182" s="213"/>
      <c r="G182" s="233">
        <f t="shared" si="3"/>
        <v>26875158</v>
      </c>
      <c r="H182" s="178" t="s">
        <v>25</v>
      </c>
      <c r="L182" s="225" t="s">
        <v>185</v>
      </c>
      <c r="O182" s="225"/>
    </row>
    <row r="183" spans="1:16" ht="15" hidden="1" customHeight="1" x14ac:dyDescent="0.25">
      <c r="A183" s="277">
        <v>44676</v>
      </c>
      <c r="B183" s="225" t="s">
        <v>214</v>
      </c>
      <c r="C183" s="325" t="s">
        <v>76</v>
      </c>
      <c r="D183" s="328"/>
      <c r="E183" s="225"/>
      <c r="F183" s="213">
        <v>15000</v>
      </c>
      <c r="G183" s="233">
        <f t="shared" si="3"/>
        <v>26860158</v>
      </c>
      <c r="H183" s="178" t="s">
        <v>25</v>
      </c>
      <c r="L183" s="225" t="s">
        <v>185</v>
      </c>
      <c r="O183" s="225"/>
    </row>
    <row r="184" spans="1:16" ht="15" hidden="1" customHeight="1" x14ac:dyDescent="0.25">
      <c r="A184" s="280">
        <v>44676</v>
      </c>
      <c r="B184" s="208" t="s">
        <v>215</v>
      </c>
      <c r="C184" s="329" t="s">
        <v>76</v>
      </c>
      <c r="D184" s="183"/>
      <c r="E184" s="209"/>
      <c r="F184" s="213">
        <v>15000</v>
      </c>
      <c r="G184" s="233">
        <f t="shared" si="3"/>
        <v>26845158</v>
      </c>
      <c r="H184" s="178" t="s">
        <v>25</v>
      </c>
      <c r="L184" s="225" t="s">
        <v>185</v>
      </c>
      <c r="O184" s="178"/>
    </row>
    <row r="185" spans="1:16" ht="15" hidden="1" customHeight="1" x14ac:dyDescent="0.25">
      <c r="A185" s="277">
        <v>44676</v>
      </c>
      <c r="B185" s="178" t="s">
        <v>29</v>
      </c>
      <c r="C185" s="183" t="s">
        <v>76</v>
      </c>
      <c r="D185" s="333"/>
      <c r="E185" s="220"/>
      <c r="F185" s="213">
        <v>138000</v>
      </c>
      <c r="G185" s="233">
        <f t="shared" si="3"/>
        <v>26707158</v>
      </c>
      <c r="H185" s="225" t="s">
        <v>25</v>
      </c>
      <c r="J185" s="178"/>
      <c r="L185" s="225" t="s">
        <v>185</v>
      </c>
      <c r="O185" s="178"/>
      <c r="P185" s="232"/>
    </row>
    <row r="186" spans="1:16" ht="15" hidden="1" customHeight="1" x14ac:dyDescent="0.25">
      <c r="A186" s="277">
        <v>44676</v>
      </c>
      <c r="B186" s="178" t="s">
        <v>48</v>
      </c>
      <c r="C186" s="183" t="s">
        <v>76</v>
      </c>
      <c r="D186" s="274"/>
      <c r="E186" s="220"/>
      <c r="F186" s="213">
        <v>126000</v>
      </c>
      <c r="G186" s="233">
        <f t="shared" si="3"/>
        <v>26581158</v>
      </c>
      <c r="H186" s="225" t="s">
        <v>25</v>
      </c>
      <c r="J186" s="178"/>
      <c r="L186" s="225" t="s">
        <v>185</v>
      </c>
      <c r="O186" s="178"/>
    </row>
    <row r="187" spans="1:16" ht="15" hidden="1" customHeight="1" x14ac:dyDescent="0.25">
      <c r="A187" s="279">
        <v>44676</v>
      </c>
      <c r="B187" s="281" t="s">
        <v>30</v>
      </c>
      <c r="C187" s="183" t="s">
        <v>76</v>
      </c>
      <c r="D187" s="274"/>
      <c r="E187" s="212"/>
      <c r="F187" s="306">
        <v>83000</v>
      </c>
      <c r="G187" s="233">
        <f t="shared" si="3"/>
        <v>26498158</v>
      </c>
      <c r="H187" s="281" t="s">
        <v>25</v>
      </c>
      <c r="J187" s="225"/>
      <c r="K187" s="225"/>
      <c r="L187" s="225" t="s">
        <v>185</v>
      </c>
      <c r="N187" s="308"/>
      <c r="O187" s="232"/>
    </row>
    <row r="188" spans="1:16" ht="15" customHeight="1" x14ac:dyDescent="0.25">
      <c r="A188" s="277">
        <v>44676</v>
      </c>
      <c r="B188" s="225" t="s">
        <v>274</v>
      </c>
      <c r="C188" s="183" t="s">
        <v>205</v>
      </c>
      <c r="D188" s="274" t="s">
        <v>165</v>
      </c>
      <c r="E188" s="213"/>
      <c r="F188" s="360">
        <v>29000</v>
      </c>
      <c r="G188" s="233">
        <f t="shared" si="3"/>
        <v>26469158</v>
      </c>
      <c r="H188" s="225" t="s">
        <v>25</v>
      </c>
      <c r="I188" s="183" t="s">
        <v>247</v>
      </c>
      <c r="J188" s="225" t="s">
        <v>166</v>
      </c>
      <c r="K188" s="178" t="s">
        <v>216</v>
      </c>
      <c r="L188" s="225" t="s">
        <v>185</v>
      </c>
      <c r="N188" s="308"/>
      <c r="O188" s="225"/>
    </row>
    <row r="189" spans="1:16" ht="15" customHeight="1" x14ac:dyDescent="0.25">
      <c r="A189" s="277">
        <v>44676</v>
      </c>
      <c r="B189" s="178" t="s">
        <v>275</v>
      </c>
      <c r="C189" s="183" t="s">
        <v>205</v>
      </c>
      <c r="D189" s="333" t="s">
        <v>165</v>
      </c>
      <c r="E189" s="220"/>
      <c r="F189" s="213">
        <v>29000</v>
      </c>
      <c r="G189" s="233">
        <f t="shared" si="3"/>
        <v>26440158</v>
      </c>
      <c r="H189" s="225" t="s">
        <v>25</v>
      </c>
      <c r="I189" s="183" t="s">
        <v>247</v>
      </c>
      <c r="J189" s="225" t="s">
        <v>166</v>
      </c>
      <c r="K189" s="178" t="s">
        <v>216</v>
      </c>
      <c r="L189" s="225" t="s">
        <v>185</v>
      </c>
      <c r="O189" s="178"/>
    </row>
    <row r="190" spans="1:16" ht="15" customHeight="1" x14ac:dyDescent="0.25">
      <c r="A190" s="277">
        <v>44676</v>
      </c>
      <c r="B190" s="178" t="s">
        <v>418</v>
      </c>
      <c r="C190" s="183" t="s">
        <v>3</v>
      </c>
      <c r="D190" s="274" t="s">
        <v>245</v>
      </c>
      <c r="E190" s="220"/>
      <c r="F190" s="360">
        <v>75625</v>
      </c>
      <c r="G190" s="233">
        <f t="shared" si="3"/>
        <v>26364533</v>
      </c>
      <c r="H190" s="225" t="s">
        <v>25</v>
      </c>
      <c r="I190" s="183" t="s">
        <v>232</v>
      </c>
      <c r="J190" s="225" t="s">
        <v>166</v>
      </c>
      <c r="K190" s="225" t="s">
        <v>216</v>
      </c>
      <c r="L190" s="225" t="s">
        <v>185</v>
      </c>
      <c r="N190" s="238"/>
      <c r="O190" s="226"/>
    </row>
    <row r="191" spans="1:16" ht="15" customHeight="1" x14ac:dyDescent="0.25">
      <c r="A191" s="277">
        <v>44676</v>
      </c>
      <c r="B191" s="225" t="s">
        <v>278</v>
      </c>
      <c r="C191" s="183" t="s">
        <v>205</v>
      </c>
      <c r="D191" s="274" t="s">
        <v>279</v>
      </c>
      <c r="E191" s="211"/>
      <c r="F191" s="211">
        <v>30000</v>
      </c>
      <c r="G191" s="233">
        <f t="shared" si="3"/>
        <v>26334533</v>
      </c>
      <c r="H191" s="225" t="s">
        <v>25</v>
      </c>
      <c r="I191" s="183" t="s">
        <v>247</v>
      </c>
      <c r="J191" s="225" t="s">
        <v>166</v>
      </c>
      <c r="K191" s="178" t="s">
        <v>216</v>
      </c>
      <c r="L191" s="225" t="s">
        <v>185</v>
      </c>
      <c r="N191" s="225"/>
      <c r="O191" s="225"/>
    </row>
    <row r="192" spans="1:16" ht="15" customHeight="1" x14ac:dyDescent="0.25">
      <c r="A192" s="278">
        <v>44676</v>
      </c>
      <c r="B192" s="225" t="s">
        <v>280</v>
      </c>
      <c r="C192" s="183" t="s">
        <v>205</v>
      </c>
      <c r="D192" s="274" t="s">
        <v>164</v>
      </c>
      <c r="E192" s="302"/>
      <c r="F192" s="361">
        <v>20000</v>
      </c>
      <c r="G192" s="233">
        <f t="shared" si="3"/>
        <v>26314533</v>
      </c>
      <c r="H192" s="229" t="s">
        <v>25</v>
      </c>
      <c r="I192" s="183" t="s">
        <v>247</v>
      </c>
      <c r="J192" s="225" t="s">
        <v>166</v>
      </c>
      <c r="K192" s="178" t="s">
        <v>216</v>
      </c>
      <c r="L192" s="225" t="s">
        <v>185</v>
      </c>
      <c r="N192" s="225"/>
      <c r="O192" s="229"/>
    </row>
    <row r="193" spans="1:16" ht="15" customHeight="1" x14ac:dyDescent="0.25">
      <c r="A193" s="277">
        <v>44676</v>
      </c>
      <c r="B193" s="225" t="s">
        <v>281</v>
      </c>
      <c r="C193" s="183" t="s">
        <v>205</v>
      </c>
      <c r="D193" s="333" t="s">
        <v>165</v>
      </c>
      <c r="E193" s="213"/>
      <c r="F193" s="213">
        <v>20000</v>
      </c>
      <c r="G193" s="233">
        <f t="shared" si="3"/>
        <v>26294533</v>
      </c>
      <c r="H193" s="225" t="s">
        <v>25</v>
      </c>
      <c r="I193" s="183" t="s">
        <v>247</v>
      </c>
      <c r="J193" s="225" t="s">
        <v>166</v>
      </c>
      <c r="K193" s="178" t="s">
        <v>216</v>
      </c>
      <c r="L193" s="225" t="s">
        <v>185</v>
      </c>
      <c r="N193" s="225"/>
      <c r="O193" s="225"/>
    </row>
    <row r="194" spans="1:16" ht="15" hidden="1" customHeight="1" x14ac:dyDescent="0.25">
      <c r="A194" s="277">
        <v>44676</v>
      </c>
      <c r="B194" s="333" t="s">
        <v>292</v>
      </c>
      <c r="C194" s="183" t="s">
        <v>76</v>
      </c>
      <c r="D194" s="331"/>
      <c r="F194" s="213">
        <v>2000000</v>
      </c>
      <c r="G194" s="233">
        <f t="shared" si="3"/>
        <v>24294533</v>
      </c>
      <c r="H194" s="178" t="s">
        <v>24</v>
      </c>
      <c r="I194" s="274"/>
      <c r="L194" s="225" t="s">
        <v>185</v>
      </c>
      <c r="O194" s="178"/>
    </row>
    <row r="195" spans="1:16" ht="15.75" customHeight="1" x14ac:dyDescent="0.25">
      <c r="A195" s="277">
        <v>44676</v>
      </c>
      <c r="B195" s="225" t="s">
        <v>282</v>
      </c>
      <c r="C195" s="183" t="s">
        <v>140</v>
      </c>
      <c r="D195" s="274" t="s">
        <v>245</v>
      </c>
      <c r="E195" s="213"/>
      <c r="F195" s="360">
        <v>89175</v>
      </c>
      <c r="G195" s="233">
        <f t="shared" si="3"/>
        <v>24205358</v>
      </c>
      <c r="H195" s="225" t="s">
        <v>25</v>
      </c>
      <c r="I195" s="183" t="s">
        <v>232</v>
      </c>
      <c r="J195" s="225" t="s">
        <v>166</v>
      </c>
      <c r="K195" s="225" t="s">
        <v>217</v>
      </c>
      <c r="L195" s="225" t="s">
        <v>185</v>
      </c>
      <c r="M195" s="178" t="s">
        <v>509</v>
      </c>
      <c r="N195" s="308" t="s">
        <v>405</v>
      </c>
      <c r="O195" s="225"/>
    </row>
    <row r="196" spans="1:16" ht="15" customHeight="1" x14ac:dyDescent="0.25">
      <c r="A196" s="280">
        <v>44676</v>
      </c>
      <c r="B196" s="184" t="s">
        <v>276</v>
      </c>
      <c r="C196" s="183" t="s">
        <v>399</v>
      </c>
      <c r="D196" s="274" t="s">
        <v>164</v>
      </c>
      <c r="E196" s="221"/>
      <c r="F196" s="212">
        <v>70000</v>
      </c>
      <c r="G196" s="233">
        <f t="shared" si="3"/>
        <v>24135358</v>
      </c>
      <c r="H196" s="205" t="s">
        <v>25</v>
      </c>
      <c r="I196" s="183" t="s">
        <v>232</v>
      </c>
      <c r="J196" s="183" t="s">
        <v>103</v>
      </c>
      <c r="K196" s="178" t="s">
        <v>217</v>
      </c>
      <c r="L196" s="225" t="s">
        <v>185</v>
      </c>
      <c r="M196" s="178" t="s">
        <v>510</v>
      </c>
      <c r="N196" s="177" t="s">
        <v>407</v>
      </c>
      <c r="O196" s="178"/>
      <c r="P196" s="226"/>
    </row>
    <row r="197" spans="1:16" ht="15" customHeight="1" x14ac:dyDescent="0.25">
      <c r="A197" s="277">
        <v>44676</v>
      </c>
      <c r="B197" s="225" t="s">
        <v>311</v>
      </c>
      <c r="C197" s="183" t="s">
        <v>35</v>
      </c>
      <c r="D197" s="274" t="s">
        <v>231</v>
      </c>
      <c r="E197" s="213"/>
      <c r="F197" s="292">
        <v>1000</v>
      </c>
      <c r="G197" s="233">
        <f t="shared" si="3"/>
        <v>24134358</v>
      </c>
      <c r="H197" s="225" t="s">
        <v>152</v>
      </c>
      <c r="I197" s="274" t="s">
        <v>232</v>
      </c>
      <c r="J197" s="178" t="s">
        <v>166</v>
      </c>
      <c r="K197" s="289" t="s">
        <v>216</v>
      </c>
      <c r="L197" s="225" t="s">
        <v>185</v>
      </c>
      <c r="N197" s="225"/>
      <c r="O197" s="225"/>
    </row>
    <row r="198" spans="1:16" ht="15" hidden="1" customHeight="1" x14ac:dyDescent="0.25">
      <c r="A198" s="277">
        <v>44676</v>
      </c>
      <c r="B198" s="225" t="s">
        <v>540</v>
      </c>
      <c r="C198" s="183" t="s">
        <v>76</v>
      </c>
      <c r="D198" s="183"/>
      <c r="E198" s="220">
        <v>83000</v>
      </c>
      <c r="F198" s="360"/>
      <c r="G198" s="233">
        <f t="shared" si="3"/>
        <v>24217358</v>
      </c>
      <c r="H198" s="178" t="s">
        <v>49</v>
      </c>
      <c r="J198" s="178"/>
      <c r="L198" s="225" t="s">
        <v>185</v>
      </c>
      <c r="O198" s="178"/>
      <c r="P198" s="232"/>
    </row>
    <row r="199" spans="1:16" ht="15" hidden="1" customHeight="1" x14ac:dyDescent="0.25">
      <c r="A199" s="280">
        <v>44676</v>
      </c>
      <c r="B199" s="178" t="s">
        <v>535</v>
      </c>
      <c r="C199" s="183" t="s">
        <v>76</v>
      </c>
      <c r="D199" s="274"/>
      <c r="E199" s="212">
        <v>126000</v>
      </c>
      <c r="F199" s="212"/>
      <c r="G199" s="233">
        <f t="shared" si="3"/>
        <v>24343358</v>
      </c>
      <c r="H199" s="237" t="s">
        <v>48</v>
      </c>
      <c r="I199" s="274"/>
      <c r="J199" s="225"/>
      <c r="L199" s="225" t="s">
        <v>185</v>
      </c>
      <c r="N199" s="327"/>
      <c r="O199" s="225"/>
    </row>
    <row r="200" spans="1:16" ht="15" hidden="1" customHeight="1" x14ac:dyDescent="0.25">
      <c r="A200" s="277">
        <v>44676</v>
      </c>
      <c r="B200" s="225" t="s">
        <v>545</v>
      </c>
      <c r="C200" s="183" t="s">
        <v>363</v>
      </c>
      <c r="D200" s="294"/>
      <c r="E200" s="195">
        <v>15000</v>
      </c>
      <c r="F200" s="360"/>
      <c r="G200" s="233">
        <f t="shared" si="3"/>
        <v>24358358</v>
      </c>
      <c r="H200" s="225" t="s">
        <v>214</v>
      </c>
      <c r="I200" s="274"/>
      <c r="J200" s="225"/>
      <c r="K200" s="225"/>
      <c r="L200" s="225" t="s">
        <v>185</v>
      </c>
      <c r="N200" s="225"/>
      <c r="O200" s="225"/>
    </row>
    <row r="201" spans="1:16" ht="15" hidden="1" customHeight="1" x14ac:dyDescent="0.25">
      <c r="A201" s="284">
        <v>44676</v>
      </c>
      <c r="B201" s="225" t="s">
        <v>539</v>
      </c>
      <c r="C201" s="183" t="s">
        <v>76</v>
      </c>
      <c r="D201" s="338"/>
      <c r="E201" s="222">
        <v>15000</v>
      </c>
      <c r="F201" s="214"/>
      <c r="G201" s="233">
        <f t="shared" si="3"/>
        <v>24373358</v>
      </c>
      <c r="H201" s="209" t="s">
        <v>215</v>
      </c>
      <c r="L201" s="225" t="s">
        <v>185</v>
      </c>
      <c r="O201" s="178"/>
    </row>
    <row r="202" spans="1:16" ht="15" hidden="1" customHeight="1" x14ac:dyDescent="0.25">
      <c r="A202" s="277">
        <v>44676</v>
      </c>
      <c r="B202" s="225" t="s">
        <v>542</v>
      </c>
      <c r="C202" s="183" t="s">
        <v>76</v>
      </c>
      <c r="D202" s="333"/>
      <c r="E202" s="213">
        <v>138000</v>
      </c>
      <c r="F202" s="360"/>
      <c r="G202" s="233">
        <f t="shared" si="3"/>
        <v>24511358</v>
      </c>
      <c r="H202" s="225" t="s">
        <v>29</v>
      </c>
      <c r="I202" s="274"/>
      <c r="J202" s="225"/>
      <c r="K202" s="225"/>
      <c r="L202" s="225" t="s">
        <v>185</v>
      </c>
      <c r="N202" s="225"/>
      <c r="O202" s="225"/>
    </row>
    <row r="203" spans="1:16" ht="15" customHeight="1" x14ac:dyDescent="0.25">
      <c r="A203" s="277">
        <v>44677</v>
      </c>
      <c r="B203" s="225" t="s">
        <v>392</v>
      </c>
      <c r="C203" s="183" t="s">
        <v>157</v>
      </c>
      <c r="D203" s="369" t="s">
        <v>4</v>
      </c>
      <c r="E203" s="211"/>
      <c r="F203" s="213">
        <v>20000</v>
      </c>
      <c r="G203" s="233">
        <f t="shared" si="3"/>
        <v>24491358</v>
      </c>
      <c r="H203" s="225" t="s">
        <v>29</v>
      </c>
      <c r="I203" s="274" t="s">
        <v>378</v>
      </c>
      <c r="J203" s="225" t="s">
        <v>166</v>
      </c>
      <c r="K203" s="225" t="s">
        <v>217</v>
      </c>
      <c r="L203" s="225" t="s">
        <v>185</v>
      </c>
      <c r="M203" s="178" t="s">
        <v>511</v>
      </c>
      <c r="N203" s="308" t="s">
        <v>416</v>
      </c>
      <c r="O203" s="225"/>
    </row>
    <row r="204" spans="1:16" ht="15" customHeight="1" x14ac:dyDescent="0.25">
      <c r="A204" s="277">
        <v>44677</v>
      </c>
      <c r="B204" s="225" t="s">
        <v>393</v>
      </c>
      <c r="C204" s="183" t="s">
        <v>34</v>
      </c>
      <c r="D204" s="369" t="s">
        <v>4</v>
      </c>
      <c r="E204" s="211"/>
      <c r="F204" s="213">
        <v>6000</v>
      </c>
      <c r="G204" s="233">
        <f t="shared" si="3"/>
        <v>24485358</v>
      </c>
      <c r="H204" s="225" t="s">
        <v>29</v>
      </c>
      <c r="I204" s="274" t="s">
        <v>232</v>
      </c>
      <c r="J204" s="225" t="s">
        <v>166</v>
      </c>
      <c r="K204" s="178" t="s">
        <v>217</v>
      </c>
      <c r="L204" s="225" t="s">
        <v>185</v>
      </c>
      <c r="M204" s="178" t="s">
        <v>512</v>
      </c>
      <c r="N204" s="238" t="s">
        <v>415</v>
      </c>
      <c r="O204" s="225"/>
    </row>
    <row r="205" spans="1:16" ht="15" customHeight="1" x14ac:dyDescent="0.25">
      <c r="A205" s="277">
        <v>44677</v>
      </c>
      <c r="B205" s="225" t="s">
        <v>341</v>
      </c>
      <c r="C205" s="183" t="s">
        <v>157</v>
      </c>
      <c r="D205" s="369" t="s">
        <v>4</v>
      </c>
      <c r="E205" s="213"/>
      <c r="F205" s="213">
        <v>20000</v>
      </c>
      <c r="G205" s="233">
        <f t="shared" si="3"/>
        <v>24465358</v>
      </c>
      <c r="H205" s="225" t="s">
        <v>49</v>
      </c>
      <c r="I205" s="326" t="s">
        <v>247</v>
      </c>
      <c r="J205" s="225" t="s">
        <v>166</v>
      </c>
      <c r="K205" s="225" t="s">
        <v>217</v>
      </c>
      <c r="L205" s="225" t="s">
        <v>185</v>
      </c>
      <c r="M205" s="178" t="s">
        <v>513</v>
      </c>
      <c r="N205" s="308" t="s">
        <v>416</v>
      </c>
      <c r="O205" s="229"/>
    </row>
    <row r="206" spans="1:16" ht="16.5" customHeight="1" x14ac:dyDescent="0.25">
      <c r="A206" s="277">
        <v>44677</v>
      </c>
      <c r="B206" s="224" t="s">
        <v>368</v>
      </c>
      <c r="C206" s="183" t="s">
        <v>34</v>
      </c>
      <c r="D206" s="274" t="s">
        <v>231</v>
      </c>
      <c r="E206" s="225"/>
      <c r="F206" s="213">
        <v>6000</v>
      </c>
      <c r="G206" s="233">
        <f t="shared" ref="G206:G247" si="4">+G205+E206-F206</f>
        <v>24459358</v>
      </c>
      <c r="H206" s="178" t="s">
        <v>114</v>
      </c>
      <c r="I206" s="283" t="s">
        <v>247</v>
      </c>
      <c r="J206" s="225" t="s">
        <v>166</v>
      </c>
      <c r="K206" s="178" t="s">
        <v>217</v>
      </c>
      <c r="L206" s="225" t="s">
        <v>185</v>
      </c>
      <c r="M206" s="178" t="s">
        <v>514</v>
      </c>
      <c r="N206" s="238" t="s">
        <v>415</v>
      </c>
      <c r="O206" s="225"/>
    </row>
    <row r="207" spans="1:16" ht="15" customHeight="1" x14ac:dyDescent="0.25">
      <c r="A207" s="277">
        <v>44677</v>
      </c>
      <c r="B207" s="225" t="s">
        <v>283</v>
      </c>
      <c r="C207" s="183" t="s">
        <v>284</v>
      </c>
      <c r="D207" s="274" t="s">
        <v>245</v>
      </c>
      <c r="E207" s="211"/>
      <c r="F207" s="360">
        <v>150000</v>
      </c>
      <c r="G207" s="233">
        <f t="shared" si="4"/>
        <v>24309358</v>
      </c>
      <c r="H207" s="225" t="s">
        <v>25</v>
      </c>
      <c r="I207" s="183" t="s">
        <v>232</v>
      </c>
      <c r="J207" s="225" t="s">
        <v>103</v>
      </c>
      <c r="K207" s="225" t="s">
        <v>217</v>
      </c>
      <c r="L207" s="225" t="s">
        <v>185</v>
      </c>
      <c r="M207" s="178" t="s">
        <v>515</v>
      </c>
      <c r="N207" s="308" t="s">
        <v>402</v>
      </c>
      <c r="O207" s="225"/>
    </row>
    <row r="208" spans="1:16" ht="15" customHeight="1" x14ac:dyDescent="0.25">
      <c r="A208" s="277">
        <v>44677</v>
      </c>
      <c r="B208" s="178" t="s">
        <v>361</v>
      </c>
      <c r="C208" s="183" t="s">
        <v>157</v>
      </c>
      <c r="D208" s="274" t="s">
        <v>231</v>
      </c>
      <c r="E208" s="218"/>
      <c r="F208" s="211">
        <v>30000</v>
      </c>
      <c r="G208" s="233">
        <f t="shared" si="4"/>
        <v>24279358</v>
      </c>
      <c r="H208" s="178" t="s">
        <v>48</v>
      </c>
      <c r="I208" s="183" t="s">
        <v>247</v>
      </c>
      <c r="J208" s="225" t="s">
        <v>166</v>
      </c>
      <c r="K208" s="225" t="s">
        <v>217</v>
      </c>
      <c r="L208" s="225" t="s">
        <v>185</v>
      </c>
      <c r="M208" s="178" t="s">
        <v>516</v>
      </c>
      <c r="N208" s="308" t="s">
        <v>416</v>
      </c>
      <c r="O208" s="178"/>
    </row>
    <row r="209" spans="1:16" ht="15" customHeight="1" x14ac:dyDescent="0.25">
      <c r="A209" s="277">
        <v>44677</v>
      </c>
      <c r="B209" s="178" t="s">
        <v>325</v>
      </c>
      <c r="C209" s="183" t="s">
        <v>196</v>
      </c>
      <c r="D209" s="274" t="s">
        <v>164</v>
      </c>
      <c r="E209" s="218"/>
      <c r="F209" s="211">
        <v>30000</v>
      </c>
      <c r="G209" s="233">
        <f t="shared" si="4"/>
        <v>24249358</v>
      </c>
      <c r="H209" s="178" t="s">
        <v>153</v>
      </c>
      <c r="I209" s="183" t="s">
        <v>232</v>
      </c>
      <c r="J209" s="178" t="s">
        <v>166</v>
      </c>
      <c r="K209" s="178" t="s">
        <v>216</v>
      </c>
      <c r="L209" s="225" t="s">
        <v>185</v>
      </c>
      <c r="O209" s="178"/>
    </row>
    <row r="210" spans="1:16" ht="15" customHeight="1" x14ac:dyDescent="0.25">
      <c r="A210" s="277">
        <v>44678</v>
      </c>
      <c r="B210" s="224" t="s">
        <v>328</v>
      </c>
      <c r="C210" s="183" t="s">
        <v>157</v>
      </c>
      <c r="D210" s="274" t="s">
        <v>164</v>
      </c>
      <c r="E210" s="213"/>
      <c r="F210" s="360">
        <v>30000</v>
      </c>
      <c r="G210" s="233">
        <f t="shared" si="4"/>
        <v>24219358</v>
      </c>
      <c r="H210" s="225" t="s">
        <v>153</v>
      </c>
      <c r="I210" s="274" t="s">
        <v>232</v>
      </c>
      <c r="J210" s="225" t="s">
        <v>166</v>
      </c>
      <c r="K210" s="225" t="s">
        <v>217</v>
      </c>
      <c r="L210" s="225" t="s">
        <v>185</v>
      </c>
      <c r="M210" s="178" t="s">
        <v>517</v>
      </c>
      <c r="N210" s="308" t="s">
        <v>416</v>
      </c>
      <c r="O210" s="225"/>
    </row>
    <row r="211" spans="1:16" ht="15" customHeight="1" x14ac:dyDescent="0.25">
      <c r="A211" s="277">
        <v>44678</v>
      </c>
      <c r="B211" s="178" t="s">
        <v>326</v>
      </c>
      <c r="C211" s="183" t="s">
        <v>34</v>
      </c>
      <c r="D211" s="274" t="s">
        <v>164</v>
      </c>
      <c r="F211" s="190">
        <v>40200</v>
      </c>
      <c r="G211" s="233">
        <f t="shared" si="4"/>
        <v>24179158</v>
      </c>
      <c r="H211" s="178" t="s">
        <v>153</v>
      </c>
      <c r="I211" s="183" t="s">
        <v>247</v>
      </c>
      <c r="J211" s="225" t="s">
        <v>166</v>
      </c>
      <c r="K211" s="178" t="s">
        <v>217</v>
      </c>
      <c r="L211" s="225" t="s">
        <v>185</v>
      </c>
      <c r="M211" s="178" t="s">
        <v>518</v>
      </c>
      <c r="N211" s="238" t="s">
        <v>415</v>
      </c>
      <c r="O211" s="178"/>
      <c r="P211" s="226"/>
    </row>
    <row r="212" spans="1:16" ht="15" customHeight="1" x14ac:dyDescent="0.25">
      <c r="A212" s="277">
        <v>44678</v>
      </c>
      <c r="B212" s="178" t="s">
        <v>327</v>
      </c>
      <c r="C212" s="183" t="s">
        <v>34</v>
      </c>
      <c r="D212" s="274" t="s">
        <v>164</v>
      </c>
      <c r="F212" s="190">
        <v>15000</v>
      </c>
      <c r="G212" s="233">
        <f t="shared" si="4"/>
        <v>24164158</v>
      </c>
      <c r="H212" s="178" t="s">
        <v>153</v>
      </c>
      <c r="I212" s="183" t="s">
        <v>232</v>
      </c>
      <c r="J212" s="225" t="s">
        <v>166</v>
      </c>
      <c r="K212" s="178" t="s">
        <v>217</v>
      </c>
      <c r="L212" s="225" t="s">
        <v>185</v>
      </c>
      <c r="M212" s="178" t="s">
        <v>519</v>
      </c>
      <c r="N212" s="238" t="s">
        <v>415</v>
      </c>
      <c r="O212" s="178"/>
    </row>
    <row r="213" spans="1:16" ht="15" customHeight="1" x14ac:dyDescent="0.25">
      <c r="A213" s="277">
        <v>44678</v>
      </c>
      <c r="B213" s="178" t="s">
        <v>342</v>
      </c>
      <c r="C213" s="183" t="s">
        <v>34</v>
      </c>
      <c r="D213" s="369" t="s">
        <v>4</v>
      </c>
      <c r="E213" s="220"/>
      <c r="F213" s="360">
        <v>10000</v>
      </c>
      <c r="G213" s="233">
        <f t="shared" si="4"/>
        <v>24154158</v>
      </c>
      <c r="H213" s="178" t="s">
        <v>49</v>
      </c>
      <c r="I213" s="183" t="s">
        <v>330</v>
      </c>
      <c r="J213" s="225" t="s">
        <v>166</v>
      </c>
      <c r="K213" s="178" t="s">
        <v>217</v>
      </c>
      <c r="L213" s="225" t="s">
        <v>185</v>
      </c>
      <c r="M213" s="178" t="s">
        <v>520</v>
      </c>
      <c r="N213" s="238" t="s">
        <v>415</v>
      </c>
      <c r="O213" s="178"/>
    </row>
    <row r="214" spans="1:16" ht="15" customHeight="1" x14ac:dyDescent="0.25">
      <c r="A214" s="277">
        <v>44678</v>
      </c>
      <c r="B214" s="178" t="s">
        <v>343</v>
      </c>
      <c r="C214" s="183" t="s">
        <v>400</v>
      </c>
      <c r="D214" s="369" t="s">
        <v>4</v>
      </c>
      <c r="E214" s="220"/>
      <c r="F214" s="292">
        <v>40000</v>
      </c>
      <c r="G214" s="233">
        <f t="shared" si="4"/>
        <v>24114158</v>
      </c>
      <c r="H214" s="178" t="s">
        <v>49</v>
      </c>
      <c r="I214" s="183" t="s">
        <v>247</v>
      </c>
      <c r="J214" s="225" t="s">
        <v>166</v>
      </c>
      <c r="K214" s="178" t="s">
        <v>216</v>
      </c>
      <c r="L214" s="225" t="s">
        <v>185</v>
      </c>
      <c r="O214" s="178"/>
    </row>
    <row r="215" spans="1:16" ht="15" customHeight="1" x14ac:dyDescent="0.25">
      <c r="A215" s="277">
        <v>44678</v>
      </c>
      <c r="B215" s="225" t="s">
        <v>394</v>
      </c>
      <c r="C215" s="183" t="s">
        <v>400</v>
      </c>
      <c r="D215" s="369" t="s">
        <v>4</v>
      </c>
      <c r="E215" s="213"/>
      <c r="F215" s="360">
        <v>42000</v>
      </c>
      <c r="G215" s="233">
        <f t="shared" si="4"/>
        <v>24072158</v>
      </c>
      <c r="H215" s="225" t="s">
        <v>29</v>
      </c>
      <c r="I215" s="274" t="s">
        <v>378</v>
      </c>
      <c r="J215" s="225" t="s">
        <v>166</v>
      </c>
      <c r="K215" s="225" t="s">
        <v>216</v>
      </c>
      <c r="L215" s="225" t="s">
        <v>185</v>
      </c>
      <c r="N215" s="225"/>
      <c r="O215" s="225"/>
    </row>
    <row r="216" spans="1:16" ht="15" customHeight="1" x14ac:dyDescent="0.25">
      <c r="A216" s="277">
        <v>44678</v>
      </c>
      <c r="B216" s="225" t="s">
        <v>369</v>
      </c>
      <c r="C216" s="183" t="s">
        <v>183</v>
      </c>
      <c r="D216" s="274" t="s">
        <v>231</v>
      </c>
      <c r="E216" s="225"/>
      <c r="F216" s="213">
        <v>10500</v>
      </c>
      <c r="G216" s="233">
        <f t="shared" si="4"/>
        <v>24061658</v>
      </c>
      <c r="H216" s="178" t="s">
        <v>114</v>
      </c>
      <c r="I216" s="274" t="s">
        <v>232</v>
      </c>
      <c r="J216" s="225" t="s">
        <v>166</v>
      </c>
      <c r="K216" s="225" t="s">
        <v>217</v>
      </c>
      <c r="L216" s="225" t="s">
        <v>185</v>
      </c>
      <c r="M216" s="178" t="s">
        <v>521</v>
      </c>
      <c r="N216" s="177" t="s">
        <v>414</v>
      </c>
      <c r="O216" s="225"/>
    </row>
    <row r="217" spans="1:16" ht="15" customHeight="1" x14ac:dyDescent="0.25">
      <c r="A217" s="277">
        <v>44679</v>
      </c>
      <c r="B217" s="178" t="s">
        <v>376</v>
      </c>
      <c r="C217" s="183" t="s">
        <v>34</v>
      </c>
      <c r="D217" s="183" t="s">
        <v>165</v>
      </c>
      <c r="E217" s="218"/>
      <c r="F217" s="211">
        <v>36000</v>
      </c>
      <c r="G217" s="233">
        <f t="shared" si="4"/>
        <v>24025658</v>
      </c>
      <c r="H217" s="178" t="s">
        <v>31</v>
      </c>
      <c r="I217" s="183" t="s">
        <v>247</v>
      </c>
      <c r="J217" s="225" t="s">
        <v>166</v>
      </c>
      <c r="K217" s="178" t="s">
        <v>217</v>
      </c>
      <c r="L217" s="225" t="s">
        <v>185</v>
      </c>
      <c r="M217" s="178" t="s">
        <v>522</v>
      </c>
      <c r="N217" s="238" t="s">
        <v>415</v>
      </c>
      <c r="O217" s="178"/>
    </row>
    <row r="218" spans="1:16" ht="15" customHeight="1" x14ac:dyDescent="0.25">
      <c r="A218" s="277">
        <v>44679</v>
      </c>
      <c r="B218" s="225" t="s">
        <v>344</v>
      </c>
      <c r="C218" s="183" t="s">
        <v>157</v>
      </c>
      <c r="D218" s="369" t="s">
        <v>4</v>
      </c>
      <c r="E218" s="213"/>
      <c r="F218" s="360">
        <v>30000</v>
      </c>
      <c r="G218" s="233">
        <f t="shared" si="4"/>
        <v>23995658</v>
      </c>
      <c r="H218" s="225" t="s">
        <v>49</v>
      </c>
      <c r="I218" s="183" t="s">
        <v>232</v>
      </c>
      <c r="J218" s="225" t="s">
        <v>166</v>
      </c>
      <c r="K218" s="225" t="s">
        <v>217</v>
      </c>
      <c r="L218" s="225" t="s">
        <v>185</v>
      </c>
      <c r="M218" s="178" t="s">
        <v>523</v>
      </c>
      <c r="N218" s="308" t="s">
        <v>416</v>
      </c>
      <c r="O218" s="225"/>
    </row>
    <row r="219" spans="1:16" ht="15" customHeight="1" x14ac:dyDescent="0.25">
      <c r="A219" s="277">
        <v>44679</v>
      </c>
      <c r="B219" s="224" t="s">
        <v>395</v>
      </c>
      <c r="C219" s="183" t="s">
        <v>157</v>
      </c>
      <c r="D219" s="369" t="s">
        <v>4</v>
      </c>
      <c r="E219" s="213"/>
      <c r="F219" s="360">
        <v>30000</v>
      </c>
      <c r="G219" s="233">
        <f t="shared" si="4"/>
        <v>23965658</v>
      </c>
      <c r="H219" s="225" t="s">
        <v>29</v>
      </c>
      <c r="I219" s="274" t="s">
        <v>330</v>
      </c>
      <c r="J219" s="225" t="s">
        <v>166</v>
      </c>
      <c r="K219" s="225" t="s">
        <v>217</v>
      </c>
      <c r="L219" s="225" t="s">
        <v>185</v>
      </c>
      <c r="M219" s="178" t="s">
        <v>524</v>
      </c>
      <c r="N219" s="308" t="s">
        <v>416</v>
      </c>
      <c r="O219" s="229"/>
    </row>
    <row r="220" spans="1:16" s="244" customFormat="1" ht="15" customHeight="1" x14ac:dyDescent="0.25">
      <c r="A220" s="277">
        <v>44679</v>
      </c>
      <c r="B220" s="178" t="s">
        <v>345</v>
      </c>
      <c r="C220" s="183" t="s">
        <v>34</v>
      </c>
      <c r="D220" s="369" t="s">
        <v>4</v>
      </c>
      <c r="E220" s="220"/>
      <c r="F220" s="360">
        <v>77500</v>
      </c>
      <c r="G220" s="233">
        <f t="shared" si="4"/>
        <v>23888158</v>
      </c>
      <c r="H220" s="178" t="s">
        <v>49</v>
      </c>
      <c r="I220" s="183" t="s">
        <v>247</v>
      </c>
      <c r="J220" s="225" t="s">
        <v>166</v>
      </c>
      <c r="K220" s="178" t="s">
        <v>217</v>
      </c>
      <c r="L220" s="225" t="s">
        <v>185</v>
      </c>
      <c r="M220" s="178" t="s">
        <v>525</v>
      </c>
      <c r="N220" s="238" t="s">
        <v>415</v>
      </c>
      <c r="O220" s="226"/>
      <c r="P220" s="232"/>
    </row>
    <row r="221" spans="1:16" s="244" customFormat="1" ht="15" customHeight="1" x14ac:dyDescent="0.25">
      <c r="A221" s="277">
        <v>44679</v>
      </c>
      <c r="B221" s="224" t="s">
        <v>396</v>
      </c>
      <c r="C221" s="183" t="s">
        <v>34</v>
      </c>
      <c r="D221" s="369" t="s">
        <v>4</v>
      </c>
      <c r="E221" s="213"/>
      <c r="F221" s="360">
        <v>4000</v>
      </c>
      <c r="G221" s="233">
        <f t="shared" si="4"/>
        <v>23884158</v>
      </c>
      <c r="H221" s="225" t="s">
        <v>29</v>
      </c>
      <c r="I221" s="274" t="s">
        <v>232</v>
      </c>
      <c r="J221" s="225" t="s">
        <v>166</v>
      </c>
      <c r="K221" s="178" t="s">
        <v>217</v>
      </c>
      <c r="L221" s="225" t="s">
        <v>185</v>
      </c>
      <c r="M221" s="178" t="s">
        <v>526</v>
      </c>
      <c r="N221" s="238" t="s">
        <v>415</v>
      </c>
      <c r="O221" s="229"/>
      <c r="P221" s="178"/>
    </row>
    <row r="222" spans="1:16" ht="15" customHeight="1" x14ac:dyDescent="0.25">
      <c r="A222" s="277">
        <v>44679</v>
      </c>
      <c r="B222" s="178" t="s">
        <v>397</v>
      </c>
      <c r="C222" s="183" t="s">
        <v>34</v>
      </c>
      <c r="D222" s="369" t="s">
        <v>4</v>
      </c>
      <c r="E222" s="218"/>
      <c r="F222" s="211">
        <v>5000</v>
      </c>
      <c r="G222" s="233">
        <f t="shared" si="4"/>
        <v>23879158</v>
      </c>
      <c r="H222" s="178" t="s">
        <v>29</v>
      </c>
      <c r="I222" s="183" t="s">
        <v>232</v>
      </c>
      <c r="J222" s="225" t="s">
        <v>166</v>
      </c>
      <c r="K222" s="178" t="s">
        <v>217</v>
      </c>
      <c r="L222" s="225" t="s">
        <v>185</v>
      </c>
      <c r="M222" s="178" t="s">
        <v>527</v>
      </c>
      <c r="N222" s="238" t="s">
        <v>415</v>
      </c>
      <c r="P222" s="244"/>
    </row>
    <row r="223" spans="1:16" ht="15" customHeight="1" x14ac:dyDescent="0.25">
      <c r="A223" s="277">
        <v>44679</v>
      </c>
      <c r="B223" s="178" t="s">
        <v>398</v>
      </c>
      <c r="C223" s="183" t="s">
        <v>34</v>
      </c>
      <c r="D223" s="369" t="s">
        <v>4</v>
      </c>
      <c r="E223" s="220"/>
      <c r="F223" s="292">
        <v>54500</v>
      </c>
      <c r="G223" s="233">
        <f t="shared" si="4"/>
        <v>23824658</v>
      </c>
      <c r="H223" s="178" t="s">
        <v>29</v>
      </c>
      <c r="I223" s="183" t="s">
        <v>378</v>
      </c>
      <c r="J223" s="225" t="s">
        <v>166</v>
      </c>
      <c r="K223" s="178" t="s">
        <v>217</v>
      </c>
      <c r="L223" s="225" t="s">
        <v>185</v>
      </c>
      <c r="M223" s="178" t="s">
        <v>528</v>
      </c>
      <c r="N223" s="238" t="s">
        <v>415</v>
      </c>
      <c r="O223" s="178"/>
    </row>
    <row r="224" spans="1:16" ht="15" hidden="1" customHeight="1" x14ac:dyDescent="0.25">
      <c r="A224" s="277">
        <v>44679</v>
      </c>
      <c r="B224" s="225" t="s">
        <v>31</v>
      </c>
      <c r="C224" s="183" t="s">
        <v>76</v>
      </c>
      <c r="D224" s="274"/>
      <c r="E224" s="211"/>
      <c r="F224" s="360">
        <v>15000</v>
      </c>
      <c r="G224" s="233">
        <f t="shared" si="4"/>
        <v>23809658</v>
      </c>
      <c r="H224" s="225" t="s">
        <v>25</v>
      </c>
      <c r="J224" s="225"/>
      <c r="K224" s="225"/>
      <c r="L224" s="225" t="s">
        <v>185</v>
      </c>
      <c r="N224" s="308"/>
      <c r="O224" s="225"/>
    </row>
    <row r="225" spans="1:16" ht="15" customHeight="1" x14ac:dyDescent="0.25">
      <c r="A225" s="277">
        <v>44679</v>
      </c>
      <c r="B225" s="225" t="s">
        <v>285</v>
      </c>
      <c r="C225" s="183" t="s">
        <v>205</v>
      </c>
      <c r="D225" s="274" t="s">
        <v>165</v>
      </c>
      <c r="E225" s="211"/>
      <c r="F225" s="360">
        <v>10000</v>
      </c>
      <c r="G225" s="233">
        <f t="shared" si="4"/>
        <v>23799658</v>
      </c>
      <c r="H225" s="225" t="s">
        <v>25</v>
      </c>
      <c r="I225" s="183" t="s">
        <v>247</v>
      </c>
      <c r="J225" s="225" t="s">
        <v>166</v>
      </c>
      <c r="K225" s="178" t="s">
        <v>216</v>
      </c>
      <c r="L225" s="225" t="s">
        <v>185</v>
      </c>
      <c r="N225" s="225"/>
      <c r="O225" s="225"/>
    </row>
    <row r="226" spans="1:16" ht="15" customHeight="1" x14ac:dyDescent="0.25">
      <c r="A226" s="277">
        <v>44679</v>
      </c>
      <c r="B226" s="225" t="s">
        <v>286</v>
      </c>
      <c r="C226" s="183" t="s">
        <v>205</v>
      </c>
      <c r="D226" s="274" t="s">
        <v>165</v>
      </c>
      <c r="E226" s="213"/>
      <c r="F226" s="292">
        <v>29000</v>
      </c>
      <c r="G226" s="233">
        <f t="shared" si="4"/>
        <v>23770658</v>
      </c>
      <c r="H226" s="225" t="s">
        <v>25</v>
      </c>
      <c r="I226" s="183" t="s">
        <v>247</v>
      </c>
      <c r="J226" s="225" t="s">
        <v>166</v>
      </c>
      <c r="K226" s="178" t="s">
        <v>216</v>
      </c>
      <c r="L226" s="225" t="s">
        <v>185</v>
      </c>
      <c r="O226" s="225"/>
    </row>
    <row r="227" spans="1:16" ht="15" customHeight="1" x14ac:dyDescent="0.25">
      <c r="A227" s="277">
        <v>44679</v>
      </c>
      <c r="B227" s="178" t="s">
        <v>357</v>
      </c>
      <c r="C227" s="183" t="s">
        <v>34</v>
      </c>
      <c r="D227" s="274" t="s">
        <v>231</v>
      </c>
      <c r="E227" s="218"/>
      <c r="F227" s="360">
        <v>7000</v>
      </c>
      <c r="G227" s="233">
        <f t="shared" si="4"/>
        <v>23763658</v>
      </c>
      <c r="H227" s="178" t="s">
        <v>48</v>
      </c>
      <c r="I227" s="183" t="s">
        <v>232</v>
      </c>
      <c r="J227" s="225" t="s">
        <v>166</v>
      </c>
      <c r="K227" s="178" t="s">
        <v>217</v>
      </c>
      <c r="L227" s="225" t="s">
        <v>185</v>
      </c>
      <c r="M227" s="178" t="s">
        <v>529</v>
      </c>
      <c r="N227" s="238" t="s">
        <v>415</v>
      </c>
      <c r="O227" s="178"/>
    </row>
    <row r="228" spans="1:16" ht="15" hidden="1" customHeight="1" x14ac:dyDescent="0.25">
      <c r="A228" s="280">
        <v>44679</v>
      </c>
      <c r="B228" s="178" t="s">
        <v>537</v>
      </c>
      <c r="C228" s="183" t="s">
        <v>76</v>
      </c>
      <c r="D228" s="183"/>
      <c r="E228" s="218">
        <v>15000</v>
      </c>
      <c r="F228" s="211"/>
      <c r="G228" s="233">
        <f t="shared" si="4"/>
        <v>23778658</v>
      </c>
      <c r="H228" s="178" t="s">
        <v>31</v>
      </c>
      <c r="K228" s="183"/>
      <c r="L228" s="225" t="s">
        <v>185</v>
      </c>
      <c r="O228" s="178"/>
      <c r="P228" s="232"/>
    </row>
    <row r="229" spans="1:16" ht="15" customHeight="1" x14ac:dyDescent="0.25">
      <c r="A229" s="279">
        <v>44680</v>
      </c>
      <c r="B229" s="276" t="s">
        <v>309</v>
      </c>
      <c r="C229" s="183" t="s">
        <v>182</v>
      </c>
      <c r="D229" s="369" t="s">
        <v>4</v>
      </c>
      <c r="F229" s="360">
        <v>245000</v>
      </c>
      <c r="G229" s="233">
        <f t="shared" si="4"/>
        <v>23533658</v>
      </c>
      <c r="H229" s="225" t="s">
        <v>158</v>
      </c>
      <c r="I229" s="276">
        <v>3643657</v>
      </c>
      <c r="J229" s="183" t="s">
        <v>103</v>
      </c>
      <c r="K229" s="178" t="s">
        <v>217</v>
      </c>
      <c r="L229" s="225" t="s">
        <v>185</v>
      </c>
      <c r="M229" s="178" t="s">
        <v>530</v>
      </c>
      <c r="N229" s="177" t="s">
        <v>413</v>
      </c>
      <c r="O229" s="232"/>
    </row>
    <row r="230" spans="1:16" ht="15" customHeight="1" x14ac:dyDescent="0.25">
      <c r="A230" s="279">
        <v>44680</v>
      </c>
      <c r="B230" s="274" t="s">
        <v>310</v>
      </c>
      <c r="C230" s="183" t="s">
        <v>182</v>
      </c>
      <c r="D230" s="369" t="s">
        <v>4</v>
      </c>
      <c r="F230" s="360">
        <v>500000</v>
      </c>
      <c r="G230" s="233">
        <f t="shared" si="4"/>
        <v>23033658</v>
      </c>
      <c r="H230" s="225" t="s">
        <v>158</v>
      </c>
      <c r="I230" s="274">
        <v>3643654</v>
      </c>
      <c r="J230" s="183" t="s">
        <v>103</v>
      </c>
      <c r="K230" s="178" t="s">
        <v>217</v>
      </c>
      <c r="L230" s="225" t="s">
        <v>185</v>
      </c>
      <c r="M230" s="178" t="s">
        <v>531</v>
      </c>
      <c r="N230" s="177" t="s">
        <v>413</v>
      </c>
      <c r="O230" s="232"/>
    </row>
    <row r="231" spans="1:16" ht="15" customHeight="1" x14ac:dyDescent="0.25">
      <c r="A231" s="280">
        <v>44679</v>
      </c>
      <c r="B231" s="236" t="s">
        <v>358</v>
      </c>
      <c r="C231" s="335" t="s">
        <v>359</v>
      </c>
      <c r="D231" s="274" t="s">
        <v>164</v>
      </c>
      <c r="E231" s="305"/>
      <c r="F231" s="213">
        <v>25000</v>
      </c>
      <c r="G231" s="233">
        <f t="shared" si="4"/>
        <v>23008658</v>
      </c>
      <c r="H231" s="225" t="s">
        <v>48</v>
      </c>
      <c r="I231" s="183" t="s">
        <v>247</v>
      </c>
      <c r="J231" s="225" t="s">
        <v>166</v>
      </c>
      <c r="K231" s="225" t="s">
        <v>216</v>
      </c>
      <c r="L231" s="225" t="s">
        <v>185</v>
      </c>
      <c r="N231" s="232"/>
      <c r="O231" s="232"/>
    </row>
    <row r="232" spans="1:16" ht="15" customHeight="1" x14ac:dyDescent="0.25">
      <c r="A232" s="277">
        <v>44680</v>
      </c>
      <c r="B232" s="225" t="s">
        <v>360</v>
      </c>
      <c r="C232" s="183" t="s">
        <v>157</v>
      </c>
      <c r="D232" s="274" t="s">
        <v>231</v>
      </c>
      <c r="E232" s="211"/>
      <c r="F232" s="360">
        <v>45000</v>
      </c>
      <c r="G232" s="233">
        <f t="shared" si="4"/>
        <v>22963658</v>
      </c>
      <c r="H232" s="225" t="s">
        <v>48</v>
      </c>
      <c r="I232" s="274" t="s">
        <v>232</v>
      </c>
      <c r="J232" s="225" t="s">
        <v>166</v>
      </c>
      <c r="K232" s="225" t="s">
        <v>217</v>
      </c>
      <c r="L232" s="225" t="s">
        <v>185</v>
      </c>
      <c r="M232" s="178" t="s">
        <v>532</v>
      </c>
      <c r="N232" s="308" t="s">
        <v>416</v>
      </c>
      <c r="O232" s="225"/>
    </row>
    <row r="233" spans="1:16" ht="15" customHeight="1" x14ac:dyDescent="0.25">
      <c r="A233" s="278">
        <v>44680</v>
      </c>
      <c r="B233" s="217" t="s">
        <v>362</v>
      </c>
      <c r="C233" s="183" t="s">
        <v>34</v>
      </c>
      <c r="D233" s="274" t="s">
        <v>231</v>
      </c>
      <c r="E233" s="302"/>
      <c r="F233" s="361">
        <v>34000</v>
      </c>
      <c r="G233" s="233">
        <f t="shared" si="4"/>
        <v>22929658</v>
      </c>
      <c r="H233" s="227" t="s">
        <v>48</v>
      </c>
      <c r="I233" s="183" t="s">
        <v>247</v>
      </c>
      <c r="J233" s="225" t="s">
        <v>166</v>
      </c>
      <c r="K233" s="178" t="s">
        <v>217</v>
      </c>
      <c r="L233" s="225" t="s">
        <v>185</v>
      </c>
      <c r="M233" s="178" t="s">
        <v>533</v>
      </c>
      <c r="N233" s="238" t="s">
        <v>415</v>
      </c>
      <c r="O233" s="227"/>
      <c r="P233" s="232"/>
    </row>
    <row r="234" spans="1:16" s="244" customFormat="1" ht="15" hidden="1" customHeight="1" x14ac:dyDescent="0.25">
      <c r="A234" s="279">
        <v>44680</v>
      </c>
      <c r="B234" s="230" t="s">
        <v>152</v>
      </c>
      <c r="C234" s="183" t="s">
        <v>76</v>
      </c>
      <c r="D234" s="332"/>
      <c r="E234" s="231"/>
      <c r="F234" s="306">
        <v>10000</v>
      </c>
      <c r="G234" s="233">
        <f t="shared" si="4"/>
        <v>22919658</v>
      </c>
      <c r="H234" s="230" t="s">
        <v>25</v>
      </c>
      <c r="I234" s="183"/>
      <c r="J234" s="232"/>
      <c r="K234" s="230"/>
      <c r="L234" s="225" t="s">
        <v>185</v>
      </c>
      <c r="M234" s="178"/>
      <c r="N234" s="232"/>
      <c r="O234" s="232"/>
      <c r="P234" s="178"/>
    </row>
    <row r="235" spans="1:16" s="244" customFormat="1" ht="15" hidden="1" customHeight="1" x14ac:dyDescent="0.25">
      <c r="A235" s="277">
        <v>44680</v>
      </c>
      <c r="B235" s="184" t="s">
        <v>214</v>
      </c>
      <c r="C235" s="183" t="s">
        <v>76</v>
      </c>
      <c r="D235" s="183"/>
      <c r="E235" s="178"/>
      <c r="F235" s="213">
        <v>15000</v>
      </c>
      <c r="G235" s="233">
        <f t="shared" si="4"/>
        <v>22904658</v>
      </c>
      <c r="H235" s="178" t="s">
        <v>25</v>
      </c>
      <c r="I235" s="183"/>
      <c r="J235" s="183"/>
      <c r="K235" s="178"/>
      <c r="L235" s="225" t="s">
        <v>185</v>
      </c>
      <c r="M235" s="178"/>
      <c r="N235" s="177"/>
      <c r="O235" s="178"/>
      <c r="P235" s="178"/>
    </row>
    <row r="236" spans="1:16" ht="15" hidden="1" customHeight="1" x14ac:dyDescent="0.25">
      <c r="A236" s="279">
        <v>44680</v>
      </c>
      <c r="B236" s="294" t="s">
        <v>29</v>
      </c>
      <c r="C236" s="215" t="s">
        <v>76</v>
      </c>
      <c r="D236" s="328"/>
      <c r="E236" s="178"/>
      <c r="F236" s="213">
        <v>138000</v>
      </c>
      <c r="G236" s="233">
        <f t="shared" si="4"/>
        <v>22766658</v>
      </c>
      <c r="H236" s="178" t="s">
        <v>25</v>
      </c>
      <c r="L236" s="225" t="s">
        <v>185</v>
      </c>
      <c r="O236" s="178"/>
    </row>
    <row r="237" spans="1:16" ht="15" hidden="1" customHeight="1" x14ac:dyDescent="0.25">
      <c r="A237" s="277">
        <v>44680</v>
      </c>
      <c r="B237" s="178" t="s">
        <v>30</v>
      </c>
      <c r="C237" s="183" t="s">
        <v>76</v>
      </c>
      <c r="D237" s="274"/>
      <c r="E237" s="220"/>
      <c r="F237" s="213">
        <v>67000</v>
      </c>
      <c r="G237" s="233">
        <f t="shared" si="4"/>
        <v>22699658</v>
      </c>
      <c r="H237" s="225" t="s">
        <v>25</v>
      </c>
      <c r="J237" s="225"/>
      <c r="L237" s="225" t="s">
        <v>185</v>
      </c>
      <c r="O237" s="178"/>
    </row>
    <row r="238" spans="1:16" ht="15" hidden="1" customHeight="1" x14ac:dyDescent="0.25">
      <c r="A238" s="277">
        <v>44680</v>
      </c>
      <c r="B238" s="178" t="s">
        <v>287</v>
      </c>
      <c r="C238" s="183" t="s">
        <v>76</v>
      </c>
      <c r="D238" s="333"/>
      <c r="E238" s="220">
        <v>100000</v>
      </c>
      <c r="F238" s="360"/>
      <c r="G238" s="233">
        <f t="shared" si="4"/>
        <v>22799658</v>
      </c>
      <c r="H238" s="178" t="s">
        <v>25</v>
      </c>
      <c r="K238" s="183"/>
      <c r="L238" s="225" t="s">
        <v>185</v>
      </c>
      <c r="O238" s="178"/>
    </row>
    <row r="239" spans="1:16" s="244" customFormat="1" ht="15" hidden="1" customHeight="1" x14ac:dyDescent="0.25">
      <c r="A239" s="277">
        <v>44680</v>
      </c>
      <c r="B239" s="178" t="s">
        <v>536</v>
      </c>
      <c r="C239" s="183" t="s">
        <v>76</v>
      </c>
      <c r="D239" s="274"/>
      <c r="E239" s="220">
        <v>10000</v>
      </c>
      <c r="F239" s="360"/>
      <c r="G239" s="233">
        <f t="shared" si="4"/>
        <v>22809658</v>
      </c>
      <c r="H239" s="225" t="s">
        <v>152</v>
      </c>
      <c r="I239" s="183"/>
      <c r="J239" s="178"/>
      <c r="K239" s="178"/>
      <c r="L239" s="225" t="s">
        <v>185</v>
      </c>
      <c r="M239" s="178"/>
      <c r="N239" s="177"/>
      <c r="O239" s="178"/>
      <c r="P239" s="178"/>
    </row>
    <row r="240" spans="1:16" ht="15" hidden="1" customHeight="1" x14ac:dyDescent="0.25">
      <c r="A240" s="277">
        <v>44680</v>
      </c>
      <c r="B240" s="225" t="s">
        <v>540</v>
      </c>
      <c r="C240" s="183" t="s">
        <v>76</v>
      </c>
      <c r="D240" s="274"/>
      <c r="E240" s="220">
        <v>67000</v>
      </c>
      <c r="F240" s="360"/>
      <c r="G240" s="233">
        <f t="shared" si="4"/>
        <v>22876658</v>
      </c>
      <c r="H240" s="178" t="s">
        <v>49</v>
      </c>
      <c r="J240" s="225"/>
      <c r="K240" s="225"/>
      <c r="L240" s="225" t="s">
        <v>185</v>
      </c>
      <c r="O240" s="178"/>
    </row>
    <row r="241" spans="1:16" ht="15" hidden="1" customHeight="1" x14ac:dyDescent="0.25">
      <c r="A241" s="277">
        <v>44680</v>
      </c>
      <c r="B241" s="225" t="s">
        <v>545</v>
      </c>
      <c r="C241" s="325" t="s">
        <v>363</v>
      </c>
      <c r="D241" s="325"/>
      <c r="E241" s="222">
        <v>15000</v>
      </c>
      <c r="F241" s="213"/>
      <c r="G241" s="233">
        <f t="shared" si="4"/>
        <v>22891658</v>
      </c>
      <c r="H241" s="178" t="s">
        <v>214</v>
      </c>
      <c r="I241" s="274"/>
      <c r="L241" s="225" t="s">
        <v>185</v>
      </c>
      <c r="O241" s="178"/>
    </row>
    <row r="242" spans="1:16" s="244" customFormat="1" ht="15" customHeight="1" x14ac:dyDescent="0.25">
      <c r="A242" s="277">
        <v>44680</v>
      </c>
      <c r="B242" s="178" t="s">
        <v>365</v>
      </c>
      <c r="C242" s="330" t="s">
        <v>157</v>
      </c>
      <c r="D242" s="274" t="s">
        <v>164</v>
      </c>
      <c r="E242" s="178"/>
      <c r="F242" s="213">
        <v>20000</v>
      </c>
      <c r="G242" s="233">
        <f t="shared" si="4"/>
        <v>22871658</v>
      </c>
      <c r="H242" s="178" t="s">
        <v>214</v>
      </c>
      <c r="I242" s="183" t="s">
        <v>247</v>
      </c>
      <c r="J242" s="178" t="s">
        <v>166</v>
      </c>
      <c r="K242" s="178" t="s">
        <v>216</v>
      </c>
      <c r="L242" s="225" t="s">
        <v>185</v>
      </c>
      <c r="M242" s="178"/>
      <c r="N242" s="177"/>
      <c r="O242" s="178"/>
      <c r="P242" s="227"/>
    </row>
    <row r="243" spans="1:16" s="244" customFormat="1" ht="15" customHeight="1" x14ac:dyDescent="0.25">
      <c r="A243" s="284">
        <v>44680</v>
      </c>
      <c r="B243" s="178" t="s">
        <v>366</v>
      </c>
      <c r="C243" s="183" t="s">
        <v>34</v>
      </c>
      <c r="D243" s="274" t="s">
        <v>164</v>
      </c>
      <c r="E243" s="209"/>
      <c r="F243" s="213">
        <v>49500</v>
      </c>
      <c r="G243" s="233">
        <f t="shared" si="4"/>
        <v>22822158</v>
      </c>
      <c r="H243" s="178" t="s">
        <v>214</v>
      </c>
      <c r="I243" s="183" t="s">
        <v>247</v>
      </c>
      <c r="J243" s="225" t="s">
        <v>166</v>
      </c>
      <c r="K243" s="178" t="s">
        <v>216</v>
      </c>
      <c r="L243" s="225" t="s">
        <v>185</v>
      </c>
      <c r="M243" s="178"/>
      <c r="N243" s="177"/>
      <c r="O243" s="178"/>
      <c r="P243" s="178"/>
    </row>
    <row r="244" spans="1:16" ht="15" customHeight="1" x14ac:dyDescent="0.25">
      <c r="A244" s="280">
        <v>44680</v>
      </c>
      <c r="B244" s="184" t="s">
        <v>373</v>
      </c>
      <c r="C244" s="183" t="s">
        <v>157</v>
      </c>
      <c r="D244" s="274" t="s">
        <v>164</v>
      </c>
      <c r="E244" s="221"/>
      <c r="F244" s="212">
        <v>19000</v>
      </c>
      <c r="G244" s="233">
        <f t="shared" si="4"/>
        <v>22803158</v>
      </c>
      <c r="H244" s="206" t="s">
        <v>215</v>
      </c>
      <c r="I244" s="183" t="s">
        <v>247</v>
      </c>
      <c r="J244" s="178" t="s">
        <v>166</v>
      </c>
      <c r="K244" s="178" t="s">
        <v>216</v>
      </c>
      <c r="L244" s="225" t="s">
        <v>185</v>
      </c>
      <c r="O244" s="178"/>
    </row>
    <row r="245" spans="1:16" ht="15" hidden="1" customHeight="1" x14ac:dyDescent="0.25">
      <c r="A245" s="280">
        <v>44680</v>
      </c>
      <c r="B245" s="184" t="s">
        <v>544</v>
      </c>
      <c r="C245" s="183" t="s">
        <v>76</v>
      </c>
      <c r="D245" s="335"/>
      <c r="E245" s="221"/>
      <c r="F245" s="212">
        <v>100000</v>
      </c>
      <c r="G245" s="233">
        <f t="shared" si="4"/>
        <v>22703158</v>
      </c>
      <c r="H245" s="205" t="s">
        <v>29</v>
      </c>
      <c r="L245" s="225" t="s">
        <v>185</v>
      </c>
      <c r="M245" s="177"/>
      <c r="O245" s="178"/>
      <c r="P245" s="232"/>
    </row>
    <row r="246" spans="1:16" ht="15" hidden="1" customHeight="1" x14ac:dyDescent="0.25">
      <c r="A246" s="277">
        <v>44680</v>
      </c>
      <c r="B246" s="225" t="s">
        <v>542</v>
      </c>
      <c r="C246" s="183" t="s">
        <v>76</v>
      </c>
      <c r="D246" s="183"/>
      <c r="E246" s="218">
        <v>138000</v>
      </c>
      <c r="F246" s="360"/>
      <c r="G246" s="233">
        <f t="shared" si="4"/>
        <v>22841158</v>
      </c>
      <c r="H246" s="178" t="s">
        <v>29</v>
      </c>
      <c r="K246" s="183"/>
      <c r="L246" s="225" t="s">
        <v>185</v>
      </c>
      <c r="O246" s="178"/>
    </row>
    <row r="247" spans="1:16" s="244" customFormat="1" ht="15" customHeight="1" x14ac:dyDescent="0.25">
      <c r="A247" s="278">
        <v>44681</v>
      </c>
      <c r="B247" s="225" t="s">
        <v>312</v>
      </c>
      <c r="C247" s="183" t="s">
        <v>34</v>
      </c>
      <c r="D247" s="274" t="s">
        <v>231</v>
      </c>
      <c r="E247" s="302"/>
      <c r="F247" s="361">
        <v>8000</v>
      </c>
      <c r="G247" s="233">
        <f t="shared" si="4"/>
        <v>22833158</v>
      </c>
      <c r="H247" s="229" t="s">
        <v>152</v>
      </c>
      <c r="I247" s="183" t="s">
        <v>247</v>
      </c>
      <c r="J247" s="225" t="s">
        <v>166</v>
      </c>
      <c r="K247" s="178" t="s">
        <v>217</v>
      </c>
      <c r="L247" s="225" t="s">
        <v>185</v>
      </c>
      <c r="M247" s="178" t="s">
        <v>534</v>
      </c>
      <c r="N247" s="238" t="s">
        <v>415</v>
      </c>
      <c r="O247" s="229"/>
      <c r="P247" s="178"/>
    </row>
    <row r="248" spans="1:16" s="244" customFormat="1" ht="15" hidden="1" customHeight="1" x14ac:dyDescent="0.25">
      <c r="A248" s="277">
        <v>44681</v>
      </c>
      <c r="B248" s="225" t="s">
        <v>215</v>
      </c>
      <c r="C248" s="183" t="s">
        <v>76</v>
      </c>
      <c r="D248" s="274"/>
      <c r="E248" s="211"/>
      <c r="F248" s="360">
        <v>50000</v>
      </c>
      <c r="G248" s="233">
        <f t="shared" ref="G248" si="5">+G247+E248-F248</f>
        <v>22783158</v>
      </c>
      <c r="H248" s="225" t="s">
        <v>25</v>
      </c>
      <c r="I248" s="183"/>
      <c r="J248" s="225"/>
      <c r="K248" s="178"/>
      <c r="L248" s="225" t="s">
        <v>185</v>
      </c>
      <c r="M248" s="178"/>
      <c r="N248" s="327"/>
      <c r="O248" s="225"/>
      <c r="P248" s="178"/>
    </row>
    <row r="249" spans="1:16" ht="15" hidden="1" customHeight="1" x14ac:dyDescent="0.25">
      <c r="A249" s="277">
        <v>44681</v>
      </c>
      <c r="B249" s="225" t="s">
        <v>539</v>
      </c>
      <c r="C249" s="183" t="s">
        <v>76</v>
      </c>
      <c r="D249" s="330"/>
      <c r="E249" s="178">
        <v>50000</v>
      </c>
      <c r="F249" s="213"/>
      <c r="G249" s="233">
        <f t="shared" ref="G249:G251" si="6">+G248+E249-F249</f>
        <v>22833158</v>
      </c>
      <c r="H249" s="178" t="s">
        <v>215</v>
      </c>
      <c r="I249" s="274"/>
      <c r="J249" s="178"/>
      <c r="K249" s="225"/>
      <c r="L249" s="225" t="s">
        <v>185</v>
      </c>
      <c r="O249" s="178"/>
    </row>
    <row r="250" spans="1:16" ht="15" customHeight="1" x14ac:dyDescent="0.25">
      <c r="A250" s="277">
        <v>44681</v>
      </c>
      <c r="B250" s="178" t="s">
        <v>374</v>
      </c>
      <c r="C250" s="183" t="s">
        <v>34</v>
      </c>
      <c r="D250" s="274" t="s">
        <v>164</v>
      </c>
      <c r="E250" s="178"/>
      <c r="F250" s="213">
        <v>7000</v>
      </c>
      <c r="G250" s="233">
        <f t="shared" si="6"/>
        <v>22826158</v>
      </c>
      <c r="H250" s="178" t="s">
        <v>215</v>
      </c>
      <c r="I250" s="183" t="s">
        <v>232</v>
      </c>
      <c r="J250" s="225" t="s">
        <v>166</v>
      </c>
      <c r="K250" s="178" t="s">
        <v>216</v>
      </c>
      <c r="L250" s="225" t="s">
        <v>185</v>
      </c>
      <c r="O250" s="178"/>
    </row>
    <row r="251" spans="1:16" s="244" customFormat="1" ht="15" customHeight="1" x14ac:dyDescent="0.25">
      <c r="A251" s="277">
        <v>44681</v>
      </c>
      <c r="B251" s="225" t="s">
        <v>375</v>
      </c>
      <c r="C251" s="183" t="s">
        <v>34</v>
      </c>
      <c r="D251" s="274" t="s">
        <v>164</v>
      </c>
      <c r="E251" s="225"/>
      <c r="F251" s="362">
        <v>51500</v>
      </c>
      <c r="G251" s="233">
        <f t="shared" si="6"/>
        <v>22774658</v>
      </c>
      <c r="H251" s="178" t="s">
        <v>215</v>
      </c>
      <c r="I251" s="274" t="s">
        <v>247</v>
      </c>
      <c r="J251" s="225" t="s">
        <v>166</v>
      </c>
      <c r="K251" s="178" t="s">
        <v>216</v>
      </c>
      <c r="L251" s="225" t="s">
        <v>185</v>
      </c>
      <c r="M251" s="178"/>
      <c r="N251" s="177"/>
      <c r="O251" s="225"/>
      <c r="P251" s="178"/>
    </row>
    <row r="252" spans="1:16" ht="15" hidden="1" customHeight="1" x14ac:dyDescent="0.25">
      <c r="E252" s="218"/>
      <c r="F252" s="360"/>
      <c r="G252" s="233"/>
      <c r="K252" s="183"/>
      <c r="L252" s="225"/>
      <c r="O252" s="178"/>
    </row>
    <row r="253" spans="1:16" s="244" customFormat="1" ht="15" hidden="1" customHeight="1" x14ac:dyDescent="0.25">
      <c r="A253" s="277"/>
      <c r="B253" s="178"/>
      <c r="C253" s="178"/>
      <c r="D253" s="178"/>
      <c r="E253" s="218"/>
      <c r="F253" s="211"/>
      <c r="G253" s="233"/>
      <c r="H253" s="178"/>
      <c r="I253" s="183"/>
      <c r="J253" s="178"/>
      <c r="K253" s="178"/>
      <c r="L253" s="225"/>
      <c r="M253" s="178"/>
      <c r="N253" s="177"/>
      <c r="O253" s="178"/>
      <c r="P253" s="226"/>
    </row>
    <row r="254" spans="1:16" ht="18.75" hidden="1" customHeight="1" x14ac:dyDescent="0.25">
      <c r="B254" s="225"/>
      <c r="D254" s="225"/>
      <c r="E254" s="213"/>
      <c r="F254" s="360"/>
      <c r="G254" s="233"/>
      <c r="H254" s="225"/>
      <c r="I254" s="274"/>
      <c r="J254" s="225"/>
      <c r="K254" s="225"/>
      <c r="L254" s="225"/>
      <c r="N254" s="308"/>
      <c r="O254" s="225"/>
    </row>
    <row r="255" spans="1:16" ht="15" hidden="1" customHeight="1" x14ac:dyDescent="0.25">
      <c r="A255" s="284"/>
      <c r="B255" s="207"/>
      <c r="D255" s="184"/>
      <c r="E255" s="222"/>
      <c r="F255" s="214"/>
      <c r="G255" s="233"/>
      <c r="H255" s="209"/>
      <c r="L255" s="225"/>
      <c r="O255" s="178"/>
    </row>
    <row r="256" spans="1:16" ht="15" hidden="1" customHeight="1" x14ac:dyDescent="0.25">
      <c r="E256" s="220"/>
      <c r="F256" s="292"/>
      <c r="G256" s="233"/>
      <c r="K256" s="183"/>
      <c r="L256" s="225"/>
      <c r="O256" s="178"/>
      <c r="P256" s="232"/>
    </row>
    <row r="257" spans="1:16" ht="15" hidden="1" customHeight="1" x14ac:dyDescent="0.25">
      <c r="D257" s="227"/>
      <c r="E257" s="218"/>
      <c r="F257" s="360"/>
      <c r="G257" s="233"/>
      <c r="J257" s="178"/>
      <c r="L257" s="225"/>
      <c r="O257" s="178"/>
      <c r="P257" s="232"/>
    </row>
    <row r="258" spans="1:16" ht="15" hidden="1" customHeight="1" x14ac:dyDescent="0.25">
      <c r="B258" s="225"/>
      <c r="C258" s="225"/>
      <c r="D258" s="225"/>
      <c r="E258" s="213"/>
      <c r="F258" s="360"/>
      <c r="G258" s="233"/>
      <c r="H258" s="225"/>
      <c r="I258" s="274"/>
      <c r="J258" s="225"/>
      <c r="K258" s="225"/>
      <c r="L258" s="225"/>
      <c r="N258" s="225"/>
      <c r="O258" s="225"/>
    </row>
    <row r="259" spans="1:16" ht="15" hidden="1" customHeight="1" x14ac:dyDescent="0.25">
      <c r="B259" s="225"/>
      <c r="C259" s="225"/>
      <c r="D259" s="225"/>
      <c r="E259" s="211"/>
      <c r="F259" s="360"/>
      <c r="G259" s="233"/>
      <c r="H259" s="225"/>
      <c r="I259" s="274"/>
      <c r="J259" s="225"/>
      <c r="K259" s="225"/>
      <c r="L259" s="225"/>
      <c r="N259" s="308"/>
      <c r="O259" s="225"/>
    </row>
    <row r="260" spans="1:16" ht="15" hidden="1" customHeight="1" x14ac:dyDescent="0.25">
      <c r="A260" s="280"/>
      <c r="B260" s="225"/>
      <c r="D260" s="225"/>
      <c r="E260" s="213"/>
      <c r="F260" s="360"/>
      <c r="G260" s="233"/>
      <c r="H260" s="225"/>
      <c r="I260" s="274"/>
      <c r="J260" s="225"/>
      <c r="K260" s="225"/>
      <c r="L260" s="225"/>
      <c r="N260" s="225"/>
      <c r="O260" s="225"/>
    </row>
    <row r="261" spans="1:16" ht="15" hidden="1" customHeight="1" x14ac:dyDescent="0.25">
      <c r="B261" s="225"/>
      <c r="C261" s="225"/>
      <c r="D261" s="225"/>
      <c r="E261" s="211"/>
      <c r="F261" s="211"/>
      <c r="G261" s="233"/>
      <c r="H261" s="225"/>
      <c r="I261" s="274"/>
      <c r="J261" s="225"/>
      <c r="K261" s="225"/>
      <c r="L261" s="225"/>
      <c r="M261" s="225"/>
      <c r="N261" s="225"/>
      <c r="O261" s="225"/>
    </row>
    <row r="262" spans="1:16" ht="15" hidden="1" customHeight="1" x14ac:dyDescent="0.25">
      <c r="A262" s="279"/>
      <c r="B262" s="225"/>
      <c r="D262" s="281"/>
      <c r="E262" s="213"/>
      <c r="F262" s="360"/>
      <c r="G262" s="233"/>
      <c r="H262" s="225"/>
      <c r="I262" s="274"/>
      <c r="J262" s="225"/>
      <c r="K262" s="225"/>
      <c r="L262" s="225"/>
      <c r="N262" s="229"/>
      <c r="O262" s="225"/>
    </row>
    <row r="263" spans="1:16" ht="15" hidden="1" customHeight="1" x14ac:dyDescent="0.25">
      <c r="A263" s="280"/>
      <c r="B263" s="184"/>
      <c r="D263" s="184"/>
      <c r="E263" s="221"/>
      <c r="F263" s="365"/>
      <c r="G263" s="233"/>
      <c r="H263" s="206"/>
      <c r="J263" s="178"/>
      <c r="K263" s="226"/>
      <c r="L263" s="225"/>
      <c r="N263" s="238"/>
      <c r="O263" s="177"/>
    </row>
    <row r="264" spans="1:16" ht="15" hidden="1" customHeight="1" x14ac:dyDescent="0.25">
      <c r="D264" s="224"/>
      <c r="E264" s="218"/>
      <c r="F264" s="360"/>
      <c r="G264" s="233"/>
      <c r="J264" s="178"/>
      <c r="K264" s="226"/>
      <c r="L264" s="225"/>
      <c r="N264" s="238"/>
      <c r="O264" s="178"/>
      <c r="P264" s="232"/>
    </row>
    <row r="265" spans="1:16" ht="15" hidden="1" customHeight="1" x14ac:dyDescent="0.25">
      <c r="B265" s="225"/>
      <c r="C265" s="225"/>
      <c r="D265" s="225"/>
      <c r="E265" s="211"/>
      <c r="F265" s="211"/>
      <c r="G265" s="233"/>
      <c r="H265" s="225"/>
      <c r="I265" s="274"/>
      <c r="J265" s="225"/>
      <c r="K265" s="225"/>
      <c r="L265" s="225"/>
      <c r="M265" s="225"/>
      <c r="N265" s="225"/>
      <c r="O265" s="225"/>
    </row>
    <row r="266" spans="1:16" ht="15" hidden="1" customHeight="1" x14ac:dyDescent="0.25">
      <c r="B266" s="225"/>
      <c r="C266" s="225"/>
      <c r="D266" s="225"/>
      <c r="E266" s="190"/>
      <c r="F266" s="190"/>
      <c r="G266" s="233"/>
      <c r="H266" s="225"/>
      <c r="I266" s="274"/>
      <c r="J266" s="225"/>
      <c r="K266" s="225"/>
      <c r="L266" s="225"/>
      <c r="N266" s="308"/>
      <c r="O266" s="225"/>
    </row>
    <row r="267" spans="1:16" ht="15" hidden="1" customHeight="1" x14ac:dyDescent="0.25">
      <c r="B267" s="225"/>
      <c r="D267" s="225"/>
      <c r="E267" s="211"/>
      <c r="F267" s="360"/>
      <c r="G267" s="233"/>
      <c r="H267" s="225"/>
      <c r="I267" s="274"/>
      <c r="J267" s="225"/>
      <c r="K267" s="225"/>
      <c r="L267" s="225"/>
      <c r="N267" s="229"/>
      <c r="O267" s="225"/>
    </row>
    <row r="268" spans="1:16" ht="15" hidden="1" customHeight="1" x14ac:dyDescent="0.25">
      <c r="A268" s="279"/>
      <c r="B268" s="201"/>
      <c r="C268" s="198"/>
      <c r="D268" s="211"/>
      <c r="E268" s="219"/>
      <c r="F268" s="213"/>
      <c r="G268" s="233"/>
      <c r="J268" s="178"/>
      <c r="L268" s="225"/>
      <c r="O268" s="177"/>
    </row>
    <row r="269" spans="1:16" ht="15" hidden="1" customHeight="1" x14ac:dyDescent="0.25">
      <c r="B269" s="225"/>
      <c r="C269" s="225"/>
      <c r="D269" s="225"/>
      <c r="E269" s="213"/>
      <c r="F269" s="292"/>
      <c r="G269" s="233"/>
      <c r="H269" s="225"/>
      <c r="I269" s="274"/>
      <c r="J269" s="225"/>
      <c r="K269" s="225"/>
      <c r="L269" s="225"/>
      <c r="M269" s="225"/>
      <c r="N269" s="225"/>
      <c r="O269" s="225"/>
    </row>
    <row r="270" spans="1:16" ht="15" hidden="1" customHeight="1" x14ac:dyDescent="0.25">
      <c r="B270" s="225"/>
      <c r="C270" s="225"/>
      <c r="D270" s="225"/>
      <c r="E270" s="211"/>
      <c r="F270" s="360"/>
      <c r="G270" s="233"/>
      <c r="H270" s="225"/>
      <c r="J270" s="225"/>
      <c r="K270" s="225"/>
      <c r="L270" s="225"/>
      <c r="N270" s="308"/>
      <c r="O270" s="225"/>
    </row>
    <row r="271" spans="1:16" ht="15" hidden="1" customHeight="1" x14ac:dyDescent="0.25">
      <c r="B271" s="225"/>
      <c r="C271" s="225"/>
      <c r="D271" s="225"/>
      <c r="E271" s="211"/>
      <c r="F271" s="360"/>
      <c r="G271" s="233"/>
      <c r="H271" s="225"/>
      <c r="J271" s="225"/>
      <c r="K271" s="225"/>
      <c r="L271" s="225"/>
      <c r="N271" s="308"/>
      <c r="O271" s="225"/>
    </row>
    <row r="272" spans="1:16" ht="15" hidden="1" customHeight="1" x14ac:dyDescent="0.25">
      <c r="A272" s="279"/>
      <c r="B272" s="281"/>
      <c r="C272" s="225"/>
      <c r="D272" s="225"/>
      <c r="E272" s="212"/>
      <c r="F272" s="365"/>
      <c r="G272" s="233"/>
      <c r="H272" s="281"/>
      <c r="I272" s="274"/>
      <c r="J272" s="225"/>
      <c r="K272" s="225"/>
      <c r="L272" s="225"/>
      <c r="N272" s="229"/>
      <c r="O272" s="232"/>
    </row>
    <row r="273" spans="1:15" ht="15" hidden="1" customHeight="1" x14ac:dyDescent="0.25">
      <c r="A273" s="280"/>
      <c r="B273" s="281"/>
      <c r="D273" s="225"/>
      <c r="E273" s="212"/>
      <c r="F273" s="365"/>
      <c r="G273" s="233"/>
      <c r="H273" s="237"/>
      <c r="I273" s="274"/>
      <c r="J273" s="225"/>
      <c r="K273" s="225"/>
      <c r="L273" s="225"/>
      <c r="N273" s="229"/>
      <c r="O273" s="225"/>
    </row>
    <row r="274" spans="1:15" ht="15.75" hidden="1" customHeight="1" x14ac:dyDescent="0.25">
      <c r="C274" s="225"/>
      <c r="E274" s="220"/>
      <c r="F274" s="292"/>
      <c r="G274" s="233"/>
      <c r="J274" s="225"/>
      <c r="K274" s="225"/>
      <c r="L274" s="225"/>
      <c r="O274" s="178"/>
    </row>
    <row r="275" spans="1:15" ht="15.75" hidden="1" customHeight="1" x14ac:dyDescent="0.25">
      <c r="D275" s="224"/>
      <c r="E275" s="220"/>
      <c r="F275" s="213"/>
      <c r="G275" s="233"/>
      <c r="H275" s="225"/>
      <c r="L275" s="225"/>
      <c r="O275" s="226"/>
    </row>
    <row r="276" spans="1:15" ht="15.75" hidden="1" customHeight="1" x14ac:dyDescent="0.25">
      <c r="B276" s="225"/>
      <c r="C276" s="225"/>
      <c r="D276" s="225"/>
      <c r="E276" s="211"/>
      <c r="F276" s="360"/>
      <c r="G276" s="233"/>
      <c r="H276" s="225"/>
      <c r="I276" s="178"/>
      <c r="J276" s="225"/>
      <c r="K276" s="225"/>
      <c r="L276" s="225"/>
      <c r="N276" s="225"/>
      <c r="O276" s="225"/>
    </row>
    <row r="277" spans="1:15" ht="15.75" hidden="1" customHeight="1" x14ac:dyDescent="0.25">
      <c r="B277" s="225"/>
      <c r="C277" s="225"/>
      <c r="D277" s="224"/>
      <c r="E277" s="213"/>
      <c r="F277" s="360"/>
      <c r="G277" s="233"/>
      <c r="H277" s="225"/>
      <c r="I277" s="178"/>
      <c r="J277" s="225"/>
      <c r="K277" s="225"/>
      <c r="L277" s="225"/>
      <c r="N277" s="225"/>
      <c r="O277" s="229"/>
    </row>
    <row r="278" spans="1:15" ht="15.75" hidden="1" customHeight="1" x14ac:dyDescent="0.25">
      <c r="B278" s="225"/>
      <c r="C278" s="225"/>
      <c r="D278" s="225"/>
      <c r="E278" s="213"/>
      <c r="F278" s="360"/>
      <c r="G278" s="233"/>
      <c r="H278" s="225"/>
      <c r="I278" s="178"/>
      <c r="J278" s="225"/>
      <c r="K278" s="225"/>
      <c r="L278" s="225"/>
      <c r="N278" s="308"/>
      <c r="O278" s="229"/>
    </row>
    <row r="279" spans="1:15" ht="15.75" hidden="1" customHeight="1" x14ac:dyDescent="0.25">
      <c r="A279" s="278"/>
      <c r="B279" s="225"/>
      <c r="C279" s="229"/>
      <c r="D279" s="225"/>
      <c r="E279" s="302"/>
      <c r="F279" s="302"/>
      <c r="G279" s="233"/>
      <c r="H279" s="229"/>
      <c r="I279" s="229"/>
      <c r="J279" s="225"/>
      <c r="K279" s="225"/>
      <c r="L279" s="225"/>
      <c r="M279" s="229"/>
      <c r="N279" s="229"/>
      <c r="O279" s="229"/>
    </row>
    <row r="280" spans="1:15" ht="15.75" hidden="1" customHeight="1" x14ac:dyDescent="0.25">
      <c r="B280" s="225"/>
      <c r="C280" s="225"/>
      <c r="D280" s="224"/>
      <c r="E280" s="213"/>
      <c r="F280" s="360"/>
      <c r="G280" s="233"/>
      <c r="H280" s="225"/>
      <c r="I280" s="178"/>
      <c r="J280" s="225"/>
      <c r="K280" s="225"/>
      <c r="L280" s="225"/>
      <c r="N280" s="225"/>
      <c r="O280" s="225"/>
    </row>
    <row r="281" spans="1:15" ht="15.75" hidden="1" customHeight="1" x14ac:dyDescent="0.25">
      <c r="B281" s="225"/>
      <c r="C281" s="225"/>
      <c r="D281" s="225"/>
      <c r="E281" s="190"/>
      <c r="G281" s="233"/>
      <c r="H281" s="225"/>
      <c r="I281" s="178"/>
      <c r="J281" s="225"/>
      <c r="K281" s="225"/>
      <c r="L281" s="225"/>
      <c r="N281" s="225"/>
      <c r="O281" s="225"/>
    </row>
    <row r="282" spans="1:15" ht="15.75" hidden="1" customHeight="1" x14ac:dyDescent="0.25">
      <c r="B282" s="225"/>
      <c r="C282" s="225"/>
      <c r="D282" s="225"/>
      <c r="E282" s="213"/>
      <c r="F282" s="213"/>
      <c r="G282" s="233"/>
      <c r="H282" s="225"/>
      <c r="I282" s="225"/>
      <c r="J282" s="225"/>
      <c r="K282" s="225"/>
      <c r="L282" s="225"/>
      <c r="M282" s="225"/>
      <c r="N282" s="225"/>
      <c r="O282" s="225"/>
    </row>
    <row r="283" spans="1:15" ht="15.75" hidden="1" customHeight="1" x14ac:dyDescent="0.25">
      <c r="B283" s="225"/>
      <c r="C283" s="225"/>
      <c r="D283" s="225"/>
      <c r="E283" s="211"/>
      <c r="F283" s="211"/>
      <c r="G283" s="233"/>
      <c r="H283" s="225"/>
      <c r="I283" s="274"/>
      <c r="J283" s="225"/>
      <c r="K283" s="225"/>
      <c r="L283" s="225"/>
      <c r="M283" s="225"/>
      <c r="N283" s="225"/>
      <c r="O283" s="225"/>
    </row>
    <row r="284" spans="1:15" ht="15.75" hidden="1" customHeight="1" x14ac:dyDescent="0.25">
      <c r="B284" s="225"/>
      <c r="D284" s="225"/>
      <c r="E284" s="213"/>
      <c r="F284" s="360"/>
      <c r="G284" s="233"/>
      <c r="H284" s="225"/>
      <c r="I284" s="274"/>
      <c r="J284" s="225"/>
      <c r="K284" s="225"/>
      <c r="L284" s="225"/>
      <c r="N284" s="225"/>
      <c r="O284" s="225"/>
    </row>
    <row r="285" spans="1:15" ht="15.75" hidden="1" customHeight="1" x14ac:dyDescent="0.25">
      <c r="B285" s="225"/>
      <c r="D285" s="225"/>
      <c r="E285" s="213"/>
      <c r="F285" s="213"/>
      <c r="G285" s="233"/>
      <c r="H285" s="225"/>
      <c r="I285" s="274"/>
      <c r="J285" s="225"/>
      <c r="K285" s="225"/>
      <c r="L285" s="225"/>
      <c r="M285" s="229"/>
      <c r="N285" s="229"/>
      <c r="O285" s="229"/>
    </row>
    <row r="286" spans="1:15" ht="15.75" hidden="1" customHeight="1" x14ac:dyDescent="0.25">
      <c r="A286" s="278"/>
      <c r="B286" s="225"/>
      <c r="C286" s="225"/>
      <c r="D286" s="225"/>
      <c r="E286" s="302"/>
      <c r="F286" s="302"/>
      <c r="G286" s="233"/>
      <c r="H286" s="229"/>
      <c r="I286" s="274"/>
      <c r="J286" s="225"/>
      <c r="K286" s="225"/>
      <c r="L286" s="225"/>
      <c r="M286" s="229"/>
      <c r="N286" s="229"/>
      <c r="O286" s="229"/>
    </row>
    <row r="287" spans="1:15" ht="15.75" hidden="1" customHeight="1" x14ac:dyDescent="0.25">
      <c r="A287" s="280"/>
      <c r="B287" s="184"/>
      <c r="D287" s="224"/>
      <c r="E287" s="221"/>
      <c r="F287" s="212"/>
      <c r="G287" s="233"/>
      <c r="H287" s="206"/>
      <c r="K287" s="183"/>
      <c r="L287" s="225"/>
      <c r="O287" s="178"/>
    </row>
    <row r="288" spans="1:15" ht="15.75" hidden="1" customHeight="1" x14ac:dyDescent="0.25">
      <c r="A288" s="284"/>
      <c r="B288" s="208"/>
      <c r="D288" s="224"/>
      <c r="E288" s="222"/>
      <c r="F288" s="213"/>
      <c r="G288" s="233"/>
      <c r="H288" s="209"/>
      <c r="L288" s="225"/>
      <c r="O288" s="178"/>
    </row>
    <row r="289" spans="1:16" ht="15.75" hidden="1" customHeight="1" x14ac:dyDescent="0.25">
      <c r="D289" s="224"/>
      <c r="E289" s="220"/>
      <c r="F289" s="292"/>
      <c r="G289" s="233"/>
      <c r="J289" s="178"/>
      <c r="K289" s="226"/>
      <c r="L289" s="225"/>
      <c r="N289" s="238"/>
      <c r="O289" s="226"/>
    </row>
    <row r="290" spans="1:16" ht="15.75" hidden="1" customHeight="1" x14ac:dyDescent="0.25">
      <c r="E290" s="218"/>
      <c r="F290" s="211"/>
      <c r="G290" s="233"/>
      <c r="L290" s="225"/>
      <c r="O290" s="178"/>
    </row>
    <row r="291" spans="1:16" ht="15.75" hidden="1" customHeight="1" x14ac:dyDescent="0.25">
      <c r="A291" s="279"/>
      <c r="C291" s="184"/>
      <c r="D291" s="224"/>
      <c r="E291" s="219"/>
      <c r="F291" s="360"/>
      <c r="G291" s="233"/>
      <c r="J291" s="178"/>
      <c r="K291" s="226"/>
      <c r="L291" s="225"/>
      <c r="N291" s="238"/>
      <c r="O291" s="178"/>
      <c r="P291" s="232"/>
    </row>
    <row r="292" spans="1:16" ht="15.75" hidden="1" customHeight="1" x14ac:dyDescent="0.25">
      <c r="A292" s="279"/>
      <c r="C292" s="184"/>
      <c r="D292" s="294"/>
      <c r="E292" s="219"/>
      <c r="F292" s="213"/>
      <c r="G292" s="233"/>
      <c r="J292" s="178"/>
      <c r="L292" s="225"/>
      <c r="O292" s="178"/>
    </row>
    <row r="293" spans="1:16" ht="15.75" hidden="1" customHeight="1" x14ac:dyDescent="0.25">
      <c r="A293" s="284"/>
      <c r="B293" s="208"/>
      <c r="C293" s="208"/>
      <c r="E293" s="220"/>
      <c r="F293" s="214"/>
      <c r="G293" s="233"/>
      <c r="H293" s="209"/>
      <c r="K293" s="183"/>
      <c r="L293" s="225"/>
      <c r="N293" s="178"/>
      <c r="O293" s="178"/>
      <c r="P293" s="226"/>
    </row>
    <row r="294" spans="1:16" ht="15.75" hidden="1" customHeight="1" x14ac:dyDescent="0.25">
      <c r="A294" s="284"/>
      <c r="E294" s="220"/>
      <c r="F294" s="366"/>
      <c r="G294" s="233"/>
      <c r="H294" s="209"/>
      <c r="K294" s="183"/>
      <c r="L294" s="225"/>
      <c r="O294" s="178"/>
      <c r="P294" s="226"/>
    </row>
    <row r="295" spans="1:16" ht="15.75" hidden="1" customHeight="1" x14ac:dyDescent="0.25">
      <c r="E295" s="218"/>
      <c r="F295" s="211"/>
      <c r="G295" s="233"/>
      <c r="L295" s="225"/>
      <c r="O295" s="178"/>
    </row>
    <row r="296" spans="1:16" ht="15.75" hidden="1" customHeight="1" x14ac:dyDescent="0.25">
      <c r="A296" s="279"/>
      <c r="E296" s="219"/>
      <c r="F296" s="360"/>
      <c r="G296" s="233"/>
      <c r="J296" s="178"/>
      <c r="L296" s="225"/>
      <c r="O296" s="178"/>
      <c r="P296" s="226"/>
    </row>
    <row r="297" spans="1:16" ht="15.75" hidden="1" customHeight="1" x14ac:dyDescent="0.25">
      <c r="B297" s="225"/>
      <c r="C297" s="225"/>
      <c r="D297" s="225"/>
      <c r="E297" s="190"/>
      <c r="G297" s="233"/>
      <c r="H297" s="225"/>
      <c r="I297" s="178"/>
      <c r="J297" s="225"/>
      <c r="K297" s="225"/>
      <c r="L297" s="225"/>
      <c r="N297" s="225"/>
      <c r="O297" s="225"/>
    </row>
    <row r="298" spans="1:16" ht="15.75" hidden="1" customHeight="1" x14ac:dyDescent="0.25">
      <c r="B298" s="225"/>
      <c r="C298" s="225"/>
      <c r="D298" s="225"/>
      <c r="E298" s="211"/>
      <c r="F298" s="211"/>
      <c r="G298" s="233"/>
      <c r="H298" s="225"/>
      <c r="I298" s="225"/>
      <c r="J298" s="225"/>
      <c r="K298" s="225"/>
      <c r="L298" s="225"/>
      <c r="M298" s="225"/>
      <c r="N298" s="225"/>
      <c r="O298" s="225"/>
    </row>
    <row r="299" spans="1:16" ht="15.75" hidden="1" customHeight="1" x14ac:dyDescent="0.25">
      <c r="B299" s="225"/>
      <c r="C299" s="225"/>
      <c r="D299" s="225"/>
      <c r="E299" s="211"/>
      <c r="F299" s="211"/>
      <c r="G299" s="233"/>
      <c r="H299" s="225"/>
      <c r="I299" s="225"/>
      <c r="J299" s="225"/>
      <c r="K299" s="225"/>
      <c r="L299" s="225"/>
      <c r="N299" s="308"/>
      <c r="O299" s="225"/>
    </row>
    <row r="300" spans="1:16" s="232" customFormat="1" ht="15.75" hidden="1" customHeight="1" x14ac:dyDescent="0.25">
      <c r="A300" s="277"/>
      <c r="B300" s="225"/>
      <c r="C300" s="178"/>
      <c r="D300" s="225"/>
      <c r="E300" s="211"/>
      <c r="F300" s="211"/>
      <c r="G300" s="233"/>
      <c r="H300" s="225"/>
      <c r="I300" s="274"/>
      <c r="J300" s="225"/>
      <c r="K300" s="225"/>
      <c r="L300" s="225"/>
      <c r="M300" s="225"/>
      <c r="N300" s="225"/>
      <c r="O300" s="225"/>
      <c r="P300" s="178"/>
    </row>
    <row r="301" spans="1:16" s="232" customFormat="1" ht="15.75" hidden="1" customHeight="1" x14ac:dyDescent="0.25">
      <c r="A301" s="277"/>
      <c r="B301" s="225"/>
      <c r="C301" s="225"/>
      <c r="D301" s="225"/>
      <c r="E301" s="211"/>
      <c r="F301" s="211"/>
      <c r="G301" s="233"/>
      <c r="H301" s="225"/>
      <c r="I301" s="274"/>
      <c r="J301" s="225"/>
      <c r="K301" s="225"/>
      <c r="L301" s="225"/>
      <c r="M301" s="225"/>
      <c r="N301" s="225"/>
      <c r="O301" s="225"/>
      <c r="P301" s="178"/>
    </row>
    <row r="302" spans="1:16" s="232" customFormat="1" ht="15.75" hidden="1" customHeight="1" x14ac:dyDescent="0.25">
      <c r="A302" s="277"/>
      <c r="B302" s="178"/>
      <c r="C302" s="178"/>
      <c r="D302" s="224"/>
      <c r="E302" s="307"/>
      <c r="F302" s="360"/>
      <c r="G302" s="233"/>
      <c r="H302" s="178"/>
      <c r="I302" s="183"/>
      <c r="J302" s="178"/>
      <c r="K302" s="178"/>
      <c r="L302" s="225"/>
      <c r="M302" s="178"/>
      <c r="N302" s="177"/>
      <c r="O302" s="244"/>
      <c r="P302" s="244"/>
    </row>
    <row r="303" spans="1:16" s="232" customFormat="1" ht="15.75" hidden="1" customHeight="1" x14ac:dyDescent="0.25">
      <c r="A303" s="277"/>
      <c r="B303" s="178"/>
      <c r="C303" s="178"/>
      <c r="D303" s="224"/>
      <c r="E303" s="220"/>
      <c r="F303" s="292"/>
      <c r="G303" s="233"/>
      <c r="H303" s="178"/>
      <c r="I303" s="183"/>
      <c r="J303" s="225"/>
      <c r="K303" s="225"/>
      <c r="L303" s="225"/>
      <c r="M303" s="178"/>
      <c r="N303" s="238"/>
      <c r="O303" s="255"/>
      <c r="P303" s="244"/>
    </row>
    <row r="304" spans="1:16" s="232" customFormat="1" ht="15.75" hidden="1" customHeight="1" x14ac:dyDescent="0.25">
      <c r="A304" s="277"/>
      <c r="B304" s="178"/>
      <c r="C304" s="178"/>
      <c r="D304" s="178"/>
      <c r="E304" s="195"/>
      <c r="F304" s="190"/>
      <c r="G304" s="233"/>
      <c r="H304" s="178"/>
      <c r="I304" s="183"/>
      <c r="J304" s="183"/>
      <c r="K304" s="178"/>
      <c r="L304" s="225"/>
      <c r="M304" s="178"/>
      <c r="N304" s="177"/>
      <c r="O304" s="178"/>
      <c r="P304" s="178"/>
    </row>
    <row r="305" spans="1:16" s="232" customFormat="1" ht="15.75" hidden="1" customHeight="1" x14ac:dyDescent="0.25">
      <c r="A305" s="280"/>
      <c r="B305" s="184"/>
      <c r="C305" s="178"/>
      <c r="D305" s="184"/>
      <c r="E305" s="221"/>
      <c r="F305" s="304"/>
      <c r="G305" s="233"/>
      <c r="H305" s="206"/>
      <c r="I305" s="183"/>
      <c r="J305" s="225"/>
      <c r="K305" s="225"/>
      <c r="L305" s="225"/>
      <c r="M305" s="178"/>
      <c r="N305" s="177"/>
      <c r="O305" s="178"/>
      <c r="P305" s="178"/>
    </row>
    <row r="306" spans="1:16" s="232" customFormat="1" ht="15.75" hidden="1" customHeight="1" x14ac:dyDescent="0.25">
      <c r="A306" s="284"/>
      <c r="B306" s="293"/>
      <c r="C306" s="178"/>
      <c r="D306" s="184"/>
      <c r="E306" s="222"/>
      <c r="F306" s="214"/>
      <c r="G306" s="233"/>
      <c r="H306" s="209"/>
      <c r="I306" s="183"/>
      <c r="J306" s="251"/>
      <c r="K306" s="244"/>
      <c r="L306" s="225"/>
      <c r="M306" s="244"/>
      <c r="N306" s="252"/>
      <c r="O306" s="244"/>
      <c r="P306" s="244"/>
    </row>
    <row r="307" spans="1:16" s="232" customFormat="1" ht="15.75" hidden="1" customHeight="1" x14ac:dyDescent="0.25">
      <c r="A307" s="277"/>
      <c r="B307" s="178"/>
      <c r="C307" s="225"/>
      <c r="D307" s="178"/>
      <c r="E307" s="218"/>
      <c r="F307" s="211"/>
      <c r="G307" s="233"/>
      <c r="H307" s="178"/>
      <c r="I307" s="183"/>
      <c r="J307" s="225"/>
      <c r="K307" s="225"/>
      <c r="L307" s="225"/>
      <c r="M307" s="178"/>
      <c r="N307" s="177"/>
      <c r="O307" s="178"/>
      <c r="P307" s="178"/>
    </row>
    <row r="308" spans="1:16" s="232" customFormat="1" ht="15.75" hidden="1" customHeight="1" x14ac:dyDescent="0.25">
      <c r="A308" s="277"/>
      <c r="B308" s="178"/>
      <c r="C308" s="178"/>
      <c r="D308" s="178"/>
      <c r="E308" s="218"/>
      <c r="F308" s="360"/>
      <c r="G308" s="233"/>
      <c r="H308" s="178"/>
      <c r="I308" s="183"/>
      <c r="J308" s="178"/>
      <c r="K308" s="226"/>
      <c r="L308" s="225"/>
      <c r="M308" s="178"/>
      <c r="N308" s="238"/>
      <c r="O308" s="178"/>
      <c r="P308" s="178"/>
    </row>
    <row r="309" spans="1:16" s="232" customFormat="1" ht="15.75" hidden="1" customHeight="1" x14ac:dyDescent="0.25">
      <c r="A309" s="279"/>
      <c r="B309" s="178"/>
      <c r="C309" s="184"/>
      <c r="D309" s="224"/>
      <c r="E309" s="219"/>
      <c r="F309" s="360"/>
      <c r="G309" s="233"/>
      <c r="H309" s="178"/>
      <c r="I309" s="183"/>
      <c r="J309" s="178"/>
      <c r="K309" s="226"/>
      <c r="L309" s="225"/>
      <c r="M309" s="178"/>
      <c r="N309" s="238"/>
      <c r="O309" s="178"/>
      <c r="P309" s="178"/>
    </row>
    <row r="310" spans="1:16" s="232" customFormat="1" ht="15.75" hidden="1" customHeight="1" x14ac:dyDescent="0.25">
      <c r="A310" s="280"/>
      <c r="B310" s="184"/>
      <c r="C310" s="178"/>
      <c r="D310" s="178"/>
      <c r="E310" s="221"/>
      <c r="F310" s="358"/>
      <c r="G310" s="233"/>
      <c r="H310" s="178"/>
      <c r="I310" s="183"/>
      <c r="J310" s="183"/>
      <c r="K310" s="183"/>
      <c r="L310" s="225"/>
      <c r="M310" s="178"/>
      <c r="N310" s="177"/>
      <c r="O310" s="178"/>
      <c r="P310" s="226"/>
    </row>
    <row r="311" spans="1:16" s="232" customFormat="1" ht="15.75" hidden="1" customHeight="1" x14ac:dyDescent="0.25">
      <c r="A311" s="280"/>
      <c r="B311" s="184"/>
      <c r="C311" s="178"/>
      <c r="D311" s="178"/>
      <c r="E311" s="221"/>
      <c r="F311" s="190"/>
      <c r="G311" s="233"/>
      <c r="H311" s="209"/>
      <c r="I311" s="183"/>
      <c r="J311" s="178"/>
      <c r="K311" s="178"/>
      <c r="L311" s="225"/>
      <c r="M311" s="178"/>
      <c r="N311" s="177"/>
      <c r="O311" s="178"/>
      <c r="P311" s="226"/>
    </row>
    <row r="312" spans="1:16" s="232" customFormat="1" ht="15.75" hidden="1" customHeight="1" x14ac:dyDescent="0.25">
      <c r="A312" s="277"/>
      <c r="B312" s="178"/>
      <c r="C312" s="178"/>
      <c r="D312" s="224"/>
      <c r="E312" s="218"/>
      <c r="F312" s="211"/>
      <c r="G312" s="233"/>
      <c r="H312" s="178"/>
      <c r="I312" s="183"/>
      <c r="J312" s="183"/>
      <c r="K312" s="178"/>
      <c r="L312" s="225"/>
      <c r="M312" s="178"/>
      <c r="N312" s="177"/>
      <c r="O312" s="178"/>
      <c r="P312" s="178"/>
    </row>
    <row r="313" spans="1:16" s="232" customFormat="1" ht="15.75" hidden="1" customHeight="1" x14ac:dyDescent="0.25">
      <c r="A313" s="280"/>
      <c r="B313" s="225"/>
      <c r="C313" s="225"/>
      <c r="D313" s="225"/>
      <c r="E313" s="213"/>
      <c r="F313" s="213"/>
      <c r="G313" s="233"/>
      <c r="H313" s="225"/>
      <c r="I313" s="225"/>
      <c r="J313" s="225"/>
      <c r="K313" s="225"/>
      <c r="L313" s="225"/>
      <c r="M313" s="178"/>
      <c r="N313" s="308"/>
      <c r="O313" s="225"/>
      <c r="P313" s="178"/>
    </row>
    <row r="314" spans="1:16" s="232" customFormat="1" ht="15.75" hidden="1" customHeight="1" x14ac:dyDescent="0.25">
      <c r="A314" s="277"/>
      <c r="B314" s="225"/>
      <c r="C314" s="225"/>
      <c r="D314" s="225"/>
      <c r="E314" s="211"/>
      <c r="F314" s="360"/>
      <c r="G314" s="233"/>
      <c r="H314" s="225"/>
      <c r="I314" s="225"/>
      <c r="J314" s="225"/>
      <c r="K314" s="225"/>
      <c r="L314" s="225"/>
      <c r="M314" s="178"/>
      <c r="N314" s="308"/>
      <c r="O314" s="225"/>
      <c r="P314" s="178"/>
    </row>
    <row r="315" spans="1:16" s="232" customFormat="1" ht="15.75" hidden="1" customHeight="1" x14ac:dyDescent="0.25">
      <c r="A315" s="277"/>
      <c r="B315" s="225"/>
      <c r="C315" s="233"/>
      <c r="D315" s="233"/>
      <c r="E315" s="213"/>
      <c r="F315" s="213"/>
      <c r="G315" s="233"/>
      <c r="H315" s="225"/>
      <c r="I315" s="225"/>
      <c r="J315" s="225"/>
      <c r="K315" s="225"/>
      <c r="L315" s="225"/>
      <c r="M315" s="225"/>
      <c r="N315" s="225"/>
      <c r="O315" s="225"/>
      <c r="P315" s="178"/>
    </row>
    <row r="316" spans="1:16" s="232" customFormat="1" ht="15.75" hidden="1" customHeight="1" x14ac:dyDescent="0.25">
      <c r="A316" s="277"/>
      <c r="B316" s="225"/>
      <c r="C316" s="225"/>
      <c r="D316" s="225"/>
      <c r="E316" s="211"/>
      <c r="F316" s="211"/>
      <c r="G316" s="233"/>
      <c r="H316" s="225"/>
      <c r="I316" s="225"/>
      <c r="J316" s="225"/>
      <c r="K316" s="225"/>
      <c r="L316" s="225"/>
      <c r="M316" s="225"/>
      <c r="N316" s="225"/>
      <c r="O316" s="225"/>
      <c r="P316" s="178"/>
    </row>
    <row r="317" spans="1:16" ht="15.75" hidden="1" customHeight="1" x14ac:dyDescent="0.25">
      <c r="B317" s="225"/>
      <c r="C317" s="225"/>
      <c r="D317" s="225"/>
      <c r="E317" s="211"/>
      <c r="F317" s="360"/>
      <c r="G317" s="233"/>
      <c r="H317" s="225"/>
      <c r="I317" s="178"/>
      <c r="J317" s="225"/>
      <c r="K317" s="225"/>
      <c r="L317" s="225"/>
      <c r="N317" s="308"/>
      <c r="O317" s="225"/>
    </row>
    <row r="318" spans="1:16" s="226" customFormat="1" ht="15.75" hidden="1" customHeight="1" x14ac:dyDescent="0.25">
      <c r="A318" s="277"/>
      <c r="B318" s="225"/>
      <c r="C318" s="225"/>
      <c r="D318" s="281"/>
      <c r="E318" s="211"/>
      <c r="F318" s="360"/>
      <c r="G318" s="233"/>
      <c r="H318" s="225"/>
      <c r="I318" s="178"/>
      <c r="J318" s="225"/>
      <c r="K318" s="225"/>
      <c r="L318" s="225"/>
      <c r="M318" s="178"/>
      <c r="N318" s="308"/>
      <c r="O318" s="225"/>
      <c r="P318" s="178"/>
    </row>
    <row r="319" spans="1:16" ht="15.75" hidden="1" customHeight="1" x14ac:dyDescent="0.25">
      <c r="B319" s="225"/>
      <c r="C319" s="225"/>
      <c r="D319" s="234"/>
      <c r="E319" s="213"/>
      <c r="F319" s="360"/>
      <c r="G319" s="233"/>
      <c r="H319" s="225"/>
      <c r="I319" s="225"/>
      <c r="J319" s="225"/>
      <c r="K319" s="225"/>
      <c r="L319" s="225"/>
      <c r="N319" s="308"/>
      <c r="O319" s="225"/>
    </row>
    <row r="320" spans="1:16" s="226" customFormat="1" ht="15.75" hidden="1" customHeight="1" x14ac:dyDescent="0.25">
      <c r="A320" s="277"/>
      <c r="B320" s="225"/>
      <c r="C320" s="225"/>
      <c r="D320" s="233"/>
      <c r="E320" s="211"/>
      <c r="F320" s="360"/>
      <c r="G320" s="233"/>
      <c r="H320" s="225"/>
      <c r="I320" s="274"/>
      <c r="J320" s="225"/>
      <c r="K320" s="225"/>
      <c r="L320" s="225"/>
      <c r="M320" s="178"/>
      <c r="N320" s="308"/>
      <c r="O320" s="225"/>
      <c r="P320" s="178"/>
    </row>
    <row r="321" spans="1:16" s="226" customFormat="1" ht="15.75" hidden="1" customHeight="1" x14ac:dyDescent="0.25">
      <c r="A321" s="277"/>
      <c r="B321" s="225"/>
      <c r="C321" s="225"/>
      <c r="D321" s="291"/>
      <c r="E321" s="213"/>
      <c r="F321" s="360"/>
      <c r="G321" s="233"/>
      <c r="H321" s="225"/>
      <c r="I321" s="274"/>
      <c r="J321" s="225"/>
      <c r="K321" s="225"/>
      <c r="L321" s="225"/>
      <c r="M321" s="178"/>
      <c r="N321" s="308"/>
      <c r="O321" s="225"/>
      <c r="P321" s="178"/>
    </row>
    <row r="322" spans="1:16" s="226" customFormat="1" ht="15.75" hidden="1" customHeight="1" x14ac:dyDescent="0.25">
      <c r="A322" s="277"/>
      <c r="B322" s="225"/>
      <c r="C322" s="225"/>
      <c r="D322" s="291"/>
      <c r="E322" s="211"/>
      <c r="F322" s="360"/>
      <c r="G322" s="233"/>
      <c r="H322" s="225"/>
      <c r="I322" s="274"/>
      <c r="J322" s="225"/>
      <c r="K322" s="225"/>
      <c r="L322" s="225"/>
      <c r="M322" s="178"/>
      <c r="N322" s="240"/>
      <c r="O322" s="225"/>
      <c r="P322" s="178"/>
    </row>
    <row r="323" spans="1:16" s="226" customFormat="1" ht="15.75" hidden="1" customHeight="1" x14ac:dyDescent="0.25">
      <c r="A323" s="277"/>
      <c r="B323" s="225"/>
      <c r="C323" s="225"/>
      <c r="D323" s="234"/>
      <c r="E323" s="213"/>
      <c r="F323" s="360"/>
      <c r="G323" s="233"/>
      <c r="H323" s="225"/>
      <c r="I323" s="274"/>
      <c r="J323" s="225"/>
      <c r="K323" s="225"/>
      <c r="L323" s="225"/>
      <c r="M323" s="178"/>
      <c r="N323" s="308"/>
      <c r="O323" s="225"/>
      <c r="P323" s="178"/>
    </row>
    <row r="324" spans="1:16" s="226" customFormat="1" ht="15.75" hidden="1" customHeight="1" x14ac:dyDescent="0.25">
      <c r="A324" s="284"/>
      <c r="B324" s="285"/>
      <c r="C324" s="225"/>
      <c r="D324" s="235"/>
      <c r="E324" s="214"/>
      <c r="F324" s="360"/>
      <c r="G324" s="233"/>
      <c r="H324" s="225"/>
      <c r="I324" s="274"/>
      <c r="J324" s="225"/>
      <c r="K324" s="225"/>
      <c r="L324" s="225"/>
      <c r="M324" s="178"/>
      <c r="N324" s="308"/>
      <c r="O324" s="225"/>
      <c r="P324" s="178"/>
    </row>
    <row r="325" spans="1:16" s="226" customFormat="1" ht="15.75" hidden="1" customHeight="1" x14ac:dyDescent="0.25">
      <c r="A325" s="280"/>
      <c r="B325" s="225"/>
      <c r="C325" s="225"/>
      <c r="D325" s="236"/>
      <c r="E325" s="212"/>
      <c r="F325" s="360"/>
      <c r="G325" s="233"/>
      <c r="H325" s="225"/>
      <c r="I325" s="274"/>
      <c r="J325" s="225"/>
      <c r="K325" s="225"/>
      <c r="L325" s="225"/>
      <c r="M325" s="178"/>
      <c r="N325" s="308"/>
      <c r="O325" s="225"/>
      <c r="P325" s="178"/>
    </row>
    <row r="326" spans="1:16" s="226" customFormat="1" ht="15.75" hidden="1" customHeight="1" x14ac:dyDescent="0.25">
      <c r="A326" s="277"/>
      <c r="B326" s="225"/>
      <c r="C326" s="225"/>
      <c r="D326" s="225"/>
      <c r="E326" s="213"/>
      <c r="F326" s="360"/>
      <c r="G326" s="233"/>
      <c r="H326" s="225"/>
      <c r="I326" s="274"/>
      <c r="J326" s="225"/>
      <c r="K326" s="225"/>
      <c r="L326" s="225"/>
      <c r="M326" s="178"/>
      <c r="N326" s="240"/>
      <c r="O326" s="225"/>
      <c r="P326" s="178"/>
    </row>
    <row r="327" spans="1:16" s="226" customFormat="1" ht="15.75" hidden="1" customHeight="1" x14ac:dyDescent="0.25">
      <c r="A327" s="280"/>
      <c r="B327" s="184"/>
      <c r="C327" s="178"/>
      <c r="D327" s="178"/>
      <c r="E327" s="221"/>
      <c r="F327" s="212"/>
      <c r="G327" s="233"/>
      <c r="H327" s="206"/>
      <c r="I327" s="183"/>
      <c r="J327" s="225"/>
      <c r="K327" s="225"/>
      <c r="L327" s="225"/>
      <c r="M327" s="178"/>
      <c r="N327" s="177"/>
      <c r="O327" s="178"/>
      <c r="P327" s="178"/>
    </row>
    <row r="328" spans="1:16" s="226" customFormat="1" ht="15.75" hidden="1" customHeight="1" x14ac:dyDescent="0.25">
      <c r="A328" s="280"/>
      <c r="B328" s="178"/>
      <c r="C328" s="178"/>
      <c r="D328" s="178"/>
      <c r="E328" s="218"/>
      <c r="F328" s="211"/>
      <c r="G328" s="233"/>
      <c r="H328" s="178"/>
      <c r="I328" s="183"/>
      <c r="J328" s="225"/>
      <c r="K328" s="225"/>
      <c r="L328" s="225"/>
      <c r="M328" s="178"/>
      <c r="N328" s="177"/>
      <c r="O328" s="178"/>
      <c r="P328" s="178"/>
    </row>
    <row r="329" spans="1:16" s="226" customFormat="1" ht="15.75" hidden="1" customHeight="1" x14ac:dyDescent="0.25">
      <c r="A329" s="280"/>
      <c r="B329" s="178"/>
      <c r="C329" s="178"/>
      <c r="D329" s="178"/>
      <c r="E329" s="218"/>
      <c r="F329" s="211"/>
      <c r="G329" s="233"/>
      <c r="H329" s="178"/>
      <c r="I329" s="183"/>
      <c r="J329" s="183"/>
      <c r="K329" s="183"/>
      <c r="L329" s="225"/>
      <c r="M329" s="178"/>
      <c r="N329" s="177"/>
      <c r="O329" s="178"/>
      <c r="P329" s="178"/>
    </row>
    <row r="330" spans="1:16" s="226" customFormat="1" ht="15.75" hidden="1" customHeight="1" x14ac:dyDescent="0.25">
      <c r="A330" s="280"/>
      <c r="B330" s="178"/>
      <c r="C330" s="225"/>
      <c r="D330" s="178"/>
      <c r="E330" s="218"/>
      <c r="F330" s="211"/>
      <c r="G330" s="233"/>
      <c r="H330" s="178"/>
      <c r="I330" s="183"/>
      <c r="J330" s="225"/>
      <c r="K330" s="225"/>
      <c r="L330" s="225"/>
      <c r="M330" s="178"/>
      <c r="N330" s="177"/>
      <c r="O330" s="178"/>
      <c r="P330" s="178"/>
    </row>
    <row r="331" spans="1:16" s="226" customFormat="1" ht="15.75" hidden="1" customHeight="1" x14ac:dyDescent="0.25">
      <c r="A331" s="280"/>
      <c r="B331" s="184"/>
      <c r="C331" s="225"/>
      <c r="D331" s="178"/>
      <c r="E331" s="221"/>
      <c r="F331" s="212"/>
      <c r="G331" s="233"/>
      <c r="H331" s="205"/>
      <c r="I331" s="183"/>
      <c r="J331" s="225"/>
      <c r="K331" s="225"/>
      <c r="L331" s="225"/>
      <c r="M331" s="178"/>
      <c r="N331" s="177"/>
      <c r="O331" s="178"/>
      <c r="P331" s="178"/>
    </row>
    <row r="332" spans="1:16" ht="15.75" hidden="1" customHeight="1" x14ac:dyDescent="0.25">
      <c r="D332" s="184"/>
      <c r="E332" s="218"/>
      <c r="F332" s="211"/>
      <c r="G332" s="233"/>
      <c r="J332" s="225"/>
      <c r="K332" s="225"/>
      <c r="L332" s="225"/>
      <c r="O332" s="178"/>
    </row>
    <row r="333" spans="1:16" s="226" customFormat="1" ht="15.75" hidden="1" customHeight="1" x14ac:dyDescent="0.25">
      <c r="A333" s="277"/>
      <c r="B333" s="178"/>
      <c r="C333" s="178"/>
      <c r="D333" s="184"/>
      <c r="E333" s="218"/>
      <c r="F333" s="211"/>
      <c r="G333" s="233"/>
      <c r="H333" s="178"/>
      <c r="I333" s="183"/>
      <c r="J333" s="225"/>
      <c r="K333" s="225"/>
      <c r="L333" s="225"/>
      <c r="M333" s="178"/>
      <c r="N333" s="177"/>
      <c r="O333" s="178"/>
      <c r="P333" s="178"/>
    </row>
    <row r="334" spans="1:16" ht="15.75" hidden="1" customHeight="1" x14ac:dyDescent="0.25">
      <c r="D334" s="184"/>
      <c r="E334" s="218"/>
      <c r="F334" s="211"/>
      <c r="G334" s="233"/>
      <c r="J334" s="225"/>
      <c r="K334" s="225"/>
      <c r="L334" s="225"/>
      <c r="O334" s="178"/>
    </row>
    <row r="335" spans="1:16" s="226" customFormat="1" ht="15.75" hidden="1" customHeight="1" x14ac:dyDescent="0.25">
      <c r="A335" s="279"/>
      <c r="B335" s="178"/>
      <c r="C335" s="178"/>
      <c r="D335" s="184"/>
      <c r="E335" s="220"/>
      <c r="F335" s="360"/>
      <c r="G335" s="233"/>
      <c r="H335" s="178"/>
      <c r="I335" s="183"/>
      <c r="J335" s="225"/>
      <c r="K335" s="225"/>
      <c r="L335" s="225"/>
      <c r="M335" s="178"/>
      <c r="N335" s="240"/>
      <c r="O335" s="178"/>
      <c r="P335" s="178"/>
    </row>
    <row r="336" spans="1:16" s="226" customFormat="1" ht="15.75" hidden="1" customHeight="1" x14ac:dyDescent="0.25">
      <c r="A336" s="277"/>
      <c r="B336" s="178"/>
      <c r="C336" s="178"/>
      <c r="D336" s="178"/>
      <c r="E336" s="218"/>
      <c r="F336" s="211"/>
      <c r="G336" s="233"/>
      <c r="H336" s="178"/>
      <c r="I336" s="183"/>
      <c r="J336" s="178"/>
      <c r="K336" s="178"/>
      <c r="L336" s="225"/>
      <c r="M336" s="178"/>
      <c r="N336" s="177"/>
      <c r="O336" s="178"/>
      <c r="P336" s="178"/>
    </row>
    <row r="337" spans="1:16" s="226" customFormat="1" ht="15.75" hidden="1" customHeight="1" x14ac:dyDescent="0.25">
      <c r="A337" s="280"/>
      <c r="B337" s="184"/>
      <c r="C337" s="178"/>
      <c r="D337" s="178"/>
      <c r="E337" s="221"/>
      <c r="F337" s="365"/>
      <c r="G337" s="233"/>
      <c r="H337" s="205"/>
      <c r="I337" s="183"/>
      <c r="J337" s="183"/>
      <c r="K337" s="178"/>
      <c r="L337" s="225"/>
      <c r="M337" s="178"/>
      <c r="N337" s="177"/>
      <c r="O337" s="178"/>
      <c r="P337" s="178"/>
    </row>
    <row r="338" spans="1:16" ht="15.75" hidden="1" customHeight="1" x14ac:dyDescent="0.25">
      <c r="A338" s="279"/>
      <c r="B338" s="183"/>
      <c r="D338" s="184"/>
      <c r="E338" s="219"/>
      <c r="F338" s="211"/>
      <c r="G338" s="233"/>
      <c r="J338" s="232"/>
      <c r="K338" s="281"/>
      <c r="L338" s="225"/>
      <c r="N338" s="295"/>
      <c r="O338" s="178"/>
    </row>
    <row r="339" spans="1:16" s="226" customFormat="1" ht="15.75" hidden="1" customHeight="1" x14ac:dyDescent="0.25">
      <c r="A339" s="277"/>
      <c r="B339" s="178"/>
      <c r="C339" s="178"/>
      <c r="D339" s="294"/>
      <c r="E339" s="218"/>
      <c r="F339" s="213"/>
      <c r="G339" s="233"/>
      <c r="H339" s="178"/>
      <c r="I339" s="183"/>
      <c r="J339" s="178"/>
      <c r="K339" s="178"/>
      <c r="L339" s="225"/>
      <c r="M339" s="178"/>
      <c r="N339" s="177"/>
      <c r="O339" s="244"/>
      <c r="P339" s="244"/>
    </row>
    <row r="340" spans="1:16" s="226" customFormat="1" ht="15.75" hidden="1" customHeight="1" x14ac:dyDescent="0.25">
      <c r="A340" s="280"/>
      <c r="B340" s="184"/>
      <c r="C340" s="178"/>
      <c r="D340" s="184"/>
      <c r="E340" s="221"/>
      <c r="F340" s="212"/>
      <c r="G340" s="233"/>
      <c r="H340" s="205"/>
      <c r="I340" s="183"/>
      <c r="J340" s="178"/>
      <c r="L340" s="225"/>
      <c r="M340" s="178"/>
      <c r="N340" s="238"/>
      <c r="O340" s="178"/>
      <c r="P340" s="178"/>
    </row>
    <row r="341" spans="1:16" s="226" customFormat="1" ht="15.75" hidden="1" customHeight="1" x14ac:dyDescent="0.25">
      <c r="A341" s="277"/>
      <c r="B341" s="178"/>
      <c r="C341" s="178"/>
      <c r="D341" s="184"/>
      <c r="E341" s="218"/>
      <c r="F341" s="360"/>
      <c r="G341" s="233"/>
      <c r="H341" s="178"/>
      <c r="I341" s="183"/>
      <c r="J341" s="225"/>
      <c r="K341" s="225"/>
      <c r="L341" s="225"/>
      <c r="M341" s="178"/>
      <c r="N341" s="240"/>
      <c r="O341" s="178"/>
      <c r="P341" s="178"/>
    </row>
    <row r="342" spans="1:16" s="226" customFormat="1" ht="15.75" hidden="1" customHeight="1" x14ac:dyDescent="0.25">
      <c r="A342" s="277"/>
      <c r="B342" s="178"/>
      <c r="C342" s="178"/>
      <c r="D342" s="178"/>
      <c r="E342" s="220"/>
      <c r="F342" s="360"/>
      <c r="G342" s="233"/>
      <c r="H342" s="178"/>
      <c r="I342" s="183"/>
      <c r="J342" s="183"/>
      <c r="K342" s="178"/>
      <c r="L342" s="225"/>
      <c r="M342" s="178"/>
      <c r="N342" s="177"/>
      <c r="O342" s="244"/>
      <c r="P342" s="244"/>
    </row>
    <row r="343" spans="1:16" s="226" customFormat="1" ht="15.75" hidden="1" customHeight="1" x14ac:dyDescent="0.25">
      <c r="A343" s="277"/>
      <c r="B343" s="178"/>
      <c r="C343" s="178"/>
      <c r="D343" s="178"/>
      <c r="E343" s="218"/>
      <c r="F343" s="211"/>
      <c r="G343" s="233"/>
      <c r="H343" s="178"/>
      <c r="I343" s="183"/>
      <c r="J343" s="178"/>
      <c r="K343" s="178"/>
      <c r="L343" s="225"/>
      <c r="M343" s="178"/>
      <c r="N343" s="177"/>
      <c r="O343" s="178"/>
      <c r="P343" s="178"/>
    </row>
    <row r="344" spans="1:16" s="226" customFormat="1" ht="15.75" hidden="1" customHeight="1" x14ac:dyDescent="0.25">
      <c r="A344" s="280"/>
      <c r="B344" s="184"/>
      <c r="C344" s="178"/>
      <c r="D344" s="184"/>
      <c r="E344" s="221"/>
      <c r="F344" s="365"/>
      <c r="G344" s="233"/>
      <c r="H344" s="205"/>
      <c r="I344" s="183"/>
      <c r="J344" s="178"/>
      <c r="L344" s="225"/>
      <c r="M344" s="178"/>
      <c r="N344" s="238"/>
      <c r="O344" s="178"/>
      <c r="P344" s="178"/>
    </row>
    <row r="345" spans="1:16" s="226" customFormat="1" ht="15.75" hidden="1" customHeight="1" x14ac:dyDescent="0.25">
      <c r="A345" s="280"/>
      <c r="B345" s="178"/>
      <c r="C345" s="178"/>
      <c r="D345" s="178"/>
      <c r="E345" s="195"/>
      <c r="F345" s="190"/>
      <c r="G345" s="233"/>
      <c r="H345" s="178"/>
      <c r="I345" s="183"/>
      <c r="J345" s="178"/>
      <c r="K345" s="178"/>
      <c r="L345" s="225"/>
      <c r="M345" s="178"/>
      <c r="N345" s="177"/>
      <c r="O345" s="178"/>
      <c r="P345" s="227"/>
    </row>
    <row r="346" spans="1:16" s="226" customFormat="1" ht="15.75" hidden="1" customHeight="1" x14ac:dyDescent="0.25">
      <c r="A346" s="280"/>
      <c r="B346" s="178"/>
      <c r="C346" s="178"/>
      <c r="D346" s="178"/>
      <c r="E346" s="195"/>
      <c r="F346" s="358"/>
      <c r="G346" s="233"/>
      <c r="H346" s="178"/>
      <c r="I346" s="183"/>
      <c r="J346" s="183"/>
      <c r="K346" s="183"/>
      <c r="L346" s="225"/>
      <c r="M346" s="178"/>
      <c r="N346" s="177"/>
      <c r="O346" s="178"/>
    </row>
    <row r="347" spans="1:16" ht="15.75" hidden="1" customHeight="1" x14ac:dyDescent="0.25">
      <c r="A347" s="279"/>
      <c r="C347" s="184"/>
      <c r="D347" s="224"/>
      <c r="E347" s="219"/>
      <c r="F347" s="360"/>
      <c r="G347" s="233"/>
      <c r="L347" s="225"/>
      <c r="O347" s="178"/>
      <c r="P347" s="226"/>
    </row>
    <row r="348" spans="1:16" s="226" customFormat="1" ht="15.75" hidden="1" customHeight="1" x14ac:dyDescent="0.25">
      <c r="A348" s="280"/>
      <c r="B348" s="178"/>
      <c r="C348" s="178"/>
      <c r="D348" s="178"/>
      <c r="E348" s="195"/>
      <c r="F348" s="190"/>
      <c r="G348" s="233"/>
      <c r="H348" s="178"/>
      <c r="I348" s="183"/>
      <c r="J348" s="183"/>
      <c r="K348" s="178"/>
      <c r="L348" s="225"/>
      <c r="M348" s="178"/>
      <c r="N348" s="178"/>
      <c r="O348" s="178"/>
      <c r="P348" s="227"/>
    </row>
    <row r="349" spans="1:16" s="226" customFormat="1" ht="15.75" hidden="1" customHeight="1" x14ac:dyDescent="0.25">
      <c r="A349" s="277"/>
      <c r="B349" s="178"/>
      <c r="C349" s="178"/>
      <c r="D349" s="184"/>
      <c r="E349" s="220"/>
      <c r="F349" s="213"/>
      <c r="G349" s="233"/>
      <c r="H349" s="178"/>
      <c r="I349" s="183"/>
      <c r="J349" s="183"/>
      <c r="K349" s="178"/>
      <c r="L349" s="225"/>
      <c r="M349" s="178"/>
      <c r="N349" s="177"/>
      <c r="O349" s="178"/>
      <c r="P349" s="178"/>
    </row>
    <row r="350" spans="1:16" s="226" customFormat="1" ht="15.75" hidden="1" customHeight="1" x14ac:dyDescent="0.25">
      <c r="A350" s="277"/>
      <c r="B350" s="207"/>
      <c r="C350" s="178"/>
      <c r="D350" s="224"/>
      <c r="E350" s="220"/>
      <c r="F350" s="360"/>
      <c r="G350" s="233"/>
      <c r="H350" s="178"/>
      <c r="I350" s="183"/>
      <c r="J350" s="178"/>
      <c r="K350" s="178"/>
      <c r="L350" s="225"/>
      <c r="M350" s="178"/>
      <c r="N350" s="177"/>
      <c r="O350" s="178"/>
    </row>
    <row r="351" spans="1:16" s="226" customFormat="1" ht="15.75" hidden="1" customHeight="1" x14ac:dyDescent="0.25">
      <c r="A351" s="277"/>
      <c r="B351" s="225"/>
      <c r="C351" s="225"/>
      <c r="D351" s="225"/>
      <c r="E351" s="211"/>
      <c r="F351" s="360"/>
      <c r="G351" s="233"/>
      <c r="H351" s="225"/>
      <c r="I351" s="178"/>
      <c r="J351" s="225"/>
      <c r="K351" s="225"/>
      <c r="L351" s="225"/>
      <c r="M351" s="178"/>
      <c r="N351" s="225"/>
      <c r="O351" s="225"/>
      <c r="P351" s="178"/>
    </row>
    <row r="352" spans="1:16" s="226" customFormat="1" ht="15.75" hidden="1" customHeight="1" x14ac:dyDescent="0.25">
      <c r="A352" s="277"/>
      <c r="B352" s="225"/>
      <c r="C352" s="225"/>
      <c r="D352" s="225"/>
      <c r="E352" s="211"/>
      <c r="F352" s="360"/>
      <c r="G352" s="233"/>
      <c r="H352" s="225"/>
      <c r="I352" s="178"/>
      <c r="J352" s="225"/>
      <c r="K352" s="225"/>
      <c r="L352" s="225"/>
      <c r="M352" s="178"/>
      <c r="N352" s="225"/>
      <c r="O352" s="225"/>
      <c r="P352" s="178"/>
    </row>
    <row r="353" spans="1:16" s="227" customFormat="1" ht="15.75" hidden="1" customHeight="1" x14ac:dyDescent="0.25">
      <c r="A353" s="277"/>
      <c r="B353" s="225"/>
      <c r="C353" s="225"/>
      <c r="D353" s="281"/>
      <c r="E353" s="213"/>
      <c r="F353" s="292"/>
      <c r="G353" s="233"/>
      <c r="H353" s="225"/>
      <c r="I353" s="225"/>
      <c r="J353" s="225"/>
      <c r="K353" s="225"/>
      <c r="L353" s="225"/>
      <c r="M353" s="225"/>
      <c r="N353" s="225"/>
      <c r="O353" s="225"/>
      <c r="P353" s="178"/>
    </row>
    <row r="354" spans="1:16" s="227" customFormat="1" ht="15.75" hidden="1" customHeight="1" x14ac:dyDescent="0.25">
      <c r="A354" s="279"/>
      <c r="B354" s="225"/>
      <c r="C354" s="225"/>
      <c r="D354" s="225"/>
      <c r="E354" s="292"/>
      <c r="F354" s="360"/>
      <c r="G354" s="233"/>
      <c r="H354" s="225"/>
      <c r="I354" s="178"/>
      <c r="J354" s="225"/>
      <c r="K354" s="225"/>
      <c r="L354" s="225"/>
      <c r="M354" s="178"/>
      <c r="N354" s="308"/>
      <c r="O354" s="225"/>
      <c r="P354" s="178"/>
    </row>
    <row r="355" spans="1:16" s="217" customFormat="1" ht="15.75" hidden="1" customHeight="1" x14ac:dyDescent="0.25">
      <c r="A355" s="280"/>
      <c r="B355" s="281"/>
      <c r="C355" s="281"/>
      <c r="D355" s="225"/>
      <c r="E355" s="212"/>
      <c r="F355" s="365"/>
      <c r="G355" s="233"/>
      <c r="H355" s="282"/>
      <c r="I355" s="274"/>
      <c r="J355" s="225"/>
      <c r="K355" s="225"/>
      <c r="L355" s="225"/>
      <c r="M355" s="178"/>
      <c r="N355" s="308"/>
      <c r="O355" s="225"/>
      <c r="P355" s="178"/>
    </row>
    <row r="356" spans="1:16" s="227" customFormat="1" ht="15.75" hidden="1" customHeight="1" x14ac:dyDescent="0.25">
      <c r="A356" s="280"/>
      <c r="B356" s="281"/>
      <c r="C356" s="225"/>
      <c r="D356" s="225"/>
      <c r="E356" s="212"/>
      <c r="F356" s="212"/>
      <c r="G356" s="233"/>
      <c r="H356" s="237"/>
      <c r="I356" s="274"/>
      <c r="J356" s="225"/>
      <c r="K356" s="225"/>
      <c r="L356" s="225"/>
      <c r="M356" s="225"/>
      <c r="N356" s="225"/>
      <c r="O356" s="225"/>
      <c r="P356" s="178"/>
    </row>
    <row r="357" spans="1:16" s="227" customFormat="1" ht="15.75" hidden="1" customHeight="1" x14ac:dyDescent="0.25">
      <c r="A357" s="277"/>
      <c r="B357" s="225"/>
      <c r="C357" s="225"/>
      <c r="D357" s="225"/>
      <c r="E357" s="213"/>
      <c r="F357" s="364"/>
      <c r="G357" s="233"/>
      <c r="H357" s="225"/>
      <c r="I357" s="274"/>
      <c r="J357" s="183"/>
      <c r="K357" s="183"/>
      <c r="L357" s="225"/>
      <c r="M357" s="178"/>
      <c r="N357" s="177"/>
      <c r="O357" s="225"/>
      <c r="P357" s="178"/>
    </row>
    <row r="358" spans="1:16" s="227" customFormat="1" ht="15.75" hidden="1" customHeight="1" x14ac:dyDescent="0.25">
      <c r="A358" s="277"/>
      <c r="B358" s="178"/>
      <c r="C358" s="178"/>
      <c r="D358" s="184"/>
      <c r="E358" s="220"/>
      <c r="F358" s="213"/>
      <c r="G358" s="233"/>
      <c r="H358" s="178"/>
      <c r="I358" s="183"/>
      <c r="J358" s="183"/>
      <c r="K358" s="178"/>
      <c r="L358" s="225"/>
      <c r="M358" s="178"/>
      <c r="N358" s="177"/>
      <c r="O358" s="178"/>
      <c r="P358" s="178"/>
    </row>
    <row r="359" spans="1:16" s="227" customFormat="1" ht="15.75" hidden="1" customHeight="1" x14ac:dyDescent="0.25">
      <c r="A359" s="280"/>
      <c r="B359" s="184"/>
      <c r="C359" s="184"/>
      <c r="D359" s="178"/>
      <c r="E359" s="221"/>
      <c r="F359" s="365"/>
      <c r="G359" s="233"/>
      <c r="H359" s="205"/>
      <c r="I359" s="183"/>
      <c r="J359" s="178"/>
      <c r="K359" s="226"/>
      <c r="L359" s="225"/>
      <c r="M359" s="178"/>
      <c r="N359" s="238"/>
      <c r="O359" s="178"/>
      <c r="P359" s="178"/>
    </row>
    <row r="360" spans="1:16" s="227" customFormat="1" ht="15.75" hidden="1" customHeight="1" x14ac:dyDescent="0.25">
      <c r="A360" s="277"/>
      <c r="B360" s="178"/>
      <c r="C360" s="178"/>
      <c r="D360" s="224"/>
      <c r="E360" s="218"/>
      <c r="F360" s="360"/>
      <c r="G360" s="233"/>
      <c r="H360" s="178"/>
      <c r="I360" s="183"/>
      <c r="J360" s="178"/>
      <c r="K360" s="226"/>
      <c r="L360" s="225"/>
      <c r="M360" s="178"/>
      <c r="N360" s="238"/>
      <c r="O360" s="178"/>
      <c r="P360" s="226"/>
    </row>
    <row r="361" spans="1:16" s="227" customFormat="1" ht="15.75" hidden="1" customHeight="1" x14ac:dyDescent="0.25">
      <c r="A361" s="277"/>
      <c r="B361" s="178"/>
      <c r="C361" s="178"/>
      <c r="D361" s="224"/>
      <c r="E361" s="218"/>
      <c r="F361" s="360"/>
      <c r="G361" s="233"/>
      <c r="H361" s="178"/>
      <c r="I361" s="183"/>
      <c r="J361" s="178"/>
      <c r="K361" s="226"/>
      <c r="L361" s="225"/>
      <c r="M361" s="178"/>
      <c r="N361" s="238"/>
      <c r="O361" s="178"/>
      <c r="P361" s="226"/>
    </row>
    <row r="362" spans="1:16" s="227" customFormat="1" ht="15.75" hidden="1" customHeight="1" x14ac:dyDescent="0.25">
      <c r="A362" s="280"/>
      <c r="B362" s="184"/>
      <c r="C362" s="178"/>
      <c r="D362" s="224"/>
      <c r="E362" s="221"/>
      <c r="F362" s="365"/>
      <c r="G362" s="233"/>
      <c r="H362" s="206"/>
      <c r="I362" s="183"/>
      <c r="J362" s="178"/>
      <c r="K362" s="226"/>
      <c r="L362" s="225"/>
      <c r="M362" s="178"/>
      <c r="N362" s="238"/>
      <c r="O362" s="178"/>
      <c r="P362" s="226"/>
    </row>
    <row r="363" spans="1:16" s="227" customFormat="1" ht="15.75" hidden="1" customHeight="1" x14ac:dyDescent="0.25">
      <c r="A363" s="277"/>
      <c r="B363" s="178"/>
      <c r="C363" s="178"/>
      <c r="D363" s="224"/>
      <c r="E363" s="220"/>
      <c r="F363" s="360"/>
      <c r="G363" s="233"/>
      <c r="H363" s="225"/>
      <c r="I363" s="183"/>
      <c r="J363" s="183"/>
      <c r="K363" s="183"/>
      <c r="L363" s="225"/>
      <c r="M363" s="178"/>
      <c r="N363" s="177"/>
      <c r="O363" s="178"/>
      <c r="P363" s="178"/>
    </row>
    <row r="364" spans="1:16" s="227" customFormat="1" ht="15.75" hidden="1" customHeight="1" x14ac:dyDescent="0.25">
      <c r="A364" s="277"/>
      <c r="B364" s="178"/>
      <c r="C364" s="178"/>
      <c r="D364" s="178"/>
      <c r="E364" s="220"/>
      <c r="F364" s="213"/>
      <c r="G364" s="233"/>
      <c r="H364" s="225"/>
      <c r="I364" s="183"/>
      <c r="J364" s="183"/>
      <c r="K364" s="178"/>
      <c r="L364" s="225"/>
      <c r="M364" s="226"/>
      <c r="N364" s="226"/>
      <c r="O364" s="226"/>
    </row>
    <row r="365" spans="1:16" s="256" customFormat="1" ht="15.75" hidden="1" customHeight="1" x14ac:dyDescent="0.25">
      <c r="A365" s="297"/>
      <c r="B365" s="244"/>
      <c r="C365" s="244"/>
      <c r="D365" s="244"/>
      <c r="E365" s="262"/>
      <c r="F365" s="263"/>
      <c r="G365" s="249"/>
      <c r="H365" s="244"/>
      <c r="I365" s="251"/>
      <c r="J365" s="251"/>
      <c r="K365" s="244"/>
      <c r="L365" s="244"/>
      <c r="M365" s="244"/>
      <c r="N365" s="252"/>
      <c r="O365" s="244"/>
    </row>
    <row r="366" spans="1:16" s="256" customFormat="1" ht="15.75" hidden="1" customHeight="1" x14ac:dyDescent="0.25">
      <c r="A366" s="298"/>
      <c r="B366" s="246"/>
      <c r="C366" s="246"/>
      <c r="D366" s="244"/>
      <c r="E366" s="266"/>
      <c r="F366" s="248"/>
      <c r="G366" s="249"/>
      <c r="H366" s="246"/>
      <c r="I366" s="251"/>
      <c r="J366" s="251"/>
      <c r="K366" s="244"/>
      <c r="L366" s="244"/>
      <c r="M366" s="244"/>
      <c r="N366" s="252"/>
      <c r="O366" s="244"/>
    </row>
    <row r="367" spans="1:16" s="227" customFormat="1" ht="15.75" hidden="1" customHeight="1" x14ac:dyDescent="0.25">
      <c r="A367" s="280"/>
      <c r="B367" s="178"/>
      <c r="C367" s="178"/>
      <c r="D367" s="178"/>
      <c r="E367" s="195"/>
      <c r="F367" s="190"/>
      <c r="G367" s="200"/>
      <c r="H367" s="178"/>
      <c r="I367" s="183"/>
      <c r="J367" s="183"/>
      <c r="K367" s="178"/>
      <c r="L367" s="178"/>
      <c r="M367" s="178"/>
      <c r="N367" s="178"/>
      <c r="O367" s="178"/>
    </row>
    <row r="368" spans="1:16" s="227" customFormat="1" ht="15.75" hidden="1" customHeight="1" x14ac:dyDescent="0.25">
      <c r="A368" s="280"/>
      <c r="B368" s="178"/>
      <c r="C368" s="178"/>
      <c r="D368" s="178"/>
      <c r="E368" s="195"/>
      <c r="F368" s="190"/>
      <c r="G368" s="200"/>
      <c r="H368" s="178"/>
      <c r="I368" s="183"/>
      <c r="J368" s="183"/>
      <c r="K368" s="178"/>
      <c r="L368" s="178"/>
      <c r="M368" s="178"/>
      <c r="N368" s="178"/>
      <c r="O368" s="178"/>
    </row>
    <row r="369" spans="1:15" s="244" customFormat="1" ht="15.75" hidden="1" customHeight="1" x14ac:dyDescent="0.25">
      <c r="A369" s="297"/>
      <c r="E369" s="262"/>
      <c r="F369" s="263"/>
      <c r="G369" s="249"/>
      <c r="I369" s="251"/>
      <c r="J369" s="251"/>
      <c r="N369" s="252"/>
    </row>
    <row r="370" spans="1:15" ht="15.75" hidden="1" customHeight="1" x14ac:dyDescent="0.25">
      <c r="E370" s="220"/>
      <c r="F370" s="213"/>
      <c r="G370" s="200"/>
      <c r="O370" s="178"/>
    </row>
    <row r="371" spans="1:15" ht="15.75" hidden="1" customHeight="1" x14ac:dyDescent="0.25">
      <c r="E371" s="220"/>
      <c r="F371" s="213"/>
      <c r="G371" s="200"/>
      <c r="O371" s="178"/>
    </row>
    <row r="372" spans="1:15" ht="15.75" hidden="1" customHeight="1" x14ac:dyDescent="0.25">
      <c r="D372" s="227"/>
      <c r="E372" s="220"/>
      <c r="F372" s="213"/>
      <c r="G372" s="200"/>
      <c r="O372" s="178"/>
    </row>
    <row r="373" spans="1:15" ht="15.75" hidden="1" customHeight="1" x14ac:dyDescent="0.25">
      <c r="D373" s="227"/>
      <c r="E373" s="220"/>
      <c r="F373" s="213"/>
      <c r="G373" s="200"/>
      <c r="O373" s="178"/>
    </row>
    <row r="374" spans="1:15" ht="15.75" hidden="1" customHeight="1" x14ac:dyDescent="0.25">
      <c r="D374" s="227"/>
      <c r="E374" s="220"/>
      <c r="F374" s="213"/>
      <c r="G374" s="200"/>
      <c r="O374" s="178"/>
    </row>
    <row r="375" spans="1:15" ht="15.75" hidden="1" customHeight="1" x14ac:dyDescent="0.25">
      <c r="E375" s="220"/>
      <c r="F375" s="213"/>
      <c r="G375" s="200"/>
      <c r="O375" s="178"/>
    </row>
    <row r="376" spans="1:15" s="244" customFormat="1" ht="15.75" hidden="1" customHeight="1" x14ac:dyDescent="0.25">
      <c r="A376" s="297"/>
      <c r="D376" s="246"/>
      <c r="E376" s="258"/>
      <c r="F376" s="254"/>
      <c r="G376" s="249"/>
      <c r="I376" s="251"/>
      <c r="J376" s="251"/>
      <c r="N376" s="252"/>
    </row>
    <row r="377" spans="1:15" s="244" customFormat="1" ht="15.75" hidden="1" customHeight="1" x14ac:dyDescent="0.25">
      <c r="A377" s="297"/>
      <c r="D377" s="246"/>
      <c r="E377" s="258"/>
      <c r="F377" s="260"/>
      <c r="G377" s="249"/>
      <c r="I377" s="251"/>
      <c r="J377" s="251"/>
      <c r="N377" s="252"/>
    </row>
    <row r="378" spans="1:15" ht="15.75" hidden="1" customHeight="1" x14ac:dyDescent="0.25">
      <c r="E378" s="220"/>
      <c r="F378" s="213"/>
      <c r="G378" s="200"/>
      <c r="O378" s="178"/>
    </row>
    <row r="379" spans="1:15" ht="15.75" hidden="1" customHeight="1" x14ac:dyDescent="0.25">
      <c r="D379" s="184"/>
      <c r="E379" s="220"/>
      <c r="F379" s="213"/>
      <c r="G379" s="200"/>
      <c r="O379" s="178"/>
    </row>
    <row r="380" spans="1:15" ht="15.75" hidden="1" customHeight="1" x14ac:dyDescent="0.25">
      <c r="D380" s="213"/>
      <c r="E380" s="220"/>
      <c r="F380" s="213"/>
      <c r="G380" s="200"/>
      <c r="J380" s="178"/>
      <c r="K380" s="183"/>
      <c r="O380" s="178"/>
    </row>
    <row r="381" spans="1:15" ht="15.75" hidden="1" customHeight="1" x14ac:dyDescent="0.25">
      <c r="E381" s="218"/>
      <c r="F381" s="211"/>
      <c r="G381" s="200"/>
      <c r="O381" s="178"/>
    </row>
    <row r="382" spans="1:15" ht="15.75" hidden="1" customHeight="1" x14ac:dyDescent="0.25">
      <c r="A382" s="280"/>
      <c r="F382" s="190"/>
      <c r="G382" s="200"/>
      <c r="N382" s="178"/>
      <c r="O382" s="178"/>
    </row>
    <row r="383" spans="1:15" ht="15.75" hidden="1" customHeight="1" x14ac:dyDescent="0.25">
      <c r="A383" s="280"/>
      <c r="F383" s="190"/>
      <c r="G383" s="200"/>
      <c r="N383" s="178"/>
      <c r="O383" s="178"/>
    </row>
    <row r="384" spans="1:15" ht="15.75" hidden="1" customHeight="1" x14ac:dyDescent="0.25">
      <c r="A384" s="278"/>
      <c r="B384" s="227"/>
      <c r="C384" s="227"/>
      <c r="D384" s="227"/>
      <c r="E384" s="228"/>
      <c r="F384" s="302"/>
      <c r="G384" s="200"/>
      <c r="H384" s="227"/>
      <c r="J384" s="217"/>
      <c r="K384" s="227"/>
      <c r="M384" s="227"/>
      <c r="N384" s="227"/>
      <c r="O384" s="227"/>
    </row>
    <row r="385" spans="1:15" ht="15.75" hidden="1" customHeight="1" x14ac:dyDescent="0.25">
      <c r="F385" s="190"/>
      <c r="G385" s="200"/>
      <c r="O385" s="178"/>
    </row>
    <row r="386" spans="1:15" s="244" customFormat="1" ht="15.75" hidden="1" customHeight="1" x14ac:dyDescent="0.25">
      <c r="A386" s="297"/>
      <c r="D386" s="246"/>
      <c r="E386" s="258"/>
      <c r="F386" s="254"/>
      <c r="G386" s="249"/>
      <c r="I386" s="251"/>
      <c r="J386" s="251"/>
      <c r="N386" s="252"/>
    </row>
    <row r="387" spans="1:15" ht="15.75" hidden="1" customHeight="1" x14ac:dyDescent="0.25">
      <c r="E387" s="220"/>
      <c r="F387" s="213"/>
      <c r="G387" s="200"/>
      <c r="O387" s="178"/>
    </row>
    <row r="388" spans="1:15" s="244" customFormat="1" ht="15.75" hidden="1" customHeight="1" x14ac:dyDescent="0.25">
      <c r="A388" s="297"/>
      <c r="D388" s="246"/>
      <c r="E388" s="253"/>
      <c r="F388" s="259"/>
      <c r="G388" s="249"/>
      <c r="I388" s="251"/>
      <c r="N388" s="252"/>
    </row>
    <row r="389" spans="1:15" ht="15.75" hidden="1" customHeight="1" x14ac:dyDescent="0.25">
      <c r="E389" s="218"/>
      <c r="F389" s="211"/>
      <c r="G389" s="200"/>
      <c r="O389" s="178"/>
    </row>
    <row r="390" spans="1:15" ht="15.75" hidden="1" customHeight="1" x14ac:dyDescent="0.25">
      <c r="C390" s="184"/>
      <c r="E390" s="220"/>
      <c r="F390" s="213"/>
      <c r="G390" s="200"/>
      <c r="O390" s="178"/>
    </row>
    <row r="391" spans="1:15" s="244" customFormat="1" ht="15.75" hidden="1" customHeight="1" x14ac:dyDescent="0.25">
      <c r="A391" s="297"/>
      <c r="E391" s="262"/>
      <c r="F391" s="263"/>
      <c r="G391" s="249"/>
      <c r="I391" s="251"/>
      <c r="J391" s="251"/>
      <c r="N391" s="252"/>
    </row>
    <row r="392" spans="1:15" ht="15.75" hidden="1" customHeight="1" x14ac:dyDescent="0.25">
      <c r="D392" s="184"/>
      <c r="E392" s="220"/>
      <c r="F392" s="213"/>
      <c r="G392" s="200"/>
      <c r="O392" s="178"/>
    </row>
    <row r="393" spans="1:15" ht="15.75" hidden="1" customHeight="1" x14ac:dyDescent="0.25">
      <c r="E393" s="220"/>
      <c r="F393" s="213"/>
      <c r="G393" s="200"/>
      <c r="O393" s="178"/>
    </row>
    <row r="394" spans="1:15" ht="15.75" hidden="1" customHeight="1" x14ac:dyDescent="0.25">
      <c r="E394" s="220"/>
      <c r="F394" s="213"/>
      <c r="G394" s="200"/>
      <c r="O394" s="178"/>
    </row>
    <row r="395" spans="1:15" ht="15.75" hidden="1" customHeight="1" x14ac:dyDescent="0.25">
      <c r="E395" s="218"/>
      <c r="F395" s="211"/>
      <c r="G395" s="200"/>
      <c r="O395" s="178"/>
    </row>
    <row r="396" spans="1:15" ht="15.75" hidden="1" customHeight="1" x14ac:dyDescent="0.25">
      <c r="D396" s="224"/>
      <c r="E396" s="218"/>
      <c r="F396" s="211"/>
      <c r="G396" s="200"/>
      <c r="O396" s="178"/>
    </row>
    <row r="397" spans="1:15" ht="15.75" hidden="1" customHeight="1" x14ac:dyDescent="0.25">
      <c r="A397" s="280"/>
      <c r="F397" s="190"/>
      <c r="G397" s="200"/>
      <c r="N397" s="178"/>
      <c r="O397" s="178"/>
    </row>
    <row r="398" spans="1:15" ht="15.75" hidden="1" customHeight="1" x14ac:dyDescent="0.25">
      <c r="D398" s="224"/>
      <c r="E398" s="178"/>
      <c r="F398" s="213"/>
      <c r="G398" s="200"/>
      <c r="H398" s="225"/>
      <c r="M398" s="226"/>
      <c r="N398" s="226"/>
      <c r="O398" s="226"/>
    </row>
    <row r="399" spans="1:15" s="244" customFormat="1" ht="15.75" hidden="1" customHeight="1" x14ac:dyDescent="0.25">
      <c r="A399" s="297"/>
      <c r="D399" s="257"/>
      <c r="F399" s="254"/>
      <c r="G399" s="249"/>
      <c r="H399" s="265"/>
      <c r="I399" s="251"/>
      <c r="K399" s="255"/>
      <c r="N399" s="264"/>
      <c r="O399" s="255"/>
    </row>
    <row r="400" spans="1:15" ht="15.75" hidden="1" customHeight="1" x14ac:dyDescent="0.25">
      <c r="D400" s="224"/>
      <c r="E400" s="178"/>
      <c r="F400" s="292"/>
      <c r="G400" s="200"/>
      <c r="J400" s="178"/>
      <c r="K400" s="226"/>
      <c r="N400" s="238"/>
      <c r="O400" s="226"/>
    </row>
    <row r="401" spans="1:15" s="244" customFormat="1" ht="15.75" hidden="1" customHeight="1" x14ac:dyDescent="0.25">
      <c r="A401" s="299"/>
      <c r="B401" s="246"/>
      <c r="D401" s="246"/>
      <c r="E401" s="247"/>
      <c r="F401" s="248"/>
      <c r="G401" s="249"/>
      <c r="H401" s="250"/>
      <c r="I401" s="251"/>
      <c r="J401" s="261"/>
      <c r="K401" s="250"/>
      <c r="N401" s="252"/>
    </row>
    <row r="402" spans="1:15" s="244" customFormat="1" ht="15.75" hidden="1" customHeight="1" x14ac:dyDescent="0.25">
      <c r="A402" s="297"/>
      <c r="D402" s="246"/>
      <c r="E402" s="253"/>
      <c r="F402" s="259"/>
      <c r="G402" s="249"/>
      <c r="I402" s="251"/>
      <c r="N402" s="252"/>
    </row>
    <row r="403" spans="1:15" ht="15.75" hidden="1" customHeight="1" x14ac:dyDescent="0.25">
      <c r="D403" s="227"/>
      <c r="E403" s="218"/>
      <c r="F403" s="211"/>
      <c r="G403" s="200"/>
      <c r="O403" s="178"/>
    </row>
    <row r="404" spans="1:15" ht="15.75" hidden="1" customHeight="1" x14ac:dyDescent="0.25">
      <c r="D404" s="184"/>
      <c r="E404" s="218"/>
      <c r="F404" s="211"/>
      <c r="G404" s="200"/>
      <c r="O404" s="178"/>
    </row>
    <row r="405" spans="1:15" ht="15.75" hidden="1" customHeight="1" x14ac:dyDescent="0.25">
      <c r="E405" s="218"/>
      <c r="F405" s="211"/>
      <c r="G405" s="200"/>
      <c r="O405" s="178"/>
    </row>
    <row r="406" spans="1:15" ht="15.75" hidden="1" customHeight="1" x14ac:dyDescent="0.25">
      <c r="A406" s="279"/>
      <c r="B406" s="184"/>
      <c r="E406" s="223"/>
      <c r="F406" s="212"/>
      <c r="G406" s="200"/>
      <c r="H406" s="184"/>
      <c r="O406" s="178"/>
    </row>
    <row r="407" spans="1:15" ht="15.75" hidden="1" customHeight="1" x14ac:dyDescent="0.25">
      <c r="D407" s="224"/>
      <c r="E407" s="218"/>
      <c r="F407" s="211"/>
      <c r="G407" s="200"/>
      <c r="K407" s="183"/>
      <c r="O407" s="178"/>
    </row>
    <row r="408" spans="1:15" ht="15.75" hidden="1" customHeight="1" x14ac:dyDescent="0.25">
      <c r="D408" s="224"/>
      <c r="E408" s="218"/>
      <c r="F408" s="211"/>
      <c r="G408" s="200"/>
      <c r="O408" s="178"/>
    </row>
    <row r="409" spans="1:15" ht="15.75" hidden="1" customHeight="1" x14ac:dyDescent="0.25">
      <c r="E409" s="218"/>
      <c r="F409" s="211"/>
      <c r="G409" s="200"/>
      <c r="O409" s="178"/>
    </row>
    <row r="410" spans="1:15" ht="15.75" hidden="1" customHeight="1" x14ac:dyDescent="0.25">
      <c r="A410" s="280"/>
      <c r="F410" s="190"/>
      <c r="G410" s="200"/>
      <c r="N410" s="178"/>
      <c r="O410" s="178"/>
    </row>
    <row r="411" spans="1:15" s="244" customFormat="1" ht="15.75" hidden="1" customHeight="1" x14ac:dyDescent="0.25">
      <c r="A411" s="299"/>
      <c r="E411" s="262"/>
      <c r="F411" s="263"/>
      <c r="G411" s="249"/>
      <c r="I411" s="251"/>
      <c r="J411" s="251"/>
      <c r="N411" s="252"/>
    </row>
    <row r="412" spans="1:15" ht="15.75" hidden="1" customHeight="1" x14ac:dyDescent="0.25">
      <c r="A412" s="278"/>
      <c r="B412" s="227"/>
      <c r="C412" s="227"/>
      <c r="D412" s="227"/>
      <c r="E412" s="228"/>
      <c r="F412" s="302"/>
      <c r="G412" s="200"/>
      <c r="H412" s="227"/>
      <c r="J412" s="217"/>
      <c r="K412" s="227"/>
      <c r="N412" s="240"/>
      <c r="O412" s="227"/>
    </row>
    <row r="413" spans="1:15" ht="15.75" hidden="1" customHeight="1" x14ac:dyDescent="0.25">
      <c r="E413" s="220"/>
      <c r="F413" s="213"/>
      <c r="G413" s="200"/>
      <c r="M413" s="177"/>
      <c r="O413" s="178"/>
    </row>
    <row r="414" spans="1:15" ht="15.75" hidden="1" customHeight="1" x14ac:dyDescent="0.25">
      <c r="E414" s="218"/>
      <c r="F414" s="211"/>
      <c r="G414" s="200"/>
      <c r="O414" s="178"/>
    </row>
    <row r="415" spans="1:15" ht="15.75" hidden="1" customHeight="1" x14ac:dyDescent="0.25">
      <c r="E415" s="218"/>
      <c r="F415" s="211"/>
      <c r="G415" s="200"/>
      <c r="O415" s="178"/>
    </row>
    <row r="416" spans="1:15" ht="15.75" hidden="1" customHeight="1" x14ac:dyDescent="0.25">
      <c r="E416" s="218"/>
      <c r="F416" s="211"/>
      <c r="G416" s="200"/>
      <c r="O416" s="178"/>
    </row>
    <row r="417" spans="1:15" ht="15.75" hidden="1" customHeight="1" x14ac:dyDescent="0.25">
      <c r="C417" s="184"/>
      <c r="E417" s="218"/>
      <c r="F417" s="211"/>
      <c r="G417" s="200"/>
      <c r="O417" s="178"/>
    </row>
    <row r="418" spans="1:15" ht="15.75" hidden="1" customHeight="1" x14ac:dyDescent="0.25">
      <c r="C418" s="184"/>
      <c r="D418" s="227"/>
      <c r="E418" s="218"/>
      <c r="F418" s="211"/>
      <c r="G418" s="200"/>
      <c r="O418" s="178"/>
    </row>
    <row r="419" spans="1:15" ht="15.75" hidden="1" customHeight="1" x14ac:dyDescent="0.25">
      <c r="C419" s="184"/>
      <c r="D419" s="217"/>
      <c r="E419" s="218"/>
      <c r="F419" s="211"/>
      <c r="G419" s="200"/>
    </row>
    <row r="420" spans="1:15" ht="15.75" hidden="1" customHeight="1" x14ac:dyDescent="0.25">
      <c r="E420" s="218"/>
      <c r="F420" s="211"/>
      <c r="G420" s="200"/>
      <c r="O420" s="178"/>
    </row>
    <row r="421" spans="1:15" ht="15.75" hidden="1" customHeight="1" x14ac:dyDescent="0.25">
      <c r="A421" s="280"/>
      <c r="B421" s="184"/>
      <c r="D421" s="184"/>
      <c r="E421" s="221"/>
      <c r="F421" s="212"/>
      <c r="G421" s="200"/>
      <c r="H421" s="206"/>
      <c r="J421" s="210"/>
      <c r="O421" s="178"/>
    </row>
    <row r="422" spans="1:15" ht="15.75" hidden="1" customHeight="1" x14ac:dyDescent="0.25">
      <c r="A422" s="279"/>
      <c r="B422" s="184"/>
      <c r="D422" s="205"/>
      <c r="E422" s="221"/>
      <c r="F422" s="306"/>
      <c r="G422" s="200"/>
      <c r="H422" s="184"/>
      <c r="O422" s="178"/>
    </row>
    <row r="423" spans="1:15" s="244" customFormat="1" ht="15.75" hidden="1" customHeight="1" x14ac:dyDescent="0.25">
      <c r="A423" s="299"/>
      <c r="E423" s="262"/>
      <c r="F423" s="263"/>
      <c r="G423" s="249"/>
      <c r="I423" s="251"/>
      <c r="N423" s="252"/>
    </row>
    <row r="424" spans="1:15" ht="15.75" hidden="1" customHeight="1" x14ac:dyDescent="0.25">
      <c r="A424" s="280"/>
      <c r="F424" s="190"/>
      <c r="G424" s="200"/>
      <c r="O424" s="178"/>
    </row>
    <row r="425" spans="1:15" ht="15.75" hidden="1" customHeight="1" x14ac:dyDescent="0.25">
      <c r="A425" s="280"/>
      <c r="F425" s="190"/>
      <c r="G425" s="200"/>
      <c r="N425" s="178"/>
      <c r="O425" s="178"/>
    </row>
  </sheetData>
  <autoFilter ref="A11:P425" xr:uid="{00000000-0009-0000-0000-000003000000}">
    <filterColumn colId="2">
      <filters>
        <filter val="Bank Fees"/>
        <filter val="Bonus"/>
        <filter val="Court Fees"/>
        <filter val="Equipement"/>
        <filter val="Flight"/>
        <filter val="Internet"/>
        <filter val="Jail visits"/>
        <filter val="Lawyer Fees"/>
        <filter val="Office Materials"/>
        <filter val="Personnel"/>
        <filter val="Rent &amp; Utilities"/>
        <filter val="Services"/>
        <filter val="Telephone"/>
        <filter val="Transfer Fees"/>
        <filter val="Transport"/>
        <filter val="Travel Subsistence"/>
        <filter val="Trust Building"/>
      </filters>
    </filterColumn>
    <sortState xmlns:xlrd2="http://schemas.microsoft.com/office/spreadsheetml/2017/richdata2" ref="A14:P247">
      <sortCondition ref="A11:A425"/>
    </sortState>
  </autoFilter>
  <sortState xmlns:xlrd2="http://schemas.microsoft.com/office/spreadsheetml/2017/richdata2" ref="A12:P196">
    <sortCondition ref="M18"/>
  </sortState>
  <mergeCells count="1">
    <mergeCell ref="A1:O1"/>
  </mergeCells>
  <dataValidations count="1">
    <dataValidation type="list" allowBlank="1" showInputMessage="1" showErrorMessage="1" sqref="O369:O406" xr:uid="{00000000-0002-0000-0300-000000000000}">
      <formula1>"typeDD"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Récapitulatif</vt:lpstr>
      <vt:lpstr>Donateurs</vt:lpstr>
      <vt:lpstr>Feuil2</vt:lpstr>
      <vt:lpstr>DATA  AVRIL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Tiffany Handford</cp:lastModifiedBy>
  <cp:lastPrinted>2021-06-11T09:45:49Z</cp:lastPrinted>
  <dcterms:created xsi:type="dcterms:W3CDTF">2020-09-02T13:35:58Z</dcterms:created>
  <dcterms:modified xsi:type="dcterms:W3CDTF">2022-05-24T11:59:23Z</dcterms:modified>
</cp:coreProperties>
</file>