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Tiffany Handford\Downloads\"/>
    </mc:Choice>
  </mc:AlternateContent>
  <xr:revisionPtr revIDLastSave="0" documentId="8_{6716D2FC-94FC-4E44-A2C3-CE89EF9D8E44}" xr6:coauthVersionLast="47" xr6:coauthVersionMax="47" xr10:uidLastSave="{00000000-0000-0000-0000-000000000000}"/>
  <bookViews>
    <workbookView xWindow="-120" yWindow="-120" windowWidth="20730" windowHeight="11160" tabRatio="553" activeTab="3" xr2:uid="{00000000-000D-0000-FFFF-FFFF00000000}"/>
  </bookViews>
  <sheets>
    <sheet name="Récapitulatif" sheetId="16" r:id="rId1"/>
    <sheet name="Donateurs" sheetId="131" r:id="rId2"/>
    <sheet name="Feuil3" sheetId="139" r:id="rId3"/>
    <sheet name="DATA  MARS 2022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 MARS 2022'!$A$11:$P$434</definedName>
  </definedNames>
  <calcPr calcId="191029" iterateDelta="1E-4"/>
  <pivotCaches>
    <pivotCache cacheId="3" r:id="rId16"/>
    <pivotCache cacheId="4" r:id="rId17"/>
    <pivotCache cacheId="5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6" i="139" l="1"/>
  <c r="B19" i="131" l="1"/>
  <c r="B20" i="131"/>
  <c r="H45" i="16" l="1"/>
  <c r="E37" i="16"/>
  <c r="E34" i="16"/>
  <c r="C45" i="16"/>
  <c r="C44" i="16"/>
  <c r="C42" i="16"/>
  <c r="C35" i="16"/>
  <c r="C36" i="16"/>
  <c r="C37" i="16"/>
  <c r="C38" i="16"/>
  <c r="C34" i="16"/>
  <c r="C39" i="16"/>
  <c r="C40" i="16"/>
  <c r="C30" i="16"/>
  <c r="C31" i="16"/>
  <c r="C29" i="16"/>
  <c r="H39" i="16"/>
  <c r="G4" i="16"/>
  <c r="D45" i="16" s="1"/>
  <c r="G5" i="16"/>
  <c r="G6" i="16"/>
  <c r="G7" i="16"/>
  <c r="F4" i="16"/>
  <c r="F5" i="16"/>
  <c r="H42" i="16" s="1"/>
  <c r="F6" i="16"/>
  <c r="H29" i="16" s="1"/>
  <c r="F7" i="16"/>
  <c r="F8" i="16"/>
  <c r="F9" i="16"/>
  <c r="F10" i="16"/>
  <c r="F11" i="16"/>
  <c r="F12" i="16"/>
  <c r="F13" i="16"/>
  <c r="F14" i="16"/>
  <c r="F15" i="16"/>
  <c r="F16" i="16"/>
  <c r="F17" i="16"/>
  <c r="F3" i="16"/>
  <c r="H44" i="16" s="1"/>
  <c r="E4" i="16"/>
  <c r="I45" i="16" s="1"/>
  <c r="E5" i="16"/>
  <c r="I42" i="16" s="1"/>
  <c r="E6" i="16"/>
  <c r="I29" i="16" s="1"/>
  <c r="E7" i="16"/>
  <c r="E8" i="16"/>
  <c r="E9" i="16"/>
  <c r="E10" i="16"/>
  <c r="E11" i="16"/>
  <c r="E12" i="16"/>
  <c r="E13" i="16"/>
  <c r="E14" i="16"/>
  <c r="E15" i="16"/>
  <c r="E16" i="16"/>
  <c r="I39" i="16" s="1"/>
  <c r="E17" i="16"/>
  <c r="E3" i="16"/>
  <c r="I44" i="16" s="1"/>
  <c r="D9" i="16"/>
  <c r="D10" i="16"/>
  <c r="D11" i="16"/>
  <c r="D12" i="16"/>
  <c r="E35" i="16" s="1"/>
  <c r="D13" i="16"/>
  <c r="E36" i="16" s="1"/>
  <c r="D14" i="16"/>
  <c r="D15" i="16"/>
  <c r="E38" i="16" s="1"/>
  <c r="D16" i="16"/>
  <c r="E39" i="16" s="1"/>
  <c r="D17" i="16"/>
  <c r="E40" i="16" s="1"/>
  <c r="D4" i="16"/>
  <c r="D5" i="16"/>
  <c r="E42" i="16" s="1"/>
  <c r="D6" i="16"/>
  <c r="E29" i="16" s="1"/>
  <c r="D7" i="16"/>
  <c r="E30" i="16" s="1"/>
  <c r="D8" i="16"/>
  <c r="E31" i="16" s="1"/>
  <c r="D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3" i="16"/>
  <c r="G16" i="16"/>
  <c r="AW7" i="139"/>
  <c r="AW6" i="139"/>
  <c r="J39" i="16" l="1"/>
  <c r="AW19" i="139"/>
  <c r="I16" i="16"/>
  <c r="J16" i="16" s="1"/>
  <c r="K39" i="16" l="1"/>
  <c r="AT18" i="139"/>
  <c r="AU7" i="139"/>
  <c r="AV7" i="139" s="1"/>
  <c r="AU8" i="139"/>
  <c r="AV8" i="139" s="1"/>
  <c r="AU9" i="139"/>
  <c r="AV9" i="139" s="1"/>
  <c r="AU10" i="139"/>
  <c r="AV10" i="139" s="1"/>
  <c r="AU11" i="139"/>
  <c r="AV11" i="139" s="1"/>
  <c r="AU12" i="139"/>
  <c r="AV12" i="139" s="1"/>
  <c r="AU13" i="139"/>
  <c r="AU14" i="139"/>
  <c r="AV14" i="139" s="1"/>
  <c r="AU15" i="139"/>
  <c r="AV15" i="139" s="1"/>
  <c r="AU16" i="139"/>
  <c r="AV16" i="139" s="1"/>
  <c r="AU17" i="139"/>
  <c r="AV17" i="139" s="1"/>
  <c r="AU18" i="139"/>
  <c r="AV18" i="139" s="1"/>
  <c r="AU6" i="139"/>
  <c r="AV6" i="139" s="1"/>
  <c r="AT7" i="139"/>
  <c r="AT8" i="139"/>
  <c r="AT9" i="139"/>
  <c r="AT10" i="139"/>
  <c r="AT11" i="139"/>
  <c r="AT12" i="139"/>
  <c r="AT13" i="139"/>
  <c r="AT14" i="139"/>
  <c r="AT15" i="139"/>
  <c r="AT16" i="139"/>
  <c r="AT17" i="139"/>
  <c r="AS7" i="139"/>
  <c r="AS8" i="139"/>
  <c r="AS9" i="139"/>
  <c r="AS10" i="139"/>
  <c r="AS11" i="139"/>
  <c r="AS12" i="139"/>
  <c r="AS13" i="139"/>
  <c r="AS14" i="139"/>
  <c r="AS15" i="139"/>
  <c r="AS16" i="139"/>
  <c r="AS17" i="139"/>
  <c r="AS18" i="139"/>
  <c r="AS6" i="139"/>
  <c r="AT19" i="139" l="1"/>
  <c r="AV19" i="139"/>
  <c r="AU19" i="139"/>
  <c r="AV21" i="139"/>
  <c r="AU21" i="139" l="1"/>
  <c r="F52" i="95"/>
  <c r="U55" i="95" l="1"/>
  <c r="C33" i="16" l="1"/>
  <c r="C32" i="16"/>
  <c r="A30" i="16"/>
  <c r="A31" i="16" s="1"/>
  <c r="A32" i="16" s="1"/>
  <c r="A33" i="16" s="1"/>
  <c r="A34" i="16" s="1"/>
  <c r="A35" i="16" s="1"/>
  <c r="O18" i="16"/>
  <c r="N18" i="16"/>
  <c r="M18" i="16"/>
  <c r="L18" i="16"/>
  <c r="H18" i="16"/>
  <c r="C18" i="16"/>
  <c r="A21" i="16" s="1"/>
  <c r="G17" i="16"/>
  <c r="H40" i="16"/>
  <c r="I40" i="16"/>
  <c r="G15" i="16"/>
  <c r="H38" i="16"/>
  <c r="I38" i="16"/>
  <c r="G14" i="16"/>
  <c r="H37" i="16"/>
  <c r="I37" i="16"/>
  <c r="G13" i="16"/>
  <c r="H36" i="16"/>
  <c r="I36" i="16"/>
  <c r="G12" i="16"/>
  <c r="H35" i="16"/>
  <c r="I35" i="16"/>
  <c r="G11" i="16"/>
  <c r="H34" i="16"/>
  <c r="I34" i="16"/>
  <c r="G10" i="16"/>
  <c r="H33" i="16"/>
  <c r="I33" i="16"/>
  <c r="E33" i="16"/>
  <c r="G9" i="16"/>
  <c r="H32" i="16"/>
  <c r="I32" i="16"/>
  <c r="E32" i="16"/>
  <c r="G8" i="16"/>
  <c r="H31" i="16"/>
  <c r="I31" i="16"/>
  <c r="H30" i="16"/>
  <c r="I30" i="16"/>
  <c r="G3" i="16"/>
  <c r="D44" i="16" s="1"/>
  <c r="A52" i="16"/>
  <c r="D52" i="16"/>
  <c r="E52" i="16"/>
  <c r="I77" i="16" s="1"/>
  <c r="F52" i="16"/>
  <c r="G52" i="16"/>
  <c r="A53" i="16"/>
  <c r="D53" i="16"/>
  <c r="E53" i="16"/>
  <c r="F53" i="16"/>
  <c r="G53" i="16"/>
  <c r="A54" i="16"/>
  <c r="D54" i="16"/>
  <c r="E54" i="16"/>
  <c r="F54" i="16"/>
  <c r="G54" i="16"/>
  <c r="D92" i="16" s="1"/>
  <c r="A55" i="16"/>
  <c r="D55" i="16"/>
  <c r="E55" i="16"/>
  <c r="F55" i="16"/>
  <c r="H89" i="16" s="1"/>
  <c r="G55" i="16"/>
  <c r="A56" i="16"/>
  <c r="D56" i="16"/>
  <c r="E78" i="16" s="1"/>
  <c r="E56" i="16"/>
  <c r="F56" i="16"/>
  <c r="G56" i="16"/>
  <c r="A57" i="16"/>
  <c r="D57" i="16"/>
  <c r="E79" i="16" s="1"/>
  <c r="E57" i="16"/>
  <c r="F57" i="16"/>
  <c r="G57" i="16"/>
  <c r="A58" i="16"/>
  <c r="D58" i="16"/>
  <c r="E58" i="16"/>
  <c r="F58" i="16"/>
  <c r="H80" i="16" s="1"/>
  <c r="G58" i="16"/>
  <c r="A59" i="16"/>
  <c r="D59" i="16"/>
  <c r="E59" i="16"/>
  <c r="I81" i="16" s="1"/>
  <c r="F59" i="16"/>
  <c r="H81" i="16" s="1"/>
  <c r="G59" i="16"/>
  <c r="A60" i="16"/>
  <c r="D60" i="16"/>
  <c r="E60" i="16"/>
  <c r="I60" i="16" s="1"/>
  <c r="J60" i="16" s="1"/>
  <c r="F60" i="16"/>
  <c r="G60" i="16"/>
  <c r="A61" i="16"/>
  <c r="D61" i="16"/>
  <c r="I61" i="16" s="1"/>
  <c r="J61" i="16" s="1"/>
  <c r="E61" i="16"/>
  <c r="F61" i="16"/>
  <c r="G61" i="16"/>
  <c r="A62" i="16"/>
  <c r="D62" i="16"/>
  <c r="E62" i="16"/>
  <c r="F62" i="16"/>
  <c r="G62" i="16"/>
  <c r="A63" i="16"/>
  <c r="D63" i="16"/>
  <c r="E63" i="16"/>
  <c r="I85" i="16" s="1"/>
  <c r="F63" i="16"/>
  <c r="H85" i="16" s="1"/>
  <c r="G63" i="16"/>
  <c r="A64" i="16"/>
  <c r="D64" i="16"/>
  <c r="E64" i="16"/>
  <c r="I86" i="16" s="1"/>
  <c r="F64" i="16"/>
  <c r="G64" i="16"/>
  <c r="A65" i="16"/>
  <c r="D65" i="16"/>
  <c r="E87" i="16" s="1"/>
  <c r="E65" i="16"/>
  <c r="F65" i="16"/>
  <c r="G65" i="16"/>
  <c r="I65" i="16"/>
  <c r="J65" i="16" s="1"/>
  <c r="C66" i="16"/>
  <c r="H66" i="16"/>
  <c r="L66" i="16"/>
  <c r="M66" i="16"/>
  <c r="N66" i="16"/>
  <c r="O66" i="16"/>
  <c r="A69" i="16"/>
  <c r="C77" i="16"/>
  <c r="E77" i="16"/>
  <c r="H77" i="16"/>
  <c r="A78" i="16"/>
  <c r="A79" i="16" s="1"/>
  <c r="A80" i="16" s="1"/>
  <c r="A81" i="16" s="1"/>
  <c r="A82" i="16" s="1"/>
  <c r="A83" i="16" s="1"/>
  <c r="C78" i="16"/>
  <c r="H78" i="16"/>
  <c r="I78" i="16"/>
  <c r="C79" i="16"/>
  <c r="H79" i="16"/>
  <c r="C80" i="16"/>
  <c r="E80" i="16"/>
  <c r="C81" i="16"/>
  <c r="E81" i="16"/>
  <c r="C82" i="16"/>
  <c r="E82" i="16"/>
  <c r="H82" i="16"/>
  <c r="C83" i="16"/>
  <c r="H83" i="16"/>
  <c r="I83" i="16"/>
  <c r="C84" i="16"/>
  <c r="E84" i="16"/>
  <c r="H84" i="16"/>
  <c r="C85" i="16"/>
  <c r="E85" i="16"/>
  <c r="C86" i="16"/>
  <c r="E86" i="16"/>
  <c r="J86" i="16" s="1"/>
  <c r="H86" i="16"/>
  <c r="C87" i="16"/>
  <c r="H87" i="16"/>
  <c r="I87" i="16"/>
  <c r="C89" i="16"/>
  <c r="E89" i="16"/>
  <c r="I89" i="16"/>
  <c r="C91" i="16"/>
  <c r="D91" i="16"/>
  <c r="I91" i="16"/>
  <c r="C92" i="16"/>
  <c r="H92" i="16"/>
  <c r="I53" i="16" l="1"/>
  <c r="J53" i="16" s="1"/>
  <c r="J78" i="16"/>
  <c r="I82" i="16"/>
  <c r="I57" i="16"/>
  <c r="J57" i="16" s="1"/>
  <c r="G18" i="16"/>
  <c r="B21" i="16" s="1"/>
  <c r="I6" i="16"/>
  <c r="J6" i="16" s="1"/>
  <c r="I4" i="16"/>
  <c r="J4" i="16" s="1"/>
  <c r="I5" i="16"/>
  <c r="J5" i="16" s="1"/>
  <c r="C46" i="16"/>
  <c r="I46" i="16"/>
  <c r="J30" i="16"/>
  <c r="J34" i="16"/>
  <c r="J38" i="16"/>
  <c r="J45" i="16"/>
  <c r="K45" i="16" s="1"/>
  <c r="A37" i="16"/>
  <c r="A39" i="16" s="1"/>
  <c r="A36" i="16"/>
  <c r="A38" i="16" s="1"/>
  <c r="A40" i="16" s="1"/>
  <c r="A42" i="16" s="1"/>
  <c r="A44" i="16" s="1"/>
  <c r="A45" i="16" s="1"/>
  <c r="J33" i="16"/>
  <c r="J37" i="16"/>
  <c r="J44" i="16"/>
  <c r="K44" i="16" s="1"/>
  <c r="J32" i="16"/>
  <c r="J36" i="16"/>
  <c r="J31" i="16"/>
  <c r="J35" i="16"/>
  <c r="J40" i="16"/>
  <c r="I3" i="16"/>
  <c r="I7" i="16"/>
  <c r="J7" i="16" s="1"/>
  <c r="I11" i="16"/>
  <c r="J11" i="16" s="1"/>
  <c r="I15" i="16"/>
  <c r="J15" i="16" s="1"/>
  <c r="F18" i="16"/>
  <c r="J29" i="16"/>
  <c r="K29" i="16" s="1"/>
  <c r="I8" i="16"/>
  <c r="J8" i="16" s="1"/>
  <c r="I12" i="16"/>
  <c r="J12" i="16" s="1"/>
  <c r="I17" i="16"/>
  <c r="J17" i="16" s="1"/>
  <c r="E18" i="16"/>
  <c r="C21" i="16" s="1"/>
  <c r="I9" i="16"/>
  <c r="J9" i="16" s="1"/>
  <c r="I13" i="16"/>
  <c r="J13" i="16" s="1"/>
  <c r="D18" i="16"/>
  <c r="J42" i="16"/>
  <c r="I10" i="16"/>
  <c r="J10" i="16" s="1"/>
  <c r="I14" i="16"/>
  <c r="J14" i="16" s="1"/>
  <c r="J87" i="16"/>
  <c r="K87" i="16" s="1"/>
  <c r="J85" i="16"/>
  <c r="J82" i="16"/>
  <c r="I54" i="16"/>
  <c r="J54" i="16" s="1"/>
  <c r="H91" i="16"/>
  <c r="J91" i="16" s="1"/>
  <c r="K91" i="16" s="1"/>
  <c r="J89" i="16"/>
  <c r="E83" i="16"/>
  <c r="J83" i="16" s="1"/>
  <c r="I79" i="16"/>
  <c r="C93" i="16"/>
  <c r="E66" i="16"/>
  <c r="C69" i="16" s="1"/>
  <c r="I64" i="16"/>
  <c r="J64" i="16" s="1"/>
  <c r="I62" i="16"/>
  <c r="J62" i="16" s="1"/>
  <c r="I58" i="16"/>
  <c r="J58" i="16" s="1"/>
  <c r="D66" i="16"/>
  <c r="I52" i="16"/>
  <c r="J52" i="16" s="1"/>
  <c r="J79" i="16"/>
  <c r="K79" i="16" s="1"/>
  <c r="J81" i="16"/>
  <c r="G66" i="16"/>
  <c r="B69" i="16" s="1"/>
  <c r="D69" i="16" s="1"/>
  <c r="I56" i="16"/>
  <c r="J56" i="16" s="1"/>
  <c r="I55" i="16"/>
  <c r="J55" i="16" s="1"/>
  <c r="A85" i="16"/>
  <c r="A84" i="16"/>
  <c r="A86" i="16" s="1"/>
  <c r="A87" i="16" s="1"/>
  <c r="A89" i="16" s="1"/>
  <c r="A91" i="16" s="1"/>
  <c r="A92" i="16" s="1"/>
  <c r="K82" i="16"/>
  <c r="J84" i="16"/>
  <c r="K83" i="16"/>
  <c r="K86" i="16"/>
  <c r="I84" i="16"/>
  <c r="I80" i="16"/>
  <c r="J80" i="16" s="1"/>
  <c r="K80" i="16" s="1"/>
  <c r="J77" i="16"/>
  <c r="F66" i="16"/>
  <c r="G68" i="16" s="1"/>
  <c r="I63" i="16"/>
  <c r="J63" i="16" s="1"/>
  <c r="I59" i="16"/>
  <c r="J59" i="16" s="1"/>
  <c r="I92" i="16"/>
  <c r="J92" i="16" s="1"/>
  <c r="K92" i="16" l="1"/>
  <c r="K84" i="16"/>
  <c r="K42" i="16"/>
  <c r="D21" i="16"/>
  <c r="G20" i="16"/>
  <c r="K35" i="16"/>
  <c r="K40" i="16"/>
  <c r="K36" i="16"/>
  <c r="K33" i="16"/>
  <c r="K38" i="16"/>
  <c r="J3" i="16"/>
  <c r="I18" i="16"/>
  <c r="K37" i="16"/>
  <c r="J46" i="16"/>
  <c r="K31" i="16"/>
  <c r="K30" i="16"/>
  <c r="K32" i="16"/>
  <c r="K34" i="16"/>
  <c r="K89" i="16"/>
  <c r="K78" i="16"/>
  <c r="I93" i="16"/>
  <c r="K77" i="16"/>
  <c r="J93" i="16"/>
  <c r="K85" i="16"/>
  <c r="I66" i="16"/>
  <c r="K81" i="16"/>
  <c r="K46" i="16" l="1"/>
  <c r="I19" i="16"/>
  <c r="E21" i="16"/>
  <c r="J18" i="16"/>
  <c r="K93" i="16"/>
  <c r="I67" i="16"/>
  <c r="E69" i="16"/>
  <c r="J66" i="16"/>
  <c r="C138" i="16"/>
  <c r="C137" i="16"/>
  <c r="C135" i="16"/>
  <c r="C133" i="16"/>
  <c r="C132" i="16"/>
  <c r="C131" i="16"/>
  <c r="C130" i="16"/>
  <c r="C129" i="16"/>
  <c r="C128" i="16"/>
  <c r="C127" i="16"/>
  <c r="C126" i="16"/>
  <c r="C125" i="16"/>
  <c r="C124" i="16"/>
  <c r="C123" i="16"/>
  <c r="A124" i="16"/>
  <c r="A125" i="16" s="1"/>
  <c r="A126" i="16" s="1"/>
  <c r="A127" i="16" s="1"/>
  <c r="A128" i="16" s="1"/>
  <c r="A129" i="16" s="1"/>
  <c r="O112" i="16"/>
  <c r="N112" i="16"/>
  <c r="M112" i="16"/>
  <c r="L112" i="16"/>
  <c r="H112" i="16"/>
  <c r="C112" i="16"/>
  <c r="A115" i="16" s="1"/>
  <c r="G111" i="16"/>
  <c r="F111" i="16"/>
  <c r="H133" i="16" s="1"/>
  <c r="E111" i="16"/>
  <c r="I133" i="16" s="1"/>
  <c r="D111" i="16"/>
  <c r="E133" i="16" s="1"/>
  <c r="A111" i="16"/>
  <c r="G110" i="16"/>
  <c r="F110" i="16"/>
  <c r="H132" i="16" s="1"/>
  <c r="E110" i="16"/>
  <c r="I132" i="16" s="1"/>
  <c r="D110" i="16"/>
  <c r="A110" i="16"/>
  <c r="G109" i="16"/>
  <c r="F109" i="16"/>
  <c r="H131" i="16" s="1"/>
  <c r="E109" i="16"/>
  <c r="I131" i="16" s="1"/>
  <c r="D109" i="16"/>
  <c r="E131" i="16" s="1"/>
  <c r="A109" i="16"/>
  <c r="G108" i="16"/>
  <c r="F108" i="16"/>
  <c r="H130" i="16" s="1"/>
  <c r="E108" i="16"/>
  <c r="I130" i="16" s="1"/>
  <c r="D108" i="16"/>
  <c r="E130" i="16" s="1"/>
  <c r="A108" i="16"/>
  <c r="G107" i="16"/>
  <c r="F107" i="16"/>
  <c r="H129" i="16" s="1"/>
  <c r="E107" i="16"/>
  <c r="I129" i="16" s="1"/>
  <c r="D107" i="16"/>
  <c r="E129" i="16" s="1"/>
  <c r="A107" i="16"/>
  <c r="G106" i="16"/>
  <c r="F106" i="16"/>
  <c r="H128" i="16" s="1"/>
  <c r="E106" i="16"/>
  <c r="I128" i="16" s="1"/>
  <c r="D106" i="16"/>
  <c r="A106" i="16"/>
  <c r="G105" i="16"/>
  <c r="F105" i="16"/>
  <c r="H127" i="16" s="1"/>
  <c r="E105" i="16"/>
  <c r="I127" i="16" s="1"/>
  <c r="D105" i="16"/>
  <c r="E127" i="16" s="1"/>
  <c r="A105" i="16"/>
  <c r="G104" i="16"/>
  <c r="F104" i="16"/>
  <c r="H126" i="16" s="1"/>
  <c r="E104" i="16"/>
  <c r="I126" i="16" s="1"/>
  <c r="D104" i="16"/>
  <c r="E126" i="16" s="1"/>
  <c r="A104" i="16"/>
  <c r="G103" i="16"/>
  <c r="F103" i="16"/>
  <c r="H125" i="16" s="1"/>
  <c r="E103" i="16"/>
  <c r="I125" i="16" s="1"/>
  <c r="D103" i="16"/>
  <c r="E125" i="16" s="1"/>
  <c r="A103" i="16"/>
  <c r="G102" i="16"/>
  <c r="F102" i="16"/>
  <c r="H124" i="16" s="1"/>
  <c r="E102" i="16"/>
  <c r="I124" i="16" s="1"/>
  <c r="D102" i="16"/>
  <c r="A102" i="16"/>
  <c r="G101" i="16"/>
  <c r="F101" i="16"/>
  <c r="H135" i="16" s="1"/>
  <c r="E101" i="16"/>
  <c r="I135" i="16" s="1"/>
  <c r="D101" i="16"/>
  <c r="E135" i="16" s="1"/>
  <c r="A101" i="16"/>
  <c r="G100" i="16"/>
  <c r="D138" i="16" s="1"/>
  <c r="F100" i="16"/>
  <c r="H138" i="16" s="1"/>
  <c r="E100" i="16"/>
  <c r="I138" i="16" s="1"/>
  <c r="D100" i="16"/>
  <c r="A100" i="16"/>
  <c r="G99" i="16"/>
  <c r="D137" i="16" s="1"/>
  <c r="F99" i="16"/>
  <c r="H137" i="16" s="1"/>
  <c r="E99" i="16"/>
  <c r="I137" i="16" s="1"/>
  <c r="D99" i="16"/>
  <c r="A99" i="16"/>
  <c r="G98" i="16"/>
  <c r="F98" i="16"/>
  <c r="H123" i="16" s="1"/>
  <c r="E98" i="16"/>
  <c r="I123" i="16" s="1"/>
  <c r="D98" i="16"/>
  <c r="E123" i="16" s="1"/>
  <c r="A98" i="16"/>
  <c r="E154" i="16"/>
  <c r="G112" i="16" l="1"/>
  <c r="B115" i="16" s="1"/>
  <c r="I100" i="16"/>
  <c r="J100" i="16" s="1"/>
  <c r="I99" i="16"/>
  <c r="J99" i="16" s="1"/>
  <c r="C139" i="16"/>
  <c r="J138" i="16"/>
  <c r="I102" i="16"/>
  <c r="J102" i="16" s="1"/>
  <c r="J126" i="16"/>
  <c r="I106" i="16"/>
  <c r="J106" i="16" s="1"/>
  <c r="J130" i="16"/>
  <c r="I110" i="16"/>
  <c r="J110" i="16" s="1"/>
  <c r="F112" i="16"/>
  <c r="J123" i="16"/>
  <c r="I139" i="16"/>
  <c r="J135" i="16"/>
  <c r="J127" i="16"/>
  <c r="J131" i="16"/>
  <c r="A131" i="16"/>
  <c r="A130" i="16"/>
  <c r="A132" i="16" s="1"/>
  <c r="A133" i="16" s="1"/>
  <c r="A135" i="16" s="1"/>
  <c r="A137" i="16" s="1"/>
  <c r="A138" i="16" s="1"/>
  <c r="J137" i="16"/>
  <c r="K137" i="16" s="1"/>
  <c r="J125" i="16"/>
  <c r="J129" i="16"/>
  <c r="J133" i="16"/>
  <c r="I103" i="16"/>
  <c r="J103" i="16" s="1"/>
  <c r="I107" i="16"/>
  <c r="J107" i="16" s="1"/>
  <c r="I111" i="16"/>
  <c r="J111" i="16" s="1"/>
  <c r="E112" i="16"/>
  <c r="C115" i="16" s="1"/>
  <c r="E124" i="16"/>
  <c r="J124" i="16" s="1"/>
  <c r="E128" i="16"/>
  <c r="J128" i="16" s="1"/>
  <c r="K128" i="16" s="1"/>
  <c r="E132" i="16"/>
  <c r="J132" i="16" s="1"/>
  <c r="I104" i="16"/>
  <c r="J104" i="16" s="1"/>
  <c r="I108" i="16"/>
  <c r="J108" i="16" s="1"/>
  <c r="D112" i="16"/>
  <c r="I101" i="16"/>
  <c r="J101" i="16" s="1"/>
  <c r="I105" i="16"/>
  <c r="J105" i="16" s="1"/>
  <c r="I109" i="16"/>
  <c r="J109" i="16" s="1"/>
  <c r="I98" i="16"/>
  <c r="J98" i="16" s="1"/>
  <c r="N159" i="16"/>
  <c r="M159" i="16"/>
  <c r="O159" i="16"/>
  <c r="L159" i="16"/>
  <c r="D156" i="16"/>
  <c r="D115" i="16" l="1"/>
  <c r="K124" i="16"/>
  <c r="K138" i="16"/>
  <c r="K133" i="16"/>
  <c r="G114" i="16"/>
  <c r="K132" i="16"/>
  <c r="I112" i="16"/>
  <c r="K130" i="16"/>
  <c r="K123" i="16"/>
  <c r="K135" i="16"/>
  <c r="K127" i="16"/>
  <c r="J139" i="16"/>
  <c r="K125" i="16"/>
  <c r="K129" i="16"/>
  <c r="K126" i="16"/>
  <c r="K131" i="16"/>
  <c r="J112" i="16" l="1"/>
  <c r="I113" i="16"/>
  <c r="E115" i="16"/>
  <c r="K139" i="16"/>
  <c r="C186" i="16" l="1"/>
  <c r="C185" i="16"/>
  <c r="C183" i="16"/>
  <c r="C181" i="16"/>
  <c r="C180" i="16"/>
  <c r="C179" i="16"/>
  <c r="C178" i="16"/>
  <c r="C177" i="16"/>
  <c r="C176" i="16"/>
  <c r="C175" i="16"/>
  <c r="C174" i="16"/>
  <c r="C173" i="16"/>
  <c r="C172" i="16"/>
  <c r="C171" i="16"/>
  <c r="A171" i="16"/>
  <c r="A172" i="16" s="1"/>
  <c r="A173" i="16" s="1"/>
  <c r="A174" i="16" s="1"/>
  <c r="A175" i="16" s="1"/>
  <c r="A176" i="16" s="1"/>
  <c r="A177" i="16" s="1"/>
  <c r="C170" i="16"/>
  <c r="H159" i="16"/>
  <c r="C159" i="16"/>
  <c r="A162" i="16" s="1"/>
  <c r="G158" i="16"/>
  <c r="F158" i="16"/>
  <c r="H181" i="16" s="1"/>
  <c r="E158" i="16"/>
  <c r="I181" i="16" s="1"/>
  <c r="D158" i="16"/>
  <c r="E181" i="16" s="1"/>
  <c r="A158" i="16"/>
  <c r="G157" i="16"/>
  <c r="F157" i="16"/>
  <c r="H180" i="16" s="1"/>
  <c r="E157" i="16"/>
  <c r="I180" i="16" s="1"/>
  <c r="D157" i="16"/>
  <c r="A157" i="16"/>
  <c r="G156" i="16"/>
  <c r="F156" i="16"/>
  <c r="H179" i="16" s="1"/>
  <c r="E156" i="16"/>
  <c r="A156" i="16"/>
  <c r="G155" i="16"/>
  <c r="F155" i="16"/>
  <c r="H178" i="16" s="1"/>
  <c r="E155" i="16"/>
  <c r="I178" i="16" s="1"/>
  <c r="D155" i="16"/>
  <c r="E178" i="16" s="1"/>
  <c r="A155" i="16"/>
  <c r="G154" i="16"/>
  <c r="F154" i="16"/>
  <c r="H177" i="16" s="1"/>
  <c r="I177" i="16"/>
  <c r="D154" i="16"/>
  <c r="E177" i="16" s="1"/>
  <c r="A154" i="16"/>
  <c r="G153" i="16"/>
  <c r="F153" i="16"/>
  <c r="H176" i="16" s="1"/>
  <c r="E153" i="16"/>
  <c r="I176" i="16" s="1"/>
  <c r="D153" i="16"/>
  <c r="A153" i="16"/>
  <c r="G152" i="16"/>
  <c r="F152" i="16"/>
  <c r="H175" i="16" s="1"/>
  <c r="E152" i="16"/>
  <c r="I175" i="16" s="1"/>
  <c r="D152" i="16"/>
  <c r="E175" i="16" s="1"/>
  <c r="A152" i="16"/>
  <c r="G151" i="16"/>
  <c r="F151" i="16"/>
  <c r="H174" i="16" s="1"/>
  <c r="E151" i="16"/>
  <c r="I174" i="16" s="1"/>
  <c r="D151" i="16"/>
  <c r="E174" i="16" s="1"/>
  <c r="A151" i="16"/>
  <c r="G150" i="16"/>
  <c r="F150" i="16"/>
  <c r="H173" i="16" s="1"/>
  <c r="E150" i="16"/>
  <c r="I173" i="16" s="1"/>
  <c r="D150" i="16"/>
  <c r="E173" i="16" s="1"/>
  <c r="A150" i="16"/>
  <c r="G149" i="16"/>
  <c r="F149" i="16"/>
  <c r="H172" i="16" s="1"/>
  <c r="E149" i="16"/>
  <c r="I172" i="16" s="1"/>
  <c r="D149" i="16"/>
  <c r="A149" i="16"/>
  <c r="G148" i="16"/>
  <c r="F148" i="16"/>
  <c r="H183" i="16" s="1"/>
  <c r="E148" i="16"/>
  <c r="I183" i="16" s="1"/>
  <c r="D148" i="16"/>
  <c r="E183" i="16" s="1"/>
  <c r="A148" i="16"/>
  <c r="G147" i="16"/>
  <c r="D186" i="16" s="1"/>
  <c r="F147" i="16"/>
  <c r="H186" i="16" s="1"/>
  <c r="E147" i="16"/>
  <c r="I186" i="16" s="1"/>
  <c r="D147" i="16"/>
  <c r="A147" i="16"/>
  <c r="G146" i="16"/>
  <c r="D185" i="16" s="1"/>
  <c r="F146" i="16"/>
  <c r="H185" i="16" s="1"/>
  <c r="E146" i="16"/>
  <c r="I185" i="16" s="1"/>
  <c r="D146" i="16"/>
  <c r="A146" i="16"/>
  <c r="G145" i="16"/>
  <c r="F145" i="16"/>
  <c r="H171" i="16" s="1"/>
  <c r="E145" i="16"/>
  <c r="I171" i="16" s="1"/>
  <c r="D145" i="16"/>
  <c r="E171" i="16" s="1"/>
  <c r="A145" i="16"/>
  <c r="G144" i="16"/>
  <c r="F144" i="16"/>
  <c r="E144" i="16"/>
  <c r="I170" i="16" s="1"/>
  <c r="D144" i="16"/>
  <c r="E170" i="16" s="1"/>
  <c r="A144" i="16"/>
  <c r="I179" i="16" l="1"/>
  <c r="I187" i="16" s="1"/>
  <c r="I156" i="16"/>
  <c r="J156" i="16" s="1"/>
  <c r="I149" i="16"/>
  <c r="J149" i="16" s="1"/>
  <c r="J175" i="16"/>
  <c r="G159" i="16"/>
  <c r="B162" i="16" s="1"/>
  <c r="C187" i="16"/>
  <c r="I157" i="16"/>
  <c r="J157" i="16" s="1"/>
  <c r="J183" i="16"/>
  <c r="I153" i="16"/>
  <c r="J153" i="16" s="1"/>
  <c r="I147" i="16"/>
  <c r="J147" i="16" s="1"/>
  <c r="F159" i="16"/>
  <c r="I146" i="16"/>
  <c r="J146" i="16" s="1"/>
  <c r="E179" i="16"/>
  <c r="H170" i="16"/>
  <c r="J186" i="16"/>
  <c r="J174" i="16"/>
  <c r="J178" i="16"/>
  <c r="J170" i="16"/>
  <c r="J185" i="16"/>
  <c r="J173" i="16"/>
  <c r="J177" i="16"/>
  <c r="J181" i="16"/>
  <c r="J171" i="16"/>
  <c r="A179" i="16"/>
  <c r="A178" i="16"/>
  <c r="A180" i="16" s="1"/>
  <c r="A181" i="16" s="1"/>
  <c r="A183" i="16" s="1"/>
  <c r="A185" i="16" s="1"/>
  <c r="A186" i="16" s="1"/>
  <c r="I151" i="16"/>
  <c r="J151" i="16" s="1"/>
  <c r="D159" i="16"/>
  <c r="I150" i="16"/>
  <c r="J150" i="16" s="1"/>
  <c r="I154" i="16"/>
  <c r="J154" i="16" s="1"/>
  <c r="I158" i="16"/>
  <c r="J158" i="16" s="1"/>
  <c r="E159" i="16"/>
  <c r="C162" i="16" s="1"/>
  <c r="E172" i="16"/>
  <c r="J172" i="16" s="1"/>
  <c r="E176" i="16"/>
  <c r="J176" i="16" s="1"/>
  <c r="E180" i="16"/>
  <c r="J180" i="16" s="1"/>
  <c r="I155" i="16"/>
  <c r="J155" i="16" s="1"/>
  <c r="I144" i="16"/>
  <c r="I148" i="16"/>
  <c r="J148" i="16" s="1"/>
  <c r="I152" i="16"/>
  <c r="J152" i="16" s="1"/>
  <c r="I145" i="16"/>
  <c r="J145" i="16" s="1"/>
  <c r="C234" i="16"/>
  <c r="C233" i="16"/>
  <c r="C231" i="16"/>
  <c r="C225" i="16"/>
  <c r="C226" i="16"/>
  <c r="C227" i="16"/>
  <c r="C228" i="16"/>
  <c r="C229" i="16"/>
  <c r="C224" i="16"/>
  <c r="C223" i="16"/>
  <c r="C222" i="16"/>
  <c r="C221" i="16"/>
  <c r="C220" i="16"/>
  <c r="C219" i="16"/>
  <c r="C218" i="16"/>
  <c r="C207" i="16"/>
  <c r="K185" i="16" l="1"/>
  <c r="D162" i="16"/>
  <c r="J179" i="16"/>
  <c r="K179" i="16" s="1"/>
  <c r="K172" i="16"/>
  <c r="K180" i="16"/>
  <c r="K186" i="16"/>
  <c r="K176" i="16"/>
  <c r="G161" i="16"/>
  <c r="K170" i="16"/>
  <c r="K177" i="16"/>
  <c r="K178" i="16"/>
  <c r="K183" i="16"/>
  <c r="K181" i="16"/>
  <c r="K175" i="16"/>
  <c r="K171" i="16"/>
  <c r="I159" i="16"/>
  <c r="J144" i="16"/>
  <c r="K173" i="16"/>
  <c r="K174" i="16"/>
  <c r="C235" i="16"/>
  <c r="A205" i="16"/>
  <c r="A206" i="16"/>
  <c r="J187" i="16" l="1"/>
  <c r="K187" i="16" s="1"/>
  <c r="J159" i="16"/>
  <c r="I160" i="16"/>
  <c r="E162" i="16"/>
  <c r="G12" i="95" l="1"/>
  <c r="A219" i="16"/>
  <c r="A220" i="16" s="1"/>
  <c r="A221" i="16" s="1"/>
  <c r="A222" i="16" s="1"/>
  <c r="A223" i="16" s="1"/>
  <c r="A224" i="16" s="1"/>
  <c r="A225" i="16" s="1"/>
  <c r="C243" i="16"/>
  <c r="E279" i="16"/>
  <c r="H207" i="16"/>
  <c r="D192" i="16"/>
  <c r="E218" i="16" s="1"/>
  <c r="D193" i="16"/>
  <c r="E219" i="16" s="1"/>
  <c r="D194" i="16"/>
  <c r="D195" i="16"/>
  <c r="D196" i="16"/>
  <c r="D197" i="16"/>
  <c r="E220" i="16" s="1"/>
  <c r="D198" i="16"/>
  <c r="E221" i="16" s="1"/>
  <c r="D199" i="16"/>
  <c r="E222" i="16" s="1"/>
  <c r="D200" i="16"/>
  <c r="E223" i="16" s="1"/>
  <c r="D201" i="16"/>
  <c r="E224" i="16" s="1"/>
  <c r="D202" i="16"/>
  <c r="E225" i="16" s="1"/>
  <c r="D203" i="16"/>
  <c r="E226" i="16" s="1"/>
  <c r="D204" i="16"/>
  <c r="E227" i="16" s="1"/>
  <c r="D205" i="16"/>
  <c r="E228" i="16" s="1"/>
  <c r="G13" i="95" l="1"/>
  <c r="G14" i="95" s="1"/>
  <c r="G15" i="95" s="1"/>
  <c r="G16" i="95" s="1"/>
  <c r="G17" i="95" s="1"/>
  <c r="G18" i="95" s="1"/>
  <c r="G19" i="95" s="1"/>
  <c r="G20" i="95" s="1"/>
  <c r="G21" i="95" s="1"/>
  <c r="G22" i="95" s="1"/>
  <c r="G23" i="95" s="1"/>
  <c r="G24" i="95" s="1"/>
  <c r="G25" i="95" s="1"/>
  <c r="G26" i="95" s="1"/>
  <c r="G27" i="95" s="1"/>
  <c r="G28" i="95" s="1"/>
  <c r="G29" i="95" s="1"/>
  <c r="G30" i="95" s="1"/>
  <c r="G31" i="95" s="1"/>
  <c r="G32" i="95" s="1"/>
  <c r="G33" i="95" s="1"/>
  <c r="G34" i="95" s="1"/>
  <c r="G35" i="95" s="1"/>
  <c r="G36" i="95" s="1"/>
  <c r="G37" i="95" s="1"/>
  <c r="G38" i="95" s="1"/>
  <c r="G39" i="95" s="1"/>
  <c r="G40" i="95" s="1"/>
  <c r="G41" i="95" s="1"/>
  <c r="G42" i="95" s="1"/>
  <c r="G43" i="95" s="1"/>
  <c r="G44" i="95" s="1"/>
  <c r="G45" i="95" s="1"/>
  <c r="G46" i="95" s="1"/>
  <c r="G47" i="95" s="1"/>
  <c r="G48" i="95" s="1"/>
  <c r="G49" i="95" s="1"/>
  <c r="G50" i="95" s="1"/>
  <c r="G51" i="95" s="1"/>
  <c r="G52" i="95" s="1"/>
  <c r="G53" i="95" s="1"/>
  <c r="G54" i="95" s="1"/>
  <c r="G55" i="95" s="1"/>
  <c r="G56" i="95" s="1"/>
  <c r="G57" i="95" s="1"/>
  <c r="G58" i="95" s="1"/>
  <c r="G59" i="95" s="1"/>
  <c r="G60" i="95" s="1"/>
  <c r="G61" i="95" s="1"/>
  <c r="G62" i="95" s="1"/>
  <c r="G63" i="95" s="1"/>
  <c r="G64" i="95" s="1"/>
  <c r="G65" i="95" s="1"/>
  <c r="G66" i="95" s="1"/>
  <c r="G67" i="95" s="1"/>
  <c r="G68" i="95" s="1"/>
  <c r="G69" i="95" s="1"/>
  <c r="G70" i="95" s="1"/>
  <c r="G71" i="95" s="1"/>
  <c r="G72" i="95" s="1"/>
  <c r="G73" i="95" s="1"/>
  <c r="G74" i="95" s="1"/>
  <c r="G75" i="95" s="1"/>
  <c r="G76" i="95" s="1"/>
  <c r="G77" i="95" s="1"/>
  <c r="G78" i="95" s="1"/>
  <c r="G79" i="95" s="1"/>
  <c r="G80" i="95" s="1"/>
  <c r="G81" i="95" s="1"/>
  <c r="G82" i="95" s="1"/>
  <c r="G83" i="95" s="1"/>
  <c r="G84" i="95" s="1"/>
  <c r="G85" i="95" s="1"/>
  <c r="G86" i="95" s="1"/>
  <c r="G87" i="95" s="1"/>
  <c r="G88" i="95" s="1"/>
  <c r="G89" i="95" s="1"/>
  <c r="G90" i="95" s="1"/>
  <c r="G91" i="95" s="1"/>
  <c r="G92" i="95" s="1"/>
  <c r="G93" i="95" s="1"/>
  <c r="G94" i="95" s="1"/>
  <c r="G95" i="95" s="1"/>
  <c r="G96" i="95" s="1"/>
  <c r="G97" i="95" s="1"/>
  <c r="G98" i="95" s="1"/>
  <c r="G99" i="95" s="1"/>
  <c r="G100" i="95" s="1"/>
  <c r="G101" i="95" s="1"/>
  <c r="G102" i="95" s="1"/>
  <c r="G103" i="95" s="1"/>
  <c r="G104" i="95" s="1"/>
  <c r="G105" i="95" s="1"/>
  <c r="G106" i="95" s="1"/>
  <c r="G107" i="95" s="1"/>
  <c r="G108" i="95" s="1"/>
  <c r="G109" i="95" s="1"/>
  <c r="G110" i="95" s="1"/>
  <c r="G111" i="95" s="1"/>
  <c r="G112" i="95" s="1"/>
  <c r="G113" i="95" s="1"/>
  <c r="G114" i="95" s="1"/>
  <c r="G115" i="95" s="1"/>
  <c r="G116" i="95" s="1"/>
  <c r="G117" i="95" s="1"/>
  <c r="G118" i="95" s="1"/>
  <c r="G119" i="95" s="1"/>
  <c r="G120" i="95" s="1"/>
  <c r="G121" i="95" s="1"/>
  <c r="G122" i="95" s="1"/>
  <c r="G123" i="95" s="1"/>
  <c r="G124" i="95" s="1"/>
  <c r="G125" i="95" s="1"/>
  <c r="G126" i="95" s="1"/>
  <c r="G127" i="95" s="1"/>
  <c r="G128" i="95" s="1"/>
  <c r="G129" i="95" s="1"/>
  <c r="G130" i="95" s="1"/>
  <c r="G131" i="95" s="1"/>
  <c r="G132" i="95" s="1"/>
  <c r="G133" i="95" s="1"/>
  <c r="G134" i="95" s="1"/>
  <c r="G135" i="95" s="1"/>
  <c r="G136" i="95" s="1"/>
  <c r="G137" i="95" s="1"/>
  <c r="G138" i="95" s="1"/>
  <c r="G139" i="95" s="1"/>
  <c r="G140" i="95" s="1"/>
  <c r="G141" i="95" s="1"/>
  <c r="G142" i="95" s="1"/>
  <c r="G143" i="95" s="1"/>
  <c r="G144" i="95" s="1"/>
  <c r="G145" i="95" s="1"/>
  <c r="G146" i="95" s="1"/>
  <c r="G147" i="95" s="1"/>
  <c r="G148" i="95" s="1"/>
  <c r="G149" i="95" s="1"/>
  <c r="G150" i="95" s="1"/>
  <c r="G151" i="95" s="1"/>
  <c r="G152" i="95" s="1"/>
  <c r="G153" i="95" s="1"/>
  <c r="G154" i="95" s="1"/>
  <c r="G155" i="95" s="1"/>
  <c r="G156" i="95" s="1"/>
  <c r="G157" i="95" s="1"/>
  <c r="G158" i="95" s="1"/>
  <c r="G159" i="95" s="1"/>
  <c r="G160" i="95" s="1"/>
  <c r="G161" i="95" s="1"/>
  <c r="G162" i="95" s="1"/>
  <c r="G163" i="95" s="1"/>
  <c r="G164" i="95" s="1"/>
  <c r="G165" i="95" s="1"/>
  <c r="G166" i="95" s="1"/>
  <c r="G167" i="95" s="1"/>
  <c r="G168" i="95" s="1"/>
  <c r="G169" i="95" s="1"/>
  <c r="G170" i="95" s="1"/>
  <c r="G171" i="95" s="1"/>
  <c r="G172" i="95" s="1"/>
  <c r="G173" i="95" s="1"/>
  <c r="G174" i="95" s="1"/>
  <c r="G175" i="95" s="1"/>
  <c r="G176" i="95" s="1"/>
  <c r="G177" i="95" s="1"/>
  <c r="G178" i="95" s="1"/>
  <c r="G179" i="95" s="1"/>
  <c r="G180" i="95" s="1"/>
  <c r="G181" i="95" s="1"/>
  <c r="G182" i="95" s="1"/>
  <c r="G183" i="95" s="1"/>
  <c r="G184" i="95" s="1"/>
  <c r="G185" i="95" s="1"/>
  <c r="G186" i="95" s="1"/>
  <c r="G187" i="95" s="1"/>
  <c r="G188" i="95" s="1"/>
  <c r="G189" i="95" s="1"/>
  <c r="G190" i="95" s="1"/>
  <c r="G191" i="95" s="1"/>
  <c r="G192" i="95" s="1"/>
  <c r="G193" i="95" s="1"/>
  <c r="G194" i="95" s="1"/>
  <c r="G195" i="95" s="1"/>
  <c r="G196" i="95" s="1"/>
  <c r="G197" i="95" s="1"/>
  <c r="G198" i="95" s="1"/>
  <c r="G199" i="95" s="1"/>
  <c r="G200" i="95" s="1"/>
  <c r="G201" i="95" s="1"/>
  <c r="G202" i="95" s="1"/>
  <c r="G203" i="95" s="1"/>
  <c r="G204" i="95" s="1"/>
  <c r="G205" i="95" s="1"/>
  <c r="G206" i="95" s="1"/>
  <c r="G207" i="95" s="1"/>
  <c r="G208" i="95" s="1"/>
  <c r="G209" i="95" s="1"/>
  <c r="G210" i="95" s="1"/>
  <c r="G211" i="95" s="1"/>
  <c r="G212" i="95" s="1"/>
  <c r="G213" i="95" s="1"/>
  <c r="G214" i="95" s="1"/>
  <c r="G215" i="95" s="1"/>
  <c r="G216" i="95" s="1"/>
  <c r="G217" i="95" s="1"/>
  <c r="G218" i="95" s="1"/>
  <c r="G219" i="95" s="1"/>
  <c r="G220" i="95" s="1"/>
  <c r="G221" i="95" s="1"/>
  <c r="G222" i="95" s="1"/>
  <c r="G223" i="95" s="1"/>
  <c r="G224" i="95" s="1"/>
  <c r="G225" i="95" s="1"/>
  <c r="G226" i="95" s="1"/>
  <c r="G227" i="95" s="1"/>
  <c r="G228" i="95" s="1"/>
  <c r="G229" i="95" s="1"/>
  <c r="G230" i="95" s="1"/>
  <c r="G231" i="95" s="1"/>
  <c r="G232" i="95" s="1"/>
  <c r="G233" i="95" s="1"/>
  <c r="G234" i="95" s="1"/>
  <c r="G235" i="95" s="1"/>
  <c r="G236" i="95" s="1"/>
  <c r="G237" i="95" s="1"/>
  <c r="G238" i="95" s="1"/>
  <c r="G239" i="95" s="1"/>
  <c r="G240" i="95" s="1"/>
  <c r="G241" i="95" s="1"/>
  <c r="G242" i="95" s="1"/>
  <c r="E231" i="16"/>
  <c r="A227" i="16"/>
  <c r="A226" i="16"/>
  <c r="A228" i="16" s="1"/>
  <c r="A229" i="16" s="1"/>
  <c r="A231" i="16" s="1"/>
  <c r="A233" i="16" s="1"/>
  <c r="A234" i="16" s="1"/>
  <c r="E243" i="16"/>
  <c r="G205" i="16" l="1"/>
  <c r="G204" i="16"/>
  <c r="F204" i="16"/>
  <c r="H227" i="16" s="1"/>
  <c r="E192" i="16" l="1"/>
  <c r="I218" i="16" s="1"/>
  <c r="F192" i="16"/>
  <c r="H218" i="16" s="1"/>
  <c r="G192" i="16"/>
  <c r="G193" i="16"/>
  <c r="D258" i="16" s="1"/>
  <c r="G194" i="16"/>
  <c r="A203" i="16"/>
  <c r="A204" i="16"/>
  <c r="A192" i="16"/>
  <c r="E204" i="16"/>
  <c r="I227" i="16" s="1"/>
  <c r="J227" i="16" s="1"/>
  <c r="E252" i="16"/>
  <c r="H252" i="16"/>
  <c r="C252" i="16"/>
  <c r="J218" i="16" l="1"/>
  <c r="D259" i="16"/>
  <c r="D233" i="16"/>
  <c r="I252" i="16"/>
  <c r="J252" i="16" s="1"/>
  <c r="I204" i="16"/>
  <c r="J204" i="16" s="1"/>
  <c r="I243" i="16"/>
  <c r="I192" i="16"/>
  <c r="H243" i="16"/>
  <c r="J243" i="16" l="1"/>
  <c r="K243" i="16" s="1"/>
  <c r="K218" i="16"/>
  <c r="K227" i="16"/>
  <c r="K252" i="16"/>
  <c r="J192" i="16"/>
  <c r="C259" i="16" l="1"/>
  <c r="C258" i="16"/>
  <c r="C256" i="16"/>
  <c r="C254" i="16"/>
  <c r="C253" i="16"/>
  <c r="C251" i="16"/>
  <c r="C250" i="16"/>
  <c r="C249" i="16"/>
  <c r="C248" i="16"/>
  <c r="C247" i="16"/>
  <c r="C246" i="16"/>
  <c r="C245" i="16"/>
  <c r="A245" i="16"/>
  <c r="A246" i="16" s="1"/>
  <c r="A247" i="16" s="1"/>
  <c r="A248" i="16" s="1"/>
  <c r="A249" i="16" s="1"/>
  <c r="A250" i="16" s="1"/>
  <c r="C244" i="16"/>
  <c r="A210" i="16"/>
  <c r="G206" i="16"/>
  <c r="F206" i="16"/>
  <c r="E206" i="16"/>
  <c r="D206" i="16"/>
  <c r="E229" i="16" s="1"/>
  <c r="F205" i="16"/>
  <c r="E205" i="16"/>
  <c r="E253" i="16"/>
  <c r="G203" i="16"/>
  <c r="F203" i="16"/>
  <c r="E203" i="16"/>
  <c r="G202" i="16"/>
  <c r="F202" i="16"/>
  <c r="E202" i="16"/>
  <c r="A202" i="16"/>
  <c r="G201" i="16"/>
  <c r="F201" i="16"/>
  <c r="E201" i="16"/>
  <c r="E249" i="16"/>
  <c r="A201" i="16"/>
  <c r="G200" i="16"/>
  <c r="F200" i="16"/>
  <c r="E200" i="16"/>
  <c r="E248" i="16"/>
  <c r="A200" i="16"/>
  <c r="G199" i="16"/>
  <c r="F199" i="16"/>
  <c r="E199" i="16"/>
  <c r="E247" i="16"/>
  <c r="A199" i="16"/>
  <c r="G198" i="16"/>
  <c r="F198" i="16"/>
  <c r="E198" i="16"/>
  <c r="A198" i="16"/>
  <c r="G197" i="16"/>
  <c r="F197" i="16"/>
  <c r="E197" i="16"/>
  <c r="E245" i="16"/>
  <c r="A197" i="16"/>
  <c r="G196" i="16"/>
  <c r="F196" i="16"/>
  <c r="E196" i="16"/>
  <c r="E244" i="16"/>
  <c r="A196" i="16"/>
  <c r="G195" i="16"/>
  <c r="D234" i="16" s="1"/>
  <c r="F195" i="16"/>
  <c r="E195" i="16"/>
  <c r="I234" i="16" s="1"/>
  <c r="A195" i="16"/>
  <c r="F194" i="16"/>
  <c r="E194" i="16"/>
  <c r="A194" i="16"/>
  <c r="F193" i="16"/>
  <c r="H219" i="16" s="1"/>
  <c r="E193" i="16"/>
  <c r="I219" i="16" s="1"/>
  <c r="A193" i="16"/>
  <c r="H259" i="16" l="1"/>
  <c r="H233" i="16"/>
  <c r="H244" i="16"/>
  <c r="H231" i="16"/>
  <c r="I245" i="16"/>
  <c r="I220" i="16"/>
  <c r="I246" i="16"/>
  <c r="I221" i="16"/>
  <c r="J219" i="16"/>
  <c r="I259" i="16"/>
  <c r="I233" i="16"/>
  <c r="H256" i="16"/>
  <c r="H234" i="16"/>
  <c r="J234" i="16" s="1"/>
  <c r="I244" i="16"/>
  <c r="I231" i="16"/>
  <c r="I196" i="16"/>
  <c r="J196" i="16" s="1"/>
  <c r="H245" i="16"/>
  <c r="J245" i="16" s="1"/>
  <c r="H220" i="16"/>
  <c r="J220" i="16" s="1"/>
  <c r="H246" i="16"/>
  <c r="H221" i="16"/>
  <c r="J221" i="16" s="1"/>
  <c r="I247" i="16"/>
  <c r="I222" i="16"/>
  <c r="H248" i="16"/>
  <c r="H223" i="16"/>
  <c r="I249" i="16"/>
  <c r="I224" i="16"/>
  <c r="I250" i="16"/>
  <c r="I225" i="16"/>
  <c r="H251" i="16"/>
  <c r="H226" i="16"/>
  <c r="H253" i="16"/>
  <c r="H228" i="16"/>
  <c r="I254" i="16"/>
  <c r="I229" i="16"/>
  <c r="H247" i="16"/>
  <c r="H222" i="16"/>
  <c r="I248" i="16"/>
  <c r="I223" i="16"/>
  <c r="H249" i="16"/>
  <c r="H224" i="16"/>
  <c r="H250" i="16"/>
  <c r="H225" i="16"/>
  <c r="I251" i="16"/>
  <c r="I226" i="16"/>
  <c r="I253" i="16"/>
  <c r="I228" i="16"/>
  <c r="H254" i="16"/>
  <c r="H229" i="16"/>
  <c r="A251" i="16"/>
  <c r="A253" i="16" s="1"/>
  <c r="A254" i="16" s="1"/>
  <c r="A256" i="16" s="1"/>
  <c r="A258" i="16" s="1"/>
  <c r="A259" i="16" s="1"/>
  <c r="A252" i="16"/>
  <c r="I256" i="16"/>
  <c r="I195" i="16"/>
  <c r="J195" i="16" s="1"/>
  <c r="E254" i="16"/>
  <c r="D207" i="16"/>
  <c r="F207" i="16"/>
  <c r="I258" i="16"/>
  <c r="E207" i="16"/>
  <c r="C210" i="16" s="1"/>
  <c r="G207" i="16"/>
  <c r="B210" i="16" s="1"/>
  <c r="E256" i="16"/>
  <c r="C260" i="16"/>
  <c r="I193" i="16"/>
  <c r="I194" i="16"/>
  <c r="J194" i="16" s="1"/>
  <c r="I198" i="16"/>
  <c r="J198" i="16" s="1"/>
  <c r="I202" i="16"/>
  <c r="J202" i="16" s="1"/>
  <c r="I203" i="16"/>
  <c r="J203" i="16" s="1"/>
  <c r="I205" i="16"/>
  <c r="J205" i="16" s="1"/>
  <c r="I200" i="16"/>
  <c r="J200" i="16" s="1"/>
  <c r="I199" i="16"/>
  <c r="J199" i="16" s="1"/>
  <c r="I206" i="16"/>
  <c r="J206" i="16" s="1"/>
  <c r="E246" i="16"/>
  <c r="E250" i="16"/>
  <c r="E251" i="16"/>
  <c r="H258" i="16"/>
  <c r="I201" i="16"/>
  <c r="J201" i="16" s="1"/>
  <c r="I197" i="16"/>
  <c r="J197" i="16" s="1"/>
  <c r="C279" i="16"/>
  <c r="J246" i="16" l="1"/>
  <c r="K246" i="16" s="1"/>
  <c r="J253" i="16"/>
  <c r="K253" i="16" s="1"/>
  <c r="J249" i="16"/>
  <c r="J247" i="16"/>
  <c r="K247" i="16" s="1"/>
  <c r="J229" i="16"/>
  <c r="J224" i="16"/>
  <c r="K224" i="16" s="1"/>
  <c r="J222" i="16"/>
  <c r="K222" i="16" s="1"/>
  <c r="J254" i="16"/>
  <c r="K254" i="16" s="1"/>
  <c r="J259" i="16"/>
  <c r="K259" i="16" s="1"/>
  <c r="J250" i="16"/>
  <c r="K250" i="16" s="1"/>
  <c r="J258" i="16"/>
  <c r="K258" i="16" s="1"/>
  <c r="J248" i="16"/>
  <c r="K248" i="16" s="1"/>
  <c r="J244" i="16"/>
  <c r="K244" i="16" s="1"/>
  <c r="J225" i="16"/>
  <c r="J251" i="16"/>
  <c r="K251" i="16" s="1"/>
  <c r="I235" i="16"/>
  <c r="D210" i="16"/>
  <c r="I260" i="16"/>
  <c r="K234" i="16"/>
  <c r="K219" i="16"/>
  <c r="K229" i="16"/>
  <c r="K225" i="16"/>
  <c r="J228" i="16"/>
  <c r="K228" i="16" s="1"/>
  <c r="J226" i="16"/>
  <c r="K226" i="16" s="1"/>
  <c r="J223" i="16"/>
  <c r="K223" i="16" s="1"/>
  <c r="K221" i="16"/>
  <c r="K220" i="16"/>
  <c r="J231" i="16"/>
  <c r="K231" i="16" s="1"/>
  <c r="J233" i="16"/>
  <c r="K233" i="16" s="1"/>
  <c r="G209" i="16"/>
  <c r="J256" i="16"/>
  <c r="K256" i="16" s="1"/>
  <c r="J193" i="16"/>
  <c r="I207" i="16"/>
  <c r="K249" i="16"/>
  <c r="K245" i="16"/>
  <c r="E270" i="16"/>
  <c r="E269" i="16"/>
  <c r="E268" i="16"/>
  <c r="J260" i="16" l="1"/>
  <c r="K260" i="16" s="1"/>
  <c r="I208" i="16"/>
  <c r="J235" i="16"/>
  <c r="K235" i="16" s="1"/>
  <c r="E210" i="16"/>
  <c r="J207" i="16"/>
  <c r="A269" i="16" l="1"/>
  <c r="A270" i="16" s="1"/>
  <c r="A271" i="16" s="1"/>
  <c r="A272" i="16" s="1"/>
  <c r="A273" i="16" s="1"/>
  <c r="A274" i="16" s="1"/>
  <c r="A275" i="16" s="1"/>
  <c r="A276" i="16" s="1"/>
  <c r="C282" i="16"/>
  <c r="C281" i="16"/>
  <c r="C277" i="16"/>
  <c r="C276" i="16"/>
  <c r="C275" i="16"/>
  <c r="C274" i="16"/>
  <c r="C273" i="16"/>
  <c r="C272" i="16"/>
  <c r="C271" i="16"/>
  <c r="C270" i="16"/>
  <c r="C269" i="16"/>
  <c r="C268" i="16"/>
  <c r="H277" i="16"/>
  <c r="I277" i="16"/>
  <c r="E277" i="16"/>
  <c r="H276" i="16"/>
  <c r="I276" i="16"/>
  <c r="H275" i="16"/>
  <c r="I275" i="16"/>
  <c r="E275" i="16"/>
  <c r="H274" i="16"/>
  <c r="I274" i="16"/>
  <c r="E274" i="16"/>
  <c r="H273" i="16"/>
  <c r="I273" i="16"/>
  <c r="H272" i="16"/>
  <c r="I272" i="16"/>
  <c r="E272" i="16"/>
  <c r="H271" i="16"/>
  <c r="I271" i="16"/>
  <c r="E271" i="16"/>
  <c r="H270" i="16"/>
  <c r="I270" i="16"/>
  <c r="H269" i="16"/>
  <c r="I269" i="16"/>
  <c r="H268" i="16"/>
  <c r="I268" i="16"/>
  <c r="H279" i="16"/>
  <c r="I279" i="16"/>
  <c r="H282" i="16"/>
  <c r="I282" i="16"/>
  <c r="I281" i="16"/>
  <c r="C5" i="95"/>
  <c r="A277" i="16" l="1"/>
  <c r="A279" i="16" s="1"/>
  <c r="A281" i="16" s="1"/>
  <c r="A282" i="16" s="1"/>
  <c r="J282" i="16"/>
  <c r="J274" i="16"/>
  <c r="J277" i="16"/>
  <c r="C283" i="16"/>
  <c r="J270" i="16"/>
  <c r="J268" i="16"/>
  <c r="J283" i="16" s="1"/>
  <c r="K283" i="16" s="1"/>
  <c r="J279" i="16"/>
  <c r="I283" i="16"/>
  <c r="J271" i="16"/>
  <c r="J275" i="16"/>
  <c r="J272" i="16"/>
  <c r="J269" i="16"/>
  <c r="E276" i="16"/>
  <c r="J276" i="16" s="1"/>
  <c r="E273" i="16"/>
  <c r="J273" i="16" s="1"/>
  <c r="H281" i="16"/>
  <c r="J281" i="16" s="1"/>
  <c r="C6" i="95"/>
  <c r="C7" i="95" s="1"/>
  <c r="D7" i="95" s="1"/>
  <c r="E6" i="95" l="1"/>
  <c r="K273" i="16"/>
  <c r="K276" i="16"/>
  <c r="K281" i="16"/>
  <c r="K277" i="16"/>
  <c r="K269" i="16"/>
  <c r="K279" i="16"/>
  <c r="K275" i="16"/>
  <c r="K270" i="16"/>
  <c r="K282" i="16"/>
  <c r="K272" i="16"/>
  <c r="K274" i="16"/>
  <c r="K268" i="16"/>
  <c r="K271" i="16"/>
  <c r="C305" i="16" l="1"/>
  <c r="C291" i="16"/>
  <c r="C300" i="16"/>
  <c r="I296" i="16" l="1"/>
  <c r="I297" i="16"/>
  <c r="I298" i="16"/>
  <c r="I299" i="16"/>
  <c r="I300" i="16"/>
  <c r="I301" i="16"/>
  <c r="I295" i="16"/>
  <c r="I294" i="16"/>
  <c r="I305" i="16"/>
  <c r="H300" i="16"/>
  <c r="E300" i="16"/>
  <c r="J300" i="16" l="1"/>
  <c r="K300" i="16" l="1"/>
  <c r="C306" i="16" l="1"/>
  <c r="C303" i="16"/>
  <c r="C301" i="16"/>
  <c r="C299" i="16"/>
  <c r="C298" i="16"/>
  <c r="C297" i="16"/>
  <c r="C296" i="16"/>
  <c r="C295" i="16"/>
  <c r="C294" i="16"/>
  <c r="C293" i="16"/>
  <c r="C292" i="16"/>
  <c r="H305" i="16"/>
  <c r="J305" i="16" s="1"/>
  <c r="C326" i="16"/>
  <c r="K305" i="16" l="1"/>
  <c r="C307" i="16"/>
  <c r="C329" i="16"/>
  <c r="J329" i="16" s="1"/>
  <c r="K329" i="16" s="1"/>
  <c r="C328" i="16"/>
  <c r="J328" i="16" s="1"/>
  <c r="K328" i="16" s="1"/>
  <c r="J326" i="16"/>
  <c r="C316" i="16"/>
  <c r="J316" i="16" s="1"/>
  <c r="C317" i="16"/>
  <c r="J317" i="16" s="1"/>
  <c r="C318" i="16"/>
  <c r="J318" i="16" s="1"/>
  <c r="C319" i="16"/>
  <c r="J319" i="16" s="1"/>
  <c r="C320" i="16"/>
  <c r="J320" i="16" s="1"/>
  <c r="C321" i="16"/>
  <c r="J321" i="16" s="1"/>
  <c r="C322" i="16"/>
  <c r="J322" i="16" s="1"/>
  <c r="C323" i="16"/>
  <c r="C324" i="16"/>
  <c r="J324" i="16" s="1"/>
  <c r="C315" i="16"/>
  <c r="J315" i="16" s="1"/>
  <c r="I330" i="16"/>
  <c r="J323" i="16"/>
  <c r="C330" i="16" l="1"/>
  <c r="J330" i="16"/>
  <c r="G331" i="16" s="1"/>
  <c r="K321" i="16" l="1"/>
  <c r="K317" i="16"/>
  <c r="K326" i="16"/>
  <c r="K324" i="16" l="1"/>
  <c r="K316" i="16"/>
  <c r="K315" i="16"/>
  <c r="K322" i="16"/>
  <c r="K318" i="16"/>
  <c r="K319" i="16"/>
  <c r="K320" i="16"/>
  <c r="K323" i="16"/>
  <c r="K330" i="16" l="1"/>
  <c r="F342" i="16" l="1"/>
  <c r="H341" i="16"/>
  <c r="F340" i="16"/>
  <c r="C350" i="16" l="1"/>
  <c r="J350" i="16" s="1"/>
  <c r="C349" i="16"/>
  <c r="J349" i="16" s="1"/>
  <c r="C348" i="16"/>
  <c r="J348" i="16" s="1"/>
  <c r="C347" i="16"/>
  <c r="J347" i="16" s="1"/>
  <c r="C346" i="16"/>
  <c r="J346" i="16" s="1"/>
  <c r="C345" i="16"/>
  <c r="J345" i="16" s="1"/>
  <c r="C344" i="16"/>
  <c r="J344" i="16" s="1"/>
  <c r="C343" i="16"/>
  <c r="J343" i="16" s="1"/>
  <c r="C342" i="16"/>
  <c r="J342" i="16" s="1"/>
  <c r="C341" i="16"/>
  <c r="J341" i="16" s="1"/>
  <c r="C340" i="16"/>
  <c r="J340" i="16" s="1"/>
  <c r="C339" i="16"/>
  <c r="J339" i="16" s="1"/>
  <c r="C352" i="16"/>
  <c r="J352" i="16" s="1"/>
  <c r="C355" i="16"/>
  <c r="J355" i="16" s="1"/>
  <c r="I356" i="16"/>
  <c r="C382" i="16"/>
  <c r="C354" i="16" l="1"/>
  <c r="J354" i="16" s="1"/>
  <c r="J356" i="16" s="1"/>
  <c r="C356" i="16" l="1"/>
  <c r="I382" i="16" l="1"/>
  <c r="J381" i="16" l="1"/>
  <c r="J380" i="16"/>
  <c r="J378" i="16"/>
  <c r="J376" i="16"/>
  <c r="J375" i="16"/>
  <c r="J374" i="16"/>
  <c r="J373" i="16"/>
  <c r="J372" i="16"/>
  <c r="J371" i="16"/>
  <c r="J370" i="16"/>
  <c r="J369" i="16"/>
  <c r="J368" i="16"/>
  <c r="J367" i="16"/>
  <c r="J366" i="16"/>
  <c r="J365" i="16"/>
  <c r="J364" i="16"/>
  <c r="J382" i="16" l="1"/>
  <c r="J401" i="16" l="1"/>
  <c r="J400" i="16"/>
  <c r="J399" i="16"/>
  <c r="J398" i="16"/>
  <c r="J397" i="16"/>
  <c r="J396" i="16"/>
  <c r="J395" i="16"/>
  <c r="J393" i="16"/>
  <c r="J390" i="16"/>
  <c r="J404" i="16"/>
  <c r="J407" i="16"/>
  <c r="J406" i="16"/>
  <c r="I408" i="16"/>
  <c r="J394" i="16"/>
  <c r="C408" i="16" l="1"/>
  <c r="J392" i="16"/>
  <c r="J391" i="16"/>
  <c r="J402" i="16"/>
  <c r="J408" i="16" l="1"/>
  <c r="F428" i="16" l="1"/>
  <c r="H428" i="16"/>
  <c r="F419" i="16"/>
  <c r="H418" i="16"/>
  <c r="F417" i="16"/>
  <c r="I434" i="16"/>
  <c r="J428" i="16" l="1"/>
  <c r="J427" i="16"/>
  <c r="J426" i="16"/>
  <c r="J425" i="16"/>
  <c r="J424" i="16"/>
  <c r="J423" i="16"/>
  <c r="J422" i="16"/>
  <c r="J421" i="16"/>
  <c r="J420" i="16"/>
  <c r="J419" i="16"/>
  <c r="J418" i="16"/>
  <c r="J417" i="16"/>
  <c r="J430" i="16"/>
  <c r="J433" i="16"/>
  <c r="J432" i="16"/>
  <c r="J416" i="16" l="1"/>
  <c r="J434" i="16" s="1"/>
  <c r="C434" i="16"/>
  <c r="I463" i="16" l="1"/>
  <c r="J457" i="16"/>
  <c r="J443" i="16" l="1"/>
  <c r="J456" i="16" l="1"/>
  <c r="J455" i="16"/>
  <c r="J454" i="16"/>
  <c r="J453" i="16"/>
  <c r="J452" i="16"/>
  <c r="J451" i="16"/>
  <c r="J450" i="16"/>
  <c r="J449" i="16"/>
  <c r="J448" i="16"/>
  <c r="J447" i="16"/>
  <c r="J446" i="16"/>
  <c r="J445" i="16"/>
  <c r="C459" i="16"/>
  <c r="J459" i="16" s="1"/>
  <c r="C462" i="16"/>
  <c r="J462" i="16" s="1"/>
  <c r="C461" i="16"/>
  <c r="J461" i="16" s="1"/>
  <c r="C490" i="16"/>
  <c r="J444" i="16" l="1"/>
  <c r="J463" i="16" s="1"/>
  <c r="C463" i="16"/>
  <c r="J503" i="16" l="1"/>
  <c r="J484" i="16" l="1"/>
  <c r="J483" i="16"/>
  <c r="J482" i="16"/>
  <c r="J481" i="16"/>
  <c r="J480" i="16"/>
  <c r="J479" i="16"/>
  <c r="J478" i="16"/>
  <c r="J477" i="16"/>
  <c r="J476" i="16"/>
  <c r="J475" i="16"/>
  <c r="J474" i="16"/>
  <c r="J473" i="16"/>
  <c r="J472" i="16"/>
  <c r="J486" i="16"/>
  <c r="J489" i="16"/>
  <c r="J488" i="16"/>
  <c r="I490" i="16"/>
  <c r="J471" i="16" l="1"/>
  <c r="J490" i="16" s="1"/>
  <c r="I518" i="16" l="1"/>
  <c r="J511" i="16" l="1"/>
  <c r="J508" i="16" l="1"/>
  <c r="J504" i="16"/>
  <c r="J500" i="16"/>
  <c r="J514" i="16"/>
  <c r="J516" i="16"/>
  <c r="J517" i="16"/>
  <c r="J510" i="16"/>
  <c r="J509" i="16"/>
  <c r="J507" i="16"/>
  <c r="J506" i="16"/>
  <c r="J505" i="16"/>
  <c r="J502" i="16"/>
  <c r="J501" i="16"/>
  <c r="J499" i="16"/>
  <c r="J512" i="16" l="1"/>
  <c r="J518" i="16" s="1"/>
  <c r="K518" i="16" s="1"/>
  <c r="C435" i="16" l="1"/>
  <c r="C409" i="16"/>
  <c r="J535" i="16"/>
  <c r="J536" i="16" l="1"/>
  <c r="J534" i="16"/>
  <c r="J533" i="16"/>
  <c r="J532" i="16"/>
  <c r="J531" i="16"/>
  <c r="J530" i="16"/>
  <c r="J529" i="16"/>
  <c r="J528" i="16"/>
  <c r="J527" i="16"/>
  <c r="J526" i="16"/>
  <c r="J540" i="16"/>
  <c r="J543" i="16"/>
  <c r="J542" i="16"/>
  <c r="J538" i="16" l="1"/>
  <c r="J537" i="16"/>
  <c r="J544" i="16" l="1"/>
  <c r="J562" i="16" l="1"/>
  <c r="F552" i="16" l="1"/>
  <c r="J586" i="16"/>
  <c r="J589" i="16"/>
  <c r="J570" i="16"/>
  <c r="J569" i="16"/>
  <c r="J568" i="16"/>
  <c r="C561" i="16" l="1"/>
  <c r="J561" i="16" s="1"/>
  <c r="C560" i="16"/>
  <c r="J560" i="16" s="1"/>
  <c r="C559" i="16"/>
  <c r="J559" i="16" s="1"/>
  <c r="C558" i="16"/>
  <c r="J558" i="16" s="1"/>
  <c r="C557" i="16"/>
  <c r="J557" i="16" s="1"/>
  <c r="J556" i="16"/>
  <c r="C555" i="16"/>
  <c r="J555" i="16" s="1"/>
  <c r="C554" i="16"/>
  <c r="J554" i="16" s="1"/>
  <c r="C553" i="16"/>
  <c r="J553" i="16" s="1"/>
  <c r="C552" i="16"/>
  <c r="J552" i="16" s="1"/>
  <c r="C564" i="16"/>
  <c r="J564" i="16" s="1"/>
  <c r="C567" i="16"/>
  <c r="J567" i="16" s="1"/>
  <c r="C566" i="16" l="1"/>
  <c r="J566" i="16" s="1"/>
  <c r="J571" i="16" s="1"/>
  <c r="J597" i="16" l="1"/>
  <c r="J596" i="16"/>
  <c r="J595" i="16"/>
  <c r="J648" i="16"/>
  <c r="J621" i="16"/>
  <c r="J620" i="16"/>
  <c r="J618" i="16"/>
  <c r="E616" i="16"/>
  <c r="J616" i="16" s="1"/>
  <c r="E615" i="16"/>
  <c r="J615" i="16" s="1"/>
  <c r="E613" i="16"/>
  <c r="J613" i="16" s="1"/>
  <c r="H612" i="16"/>
  <c r="E612" i="16"/>
  <c r="F611" i="16"/>
  <c r="E611" i="16"/>
  <c r="E610" i="16"/>
  <c r="J610" i="16" s="1"/>
  <c r="I609" i="16"/>
  <c r="H609" i="16"/>
  <c r="E609" i="16"/>
  <c r="I608" i="16"/>
  <c r="E608" i="16"/>
  <c r="H607" i="16"/>
  <c r="E607" i="16"/>
  <c r="I606" i="16"/>
  <c r="J598" i="16"/>
  <c r="J582" i="16"/>
  <c r="J594" i="16"/>
  <c r="B582" i="16" l="1"/>
  <c r="B586" i="16"/>
  <c r="B587" i="16"/>
  <c r="B580" i="16"/>
  <c r="B583" i="16"/>
  <c r="B584" i="16"/>
  <c r="B581" i="16"/>
  <c r="B585" i="16"/>
  <c r="J581" i="16"/>
  <c r="I623" i="16"/>
  <c r="J608" i="16"/>
  <c r="J591" i="16"/>
  <c r="J607" i="16"/>
  <c r="J579" i="16"/>
  <c r="J585" i="16"/>
  <c r="J580" i="16"/>
  <c r="J593" i="16"/>
  <c r="J588" i="16"/>
  <c r="J611" i="16"/>
  <c r="J609" i="16"/>
  <c r="J612" i="16"/>
  <c r="J606" i="16"/>
  <c r="J584" i="16" l="1"/>
  <c r="J583" i="16"/>
  <c r="J587" i="16"/>
  <c r="C614" i="16"/>
  <c r="J599" i="16" l="1"/>
  <c r="C623" i="16"/>
  <c r="J614" i="16"/>
  <c r="J623" i="16" s="1"/>
  <c r="K352" i="16" l="1"/>
  <c r="K339" i="16"/>
  <c r="K355" i="16"/>
  <c r="K345" i="16"/>
  <c r="K350" i="16"/>
  <c r="K349" i="16"/>
  <c r="K421" i="16" l="1"/>
  <c r="K343" i="16"/>
  <c r="K372" i="16"/>
  <c r="K346" i="16"/>
  <c r="K341" i="16"/>
  <c r="K373" i="16"/>
  <c r="K347" i="16"/>
  <c r="K342" i="16"/>
  <c r="K340" i="16"/>
  <c r="K370" i="16"/>
  <c r="K344" i="16"/>
  <c r="K374" i="16"/>
  <c r="K369" i="16"/>
  <c r="K422" i="16"/>
  <c r="K418" i="16"/>
  <c r="K433" i="16"/>
  <c r="K381" i="16"/>
  <c r="K368" i="16"/>
  <c r="K420" i="16"/>
  <c r="K375" i="16"/>
  <c r="K427" i="16"/>
  <c r="K376" i="16"/>
  <c r="K428" i="16"/>
  <c r="K423" i="16"/>
  <c r="K371" i="16"/>
  <c r="K430" i="16"/>
  <c r="K378" i="16"/>
  <c r="K354" i="16"/>
  <c r="K417" i="16"/>
  <c r="K425" i="16"/>
  <c r="K416" i="16"/>
  <c r="K424" i="16"/>
  <c r="K367" i="16"/>
  <c r="K365" i="16"/>
  <c r="K366" i="16"/>
  <c r="K419" i="16"/>
  <c r="K364" i="16"/>
  <c r="K426" i="16" l="1"/>
  <c r="K348" i="16"/>
  <c r="K432" i="16"/>
  <c r="K380" i="16"/>
  <c r="K356" i="16" l="1"/>
  <c r="K434" i="16"/>
  <c r="K571" i="16"/>
  <c r="K382" i="16"/>
  <c r="H291" i="16" l="1"/>
  <c r="H292" i="16"/>
  <c r="H303" i="16"/>
  <c r="H293" i="16"/>
  <c r="I303" i="16"/>
  <c r="H306" i="16"/>
  <c r="H297" i="16"/>
  <c r="H296" i="16"/>
  <c r="H294" i="16"/>
  <c r="H298" i="16"/>
  <c r="J298" i="16" s="1"/>
  <c r="I291" i="16"/>
  <c r="H295" i="16"/>
  <c r="I306" i="16"/>
  <c r="H299" i="16"/>
  <c r="H301" i="16"/>
  <c r="I293" i="16"/>
  <c r="E297" i="16"/>
  <c r="E296" i="16"/>
  <c r="E295" i="16"/>
  <c r="I292" i="16"/>
  <c r="E299" i="16"/>
  <c r="K298" i="16" l="1"/>
  <c r="J306" i="16"/>
  <c r="K306" i="16" s="1"/>
  <c r="J293" i="16"/>
  <c r="K293" i="16" s="1"/>
  <c r="E294" i="16"/>
  <c r="J294" i="16" s="1"/>
  <c r="K294" i="16" s="1"/>
  <c r="E292" i="16"/>
  <c r="J292" i="16" s="1"/>
  <c r="E301" i="16"/>
  <c r="J301" i="16" s="1"/>
  <c r="K301" i="16" s="1"/>
  <c r="I307" i="16"/>
  <c r="J296" i="16"/>
  <c r="J299" i="16"/>
  <c r="J295" i="16"/>
  <c r="E291" i="16"/>
  <c r="J291" i="16" s="1"/>
  <c r="J297" i="16"/>
  <c r="J303" i="16"/>
  <c r="K296" i="16" l="1"/>
  <c r="K303" i="16"/>
  <c r="K292" i="16"/>
  <c r="K291" i="16"/>
  <c r="J307" i="16"/>
  <c r="K295" i="16"/>
  <c r="K297" i="16"/>
  <c r="K299" i="16"/>
  <c r="G308" i="16" l="1"/>
  <c r="K307" i="16"/>
</calcChain>
</file>

<file path=xl/sharedStrings.xml><?xml version="1.0" encoding="utf-8"?>
<sst xmlns="http://schemas.openxmlformats.org/spreadsheetml/2006/main" count="2945" uniqueCount="519">
  <si>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</si>
  <si>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</si>
  <si>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</si>
  <si>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</si>
  <si>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</si>
  <si>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</si>
  <si>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</si>
  <si>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</si>
  <si>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</si>
  <si>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</si>
  <si>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</si>
  <si>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</si>
  <si>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</si>
  <si>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</si>
  <si>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</si>
  <si>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</si>
  <si>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</si>
  <si>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</si>
  <si>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</si>
  <si>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</si>
  <si>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</si>
  <si>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</si>
  <si>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</si>
  <si>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</si>
  <si>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</si>
  <si>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</si>
  <si>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</si>
  <si>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</si>
  <si>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</si>
  <si>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</si>
  <si>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</si>
  <si>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</si>
  <si>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</si>
  <si>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</si>
  <si>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</si>
  <si>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Office Materials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</si>
  <si>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</si>
  <si>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</si>
  <si>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</si>
  <si>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</si>
  <si>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</si>
  <si>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</si>
  <si>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</si>
  <si>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</si>
  <si>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</si>
  <si>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</si>
  <si>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</si>
  <si>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</si>
  <si>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</si>
  <si>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</si>
  <si>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</si>
  <si>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</si>
  <si>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</si>
  <si>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</si>
  <si>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</si>
  <si>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</si>
  <si>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</si>
  <si>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</si>
  <si>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</si>
  <si>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</si>
  <si>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</si>
  <si>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</si>
  <si>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</si>
  <si>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</si>
  <si>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</si>
  <si>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</si>
  <si>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</si>
  <si>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</si>
  <si>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</si>
  <si>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</si>
  <si>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</si>
  <si>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</si>
  <si>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</si>
  <si>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</si>
  <si>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</si>
  <si>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</si>
  <si>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</si>
  <si>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</si>
  <si>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</si>
  <si>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</si>
  <si>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</si>
  <si>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</si>
  <si>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</si>
  <si>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</si>
  <si>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</si>
  <si>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</si>
  <si>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</si>
  <si>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</si>
  <si>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</si>
  <si>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</si>
  <si>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</si>
  <si>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</si>
  <si>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</si>
  <si>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</si>
  <si>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</si>
  <si>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</si>
  <si>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</si>
  <si>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</si>
  <si>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</si>
  <si>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</si>
  <si>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</si>
  <si>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</si>
  <si>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</si>
  <si>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</si>
  <si>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</si>
  <si>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</si>
  <si>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</si>
  <si>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</si>
  <si>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</si>
  <si>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</si>
  <si>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</si>
  <si>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</si>
  <si>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</si>
  <si>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</si>
  <si>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</si>
  <si>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</si>
  <si>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</si>
  <si>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</si>
  <si>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</si>
  <si>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</si>
  <si>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</si>
  <si>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</si>
  <si>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</si>
  <si>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</si>
  <si>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</si>
  <si>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</si>
  <si>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</si>
  <si>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</si>
  <si>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</si>
  <si>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</si>
  <si>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</si>
  <si>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</si>
  <si>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</si>
  <si>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</si>
  <si>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</si>
  <si>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</si>
  <si>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</si>
  <si>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</si>
  <si>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</si>
  <si>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</si>
  <si>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</si>
  <si>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</si>
  <si>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</si>
  <si>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</si>
  <si>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</si>
  <si>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</si>
  <si>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</si>
  <si>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</si>
  <si>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</si>
  <si>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</si>
  <si>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</si>
  <si>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</si>
  <si>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</si>
  <si>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</si>
  <si>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</si>
  <si>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</si>
  <si>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</si>
  <si>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Travel Subsistence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</si>
  <si>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</si>
  <si>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</si>
  <si>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</si>
  <si>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</si>
  <si>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</si>
  <si>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</si>
  <si>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</si>
  <si>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</si>
  <si>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Wildcat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</si>
  <si>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</si>
  <si>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</si>
  <si>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</si>
  <si>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</si>
  <si>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</si>
  <si>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</si>
  <si>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</si>
  <si>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Flight</t>
  </si>
  <si>
    <t>TOTAL DEPENSE EN NOVEMBRE</t>
  </si>
  <si>
    <t>Solde au 01/12/2021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</si>
  <si>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</si>
  <si>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</si>
  <si>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</si>
  <si>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</si>
  <si>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</si>
  <si>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</si>
  <si>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</si>
  <si>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</si>
  <si>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Transfer Fees</t>
  </si>
  <si>
    <t>CONGO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</si>
  <si>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</si>
  <si>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</si>
  <si>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</si>
  <si>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</si>
  <si>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</si>
  <si>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</si>
  <si>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</si>
  <si>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</si>
  <si>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</si>
  <si>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</si>
  <si>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Court Fees</t>
  </si>
  <si>
    <t>Trust building</t>
  </si>
  <si>
    <t>Bank Fees</t>
  </si>
  <si>
    <t>Names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</si>
  <si>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</si>
  <si>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</si>
  <si>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</si>
  <si>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</si>
  <si>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</si>
  <si>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</si>
  <si>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Bonus</t>
  </si>
  <si>
    <t>Jail visits</t>
  </si>
  <si>
    <t>RAPPORT FINANCIER MARS 2022</t>
  </si>
  <si>
    <t>Solde au 01/03/2022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</si>
  <si>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</si>
  <si>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</si>
  <si>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</si>
  <si>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</si>
  <si>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</si>
  <si>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</si>
  <si>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</si>
  <si>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</si>
  <si>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I23c</t>
  </si>
  <si>
    <t>Achat credit  teléphonique MTN/PALF/Prémière partie Mars 2022/Management</t>
  </si>
  <si>
    <t xml:space="preserve">Management </t>
  </si>
  <si>
    <t>Oui</t>
  </si>
  <si>
    <t>Achat credit  teléphonique MTN/PALF/Prémière partie Mars 2022/Legal</t>
  </si>
  <si>
    <t>Achat credit  teléphonique MTN/PALF/Prémière partie Mars 2022/Investigation</t>
  </si>
  <si>
    <t>Achat credit  teléphonique MTN/PALF/Prémière partie Mars 2022/Media</t>
  </si>
  <si>
    <t>Achat credit  teléphonique Airtel/PALF/Prémière partie Mars 2022/Management</t>
  </si>
  <si>
    <t>Achat credit  teléphonique Airtel/PALF/Prémière partie Mars 2022/Legal</t>
  </si>
  <si>
    <t>Achat credit  teléphonique Airtel/PALF/Prémière partie Mars 2022/Investigation</t>
  </si>
  <si>
    <t>Achat credit  teléphonique Airtel/PALF/Prémière partie Mars 2022/Media</t>
  </si>
  <si>
    <t>Godfre</t>
  </si>
  <si>
    <t>Frais de transfert Charden Farell/Godfré</t>
  </si>
  <si>
    <t>Office</t>
  </si>
  <si>
    <t>oui</t>
  </si>
  <si>
    <t>Complément frais de mission maitre Anicet à Pointe-Noire du 01 au 02/03/2022</t>
  </si>
  <si>
    <t>Lawyer fees</t>
  </si>
  <si>
    <t>BCI-3654471/34</t>
  </si>
  <si>
    <t>BCI-3643627/56</t>
  </si>
  <si>
    <t>Decharge</t>
  </si>
  <si>
    <t>Reglement prestation Entretient bureau Mois de Février 2022/Odile</t>
  </si>
  <si>
    <t>OUI</t>
  </si>
  <si>
    <t>Crepin/retour caisse remboursement avance sur salaire</t>
  </si>
  <si>
    <t>Achat 02 paquets de chemises cartonées et 01 paquet de sous chemise</t>
  </si>
  <si>
    <t>Achat 07 ampoules pour le bureau</t>
  </si>
  <si>
    <t>Bonus média interpellation du 19/02/2022</t>
  </si>
  <si>
    <t>Frais de transfert Charden Farell/P29</t>
  </si>
  <si>
    <t>decharge</t>
  </si>
  <si>
    <t>Reglement facture E²C/ période Janvier - Février 2022/bureau PALF</t>
  </si>
  <si>
    <t>Remboursement frais Pharmaceutiques Crépin</t>
  </si>
  <si>
    <t>BCI-3643633/56</t>
  </si>
  <si>
    <t>Bonus operation du 09 et 19 février 2022 à Oyo/Crépin</t>
  </si>
  <si>
    <t>Operation</t>
  </si>
  <si>
    <t>Bonus mois de janvier et février 2022/Crépin</t>
  </si>
  <si>
    <t>Bonus mois de janvier et février 2022/Godfré</t>
  </si>
  <si>
    <t>Bonus mois de février 2022/Evariste</t>
  </si>
  <si>
    <t>Bonus operation du 19 février 2022 à Oyo et du 22 Février 2022 à Makoua /Godfré</t>
  </si>
  <si>
    <t>Bonus operation du 09 et 19 février 2022 à Oyo/Grace</t>
  </si>
  <si>
    <t>Bonus operation du 09 et 19 février 2022 à Oyo/Evariste</t>
  </si>
  <si>
    <t>Bonus média/transfert de deux bébés chimpanzés</t>
  </si>
  <si>
    <t>Bonus média/interpellation du 19 février 2022 à Makoua</t>
  </si>
  <si>
    <t>Achat Produit d'entretien bureau/ajax,javel,sacs poubelles, lait sucre et café</t>
  </si>
  <si>
    <t>Godfre/Retour caisse</t>
  </si>
  <si>
    <t>Bonus média/Pièce supplémentaire /interpellation du 19 février 2022 à Makoua</t>
  </si>
  <si>
    <t xml:space="preserve">  </t>
  </si>
  <si>
    <t>Paule</t>
  </si>
  <si>
    <t>Hurielle</t>
  </si>
  <si>
    <t>Achat credit  teléphonique MTN/PALF/deuxième partie Mars 2022/Management</t>
  </si>
  <si>
    <t>Achat credit  teléphonique MTN/PALF/deuxième partie Mars 2022/Legal</t>
  </si>
  <si>
    <t>Achat credit  teléphonique MTN/PALF/deuxième partie Mars 2022/Legal Volontaire</t>
  </si>
  <si>
    <t>Achat credit  teléphonique MTN/PALF/deuxième partie Mars 2022/Investigation</t>
  </si>
  <si>
    <t>Achat credit  teléphonique MTN/PALF/deuxième partie Mars 2022/Media</t>
  </si>
  <si>
    <t>Achat credit  teléphonique Airtel/PALF/Deuxième partie Mars 2022/Management</t>
  </si>
  <si>
    <t>Supplément paiement Prime de fin d'année</t>
  </si>
  <si>
    <t>Légal</t>
  </si>
  <si>
    <t>Achat credit  teléphonique Airtel/PALF/Deuxième partie Mars 2022/Investigation</t>
  </si>
  <si>
    <t>Main d'œuvre demontage, recharge et montage batterie/Groupe electrogène bureau</t>
  </si>
  <si>
    <t>Achat 04 bombones d'eau minerale</t>
  </si>
  <si>
    <t>Reglement loyer Tiffany mois de Mars 2022/400USD</t>
  </si>
  <si>
    <t>BCI-3654475/34</t>
  </si>
  <si>
    <t>Bonus media/audience du 24/03/2022 à oyo</t>
  </si>
  <si>
    <t>Frais de mission maitre Marie Hèlene à oyo du 23 au 25/03/2022/cas NGATSONGO</t>
  </si>
  <si>
    <t>Frais de transfert charden farell à P29</t>
  </si>
  <si>
    <t>Achat crédit téléphone MTN/Tiffany</t>
  </si>
  <si>
    <t>Frais de transfert charden farell à Evariste</t>
  </si>
  <si>
    <t>Reglément Facture Congo Telecom Redevance Avril 2022</t>
  </si>
  <si>
    <t>Bonus média/portant sur la condamnation d'un trafiquant de perroquets,le 24 Mars 2022 au TGI d'OYO</t>
  </si>
  <si>
    <t>BCI-3654473/34</t>
  </si>
  <si>
    <t>Achat 50 litres de gazoil pour le groupe electrogène</t>
  </si>
  <si>
    <t>Frais de mission maitre Scrutin MOUYETI à Dolisie du 31/03 au 02/04/2022/cas MANGUILA et Serge</t>
  </si>
  <si>
    <t>Reglement prestation Entretient bureau Mois de Mars  2022/Odile</t>
  </si>
  <si>
    <t>Retrait especes/appro caisse/bord n°3654471</t>
  </si>
  <si>
    <t>Reglement Facture Gardiennage Mois de Février 2022/3654472</t>
  </si>
  <si>
    <t>Relevé</t>
  </si>
  <si>
    <t>Frais bancaire</t>
  </si>
  <si>
    <t>Fonds reçu de Wildcat</t>
  </si>
  <si>
    <t>Grant</t>
  </si>
  <si>
    <t>Retrait especes/appro caisse/bord n°3654475</t>
  </si>
  <si>
    <t>Retrait especes/appro caisse/bord n°3654473</t>
  </si>
  <si>
    <t>Reglement Facture Gardiennage Mois de Mars 2022/3654476</t>
  </si>
  <si>
    <t>PALF</t>
  </si>
  <si>
    <t>Retrait especes/appro caisse/bord n°3643627</t>
  </si>
  <si>
    <t>releve</t>
  </si>
  <si>
    <t>Fond Reçu de UE</t>
  </si>
  <si>
    <t>Paiement Honoraire Me LOCKO/Mois de Février 2022</t>
  </si>
  <si>
    <t>Solde Honoraire Contrat N°39/Me Hélène NANITELAMIO MALONGA/Cas Job &amp; Chancel/Brazzaville</t>
  </si>
  <si>
    <t>Solde Honoraire Contrat N°40 / Me Hélène NANITELAMIO MALONGA /Cas Jonas, Hassan et Valentin</t>
  </si>
  <si>
    <t>Retrait especes/appro caisse/bord n°3643633</t>
  </si>
  <si>
    <t>Paiment Salaire Mois de Février 2022/Tiffany GOBERT</t>
  </si>
  <si>
    <t>Paiment Salaire Mois de Mars  2022 et congé/Crépin Evariste IBOUILI-IBOUILI</t>
  </si>
  <si>
    <t>Paiment Salaire Mois Mars 2022/Godfré MALONGA</t>
  </si>
  <si>
    <t>Paiment Salaire Mois Mars 2022/Merveille MAHANGA</t>
  </si>
  <si>
    <t>Paiment Salaire Mois Mars 2022/Evariste LELOUSSI</t>
  </si>
  <si>
    <t>Virement</t>
  </si>
  <si>
    <t>Paiment Salaire Mois Mars 2022/Grace MOLENDE</t>
  </si>
  <si>
    <t>Paiment Salaire Mois de Mars 2022/Tiffany GOBERT</t>
  </si>
  <si>
    <t>Reglement loyer mois de Mars 2022/Bureau PALF</t>
  </si>
  <si>
    <t>Reglement facture honoraire du mois de Mars 2022/I23C/chq n°3643643</t>
  </si>
  <si>
    <t>Reglement facture honoraire du mois de Mars 2022/P29/chq n°3643645</t>
  </si>
  <si>
    <t>RALFF</t>
  </si>
  <si>
    <t>Reçu caisse</t>
  </si>
  <si>
    <t>I23C - CONGO Food allowance mission Kinshasa du 8 au 9 mars 2022</t>
  </si>
  <si>
    <t>Décharge</t>
  </si>
  <si>
    <t>Achat billet Brazzaville - Kinshasa/I23C</t>
  </si>
  <si>
    <t>Paiement PABPS</t>
  </si>
  <si>
    <t>Travel Expenses</t>
  </si>
  <si>
    <t>Achat vignette</t>
  </si>
  <si>
    <t xml:space="preserve">Paiement immigration </t>
  </si>
  <si>
    <t>Achat carte sim (arrivé à Kinshasa)</t>
  </si>
  <si>
    <t>I23C - CONGO Paiement hôtel du 8 au 9/3/22 cfr mission Kinshasa</t>
  </si>
  <si>
    <t>Paiement billet et formalités (Retour Kinshasa - Brazzaville)/I23C</t>
  </si>
  <si>
    <t>Paiement test COVID</t>
  </si>
  <si>
    <t>Paiement redevance arrivé à Brazzaville</t>
  </si>
  <si>
    <t>Achat billet Brazzaville-Pointe Noire (cfr mission PN)/I23C</t>
  </si>
  <si>
    <t>I23C - CONGO Food allowance mission Pointe Noire du 11 au 15 mars 22</t>
  </si>
  <si>
    <t>Taxi Pointe Noire - NZASSI (départ pour NZASSI)/I23C</t>
  </si>
  <si>
    <t>Taxi NZASSI - Gare PN (départ pour PN)/I23C</t>
  </si>
  <si>
    <t>I23C - CONGO Paiement hôtel 4 nuitées du 11 au 15 mars 22 à Pointe Noire</t>
  </si>
  <si>
    <t>Achat billet Pointe Noire -Brazzaville (réservation pour BZ)/I23C</t>
  </si>
  <si>
    <t>I23C - CONGO Food allowance mission Kinshasa du 22 au 28 mars 22</t>
  </si>
  <si>
    <t>Cumul frais de trust building du mois Mars 2022/I23C</t>
  </si>
  <si>
    <t>Paiement frais de démarcheuur/I23C</t>
  </si>
  <si>
    <t>Cumul frais de transport Local du mois Mars 2022/I23C</t>
  </si>
  <si>
    <t>Retour à la caisse</t>
  </si>
  <si>
    <t>Cumul frais de Transport Local Mois de Mars 2022/Crépin</t>
  </si>
  <si>
    <t>reçu de la caisse</t>
  </si>
  <si>
    <t>Reçu de la caisse</t>
  </si>
  <si>
    <t>Billet Brazzaville-Oyo /Evariste</t>
  </si>
  <si>
    <t>Billet Oyo-Brazzaville /Evariste</t>
  </si>
  <si>
    <t>EVARISTE LELOUSSI -CONGO Frais d'hôtel du 23 au 26 mars 2022 (3 nuités)</t>
  </si>
  <si>
    <t>EVARISTE LELOUSSI -CONGO Food Allowance du 23 au 26 mars 2021 mission Oyo</t>
  </si>
  <si>
    <t>Cumul frais Jail visits mois de Mars 2022/EVARISTE LELOUSSI</t>
  </si>
  <si>
    <t>Cumul frais Transport Local mois de Mars 2022/EVARISTE LELOUSSI</t>
  </si>
  <si>
    <t>Achat billet retour (Pointe Noire-Brazzaville)/Godfré</t>
  </si>
  <si>
    <t>GODFRE - CONGO Frais d'hôtel du 28/02 au 02/03/2022 PNR</t>
  </si>
  <si>
    <t>Reçu Caisse</t>
  </si>
  <si>
    <t xml:space="preserve">Retour Caisse </t>
  </si>
  <si>
    <t>Achat du billet aller (Brazzaville-Dolisie)/Godfré</t>
  </si>
  <si>
    <t>GODFRE - CONGO Food allowance du 23 au 26/03/2022 à Dolisie</t>
  </si>
  <si>
    <t>Cumul frais de jails visits Mars 2022/Godfré</t>
  </si>
  <si>
    <t>Jail Visits</t>
  </si>
  <si>
    <t>GODFRE - CONGO Frais d'hôtel du 23au 26/03/2022 à Dolisie</t>
  </si>
  <si>
    <t>Achat billet retour (Dolisie-Brazzaville)Godfré</t>
  </si>
  <si>
    <t>Cumul frais de transport local Mars 2022/Godfré</t>
  </si>
  <si>
    <t>Cumul frais de Transport local mois de Mars 2022/Grace MOLENDE</t>
  </si>
  <si>
    <t>Recu caisse</t>
  </si>
  <si>
    <t>Cumul frais de Ration journalière Mois de Mars 2022/Hurielle</t>
  </si>
  <si>
    <t>Achat Billet Océan du Nord Brazzaville-Dolisie/Hurielle</t>
  </si>
  <si>
    <t>Cumul frais de Jail Visits Mois de Mars 2022/Hurielle</t>
  </si>
  <si>
    <t>Cumul frais de Transport Local de Mars 2022/Hurielle</t>
  </si>
  <si>
    <t>Cumul frais de transport local mois de Mars 2022/Merveille</t>
  </si>
  <si>
    <t>Achat billet zanaga-sibiti/P29</t>
  </si>
  <si>
    <t>Achat billet sibiti-loudima/P29</t>
  </si>
  <si>
    <t>Achat billet loudima-brazzaville/P29</t>
  </si>
  <si>
    <t>P29 - CONGO Paiement 3 nuitées du 26/02 au 01/03/22 Zanaga</t>
  </si>
  <si>
    <t>Recu de caisse</t>
  </si>
  <si>
    <t>Achat billet brazzaville-dolisie/P29</t>
  </si>
  <si>
    <t>P29 - CONGO Food allowance mission du 06 au 12-03-22</t>
  </si>
  <si>
    <t>Achat billet dolisie-brazzaville/P29</t>
  </si>
  <si>
    <t>P29 - CONGO Paiement 6 nuitées du 06 au 12-03-22 Dolisie</t>
  </si>
  <si>
    <t>Achat billet brazzaville-djambala/P29</t>
  </si>
  <si>
    <t>P29 - CONGO Food allowance mission du 21 au 27-03 Djambala.Lekana/Ngo</t>
  </si>
  <si>
    <t>P29 - CONGO Paiement 3 nuitées du 21 au 24-03-22 Djambala</t>
  </si>
  <si>
    <t>Achat billet djambala-lekana/P29</t>
  </si>
  <si>
    <t>Achat billet Lekana-Djambala/P29</t>
  </si>
  <si>
    <t>Achat billet Djambala-Ngo/P29</t>
  </si>
  <si>
    <t>Achat billet Ngo-brazzaville/P29</t>
  </si>
  <si>
    <t>cumul frais Transport Local Mois de Mars 2022/P29</t>
  </si>
  <si>
    <t>Cumul frais Trust Building Mois de Mars 2022/P29</t>
  </si>
  <si>
    <t>Achat Billet  Brazzaville- Oyo/Paule</t>
  </si>
  <si>
    <t>Cumul frais de Jail Visits du mois de Mars 2022/Paule</t>
  </si>
  <si>
    <t>Achat Billet Oyo - Brazzaville/Paule</t>
  </si>
  <si>
    <t>PAULE CONGO Frais d'hotel 02 nuitées du 23 au 25-03-22 à Oyo</t>
  </si>
  <si>
    <t>Cumul ration journalière du mois de Mars 2022/Paule</t>
  </si>
  <si>
    <t>Cumul transport local du mois de Mars 2022/Paule</t>
  </si>
  <si>
    <t>Reçu Caisse/ Tiffany</t>
  </si>
  <si>
    <t xml:space="preserve">Microsoft Office 2021 Professionnel Plus ( 5 PC) </t>
  </si>
  <si>
    <t xml:space="preserve">Antivirus Avast Ultimate Suite (2 ans/ 5 PC) </t>
  </si>
  <si>
    <t>Cumul frais transport local mois de Mars 2022/Tiffany</t>
  </si>
  <si>
    <t>5.6</t>
  </si>
  <si>
    <t xml:space="preserve">Achat billet d'avion Brazzaville/ Paris/ Tiffany Reservation Congé </t>
  </si>
  <si>
    <t>4.5</t>
  </si>
  <si>
    <t>5.2.2</t>
  </si>
  <si>
    <t>5.2.1</t>
  </si>
  <si>
    <t>Achat carte sim airtel/Investigation</t>
  </si>
  <si>
    <t>4.3</t>
  </si>
  <si>
    <t>1.1.1.1</t>
  </si>
  <si>
    <t>1.1.1.9</t>
  </si>
  <si>
    <t>1.1.2.1</t>
  </si>
  <si>
    <t>1.1.1.4</t>
  </si>
  <si>
    <t>1.1.1.7</t>
  </si>
  <si>
    <t>4.4</t>
  </si>
  <si>
    <t>4.2</t>
  </si>
  <si>
    <t>4.6</t>
  </si>
  <si>
    <t>Achat crédit téléphonique/Investigation/Kinshasa I23C</t>
  </si>
  <si>
    <t>Achat crédit (arrivé à Kinshasa)/Investigation/I23C</t>
  </si>
  <si>
    <t>Frais de transfert western union à I23C/Kinshasa</t>
  </si>
  <si>
    <t>2.2</t>
  </si>
  <si>
    <t>1.3.2</t>
  </si>
  <si>
    <t>PAULE - CONGO Food Allowance mission Oyo du 23 au 25-03-2022</t>
  </si>
  <si>
    <t>I23C - CONGO Paiement hôtel 6 nuitées du 22 au 28 mars 2022/Kinshasa</t>
  </si>
  <si>
    <t>Bonus média/pièces TéléCongo sur Interpellation d'un traf d'invoires</t>
  </si>
  <si>
    <t xml:space="preserve">Bonus Média/op du 19/02/2022 sur OP </t>
  </si>
  <si>
    <t>Paiement frais d'appel et Expedition</t>
  </si>
  <si>
    <t>HURIELLE - CONGO Food Allowanse du 31 Mars-02 Avril 2022 à Dolisie</t>
  </si>
  <si>
    <t>Reçu caisse/Merveille</t>
  </si>
  <si>
    <t>Paiement redevance arrivé à Brazzaville PABPS</t>
  </si>
  <si>
    <t>P29 - CONGO Frais Hotel 2 nuitées du 24 au 26-03-22 Lekana</t>
  </si>
  <si>
    <t>P29 - CONGO Frais Hotel 1 nuitée du 26 au 27/03-22 Ngo</t>
  </si>
  <si>
    <t>RALFF/UE</t>
  </si>
  <si>
    <t>RALFF/Wildcat</t>
  </si>
  <si>
    <t>RALFF-CO3123</t>
  </si>
  <si>
    <t>RALFF-CO3124</t>
  </si>
  <si>
    <t>RALFF-CO3125</t>
  </si>
  <si>
    <t>RALFF-CO3126</t>
  </si>
  <si>
    <t>RALFF-CO3127</t>
  </si>
  <si>
    <t>RALFF-CO3128</t>
  </si>
  <si>
    <t>RALFF-CO3129</t>
  </si>
  <si>
    <t>RALFF-CO3130</t>
  </si>
  <si>
    <t>RALFF-CO3131</t>
  </si>
  <si>
    <t>RALFF-CO3132</t>
  </si>
  <si>
    <t>RALFF-CO3133</t>
  </si>
  <si>
    <t>RALFF-CO3134</t>
  </si>
  <si>
    <t>RALFF-CO3135</t>
  </si>
  <si>
    <t>RALFF-CO3136</t>
  </si>
  <si>
    <t>RALFF-CO3137</t>
  </si>
  <si>
    <t>RALFF-CO3138</t>
  </si>
  <si>
    <t>RALFF-CO3139</t>
  </si>
  <si>
    <t>RALFF-CO3140</t>
  </si>
  <si>
    <t>RALFF-CO3141</t>
  </si>
  <si>
    <t>RALFF-CO3142</t>
  </si>
  <si>
    <t>RALFF-CO3143</t>
  </si>
  <si>
    <t>RALFF-CO3144</t>
  </si>
  <si>
    <t>RALFF-CO3145</t>
  </si>
  <si>
    <t>RALFF-CO3146</t>
  </si>
  <si>
    <t>RALFF-CO3147</t>
  </si>
  <si>
    <t>RALFF-CO3148</t>
  </si>
  <si>
    <t>RALFF-CO3149</t>
  </si>
  <si>
    <t>RALFF-CO3150</t>
  </si>
  <si>
    <t>RALFF-CO3151</t>
  </si>
  <si>
    <t>RALFF-CO3152</t>
  </si>
  <si>
    <t>RALFF-CO3153</t>
  </si>
  <si>
    <t>RALFF-CO3154</t>
  </si>
  <si>
    <t>RALFF-CO3155</t>
  </si>
  <si>
    <t>RALFF-CO3156</t>
  </si>
  <si>
    <t>RALFF-CO3157</t>
  </si>
  <si>
    <t>RALFF-CO3158</t>
  </si>
  <si>
    <t>RALFF-CO3159</t>
  </si>
  <si>
    <t>RALFF-CO3160</t>
  </si>
  <si>
    <t>RALFF-CO3161</t>
  </si>
  <si>
    <t>RALFF-CO3162</t>
  </si>
  <si>
    <t>RALFF-CO3163</t>
  </si>
  <si>
    <t>RALFF-CO3164</t>
  </si>
  <si>
    <t>RALFF-CO3165</t>
  </si>
  <si>
    <t>RALFF-CO3166</t>
  </si>
  <si>
    <t>RALFF-CO3167</t>
  </si>
  <si>
    <t>RALFF-CO3168</t>
  </si>
  <si>
    <t>RALFF-CO3169</t>
  </si>
  <si>
    <t>RALFF-CO3170</t>
  </si>
  <si>
    <t>RALFF-CO3171</t>
  </si>
  <si>
    <t>RALFF-CO3172</t>
  </si>
  <si>
    <t>RALFF-CO3173</t>
  </si>
  <si>
    <t>RALFF-CO3174</t>
  </si>
  <si>
    <t>RALFF-CO3175</t>
  </si>
  <si>
    <t>RALFF-CO3176</t>
  </si>
  <si>
    <t>RALFF-CO3177</t>
  </si>
  <si>
    <t>RALFF-CO3178</t>
  </si>
  <si>
    <t>RALFF-CO3179</t>
  </si>
  <si>
    <t>RALFF-CO3180</t>
  </si>
  <si>
    <t>RALFF-CO3181</t>
  </si>
  <si>
    <t>RALFF-CO3182</t>
  </si>
  <si>
    <t>RALFF-CO3183</t>
  </si>
  <si>
    <t>RALFF-CO3184</t>
  </si>
  <si>
    <t>RALFF-CO3185</t>
  </si>
  <si>
    <t>RALFF-CO3186</t>
  </si>
  <si>
    <t>RALFF-CO3187</t>
  </si>
  <si>
    <t>RALFF-CO3188</t>
  </si>
  <si>
    <t>RALFF-CO3189</t>
  </si>
  <si>
    <t>RALFF-CO3190</t>
  </si>
  <si>
    <t>RALFF-CO3191</t>
  </si>
  <si>
    <t>RALFF-CO3192</t>
  </si>
  <si>
    <t>RALFF-CO3193</t>
  </si>
  <si>
    <t>RALFF-CO3194</t>
  </si>
  <si>
    <t>RALFF-CO3195</t>
  </si>
  <si>
    <t>RALFF-CO3196</t>
  </si>
  <si>
    <t>RALFF-CO3197</t>
  </si>
  <si>
    <t>RALFF-CO3198</t>
  </si>
  <si>
    <t>RALFF-CO3199</t>
  </si>
  <si>
    <t>RALFF-CO3200</t>
  </si>
  <si>
    <t>RALFF-CO3201</t>
  </si>
  <si>
    <t>RALFF-CO3202</t>
  </si>
  <si>
    <t>RALFF-CO3203</t>
  </si>
  <si>
    <t>RALFF-CO3204</t>
  </si>
  <si>
    <t>RALFF-CO3205</t>
  </si>
  <si>
    <t>RALFF-CO3206</t>
  </si>
  <si>
    <t>RALFF-CO3207</t>
  </si>
  <si>
    <t>Frais Bancaire compte 56</t>
  </si>
  <si>
    <t>Acompte Honoraire Contrat N°42-OYO / Me Hélène NANITELAMIO /Cas KAMBA,Apani</t>
  </si>
  <si>
    <t>Team Bulding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</si>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</sst>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F_C_F_A_-;\-* #,##0\ _F_C_F_A_-;_-* &quot;-&quot;\ _F_C_F_A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\ _€_-;\-* #,##0\ _€_-;_-* &quot;-&quot;??\ _€_-;_-@"/>
    <numFmt numFmtId="168" formatCode="[$-409]d\-mmm\-yy;@"/>
    <numFmt numFmtId="169" formatCode="[$-40C]0"/>
    <numFmt numFmtId="170" formatCode="&quot; &quot;#,##0&quot;    &quot;;&quot;-&quot;#,##0&quot;    &quot;;&quot; -&quot;#&quot;    &quot;;&quot; &quot;@&quot; &quot;"/>
    <numFmt numFmtId="171" formatCode="[$-40C]General"/>
    <numFmt numFmtId="172" formatCode="[$]d\ mmm\ yy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8"/>
      <color rgb="FFFF0000"/>
      <name val="Calibri"/>
      <family val="2"/>
      <scheme val="minor"/>
    </font>
    <font>
      <b/>
      <sz val="12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23" fillId="0" borderId="0" applyBorder="0" applyProtection="0"/>
    <xf numFmtId="9" fontId="1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6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6" fontId="14" fillId="0" borderId="0" xfId="1" applyNumberFormat="1" applyFont="1" applyBorder="1" applyProtection="1">
      <protection locked="0"/>
    </xf>
    <xf numFmtId="166" fontId="15" fillId="0" borderId="0" xfId="1" applyNumberFormat="1" applyFont="1" applyBorder="1" applyProtection="1">
      <protection locked="0"/>
    </xf>
    <xf numFmtId="166" fontId="12" fillId="0" borderId="0" xfId="0" applyNumberFormat="1" applyFont="1" applyFill="1" applyBorder="1" applyAlignment="1"/>
    <xf numFmtId="166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6" fontId="4" fillId="0" borderId="0" xfId="1" applyNumberFormat="1" applyFont="1" applyFill="1" applyProtection="1"/>
    <xf numFmtId="166" fontId="5" fillId="0" borderId="3" xfId="1" applyNumberFormat="1" applyFont="1" applyFill="1" applyBorder="1" applyAlignment="1" applyProtection="1">
      <alignment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6" fontId="4" fillId="10" borderId="5" xfId="1" applyNumberFormat="1" applyFont="1" applyFill="1" applyBorder="1" applyProtection="1"/>
    <xf numFmtId="166" fontId="4" fillId="10" borderId="5" xfId="0" applyNumberFormat="1" applyFont="1" applyFill="1" applyBorder="1" applyAlignment="1"/>
    <xf numFmtId="166" fontId="4" fillId="0" borderId="3" xfId="1" applyNumberFormat="1" applyFont="1" applyBorder="1" applyProtection="1"/>
    <xf numFmtId="166" fontId="0" fillId="0" borderId="1" xfId="1" applyNumberFormat="1" applyFont="1" applyFill="1" applyBorder="1" applyProtection="1"/>
    <xf numFmtId="166" fontId="4" fillId="0" borderId="6" xfId="1" applyNumberFormat="1" applyFont="1" applyFill="1" applyBorder="1" applyProtection="1"/>
    <xf numFmtId="166" fontId="4" fillId="0" borderId="1" xfId="0" applyNumberFormat="1" applyFont="1" applyFill="1" applyBorder="1" applyAlignment="1"/>
    <xf numFmtId="166" fontId="4" fillId="0" borderId="1" xfId="1" applyNumberFormat="1" applyFont="1" applyFill="1" applyBorder="1" applyProtection="1"/>
    <xf numFmtId="166" fontId="19" fillId="0" borderId="1" xfId="1" applyNumberFormat="1" applyFont="1" applyFill="1" applyBorder="1" applyProtection="1"/>
    <xf numFmtId="166" fontId="1" fillId="0" borderId="1" xfId="1" applyNumberFormat="1" applyFont="1" applyFill="1" applyBorder="1" applyProtection="1"/>
    <xf numFmtId="166" fontId="5" fillId="10" borderId="4" xfId="1" applyNumberFormat="1" applyFont="1" applyFill="1" applyBorder="1" applyAlignment="1" applyProtection="1">
      <alignment horizontal="left"/>
    </xf>
    <xf numFmtId="166" fontId="5" fillId="10" borderId="5" xfId="1" applyNumberFormat="1" applyFont="1" applyFill="1" applyBorder="1" applyAlignment="1" applyProtection="1">
      <alignment horizontal="left"/>
    </xf>
    <xf numFmtId="166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6" fontId="4" fillId="0" borderId="1" xfId="1" applyNumberFormat="1" applyFont="1" applyFill="1" applyBorder="1" applyAlignment="1" applyProtection="1"/>
    <xf numFmtId="166" fontId="4" fillId="0" borderId="6" xfId="1" applyNumberFormat="1" applyFont="1" applyBorder="1" applyProtection="1"/>
    <xf numFmtId="166" fontId="20" fillId="0" borderId="1" xfId="1" applyNumberFormat="1" applyFont="1" applyBorder="1" applyProtection="1"/>
    <xf numFmtId="166" fontId="20" fillId="0" borderId="0" xfId="1" applyNumberFormat="1" applyFont="1" applyProtection="1"/>
    <xf numFmtId="166" fontId="10" fillId="0" borderId="1" xfId="0" applyNumberFormat="1" applyFont="1" applyBorder="1" applyAlignment="1"/>
    <xf numFmtId="0" fontId="18" fillId="10" borderId="4" xfId="0" applyFont="1" applyFill="1" applyBorder="1" applyAlignment="1"/>
    <xf numFmtId="166" fontId="0" fillId="0" borderId="1" xfId="1" applyNumberFormat="1" applyFont="1" applyBorder="1" applyProtection="1"/>
    <xf numFmtId="166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6" fontId="16" fillId="0" borderId="6" xfId="1" applyNumberFormat="1" applyFont="1" applyBorder="1" applyProtection="1"/>
    <xf numFmtId="166" fontId="19" fillId="0" borderId="6" xfId="1" applyNumberFormat="1" applyFont="1" applyBorder="1" applyProtection="1"/>
    <xf numFmtId="166" fontId="19" fillId="0" borderId="1" xfId="1" applyNumberFormat="1" applyFont="1" applyBorder="1" applyAlignment="1" applyProtection="1">
      <alignment vertical="center"/>
    </xf>
    <xf numFmtId="166" fontId="19" fillId="5" borderId="1" xfId="1" applyNumberFormat="1" applyFont="1" applyFill="1" applyBorder="1" applyProtection="1"/>
    <xf numFmtId="166" fontId="9" fillId="0" borderId="3" xfId="1" applyNumberFormat="1" applyFont="1" applyFill="1" applyBorder="1" applyProtection="1"/>
    <xf numFmtId="166" fontId="19" fillId="5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Protection="1"/>
    <xf numFmtId="166" fontId="19" fillId="0" borderId="1" xfId="1" applyNumberFormat="1" applyFont="1" applyFill="1" applyBorder="1" applyAlignment="1" applyProtection="1">
      <alignment horizontal="center" vertical="center"/>
    </xf>
    <xf numFmtId="166" fontId="8" fillId="0" borderId="6" xfId="1" applyNumberFormat="1" applyFont="1" applyFill="1" applyBorder="1" applyProtection="1"/>
    <xf numFmtId="166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6" fontId="23" fillId="0" borderId="1" xfId="1" applyNumberFormat="1" applyFont="1" applyBorder="1" applyProtection="1">
      <protection locked="0"/>
    </xf>
    <xf numFmtId="166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6" fontId="4" fillId="0" borderId="0" xfId="1" applyNumberFormat="1" applyFont="1" applyFill="1" applyBorder="1" applyProtection="1"/>
    <xf numFmtId="166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6" fontId="4" fillId="17" borderId="5" xfId="1" applyNumberFormat="1" applyFont="1" applyFill="1" applyBorder="1" applyProtection="1"/>
    <xf numFmtId="166" fontId="4" fillId="17" borderId="5" xfId="0" applyNumberFormat="1" applyFont="1" applyFill="1" applyBorder="1" applyAlignment="1"/>
    <xf numFmtId="166" fontId="4" fillId="0" borderId="3" xfId="1" applyNumberFormat="1" applyFont="1" applyFill="1" applyBorder="1" applyProtection="1"/>
    <xf numFmtId="166" fontId="24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horizontal="center" vertical="center"/>
    </xf>
    <xf numFmtId="166" fontId="23" fillId="0" borderId="1" xfId="1" applyNumberFormat="1" applyFont="1" applyFill="1" applyBorder="1" applyProtection="1"/>
    <xf numFmtId="166" fontId="28" fillId="0" borderId="1" xfId="1" applyNumberFormat="1" applyFont="1" applyFill="1" applyBorder="1" applyProtection="1"/>
    <xf numFmtId="166" fontId="23" fillId="0" borderId="0" xfId="1" applyNumberFormat="1" applyFont="1" applyFill="1" applyBorder="1" applyProtection="1"/>
    <xf numFmtId="166" fontId="5" fillId="17" borderId="4" xfId="1" applyNumberFormat="1" applyFont="1" applyFill="1" applyBorder="1" applyAlignment="1" applyProtection="1">
      <alignment horizontal="left"/>
    </xf>
    <xf numFmtId="166" fontId="5" fillId="17" borderId="5" xfId="1" applyNumberFormat="1" applyFont="1" applyFill="1" applyBorder="1" applyAlignment="1" applyProtection="1">
      <alignment horizontal="left"/>
    </xf>
    <xf numFmtId="166" fontId="4" fillId="17" borderId="1" xfId="0" applyNumberFormat="1" applyFont="1" applyFill="1" applyBorder="1" applyAlignment="1"/>
    <xf numFmtId="166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6" fontId="29" fillId="0" borderId="0" xfId="1" applyNumberFormat="1" applyFont="1" applyFill="1" applyBorder="1" applyProtection="1"/>
    <xf numFmtId="166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6" fontId="30" fillId="0" borderId="3" xfId="1" applyNumberFormat="1" applyFont="1" applyFill="1" applyBorder="1" applyProtection="1"/>
    <xf numFmtId="166" fontId="28" fillId="0" borderId="6" xfId="1" applyNumberFormat="1" applyFont="1" applyFill="1" applyBorder="1" applyProtection="1"/>
    <xf numFmtId="166" fontId="28" fillId="18" borderId="1" xfId="1" applyNumberFormat="1" applyFont="1" applyFill="1" applyBorder="1" applyProtection="1"/>
    <xf numFmtId="166" fontId="28" fillId="18" borderId="1" xfId="1" applyNumberFormat="1" applyFont="1" applyFill="1" applyBorder="1" applyAlignment="1" applyProtection="1">
      <alignment vertical="center"/>
    </xf>
    <xf numFmtId="166" fontId="31" fillId="0" borderId="6" xfId="1" applyNumberFormat="1" applyFont="1" applyFill="1" applyBorder="1" applyProtection="1"/>
    <xf numFmtId="166" fontId="31" fillId="0" borderId="1" xfId="1" applyNumberFormat="1" applyFont="1" applyFill="1" applyBorder="1" applyProtection="1"/>
    <xf numFmtId="166" fontId="28" fillId="0" borderId="1" xfId="1" applyNumberFormat="1" applyFont="1" applyFill="1" applyBorder="1" applyAlignment="1" applyProtection="1">
      <alignment vertical="center"/>
    </xf>
    <xf numFmtId="166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6" fontId="19" fillId="0" borderId="6" xfId="1" applyNumberFormat="1" applyFont="1" applyFill="1" applyBorder="1" applyProtection="1"/>
    <xf numFmtId="166" fontId="19" fillId="0" borderId="1" xfId="0" applyNumberFormat="1" applyFont="1" applyFill="1" applyBorder="1" applyAlignment="1"/>
    <xf numFmtId="166" fontId="7" fillId="0" borderId="0" xfId="0" applyNumberFormat="1" applyFont="1" applyAlignment="1">
      <alignment vertical="center"/>
    </xf>
    <xf numFmtId="166" fontId="8" fillId="0" borderId="6" xfId="1" applyNumberFormat="1" applyFont="1" applyBorder="1" applyProtection="1"/>
    <xf numFmtId="166" fontId="8" fillId="0" borderId="1" xfId="1" applyNumberFormat="1" applyFont="1" applyFill="1" applyBorder="1" applyProtection="1"/>
    <xf numFmtId="166" fontId="32" fillId="0" borderId="0" xfId="0" applyNumberFormat="1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7" fillId="22" borderId="0" xfId="0" applyNumberFormat="1" applyFont="1" applyFill="1" applyAlignment="1">
      <alignment vertical="center"/>
    </xf>
    <xf numFmtId="166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6" fontId="0" fillId="3" borderId="1" xfId="1" applyNumberFormat="1" applyFont="1" applyFill="1" applyBorder="1" applyProtection="1"/>
    <xf numFmtId="166" fontId="4" fillId="3" borderId="1" xfId="1" applyNumberFormat="1" applyFont="1" applyFill="1" applyBorder="1" applyProtection="1"/>
    <xf numFmtId="166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6" fontId="1" fillId="3" borderId="1" xfId="1" applyNumberFormat="1" applyFont="1" applyFill="1" applyBorder="1" applyProtection="1"/>
    <xf numFmtId="166" fontId="4" fillId="3" borderId="1" xfId="0" applyNumberFormat="1" applyFont="1" applyFill="1" applyBorder="1" applyAlignment="1"/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6" fontId="23" fillId="21" borderId="1" xfId="1" applyNumberFormat="1" applyFont="1" applyFill="1" applyBorder="1" applyProtection="1">
      <protection locked="0"/>
    </xf>
    <xf numFmtId="166" fontId="24" fillId="21" borderId="1" xfId="1" applyNumberFormat="1" applyFont="1" applyFill="1" applyBorder="1" applyProtection="1">
      <protection locked="0"/>
    </xf>
    <xf numFmtId="166" fontId="4" fillId="5" borderId="1" xfId="1" applyNumberFormat="1" applyFont="1" applyFill="1" applyBorder="1" applyProtection="1"/>
    <xf numFmtId="166" fontId="19" fillId="21" borderId="1" xfId="1" applyNumberFormat="1" applyFont="1" applyFill="1" applyBorder="1" applyProtection="1"/>
    <xf numFmtId="166" fontId="4" fillId="21" borderId="1" xfId="0" applyNumberFormat="1" applyFont="1" applyFill="1" applyBorder="1" applyAlignment="1"/>
    <xf numFmtId="166" fontId="4" fillId="0" borderId="1" xfId="1" applyNumberFormat="1" applyFont="1" applyBorder="1" applyProtection="1"/>
    <xf numFmtId="166" fontId="4" fillId="21" borderId="1" xfId="1" applyNumberFormat="1" applyFont="1" applyFill="1" applyBorder="1" applyProtection="1"/>
    <xf numFmtId="166" fontId="19" fillId="5" borderId="1" xfId="0" applyNumberFormat="1" applyFont="1" applyFill="1" applyBorder="1" applyAlignment="1"/>
    <xf numFmtId="166" fontId="19" fillId="0" borderId="1" xfId="1" applyNumberFormat="1" applyFont="1" applyBorder="1" applyProtection="1"/>
    <xf numFmtId="166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6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35" fillId="0" borderId="0" xfId="1" applyNumberFormat="1" applyFont="1" applyBorder="1" applyProtection="1">
      <protection locked="0"/>
    </xf>
    <xf numFmtId="166" fontId="8" fillId="0" borderId="1" xfId="1" applyNumberFormat="1" applyFont="1" applyFill="1" applyBorder="1" applyAlignment="1" applyProtection="1">
      <alignment horizontal="center" vertical="center"/>
    </xf>
    <xf numFmtId="166" fontId="8" fillId="5" borderId="1" xfId="1" applyNumberFormat="1" applyFont="1" applyFill="1" applyBorder="1" applyProtection="1"/>
    <xf numFmtId="166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6" fontId="8" fillId="0" borderId="1" xfId="1" applyNumberFormat="1" applyFont="1" applyBorder="1" applyProtection="1"/>
    <xf numFmtId="166" fontId="34" fillId="0" borderId="0" xfId="0" applyNumberFormat="1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0" fillId="0" borderId="4" xfId="0" applyFont="1" applyFill="1" applyBorder="1" applyAlignment="1"/>
    <xf numFmtId="166" fontId="19" fillId="0" borderId="1" xfId="0" applyNumberFormat="1" applyFont="1" applyBorder="1" applyAlignment="1"/>
    <xf numFmtId="0" fontId="40" fillId="0" borderId="0" xfId="0" applyFont="1" applyFill="1" applyBorder="1" applyAlignment="1"/>
    <xf numFmtId="0" fontId="40" fillId="0" borderId="1" xfId="0" applyFont="1" applyFill="1" applyBorder="1" applyAlignment="1"/>
    <xf numFmtId="166" fontId="19" fillId="0" borderId="3" xfId="1" applyNumberFormat="1" applyFont="1" applyBorder="1" applyProtection="1"/>
    <xf numFmtId="166" fontId="1" fillId="0" borderId="1" xfId="1" applyNumberFormat="1" applyFont="1" applyBorder="1" applyProtection="1"/>
    <xf numFmtId="166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6" fontId="15" fillId="0" borderId="0" xfId="1" applyNumberFormat="1" applyFont="1" applyFill="1" applyBorder="1" applyProtection="1">
      <protection locked="0"/>
    </xf>
    <xf numFmtId="166" fontId="14" fillId="0" borderId="0" xfId="1" applyNumberFormat="1" applyFont="1" applyFill="1" applyBorder="1" applyProtection="1">
      <protection locked="0"/>
    </xf>
    <xf numFmtId="166" fontId="13" fillId="0" borderId="0" xfId="0" applyNumberFormat="1" applyFont="1" applyFill="1" applyBorder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166" fontId="24" fillId="0" borderId="1" xfId="1" applyNumberFormat="1" applyFont="1" applyFill="1" applyBorder="1" applyProtection="1">
      <protection locked="0"/>
    </xf>
    <xf numFmtId="166" fontId="19" fillId="21" borderId="1" xfId="1" applyNumberFormat="1" applyFont="1" applyFill="1" applyBorder="1" applyAlignment="1" applyProtection="1">
      <alignment horizontal="center"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169" fontId="36" fillId="0" borderId="1" xfId="2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4" fontId="41" fillId="0" borderId="1" xfId="3" applyNumberFormat="1" applyFont="1" applyFill="1" applyBorder="1"/>
    <xf numFmtId="166" fontId="5" fillId="0" borderId="3" xfId="1" applyNumberFormat="1" applyFont="1" applyFill="1" applyBorder="1" applyAlignment="1" applyProtection="1">
      <alignment horizontal="center" vertical="center" wrapText="1"/>
    </xf>
    <xf numFmtId="14" fontId="36" fillId="0" borderId="1" xfId="0" applyNumberFormat="1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/>
    </xf>
    <xf numFmtId="0" fontId="36" fillId="5" borderId="1" xfId="0" applyFont="1" applyFill="1" applyBorder="1" applyAlignment="1">
      <alignment vertical="center"/>
    </xf>
    <xf numFmtId="0" fontId="36" fillId="19" borderId="1" xfId="0" applyFont="1" applyFill="1" applyBorder="1" applyAlignment="1">
      <alignment vertical="center"/>
    </xf>
    <xf numFmtId="0" fontId="36" fillId="23" borderId="1" xfId="0" applyFont="1" applyFill="1" applyBorder="1" applyAlignment="1">
      <alignment vertical="center"/>
    </xf>
    <xf numFmtId="164" fontId="36" fillId="23" borderId="1" xfId="4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 vertical="center"/>
    </xf>
    <xf numFmtId="166" fontId="36" fillId="0" borderId="1" xfId="1" applyNumberFormat="1" applyFont="1" applyFill="1" applyBorder="1" applyAlignment="1" applyProtection="1">
      <alignment vertical="center"/>
    </xf>
    <xf numFmtId="0" fontId="42" fillId="21" borderId="1" xfId="0" applyFont="1" applyFill="1" applyBorder="1" applyAlignment="1">
      <alignment vertical="center"/>
    </xf>
    <xf numFmtId="166" fontId="36" fillId="0" borderId="1" xfId="0" applyNumberFormat="1" applyFont="1" applyFill="1" applyBorder="1" applyAlignment="1">
      <alignment vertical="center"/>
    </xf>
    <xf numFmtId="166" fontId="43" fillId="0" borderId="1" xfId="0" applyNumberFormat="1" applyFont="1" applyFill="1" applyBorder="1" applyAlignment="1">
      <alignment vertical="center"/>
    </xf>
    <xf numFmtId="166" fontId="36" fillId="0" borderId="1" xfId="1" applyNumberFormat="1" applyFont="1" applyFill="1" applyBorder="1" applyAlignment="1">
      <alignment vertical="center"/>
    </xf>
    <xf numFmtId="167" fontId="36" fillId="0" borderId="1" xfId="0" applyNumberFormat="1" applyFont="1" applyFill="1" applyBorder="1" applyAlignment="1">
      <alignment vertical="center"/>
    </xf>
    <xf numFmtId="0" fontId="36" fillId="12" borderId="1" xfId="0" applyFont="1" applyFill="1" applyBorder="1" applyAlignment="1">
      <alignment vertical="center"/>
    </xf>
    <xf numFmtId="166" fontId="36" fillId="12" borderId="1" xfId="1" applyNumberFormat="1" applyFont="1" applyFill="1" applyBorder="1" applyAlignment="1" applyProtection="1">
      <alignment vertical="center"/>
    </xf>
    <xf numFmtId="0" fontId="36" fillId="12" borderId="1" xfId="0" applyFont="1" applyFill="1" applyBorder="1" applyAlignment="1">
      <alignment horizontal="left" vertical="center"/>
    </xf>
    <xf numFmtId="0" fontId="36" fillId="0" borderId="1" xfId="2" applyFont="1" applyFill="1" applyBorder="1" applyAlignment="1">
      <alignment vertical="center"/>
    </xf>
    <xf numFmtId="169" fontId="36" fillId="0" borderId="1" xfId="2" applyNumberFormat="1" applyFont="1" applyFill="1" applyBorder="1" applyAlignment="1">
      <alignment vertical="center" wrapText="1"/>
    </xf>
    <xf numFmtId="0" fontId="36" fillId="0" borderId="1" xfId="2" applyFont="1" applyFill="1" applyBorder="1" applyAlignment="1" applyProtection="1">
      <alignment vertical="center"/>
    </xf>
    <xf numFmtId="169" fontId="36" fillId="0" borderId="1" xfId="2" applyNumberFormat="1" applyFont="1" applyFill="1" applyBorder="1" applyAlignment="1" applyProtection="1">
      <alignment vertical="center"/>
    </xf>
    <xf numFmtId="169" fontId="36" fillId="0" borderId="1" xfId="2" applyNumberFormat="1" applyFont="1" applyFill="1" applyBorder="1" applyAlignment="1" applyProtection="1">
      <alignment vertical="center" wrapText="1"/>
    </xf>
    <xf numFmtId="166" fontId="36" fillId="0" borderId="1" xfId="1" applyNumberFormat="1" applyFont="1" applyFill="1" applyBorder="1" applyAlignment="1">
      <alignment horizontal="left" vertical="center" wrapText="1"/>
    </xf>
    <xf numFmtId="166" fontId="36" fillId="0" borderId="1" xfId="1" applyNumberFormat="1" applyFont="1" applyFill="1" applyBorder="1" applyAlignment="1">
      <alignment horizontal="right"/>
    </xf>
    <xf numFmtId="170" fontId="36" fillId="0" borderId="1" xfId="6" applyNumberFormat="1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right"/>
    </xf>
    <xf numFmtId="170" fontId="36" fillId="0" borderId="1" xfId="6" applyNumberFormat="1" applyFont="1" applyFill="1" applyBorder="1" applyAlignment="1" applyProtection="1">
      <alignment horizontal="right" wrapText="1"/>
    </xf>
    <xf numFmtId="166" fontId="36" fillId="0" borderId="1" xfId="0" applyNumberFormat="1" applyFont="1" applyFill="1" applyBorder="1" applyAlignment="1">
      <alignment horizontal="left" vertical="center"/>
    </xf>
    <xf numFmtId="0" fontId="36" fillId="0" borderId="1" xfId="2" applyFont="1" applyFill="1" applyBorder="1" applyAlignment="1" applyProtection="1">
      <alignment horizontal="left"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/>
    <xf numFmtId="166" fontId="36" fillId="0" borderId="1" xfId="1" applyNumberFormat="1" applyFont="1" applyFill="1" applyBorder="1" applyAlignment="1">
      <alignment horizontal="right" vertical="center"/>
    </xf>
    <xf numFmtId="166" fontId="36" fillId="0" borderId="1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right" vertical="center"/>
    </xf>
    <xf numFmtId="170" fontId="36" fillId="0" borderId="1" xfId="6" applyNumberFormat="1" applyFont="1" applyFill="1" applyBorder="1" applyAlignment="1">
      <alignment horizontal="right" vertical="center" wrapText="1"/>
    </xf>
    <xf numFmtId="170" fontId="36" fillId="0" borderId="1" xfId="6" applyNumberFormat="1" applyFont="1" applyFill="1" applyBorder="1" applyAlignment="1" applyProtection="1">
      <alignment horizontal="right" vertical="center" wrapText="1"/>
    </xf>
    <xf numFmtId="170" fontId="36" fillId="0" borderId="1" xfId="6" applyNumberFormat="1" applyFont="1" applyFill="1" applyBorder="1" applyAlignment="1">
      <alignment horizontal="right" vertical="center"/>
    </xf>
    <xf numFmtId="0" fontId="36" fillId="0" borderId="1" xfId="2" applyFont="1" applyFill="1" applyBorder="1" applyAlignment="1" applyProtection="1"/>
    <xf numFmtId="0" fontId="36" fillId="0" borderId="1" xfId="0" applyFont="1" applyFill="1" applyBorder="1" applyAlignment="1"/>
    <xf numFmtId="0" fontId="36" fillId="0" borderId="1" xfId="0" applyFont="1" applyBorder="1" applyAlignment="1">
      <alignment vertical="center"/>
    </xf>
    <xf numFmtId="0" fontId="36" fillId="0" borderId="1" xfId="0" applyFont="1" applyBorder="1"/>
    <xf numFmtId="166" fontId="36" fillId="0" borderId="1" xfId="1" applyNumberFormat="1" applyFont="1" applyBorder="1"/>
    <xf numFmtId="0" fontId="36" fillId="0" borderId="1" xfId="0" applyFont="1" applyBorder="1" applyAlignment="1"/>
    <xf numFmtId="169" fontId="36" fillId="0" borderId="1" xfId="2" applyNumberFormat="1" applyFont="1" applyFill="1" applyBorder="1" applyAlignment="1">
      <alignment vertical="top"/>
    </xf>
    <xf numFmtId="170" fontId="36" fillId="0" borderId="1" xfId="6" applyNumberFormat="1" applyFont="1" applyFill="1" applyBorder="1" applyAlignment="1">
      <alignment horizontal="right" vertical="top" wrapText="1"/>
    </xf>
    <xf numFmtId="171" fontId="36" fillId="0" borderId="1" xfId="2" applyNumberFormat="1" applyFont="1" applyFill="1" applyBorder="1" applyAlignment="1"/>
    <xf numFmtId="3" fontId="36" fillId="0" borderId="1" xfId="1" applyNumberFormat="1" applyFont="1" applyFill="1" applyBorder="1" applyAlignment="1" applyProtection="1"/>
    <xf numFmtId="166" fontId="36" fillId="0" borderId="1" xfId="1" applyNumberFormat="1" applyFont="1" applyFill="1" applyBorder="1" applyAlignment="1"/>
    <xf numFmtId="166" fontId="36" fillId="0" borderId="1" xfId="0" applyNumberFormat="1" applyFont="1" applyFill="1" applyBorder="1" applyAlignment="1"/>
    <xf numFmtId="166" fontId="36" fillId="0" borderId="1" xfId="1" applyNumberFormat="1" applyFont="1" applyBorder="1" applyAlignment="1"/>
    <xf numFmtId="170" fontId="36" fillId="0" borderId="1" xfId="6" applyNumberFormat="1" applyFont="1" applyFill="1" applyBorder="1" applyAlignment="1" applyProtection="1">
      <alignment wrapText="1"/>
    </xf>
    <xf numFmtId="170" fontId="36" fillId="0" borderId="1" xfId="6" applyNumberFormat="1" applyFont="1" applyFill="1" applyBorder="1" applyAlignment="1">
      <alignment wrapText="1"/>
    </xf>
    <xf numFmtId="170" fontId="36" fillId="0" borderId="1" xfId="6" applyNumberFormat="1" applyFont="1" applyFill="1" applyBorder="1" applyAlignment="1"/>
    <xf numFmtId="169" fontId="36" fillId="0" borderId="1" xfId="2" applyNumberFormat="1" applyFont="1" applyFill="1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3" fontId="34" fillId="0" borderId="0" xfId="0" applyNumberFormat="1" applyFont="1"/>
    <xf numFmtId="3" fontId="44" fillId="24" borderId="1" xfId="1" applyNumberFormat="1" applyFont="1" applyFill="1" applyBorder="1" applyAlignment="1" applyProtection="1">
      <alignment horizontal="right" vertical="center"/>
    </xf>
    <xf numFmtId="0" fontId="45" fillId="0" borderId="0" xfId="0" applyFont="1"/>
    <xf numFmtId="0" fontId="43" fillId="0" borderId="1" xfId="0" applyFont="1" applyFill="1" applyBorder="1" applyAlignment="1">
      <alignment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9" fontId="43" fillId="0" borderId="1" xfId="2" applyNumberFormat="1" applyFont="1" applyFill="1" applyBorder="1" applyAlignment="1">
      <alignment vertical="center"/>
    </xf>
    <xf numFmtId="170" fontId="43" fillId="0" borderId="1" xfId="6" applyNumberFormat="1" applyFont="1" applyFill="1" applyBorder="1" applyAlignment="1">
      <alignment horizontal="right" vertical="center" wrapText="1"/>
    </xf>
    <xf numFmtId="170" fontId="43" fillId="0" borderId="1" xfId="6" applyNumberFormat="1" applyFont="1" applyFill="1" applyBorder="1" applyAlignment="1">
      <alignment horizontal="right" wrapText="1"/>
    </xf>
    <xf numFmtId="166" fontId="43" fillId="0" borderId="1" xfId="1" applyNumberFormat="1" applyFont="1" applyFill="1" applyBorder="1" applyAlignment="1">
      <alignment vertical="center"/>
    </xf>
    <xf numFmtId="169" fontId="43" fillId="0" borderId="1" xfId="2" applyNumberFormat="1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166" fontId="43" fillId="0" borderId="1" xfId="1" applyNumberFormat="1" applyFont="1" applyFill="1" applyBorder="1" applyAlignment="1">
      <alignment horizontal="right" vertical="center"/>
    </xf>
    <xf numFmtId="0" fontId="43" fillId="0" borderId="1" xfId="0" applyFont="1" applyFill="1" applyBorder="1" applyAlignment="1">
      <alignment horizontal="right"/>
    </xf>
    <xf numFmtId="0" fontId="43" fillId="0" borderId="1" xfId="0" applyFont="1" applyBorder="1" applyAlignment="1">
      <alignment vertical="center"/>
    </xf>
    <xf numFmtId="0" fontId="43" fillId="0" borderId="1" xfId="0" applyFont="1" applyBorder="1"/>
    <xf numFmtId="0" fontId="43" fillId="0" borderId="1" xfId="2" applyFont="1" applyFill="1" applyBorder="1" applyAlignment="1" applyProtection="1"/>
    <xf numFmtId="0" fontId="43" fillId="0" borderId="1" xfId="0" applyFont="1" applyFill="1" applyBorder="1" applyAlignment="1">
      <alignment horizontal="right" vertical="center"/>
    </xf>
    <xf numFmtId="166" fontId="43" fillId="0" borderId="1" xfId="1" applyNumberFormat="1" applyFont="1" applyFill="1" applyBorder="1" applyAlignment="1">
      <alignment horizontal="right"/>
    </xf>
    <xf numFmtId="166" fontId="43" fillId="0" borderId="1" xfId="0" applyNumberFormat="1" applyFont="1" applyFill="1" applyBorder="1" applyAlignment="1">
      <alignment horizontal="right"/>
    </xf>
    <xf numFmtId="0" fontId="43" fillId="0" borderId="1" xfId="2" applyFont="1" applyFill="1" applyBorder="1" applyAlignment="1">
      <alignment horizontal="left" vertical="center"/>
    </xf>
    <xf numFmtId="3" fontId="43" fillId="0" borderId="1" xfId="1" applyNumberFormat="1" applyFont="1" applyFill="1" applyBorder="1" applyAlignment="1" applyProtection="1">
      <alignment horizontal="right" vertical="center"/>
    </xf>
    <xf numFmtId="3" fontId="43" fillId="0" borderId="1" xfId="1" applyNumberFormat="1" applyFont="1" applyFill="1" applyBorder="1" applyAlignment="1" applyProtection="1">
      <alignment horizontal="right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Fill="1" applyBorder="1" applyAlignment="1"/>
    <xf numFmtId="3" fontId="43" fillId="0" borderId="1" xfId="1" applyNumberFormat="1" applyFont="1" applyFill="1" applyBorder="1" applyAlignment="1" applyProtection="1"/>
    <xf numFmtId="170" fontId="43" fillId="0" borderId="1" xfId="6" applyNumberFormat="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166" fontId="2" fillId="25" borderId="0" xfId="0" applyNumberFormat="1" applyFont="1" applyFill="1" applyAlignment="1">
      <alignment vertical="center"/>
    </xf>
    <xf numFmtId="166" fontId="34" fillId="25" borderId="0" xfId="0" applyNumberFormat="1" applyFont="1" applyFill="1" applyAlignment="1">
      <alignment vertical="center"/>
    </xf>
    <xf numFmtId="166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/>
    </xf>
    <xf numFmtId="166" fontId="36" fillId="0" borderId="1" xfId="1" applyNumberFormat="1" applyFont="1" applyFill="1" applyBorder="1" applyAlignment="1" applyProtection="1"/>
    <xf numFmtId="171" fontId="36" fillId="0" borderId="1" xfId="2" applyNumberFormat="1" applyFont="1" applyFill="1" applyBorder="1" applyAlignment="1">
      <alignment horizontal="left"/>
    </xf>
    <xf numFmtId="172" fontId="36" fillId="0" borderId="1" xfId="0" applyNumberFormat="1" applyFont="1" applyFill="1" applyBorder="1" applyAlignment="1"/>
    <xf numFmtId="172" fontId="36" fillId="0" borderId="1" xfId="0" applyNumberFormat="1" applyFont="1" applyBorder="1" applyAlignment="1"/>
    <xf numFmtId="172" fontId="36" fillId="0" borderId="1" xfId="2" applyNumberFormat="1" applyFont="1" applyFill="1" applyBorder="1" applyAlignment="1"/>
    <xf numFmtId="172" fontId="36" fillId="0" borderId="1" xfId="2" applyNumberFormat="1" applyFont="1" applyFill="1" applyBorder="1" applyAlignment="1">
      <alignment wrapText="1"/>
    </xf>
    <xf numFmtId="169" fontId="36" fillId="0" borderId="1" xfId="2" applyNumberFormat="1" applyFont="1" applyFill="1" applyBorder="1" applyAlignment="1"/>
    <xf numFmtId="0" fontId="36" fillId="0" borderId="1" xfId="2" applyFont="1" applyFill="1" applyBorder="1" applyAlignment="1"/>
    <xf numFmtId="166" fontId="36" fillId="0" borderId="1" xfId="1" applyNumberFormat="1" applyFont="1" applyFill="1" applyBorder="1" applyAlignment="1">
      <alignment wrapText="1"/>
    </xf>
    <xf numFmtId="169" fontId="36" fillId="0" borderId="1" xfId="2" applyNumberFormat="1" applyFont="1" applyFill="1" applyBorder="1" applyAlignment="1">
      <alignment horizontal="left"/>
    </xf>
    <xf numFmtId="172" fontId="36" fillId="0" borderId="1" xfId="2" applyNumberFormat="1" applyFont="1" applyFill="1" applyBorder="1" applyAlignment="1" applyProtection="1">
      <alignment wrapText="1"/>
    </xf>
    <xf numFmtId="169" fontId="36" fillId="0" borderId="1" xfId="2" applyNumberFormat="1" applyFont="1" applyFill="1" applyBorder="1" applyAlignment="1" applyProtection="1"/>
    <xf numFmtId="169" fontId="36" fillId="0" borderId="1" xfId="2" applyNumberFormat="1" applyFont="1" applyFill="1" applyBorder="1" applyAlignment="1" applyProtection="1">
      <alignment wrapText="1"/>
    </xf>
    <xf numFmtId="166" fontId="46" fillId="0" borderId="1" xfId="0" applyNumberFormat="1" applyFont="1" applyFill="1" applyBorder="1" applyAlignment="1">
      <alignment vertical="center"/>
    </xf>
    <xf numFmtId="172" fontId="36" fillId="5" borderId="1" xfId="2" applyNumberFormat="1" applyFont="1" applyFill="1" applyBorder="1" applyAlignment="1">
      <alignment wrapText="1"/>
    </xf>
    <xf numFmtId="169" fontId="36" fillId="5" borderId="1" xfId="2" applyNumberFormat="1" applyFont="1" applyFill="1" applyBorder="1" applyAlignment="1"/>
    <xf numFmtId="0" fontId="36" fillId="5" borderId="1" xfId="0" applyFont="1" applyFill="1" applyBorder="1" applyAlignment="1"/>
    <xf numFmtId="169" fontId="36" fillId="5" borderId="1" xfId="2" applyNumberFormat="1" applyFont="1" applyFill="1" applyBorder="1" applyAlignment="1">
      <alignment wrapText="1"/>
    </xf>
    <xf numFmtId="0" fontId="36" fillId="5" borderId="1" xfId="0" applyFont="1" applyFill="1" applyBorder="1" applyAlignment="1">
      <alignment horizontal="left"/>
    </xf>
    <xf numFmtId="164" fontId="36" fillId="0" borderId="1" xfId="4" applyFont="1" applyFill="1" applyBorder="1" applyAlignment="1"/>
    <xf numFmtId="164" fontId="36" fillId="0" borderId="1" xfId="4" applyFont="1" applyFill="1" applyBorder="1" applyAlignment="1" applyProtection="1"/>
    <xf numFmtId="164" fontId="36" fillId="12" borderId="1" xfId="4" applyFont="1" applyFill="1" applyBorder="1" applyAlignment="1" applyProtection="1"/>
    <xf numFmtId="164" fontId="36" fillId="0" borderId="1" xfId="4" applyFont="1" applyFill="1" applyBorder="1" applyAlignment="1" applyProtection="1">
      <alignment horizontal="right" vertical="center"/>
    </xf>
    <xf numFmtId="166" fontId="36" fillId="0" borderId="1" xfId="0" applyNumberFormat="1" applyFont="1" applyFill="1" applyBorder="1" applyAlignment="1">
      <alignment horizontal="right"/>
    </xf>
    <xf numFmtId="169" fontId="36" fillId="0" borderId="1" xfId="0" applyNumberFormat="1" applyFont="1" applyFill="1" applyBorder="1" applyAlignment="1">
      <alignment vertical="center"/>
    </xf>
    <xf numFmtId="166" fontId="36" fillId="0" borderId="1" xfId="1" applyNumberFormat="1" applyFont="1" applyFill="1" applyBorder="1" applyAlignment="1">
      <alignment horizontal="left"/>
    </xf>
    <xf numFmtId="171" fontId="36" fillId="0" borderId="1" xfId="2" applyNumberFormat="1" applyFont="1" applyFill="1" applyBorder="1" applyAlignment="1">
      <alignment horizontal="center"/>
    </xf>
    <xf numFmtId="172" fontId="36" fillId="12" borderId="1" xfId="0" applyNumberFormat="1" applyFont="1" applyFill="1" applyBorder="1" applyAlignment="1"/>
    <xf numFmtId="172" fontId="43" fillId="0" borderId="1" xfId="0" applyNumberFormat="1" applyFont="1" applyFill="1" applyBorder="1" applyAlignment="1"/>
    <xf numFmtId="172" fontId="43" fillId="0" borderId="1" xfId="2" applyNumberFormat="1" applyFont="1" applyFill="1" applyBorder="1" applyAlignment="1"/>
    <xf numFmtId="172" fontId="43" fillId="0" borderId="1" xfId="2" applyNumberFormat="1" applyFont="1" applyFill="1" applyBorder="1" applyAlignment="1">
      <alignment wrapText="1"/>
    </xf>
    <xf numFmtId="0" fontId="36" fillId="0" borderId="1" xfId="2" applyFont="1" applyFill="1" applyBorder="1" applyAlignment="1">
      <alignment horizontal="right"/>
    </xf>
    <xf numFmtId="170" fontId="36" fillId="0" borderId="1" xfId="6" applyNumberFormat="1" applyFont="1" applyFill="1" applyBorder="1" applyAlignment="1">
      <alignment horizontal="right" vertical="top"/>
    </xf>
    <xf numFmtId="166" fontId="36" fillId="0" borderId="1" xfId="1" applyNumberFormat="1" applyFont="1" applyBorder="1" applyAlignment="1">
      <alignment horizontal="right"/>
    </xf>
    <xf numFmtId="170" fontId="36" fillId="5" borderId="1" xfId="6" applyNumberFormat="1" applyFont="1" applyFill="1" applyBorder="1" applyAlignment="1">
      <alignment horizontal="right" wrapText="1"/>
    </xf>
    <xf numFmtId="169" fontId="36" fillId="0" borderId="1" xfId="2" applyNumberFormat="1" applyFont="1" applyFill="1" applyBorder="1" applyAlignment="1">
      <alignment horizontal="right" wrapText="1"/>
    </xf>
    <xf numFmtId="169" fontId="36" fillId="0" borderId="1" xfId="2" applyNumberFormat="1" applyFont="1" applyFill="1" applyBorder="1" applyAlignment="1">
      <alignment horizontal="right"/>
    </xf>
    <xf numFmtId="170" fontId="36" fillId="0" borderId="1" xfId="6" applyNumberFormat="1" applyFont="1" applyFill="1" applyBorder="1" applyAlignment="1">
      <alignment horizontal="right"/>
    </xf>
    <xf numFmtId="164" fontId="36" fillId="0" borderId="1" xfId="4" applyFont="1" applyFill="1" applyBorder="1" applyAlignment="1">
      <alignment horizontal="right" vertical="center"/>
    </xf>
    <xf numFmtId="164" fontId="36" fillId="0" borderId="1" xfId="4" applyFont="1" applyBorder="1" applyAlignment="1">
      <alignment horizontal="right" vertical="center"/>
    </xf>
    <xf numFmtId="164" fontId="36" fillId="5" borderId="1" xfId="4" applyFont="1" applyFill="1" applyBorder="1" applyAlignment="1">
      <alignment horizontal="right" vertical="center"/>
    </xf>
    <xf numFmtId="164" fontId="36" fillId="0" borderId="1" xfId="4" applyFont="1" applyFill="1" applyBorder="1" applyAlignment="1">
      <alignment horizontal="right" vertical="center" wrapText="1"/>
    </xf>
    <xf numFmtId="166" fontId="36" fillId="0" borderId="1" xfId="1" applyNumberFormat="1" applyFont="1" applyBorder="1" applyAlignment="1">
      <alignment horizontal="right" vertical="center"/>
    </xf>
    <xf numFmtId="169" fontId="36" fillId="0" borderId="1" xfId="2" applyNumberFormat="1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center"/>
    </xf>
    <xf numFmtId="164" fontId="36" fillId="0" borderId="1" xfId="4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70" fontId="36" fillId="0" borderId="1" xfId="6" applyNumberFormat="1" applyFont="1" applyFill="1" applyBorder="1" applyAlignment="1">
      <alignment horizontal="left" vertical="center" wrapText="1"/>
    </xf>
    <xf numFmtId="166" fontId="36" fillId="0" borderId="1" xfId="1" applyNumberFormat="1" applyFont="1" applyFill="1" applyBorder="1" applyAlignment="1">
      <alignment horizontal="left" vertical="center"/>
    </xf>
    <xf numFmtId="169" fontId="36" fillId="5" borderId="1" xfId="2" applyNumberFormat="1" applyFont="1" applyFill="1" applyBorder="1" applyAlignment="1">
      <alignment horizontal="left"/>
    </xf>
    <xf numFmtId="0" fontId="36" fillId="0" borderId="1" xfId="0" applyFont="1" applyBorder="1" applyAlignment="1">
      <alignment horizontal="left"/>
    </xf>
    <xf numFmtId="171" fontId="36" fillId="0" borderId="1" xfId="2" applyNumberFormat="1" applyFont="1" applyFill="1" applyBorder="1" applyAlignment="1">
      <alignment horizontal="center" vertical="center"/>
    </xf>
    <xf numFmtId="172" fontId="46" fillId="0" borderId="1" xfId="0" applyNumberFormat="1" applyFont="1" applyFill="1" applyBorder="1" applyAlignment="1"/>
    <xf numFmtId="0" fontId="46" fillId="0" borderId="1" xfId="2" applyFont="1" applyFill="1" applyBorder="1" applyAlignment="1" applyProtection="1"/>
    <xf numFmtId="0" fontId="46" fillId="0" borderId="1" xfId="0" applyFont="1" applyFill="1" applyBorder="1" applyAlignment="1"/>
    <xf numFmtId="0" fontId="46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center"/>
    </xf>
    <xf numFmtId="169" fontId="46" fillId="0" borderId="1" xfId="2" applyNumberFormat="1" applyFont="1" applyFill="1" applyBorder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164" fontId="36" fillId="0" borderId="1" xfId="4" applyFont="1" applyFill="1" applyBorder="1" applyAlignment="1">
      <alignment horizontal="left" vertical="center"/>
    </xf>
    <xf numFmtId="170" fontId="36" fillId="0" borderId="1" xfId="6" applyNumberFormat="1" applyFont="1" applyFill="1" applyBorder="1" applyAlignment="1">
      <alignment horizontal="left" wrapText="1"/>
    </xf>
    <xf numFmtId="170" fontId="36" fillId="0" borderId="1" xfId="6" applyNumberFormat="1" applyFont="1" applyFill="1" applyBorder="1" applyAlignment="1" applyProtection="1">
      <alignment horizontal="left" vertical="center" wrapText="1"/>
    </xf>
    <xf numFmtId="3" fontId="36" fillId="0" borderId="1" xfId="1" applyNumberFormat="1" applyFont="1" applyFill="1" applyBorder="1" applyAlignment="1" applyProtection="1">
      <alignment horizontal="left" vertical="center"/>
    </xf>
    <xf numFmtId="170" fontId="36" fillId="0" borderId="1" xfId="6" applyNumberFormat="1" applyFont="1" applyFill="1" applyBorder="1" applyAlignment="1" applyProtection="1">
      <alignment vertical="center" wrapText="1"/>
    </xf>
    <xf numFmtId="3" fontId="36" fillId="0" borderId="1" xfId="1" applyNumberFormat="1" applyFont="1" applyFill="1" applyBorder="1" applyAlignment="1" applyProtection="1">
      <alignment vertical="center"/>
    </xf>
    <xf numFmtId="166" fontId="36" fillId="0" borderId="1" xfId="0" applyNumberFormat="1" applyFont="1" applyFill="1" applyBorder="1" applyAlignment="1">
      <alignment horizontal="left"/>
    </xf>
    <xf numFmtId="171" fontId="36" fillId="0" borderId="1" xfId="2" applyNumberFormat="1" applyFont="1" applyFill="1" applyBorder="1" applyAlignment="1">
      <alignment horizontal="left" vertical="top"/>
    </xf>
    <xf numFmtId="164" fontId="46" fillId="0" borderId="1" xfId="4" applyFont="1" applyFill="1" applyBorder="1" applyAlignment="1">
      <alignment horizontal="left" vertical="center"/>
    </xf>
    <xf numFmtId="0" fontId="36" fillId="0" borderId="1" xfId="2" applyFont="1" applyFill="1" applyBorder="1" applyAlignment="1" applyProtection="1">
      <alignment horizontal="left"/>
    </xf>
    <xf numFmtId="164" fontId="36" fillId="0" borderId="1" xfId="4" applyFont="1" applyFill="1" applyBorder="1" applyAlignment="1">
      <alignment horizontal="left" vertical="center" wrapText="1"/>
    </xf>
    <xf numFmtId="166" fontId="46" fillId="0" borderId="1" xfId="1" applyNumberFormat="1" applyFont="1" applyFill="1" applyBorder="1" applyAlignment="1">
      <alignment horizontal="left" vertical="center"/>
    </xf>
    <xf numFmtId="169" fontId="36" fillId="0" borderId="1" xfId="2" applyNumberFormat="1" applyFont="1" applyFill="1" applyBorder="1" applyAlignment="1">
      <alignment horizontal="left" vertical="center"/>
    </xf>
    <xf numFmtId="0" fontId="36" fillId="0" borderId="1" xfId="2" applyFont="1" applyFill="1" applyBorder="1" applyAlignment="1">
      <alignment horizontal="left"/>
    </xf>
    <xf numFmtId="164" fontId="36" fillId="0" borderId="1" xfId="4" applyFont="1" applyFill="1" applyBorder="1" applyAlignment="1">
      <alignment horizontal="left"/>
    </xf>
    <xf numFmtId="169" fontId="36" fillId="0" borderId="1" xfId="2" applyNumberFormat="1" applyFont="1" applyFill="1" applyBorder="1" applyAlignment="1" applyProtection="1">
      <alignment horizontal="left"/>
    </xf>
    <xf numFmtId="169" fontId="36" fillId="0" borderId="1" xfId="2" applyNumberFormat="1" applyFont="1" applyFill="1" applyBorder="1" applyAlignment="1" applyProtection="1">
      <alignment horizontal="left" vertical="center"/>
    </xf>
    <xf numFmtId="164" fontId="36" fillId="0" borderId="1" xfId="4" applyFont="1" applyBorder="1" applyAlignment="1"/>
    <xf numFmtId="164" fontId="36" fillId="5" borderId="1" xfId="4" applyFont="1" applyFill="1" applyBorder="1" applyAlignment="1">
      <alignment wrapText="1"/>
    </xf>
    <xf numFmtId="164" fontId="36" fillId="5" borderId="1" xfId="4" applyFont="1" applyFill="1" applyBorder="1" applyAlignment="1"/>
    <xf numFmtId="164" fontId="36" fillId="0" borderId="1" xfId="4" applyFont="1" applyFill="1" applyBorder="1" applyAlignment="1">
      <alignment wrapText="1"/>
    </xf>
    <xf numFmtId="166" fontId="36" fillId="5" borderId="1" xfId="0" applyNumberFormat="1" applyFont="1" applyFill="1" applyBorder="1" applyAlignment="1"/>
    <xf numFmtId="3" fontId="36" fillId="12" borderId="1" xfId="1" applyNumberFormat="1" applyFont="1" applyFill="1" applyBorder="1" applyAlignment="1" applyProtection="1">
      <alignment horizontal="center" vertical="center"/>
    </xf>
    <xf numFmtId="172" fontId="46" fillId="0" borderId="1" xfId="0" applyNumberFormat="1" applyFont="1" applyFill="1" applyBorder="1" applyAlignment="1">
      <alignment vertical="center"/>
    </xf>
    <xf numFmtId="0" fontId="46" fillId="5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10" fontId="34" fillId="0" borderId="0" xfId="7" applyNumberFormat="1" applyFont="1"/>
    <xf numFmtId="0" fontId="2" fillId="0" borderId="0" xfId="0" applyFont="1"/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164" fontId="36" fillId="20" borderId="1" xfId="4" applyFont="1" applyFill="1" applyBorder="1" applyAlignment="1">
      <alignment vertical="center"/>
    </xf>
    <xf numFmtId="0" fontId="36" fillId="20" borderId="1" xfId="0" applyFont="1" applyFill="1" applyBorder="1" applyAlignment="1">
      <alignment horizontal="left" vertical="center"/>
    </xf>
    <xf numFmtId="0" fontId="43" fillId="20" borderId="1" xfId="0" applyFont="1" applyFill="1" applyBorder="1" applyAlignment="1">
      <alignment horizontal="center" vertical="center"/>
    </xf>
  </cellXfs>
  <cellStyles count="8">
    <cellStyle name="Excel Built-in Comma" xfId="6" xr:uid="{00000000-0005-0000-0000-000000000000}"/>
    <cellStyle name="Excel Built-in Normal" xfId="2" xr:uid="{00000000-0005-0000-0000-000001000000}"/>
    <cellStyle name="Milliers" xfId="1" builtinId="3"/>
    <cellStyle name="Milliers [0]" xfId="4" builtinId="6"/>
    <cellStyle name="Milliers 3" xfId="5" xr:uid="{00000000-0005-0000-0000-000004000000}"/>
    <cellStyle name="Normal" xfId="0" builtinId="0"/>
    <cellStyle name="Normal_Total expenses by date" xfId="3" xr:uid="{00000000-0005-0000-0000-000006000000}"/>
    <cellStyle name="Pourcentage" xfId="7" builtinId="5"/>
  </cellStyles>
  <dxfs count="2">
    <dxf>
      <alignment horizontal="center" readingOrder="0"/>
    </dxf>
    <dxf>
      <numFmt numFmtId="164" formatCode="_-* #,##0\ _F_C_F_A_-;\-* #,##0\ _F_C_F_A_-;_-* &quot;-&quot;\ _F_C_F_A_-;_-@_-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J2018-3" refreshedDate="44659.672064814818" createdVersion="3" refreshedVersion="3" minRefreshableVersion="3" recordCount="231" xr:uid="{00000000-000A-0000-FFFF-FFFF00000000}">
  <cacheSource type="worksheet">
    <worksheetSource ref="A11:O242" sheet="DATA  MARS 2022"/>
  </cacheSource>
  <cacheFields count="15">
    <cacheField name="Date" numFmtId="172">
      <sharedItems containsSemiMixedTypes="0" containsNonDate="0" containsDate="1" containsString="0" minDate="2022-03-01T00:00:00" maxDate="2022-04-01T00:00:00"/>
    </cacheField>
    <cacheField name="Details" numFmtId="0">
      <sharedItems/>
    </cacheField>
    <cacheField name="Type de dépenses" numFmtId="0">
      <sharedItems containsBlank="1" count="20">
        <m/>
        <s v="Versement"/>
        <s v="Telephone"/>
        <s v="Transfer Fees"/>
        <s v="Lawyer fees"/>
        <s v="Bonus"/>
        <s v="Bank Fees"/>
        <s v="Transport"/>
        <s v="Travel Subsistence"/>
        <s v="Services"/>
        <s v="Grant"/>
        <s v="Office Materials"/>
        <s v="Travel Expenses"/>
        <s v="Rent &amp; Utilities"/>
        <s v="Personnel"/>
        <s v="Flight"/>
        <s v="Court Fees"/>
        <s v="Trust building"/>
        <s v="Jail Visits"/>
        <s v="Interne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3000" maxValue="28356365"/>
    </cacheField>
    <cacheField name="Spent" numFmtId="0">
      <sharedItems containsString="0" containsBlank="1" containsNumber="1" containsInteger="1" minValue="150" maxValue="1311914"/>
    </cacheField>
    <cacheField name="Balance" numFmtId="166">
      <sharedItems containsSemiMixedTypes="0" containsString="0" containsNumber="1" containsInteger="1" minValue="2629513" maxValue="38930815"/>
    </cacheField>
    <cacheField name="Name" numFmtId="0">
      <sharedItems containsBlank="1" count="14">
        <m/>
        <s v="Caisse"/>
        <s v="BCI"/>
        <s v="BCI-Sous Compte"/>
        <s v="i23c"/>
        <s v="Godfré"/>
        <s v="P29"/>
        <s v="Crépin"/>
        <s v="Tiffany"/>
        <s v="Merveille"/>
        <s v="Evariste"/>
        <s v="Hurielle"/>
        <s v="Paule"/>
        <s v="Grace"/>
      </sharedItems>
    </cacheField>
    <cacheField name="Receipt" numFmtId="0">
      <sharedItems containsBlank="1" containsMixedTypes="1" containsNumber="1" containsInteger="1" minValue="3643628" maxValue="3654476"/>
    </cacheField>
    <cacheField name="Donor" numFmtId="0">
      <sharedItems containsBlank="1"/>
    </cacheField>
    <cacheField name="Project" numFmtId="0">
      <sharedItems containsBlank="1"/>
    </cacheField>
    <cacheField name="Country" numFmtId="0">
      <sharedItems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J2018-3" refreshedDate="44659.672066550927" createdVersion="3" refreshedVersion="3" minRefreshableVersion="3" recordCount="423" xr:uid="{00000000-000A-0000-FFFF-FFFF01000000}">
  <cacheSource type="worksheet">
    <worksheetSource ref="A11:O434" sheet="DATA  MARS 2022"/>
  </cacheSource>
  <cacheFields count="15">
    <cacheField name="Date" numFmtId="172">
      <sharedItems containsNonDate="0" containsDate="1" containsString="0" containsBlank="1" minDate="2022-03-01T00:00:00" maxDate="2022-04-01T00:00:00"/>
    </cacheField>
    <cacheField name="Details" numFmtId="0">
      <sharedItems containsBlank="1"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containsInteger="1" minValue="3000" maxValue="28356365"/>
    </cacheField>
    <cacheField name="Spent" numFmtId="0">
      <sharedItems containsString="0" containsBlank="1" containsNumber="1" containsInteger="1" minValue="150" maxValue="1311914"/>
    </cacheField>
    <cacheField name="Balance" numFmtId="166">
      <sharedItems containsString="0" containsBlank="1" containsNumber="1" containsInteger="1" minValue="2629513" maxValue="38930815"/>
    </cacheField>
    <cacheField name="Name" numFmtId="0">
      <sharedItems containsBlank="1"/>
    </cacheField>
    <cacheField name="Receipt" numFmtId="0">
      <sharedItems containsBlank="1" containsMixedTypes="1" containsNumber="1" containsInteger="1" minValue="3643628" maxValue="3654476"/>
    </cacheField>
    <cacheField name="Donor" numFmtId="0">
      <sharedItems containsBlank="1" count="3">
        <m/>
        <s v="Wildcat"/>
        <s v="UE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J2018-3" refreshedDate="44659.673059490742" createdVersion="3" refreshedVersion="3" minRefreshableVersion="3" recordCount="231" xr:uid="{00000000-000A-0000-FFFF-FFFF02000000}">
  <cacheSource type="worksheet">
    <worksheetSource ref="A11:N242" sheet="DATA  MARS 2022"/>
  </cacheSource>
  <cacheFields count="14">
    <cacheField name="Date" numFmtId="172">
      <sharedItems containsSemiMixedTypes="0" containsNonDate="0" containsDate="1" containsString="0" minDate="2022-03-01T00:00:00" maxDate="2022-04-01T00:00:00"/>
    </cacheField>
    <cacheField name="Details" numFmtId="0">
      <sharedItems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containsInteger="1" minValue="3000" maxValue="28356365"/>
    </cacheField>
    <cacheField name="Spent" numFmtId="0">
      <sharedItems containsString="0" containsBlank="1" containsNumber="1" containsInteger="1" minValue="150" maxValue="1311914" count="83">
        <m/>
        <n v="116000"/>
        <n v="42000"/>
        <n v="37000"/>
        <n v="20000"/>
        <n v="5000"/>
        <n v="32000"/>
        <n v="11000"/>
        <n v="29000"/>
        <n v="1680"/>
        <n v="27000"/>
        <n v="150000"/>
        <n v="600000"/>
        <n v="16099"/>
        <n v="10000"/>
        <n v="4000"/>
        <n v="45000"/>
        <n v="75625"/>
        <n v="260000"/>
        <n v="30000"/>
        <n v="15000"/>
        <n v="12000"/>
        <n v="10500"/>
        <n v="117000"/>
        <n v="60000"/>
        <n v="107000"/>
        <n v="46000"/>
        <n v="23345"/>
        <n v="50000"/>
        <n v="1500"/>
        <n v="70000"/>
        <n v="40000"/>
        <n v="150"/>
        <n v="200"/>
        <n v="1200"/>
        <n v="1000"/>
        <n v="61071"/>
        <n v="12175"/>
        <n v="25000"/>
        <n v="75000"/>
        <n v="200000"/>
        <n v="300000"/>
        <n v="80000"/>
        <n v="27250"/>
        <n v="1000000"/>
        <n v="1311914"/>
        <n v="90000"/>
        <n v="3000"/>
        <n v="6000"/>
        <n v="324770"/>
        <n v="782583"/>
        <n v="4585"/>
        <n v="18000"/>
        <n v="18354"/>
        <n v="109000"/>
        <n v="256000"/>
        <n v="233936"/>
        <n v="94000"/>
        <n v="76000"/>
        <n v="7000"/>
        <n v="100000"/>
        <n v="3500"/>
        <n v="33000"/>
        <n v="193000"/>
        <n v="12557"/>
        <n v="990"/>
        <n v="89175"/>
        <n v="193600"/>
        <n v="234309"/>
        <n v="350000"/>
        <n v="500000"/>
        <n v="60500"/>
        <n v="28500"/>
        <n v="24000"/>
        <n v="82000"/>
        <n v="400000"/>
        <n v="225000"/>
        <n v="52500"/>
        <n v="13000"/>
        <n v="39700"/>
        <n v="36000"/>
        <n v="20400"/>
        <n v="18500"/>
      </sharedItems>
    </cacheField>
    <cacheField name="Balance" numFmtId="166">
      <sharedItems containsSemiMixedTypes="0" containsString="0" containsNumber="1" containsInteger="1" minValue="2629513" maxValue="38930815"/>
    </cacheField>
    <cacheField name="Name" numFmtId="0">
      <sharedItems containsBlank="1"/>
    </cacheField>
    <cacheField name="Receipt" numFmtId="0">
      <sharedItems containsBlank="1" containsMixedTypes="1" containsNumber="1" containsInteger="1" minValue="3643628" maxValue="3654476" count="22">
        <m/>
        <s v="Oui"/>
        <s v="Decharge"/>
        <s v="releve"/>
        <n v="3654472"/>
        <s v="Décharge"/>
        <s v="Relevé"/>
        <n v="3643628"/>
        <n v="3643630"/>
        <n v="3643631"/>
        <n v="3643632"/>
        <n v="3643629"/>
        <n v="3643634"/>
        <n v="3643636"/>
        <n v="3643637"/>
        <n v="3643638"/>
        <s v="Virement"/>
        <n v="3643640"/>
        <n v="3643641"/>
        <n v="3654476"/>
        <n v="3643643"/>
        <n v="3643644"/>
      </sharedItems>
    </cacheField>
    <cacheField name="Donor" numFmtId="0">
      <sharedItems containsBlank="1" count="3">
        <m/>
        <s v="Wildcat"/>
        <s v="UE"/>
      </sharedItems>
    </cacheField>
    <cacheField name="Project" numFmtId="0">
      <sharedItems containsBlank="1" count="3">
        <m/>
        <s v="RALFF"/>
        <s v="PALF"/>
      </sharedItems>
    </cacheField>
    <cacheField name="Country" numFmtId="0">
      <sharedItems/>
    </cacheField>
    <cacheField name="N°Pièce" numFmtId="0">
      <sharedItems containsNonDate="0" containsString="0" containsBlank="1"/>
    </cacheField>
    <cacheField name="Code budgetai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">
  <r>
    <d v="2022-03-01T00:00:00"/>
    <s v="Solde au 01/03/2022"/>
    <x v="0"/>
    <m/>
    <m/>
    <m/>
    <n v="3382917"/>
    <x v="0"/>
    <m/>
    <m/>
    <m/>
    <s v="CONGO"/>
    <m/>
    <m/>
    <m/>
  </r>
  <r>
    <d v="2022-03-01T00:00:00"/>
    <s v="I23c"/>
    <x v="1"/>
    <m/>
    <m/>
    <n v="116000"/>
    <n v="3266917"/>
    <x v="1"/>
    <m/>
    <m/>
    <m/>
    <s v="CONGO"/>
    <m/>
    <m/>
    <m/>
  </r>
  <r>
    <d v="2022-03-01T00:00:00"/>
    <s v="Achat credit  teléphonique MTN/PALF/Prémière partie Mars 2022/Management"/>
    <x v="2"/>
    <s v="Management "/>
    <m/>
    <n v="42000"/>
    <n v="3224917"/>
    <x v="1"/>
    <s v="Oui"/>
    <s v="Wildcat"/>
    <s v="RALFF"/>
    <s v="CONGO"/>
    <m/>
    <s v="4.6"/>
    <m/>
  </r>
  <r>
    <d v="2022-03-01T00:00:00"/>
    <s v="Achat credit  teléphonique MTN/PALF/Prémière partie Mars 2022/Legal"/>
    <x v="2"/>
    <s v="Legal"/>
    <m/>
    <n v="37000"/>
    <n v="3187917"/>
    <x v="1"/>
    <s v="Oui"/>
    <s v="Wildcat"/>
    <s v="RALFF"/>
    <s v="CONGO"/>
    <m/>
    <s v="4.6"/>
    <m/>
  </r>
  <r>
    <d v="2022-03-01T00:00:00"/>
    <s v="Achat credit  teléphonique MTN/PALF/Prémière partie Mars 2022/Investigation"/>
    <x v="2"/>
    <s v="Investigation"/>
    <m/>
    <n v="20000"/>
    <n v="3167917"/>
    <x v="1"/>
    <s v="Oui"/>
    <s v="Wildcat"/>
    <s v="RALFF"/>
    <s v="CONGO"/>
    <m/>
    <s v="4.6"/>
    <m/>
  </r>
  <r>
    <d v="2022-03-01T00:00:00"/>
    <s v="Achat credit  teléphonique MTN/PALF/Prémière partie Mars 2022/Media"/>
    <x v="2"/>
    <s v="Media"/>
    <m/>
    <n v="5000"/>
    <n v="3162917"/>
    <x v="1"/>
    <s v="Oui"/>
    <s v="Wildcat"/>
    <s v="RALFF"/>
    <s v="CONGO"/>
    <m/>
    <s v="4.6"/>
    <m/>
  </r>
  <r>
    <d v="2022-03-01T00:00:00"/>
    <s v="Achat credit  teléphonique Airtel/PALF/Prémière partie Mars 2022/Management"/>
    <x v="2"/>
    <s v="Management "/>
    <m/>
    <n v="32000"/>
    <n v="3130917"/>
    <x v="1"/>
    <s v="Oui"/>
    <s v="Wildcat"/>
    <s v="RALFF"/>
    <s v="CONGO"/>
    <m/>
    <s v="4.6"/>
    <m/>
  </r>
  <r>
    <d v="2022-03-01T00:00:00"/>
    <s v="Achat credit  teléphonique Airtel/PALF/Prémière partie Mars 2022/Legal"/>
    <x v="2"/>
    <s v="Legal"/>
    <m/>
    <n v="5000"/>
    <n v="3125917"/>
    <x v="1"/>
    <s v="Oui"/>
    <s v="Wildcat"/>
    <s v="RALFF"/>
    <s v="CONGO"/>
    <m/>
    <s v="4.6"/>
    <m/>
  </r>
  <r>
    <d v="2022-03-01T00:00:00"/>
    <s v="Achat credit  teléphonique Airtel/PALF/Prémière partie Mars 2022/Investigation"/>
    <x v="2"/>
    <s v="Investigation"/>
    <m/>
    <n v="32000"/>
    <n v="3093917"/>
    <x v="1"/>
    <s v="Oui"/>
    <s v="Wildcat"/>
    <s v="RALFF"/>
    <s v="CONGO"/>
    <m/>
    <s v="4.6"/>
    <m/>
  </r>
  <r>
    <d v="2022-03-01T00:00:00"/>
    <s v="Achat credit  teléphonique Airtel/PALF/Prémière partie Mars 2022/Media"/>
    <x v="2"/>
    <s v="Media"/>
    <m/>
    <n v="11000"/>
    <n v="3082917"/>
    <x v="1"/>
    <s v="Oui"/>
    <s v="Wildcat"/>
    <s v="RALFF"/>
    <s v="CONGO"/>
    <m/>
    <s v="4.6"/>
    <m/>
  </r>
  <r>
    <d v="2022-03-01T00:00:00"/>
    <s v="Godfre"/>
    <x v="1"/>
    <m/>
    <m/>
    <n v="29000"/>
    <n v="3053917"/>
    <x v="1"/>
    <m/>
    <m/>
    <m/>
    <s v="CONGO"/>
    <m/>
    <m/>
    <m/>
  </r>
  <r>
    <d v="2022-03-01T00:00:00"/>
    <s v="Frais de transfert Charden Farell/Godfré"/>
    <x v="3"/>
    <s v="Office"/>
    <m/>
    <n v="1680"/>
    <n v="3052237"/>
    <x v="1"/>
    <s v="Oui"/>
    <s v="UE"/>
    <s v="RALFF"/>
    <s v="CONGO"/>
    <m/>
    <s v="5.6"/>
    <m/>
  </r>
  <r>
    <d v="2022-03-01T00:00:00"/>
    <s v="Complément frais de mission maitre Anicet à Pointe-Noire du 01 au 02/03/2022"/>
    <x v="4"/>
    <s v="Legal"/>
    <m/>
    <n v="27000"/>
    <n v="3025237"/>
    <x v="1"/>
    <s v="Oui"/>
    <s v="Wildcat"/>
    <s v="RALFF"/>
    <s v="CONGO"/>
    <m/>
    <s v="5.2.2"/>
    <m/>
  </r>
  <r>
    <d v="2022-03-01T00:00:00"/>
    <s v="BCI-3654471/34"/>
    <x v="1"/>
    <m/>
    <n v="600000"/>
    <m/>
    <n v="3625237"/>
    <x v="1"/>
    <m/>
    <m/>
    <m/>
    <s v="CONGO"/>
    <m/>
    <m/>
    <m/>
  </r>
  <r>
    <d v="2022-03-01T00:00:00"/>
    <s v="BCI-3643627/56"/>
    <x v="1"/>
    <m/>
    <n v="600000"/>
    <m/>
    <n v="4225237"/>
    <x v="1"/>
    <m/>
    <m/>
    <m/>
    <s v="CONGO"/>
    <m/>
    <m/>
    <m/>
  </r>
  <r>
    <d v="2022-03-01T00:00:00"/>
    <s v="Bonus Média/op du 19/02/2022 sur OP "/>
    <x v="5"/>
    <s v="Media"/>
    <m/>
    <n v="150000"/>
    <n v="4075237"/>
    <x v="1"/>
    <s v="Decharge"/>
    <s v="Wildcat"/>
    <s v="PALF"/>
    <s v="CONGO"/>
    <m/>
    <m/>
    <m/>
  </r>
  <r>
    <d v="2022-03-01T00:00:00"/>
    <s v="Retrait especes/appro caisse/bord n°3654471"/>
    <x v="1"/>
    <m/>
    <m/>
    <n v="600000"/>
    <n v="3475237"/>
    <x v="2"/>
    <m/>
    <m/>
    <m/>
    <s v="CONGO"/>
    <m/>
    <m/>
    <m/>
  </r>
  <r>
    <d v="2022-03-01T00:00:00"/>
    <s v="Retrait especes/appro caisse/bord n°3643627"/>
    <x v="1"/>
    <m/>
    <m/>
    <n v="600000"/>
    <n v="2875237"/>
    <x v="3"/>
    <m/>
    <m/>
    <m/>
    <s v="CONGO"/>
    <m/>
    <m/>
    <m/>
  </r>
  <r>
    <d v="2022-03-01T00:00:00"/>
    <s v="Frais Bancaire"/>
    <x v="6"/>
    <s v="Office"/>
    <m/>
    <n v="16099"/>
    <n v="2859138"/>
    <x v="3"/>
    <s v="releve"/>
    <s v="UE"/>
    <s v="RALFF"/>
    <s v="CONGO"/>
    <m/>
    <s v="5.6"/>
    <m/>
  </r>
  <r>
    <d v="2022-03-01T00:00:00"/>
    <s v="Reçu caisse"/>
    <x v="1"/>
    <m/>
    <n v="116000"/>
    <m/>
    <n v="2975138"/>
    <x v="4"/>
    <m/>
    <m/>
    <m/>
    <s v="CONGO"/>
    <m/>
    <m/>
    <m/>
  </r>
  <r>
    <d v="2022-03-01T00:00:00"/>
    <s v="Reçu caisse"/>
    <x v="1"/>
    <m/>
    <n v="29000"/>
    <m/>
    <n v="3004138"/>
    <x v="5"/>
    <m/>
    <m/>
    <m/>
    <s v="CONGO"/>
    <m/>
    <m/>
    <m/>
  </r>
  <r>
    <d v="2022-03-01T00:00:00"/>
    <s v="Achat billet zanaga-sibiti/P29"/>
    <x v="7"/>
    <s v="Investigation"/>
    <m/>
    <n v="10000"/>
    <n v="2994138"/>
    <x v="6"/>
    <s v="Oui"/>
    <s v="Wildcat"/>
    <s v="RALFF"/>
    <s v="CONGO"/>
    <m/>
    <s v="2.2"/>
    <m/>
  </r>
  <r>
    <d v="2022-03-01T00:00:00"/>
    <s v="Achat billet sibiti-loudima/P29"/>
    <x v="7"/>
    <s v="Investigation"/>
    <m/>
    <n v="4000"/>
    <n v="2990138"/>
    <x v="6"/>
    <s v="Oui"/>
    <s v="Wildcat"/>
    <s v="RALFF"/>
    <s v="CONGO"/>
    <m/>
    <s v="2.2"/>
    <m/>
  </r>
  <r>
    <d v="2022-03-01T00:00:00"/>
    <s v="Achat billet loudima-brazzaville/P29"/>
    <x v="7"/>
    <s v="Investigation"/>
    <m/>
    <n v="10000"/>
    <n v="2980138"/>
    <x v="6"/>
    <s v="Oui"/>
    <s v="Wildcat"/>
    <s v="RALFF"/>
    <s v="CONGO"/>
    <m/>
    <s v="2.2"/>
    <m/>
  </r>
  <r>
    <d v="2022-03-01T00:00:00"/>
    <s v="P29 - CONGO Paiement 3 nuitées du 26/02 au 01/03/22 Zanaga"/>
    <x v="8"/>
    <s v="Investigation"/>
    <m/>
    <n v="45000"/>
    <n v="2935138"/>
    <x v="6"/>
    <s v="Oui"/>
    <s v="Wildcat"/>
    <s v="RALFF"/>
    <s v="CONGO"/>
    <m/>
    <s v="1.3.2"/>
    <m/>
  </r>
  <r>
    <d v="2022-03-02T00:00:00"/>
    <s v="Reglement prestation Entretient bureau Mois de Février 2022/Odile"/>
    <x v="9"/>
    <s v="Office"/>
    <m/>
    <n v="75625"/>
    <n v="2859513"/>
    <x v="1"/>
    <s v="Oui"/>
    <s v="Wildcat"/>
    <s v="PALF"/>
    <s v="CONGO"/>
    <m/>
    <m/>
    <m/>
  </r>
  <r>
    <d v="2022-03-02T00:00:00"/>
    <s v="Crepin/retour caisse remboursement avance sur salaire"/>
    <x v="1"/>
    <m/>
    <n v="30000"/>
    <m/>
    <n v="2889513"/>
    <x v="1"/>
    <m/>
    <m/>
    <m/>
    <s v="CONGO"/>
    <m/>
    <m/>
    <m/>
  </r>
  <r>
    <d v="2022-03-02T00:00:00"/>
    <s v="Reglement Facture Gardiennage Mois de Février 2022/3654472"/>
    <x v="9"/>
    <s v="Office"/>
    <m/>
    <n v="260000"/>
    <n v="2629513"/>
    <x v="2"/>
    <n v="3654472"/>
    <s v="Wildcat"/>
    <s v="PALF"/>
    <s v="CONGO"/>
    <m/>
    <m/>
    <m/>
  </r>
  <r>
    <d v="2022-03-02T00:00:00"/>
    <s v="Fond Reçu de UE"/>
    <x v="10"/>
    <m/>
    <n v="28356365"/>
    <m/>
    <n v="30985878"/>
    <x v="3"/>
    <s v="releve"/>
    <s v="UE"/>
    <s v="RALFF"/>
    <s v="CONGO"/>
    <m/>
    <m/>
    <m/>
  </r>
  <r>
    <d v="2022-03-02T00:00:00"/>
    <s v="Retour à la caisse"/>
    <x v="1"/>
    <m/>
    <m/>
    <n v="30000"/>
    <n v="30955878"/>
    <x v="7"/>
    <m/>
    <m/>
    <m/>
    <s v="CONGO"/>
    <m/>
    <m/>
    <m/>
  </r>
  <r>
    <d v="2022-03-02T00:00:00"/>
    <s v="Achat billet retour (Pointe Noire-Brazzaville)/Godfré"/>
    <x v="7"/>
    <s v="Legal"/>
    <m/>
    <n v="15000"/>
    <n v="30940878"/>
    <x v="5"/>
    <s v="Oui"/>
    <s v="Wildcat"/>
    <s v="RALFF"/>
    <s v="CONGO"/>
    <m/>
    <s v="2.2"/>
    <m/>
  </r>
  <r>
    <d v="2022-03-02T00:00:00"/>
    <s v="GODFRE - CONGO Frais d'hôtel du 28/02 au 02/03/2022 PNR"/>
    <x v="8"/>
    <s v="Legal"/>
    <m/>
    <n v="30000"/>
    <n v="30910878"/>
    <x v="5"/>
    <s v="Oui"/>
    <s v="Wildcat"/>
    <s v="RALFF"/>
    <s v="CONGO"/>
    <m/>
    <s v="1.3.2"/>
    <m/>
  </r>
  <r>
    <d v="2022-03-03T00:00:00"/>
    <s v="Achat 02 paquets de chemises cartonées et 01 paquet de sous chemise"/>
    <x v="11"/>
    <s v="Office"/>
    <m/>
    <n v="12000"/>
    <n v="30898878"/>
    <x v="1"/>
    <s v="Oui"/>
    <s v="Wildcat"/>
    <s v="RALFF"/>
    <s v="CONGO"/>
    <m/>
    <s v="4.3"/>
    <m/>
  </r>
  <r>
    <d v="2022-03-03T00:00:00"/>
    <s v="Achat 07 ampoules pour le bureau"/>
    <x v="11"/>
    <s v="Office"/>
    <m/>
    <n v="10500"/>
    <n v="30888378"/>
    <x v="1"/>
    <s v="Oui"/>
    <s v="Wildcat"/>
    <s v="PALF"/>
    <s v="CONGO"/>
    <m/>
    <m/>
    <m/>
  </r>
  <r>
    <d v="2022-03-04T00:00:00"/>
    <s v="P29"/>
    <x v="1"/>
    <m/>
    <m/>
    <n v="117000"/>
    <n v="30771378"/>
    <x v="1"/>
    <m/>
    <m/>
    <m/>
    <s v="CONGO"/>
    <m/>
    <m/>
    <m/>
  </r>
  <r>
    <d v="2022-03-04T00:00:00"/>
    <s v="Recu de caisse"/>
    <x v="1"/>
    <m/>
    <n v="117000"/>
    <m/>
    <n v="30888378"/>
    <x v="6"/>
    <m/>
    <m/>
    <m/>
    <s v="CONGO"/>
    <m/>
    <m/>
    <m/>
  </r>
  <r>
    <d v="2022-03-05T00:00:00"/>
    <s v="Achat billet brazzaville-dolisie/P29"/>
    <x v="7"/>
    <s v="Investigation"/>
    <m/>
    <n v="10000"/>
    <n v="30878378"/>
    <x v="6"/>
    <s v="Oui"/>
    <s v="Wildcat"/>
    <s v="RALFF"/>
    <s v="CONGO"/>
    <m/>
    <s v="2.2"/>
    <m/>
  </r>
  <r>
    <d v="2022-03-06T00:00:00"/>
    <s v="P29 - CONGO Food allowance mission du 06 au 12-03-22"/>
    <x v="8"/>
    <s v="Investigation"/>
    <m/>
    <n v="60000"/>
    <n v="30818378"/>
    <x v="6"/>
    <s v="Décharge"/>
    <s v="Wildcat"/>
    <s v="RALFF"/>
    <s v="CONGO"/>
    <m/>
    <s v="1.3.2"/>
    <m/>
  </r>
  <r>
    <d v="2022-03-07T00:00:00"/>
    <s v="I23c"/>
    <x v="1"/>
    <m/>
    <m/>
    <n v="107000"/>
    <n v="30711378"/>
    <x v="1"/>
    <m/>
    <m/>
    <m/>
    <s v="CONGO"/>
    <m/>
    <m/>
    <m/>
  </r>
  <r>
    <d v="2022-03-07T00:00:00"/>
    <s v="Bonus média interpellation du 19/02/2022"/>
    <x v="5"/>
    <s v="Media"/>
    <m/>
    <n v="46000"/>
    <n v="30665378"/>
    <x v="1"/>
    <s v="Decharge"/>
    <s v="Wildcat"/>
    <s v="PALF"/>
    <s v="CONGO"/>
    <m/>
    <m/>
    <m/>
  </r>
  <r>
    <d v="2022-03-07T00:00:00"/>
    <s v="Frais bancaire"/>
    <x v="6"/>
    <s v="Office"/>
    <m/>
    <n v="23345"/>
    <n v="30642033"/>
    <x v="2"/>
    <s v="Relevé"/>
    <s v="Wildcat"/>
    <s v="PALF"/>
    <s v="CONGO"/>
    <m/>
    <m/>
    <m/>
  </r>
  <r>
    <d v="2022-03-07T00:00:00"/>
    <s v="Paiement Honoraire Me LOCKO/Mois de Février 2022"/>
    <x v="4"/>
    <s v="Legal"/>
    <m/>
    <n v="150000"/>
    <n v="30492033"/>
    <x v="3"/>
    <n v="3643628"/>
    <s v="UE"/>
    <s v="RALFF"/>
    <s v="CONGO"/>
    <m/>
    <s v="5.2.1"/>
    <m/>
  </r>
  <r>
    <d v="2022-03-07T00:00:00"/>
    <s v="Reçu caisse"/>
    <x v="1"/>
    <m/>
    <n v="107000"/>
    <m/>
    <n v="30599033"/>
    <x v="4"/>
    <m/>
    <m/>
    <m/>
    <s v="CONGO"/>
    <m/>
    <m/>
    <m/>
  </r>
  <r>
    <d v="2022-03-08T00:00:00"/>
    <s v="P29"/>
    <x v="1"/>
    <m/>
    <m/>
    <n v="50000"/>
    <n v="30549033"/>
    <x v="1"/>
    <m/>
    <m/>
    <m/>
    <s v="CONGO"/>
    <m/>
    <m/>
    <m/>
  </r>
  <r>
    <d v="2022-03-08T00:00:00"/>
    <s v="Frais de transfert Charden Farell/P29"/>
    <x v="3"/>
    <s v="Office"/>
    <m/>
    <n v="1500"/>
    <n v="30547533"/>
    <x v="1"/>
    <s v="Oui"/>
    <s v="UE"/>
    <s v="RALFF"/>
    <s v="CONGO"/>
    <m/>
    <s v="5.6"/>
    <m/>
  </r>
  <r>
    <d v="2022-03-08T00:00:00"/>
    <s v="Tiffany"/>
    <x v="1"/>
    <m/>
    <m/>
    <n v="70000"/>
    <n v="30477533"/>
    <x v="1"/>
    <m/>
    <m/>
    <m/>
    <s v="CONGO"/>
    <m/>
    <m/>
    <m/>
  </r>
  <r>
    <d v="2022-03-08T00:00:00"/>
    <s v="Godfre"/>
    <x v="1"/>
    <m/>
    <m/>
    <n v="40000"/>
    <n v="30437533"/>
    <x v="1"/>
    <m/>
    <m/>
    <m/>
    <s v="CONGO"/>
    <m/>
    <m/>
    <m/>
  </r>
  <r>
    <d v="2022-03-08T00:00:00"/>
    <s v="Bonus média/pièces TéléCongo sur Interpellation d'un traf d'invoires"/>
    <x v="5"/>
    <s v="Media"/>
    <m/>
    <n v="150000"/>
    <n v="30287533"/>
    <x v="1"/>
    <s v="Decharge"/>
    <s v="Wildcat"/>
    <s v="PALF"/>
    <s v="CONGO"/>
    <m/>
    <m/>
    <m/>
  </r>
  <r>
    <d v="2022-03-08T00:00:00"/>
    <s v="I23C - CONGO Food allowance mission Kinshasa du 8 au 9 mars 2022"/>
    <x v="8"/>
    <s v="Investigation"/>
    <m/>
    <n v="10000"/>
    <n v="30277533"/>
    <x v="4"/>
    <s v="Décharge"/>
    <s v="Wildcat"/>
    <s v="PALF"/>
    <s v="CONGO"/>
    <m/>
    <m/>
    <m/>
  </r>
  <r>
    <d v="2022-03-08T00:00:00"/>
    <s v="Achat billet Brazzaville - Kinshasa/I23C"/>
    <x v="7"/>
    <s v="Investigation"/>
    <m/>
    <n v="11000"/>
    <n v="30266533"/>
    <x v="4"/>
    <s v="Oui"/>
    <s v="Wildcat"/>
    <s v="PALF"/>
    <s v="CONGO"/>
    <m/>
    <m/>
    <m/>
  </r>
  <r>
    <d v="2022-03-08T00:00:00"/>
    <s v="Paiement PABPS"/>
    <x v="12"/>
    <s v="Investigation"/>
    <m/>
    <n v="150"/>
    <n v="30266383"/>
    <x v="4"/>
    <s v="Oui"/>
    <s v="Wildcat"/>
    <s v="PALF"/>
    <s v="CONGO"/>
    <m/>
    <m/>
    <m/>
  </r>
  <r>
    <d v="2022-03-08T00:00:00"/>
    <s v="Achat vignette"/>
    <x v="12"/>
    <s v="Investigation"/>
    <m/>
    <n v="200"/>
    <n v="30266183"/>
    <x v="4"/>
    <s v="Oui"/>
    <s v="Wildcat"/>
    <s v="PALF"/>
    <s v="CONGO"/>
    <m/>
    <m/>
    <m/>
  </r>
  <r>
    <d v="2022-03-08T00:00:00"/>
    <s v="Paiement PABPS"/>
    <x v="12"/>
    <s v="Investigation"/>
    <m/>
    <n v="1200"/>
    <n v="30264983"/>
    <x v="4"/>
    <s v="Oui"/>
    <s v="Wildcat"/>
    <s v="PALF"/>
    <s v="CONGO"/>
    <m/>
    <m/>
    <m/>
  </r>
  <r>
    <d v="2022-03-08T00:00:00"/>
    <s v="Paiement immigration "/>
    <x v="12"/>
    <s v="Investigation"/>
    <m/>
    <n v="4000"/>
    <n v="30260983"/>
    <x v="4"/>
    <s v="Oui"/>
    <s v="Wildcat"/>
    <s v="PALF"/>
    <s v="CONGO"/>
    <m/>
    <m/>
    <m/>
  </r>
  <r>
    <d v="2022-03-08T00:00:00"/>
    <s v="Achat carte sim (arrivé à Kinshasa)"/>
    <x v="11"/>
    <s v="Investigation"/>
    <m/>
    <n v="1000"/>
    <n v="30259983"/>
    <x v="4"/>
    <s v="Oui"/>
    <s v="Wildcat"/>
    <s v="PALF"/>
    <s v="CONGO"/>
    <m/>
    <m/>
    <m/>
  </r>
  <r>
    <d v="2022-03-08T00:00:00"/>
    <s v="Achat crédit (arrivé à Kinshasa)/Investigation/I23C"/>
    <x v="2"/>
    <s v="Investigation"/>
    <m/>
    <n v="5000"/>
    <n v="30254983"/>
    <x v="4"/>
    <s v="Oui"/>
    <s v="Wildcat"/>
    <s v="PALF"/>
    <s v="CONGO"/>
    <m/>
    <m/>
    <m/>
  </r>
  <r>
    <d v="2022-03-08T00:00:00"/>
    <s v="Reçu Caisse"/>
    <x v="1"/>
    <m/>
    <n v="40000"/>
    <m/>
    <n v="30294983"/>
    <x v="5"/>
    <m/>
    <m/>
    <m/>
    <s v="CONGO"/>
    <m/>
    <m/>
    <m/>
  </r>
  <r>
    <d v="2022-03-08T00:00:00"/>
    <s v="Recu de caisse"/>
    <x v="1"/>
    <m/>
    <n v="50000"/>
    <m/>
    <n v="30344983"/>
    <x v="6"/>
    <m/>
    <m/>
    <m/>
    <s v="CONGO"/>
    <m/>
    <m/>
    <m/>
  </r>
  <r>
    <d v="2022-03-08T00:00:00"/>
    <s v="Reçu Caisse/ Tiffany"/>
    <x v="1"/>
    <m/>
    <n v="70000"/>
    <m/>
    <n v="30414983"/>
    <x v="8"/>
    <m/>
    <m/>
    <m/>
    <s v="CONGO"/>
    <m/>
    <m/>
    <m/>
  </r>
  <r>
    <d v="2022-03-09T00:00:00"/>
    <s v="Reglement facture E²C/ période Janvier - Février 2022/bureau PALF"/>
    <x v="13"/>
    <s v="Office"/>
    <m/>
    <n v="61071"/>
    <n v="30353912"/>
    <x v="1"/>
    <s v="Oui"/>
    <s v="UE"/>
    <s v="RALFF"/>
    <s v="CONGO"/>
    <m/>
    <s v="4.4"/>
    <m/>
  </r>
  <r>
    <d v="2022-03-09T00:00:00"/>
    <s v="Remboursement frais Pharmaceutiques Crépin"/>
    <x v="14"/>
    <s v="Legal"/>
    <m/>
    <n v="12175"/>
    <n v="30341737"/>
    <x v="1"/>
    <s v="Oui"/>
    <s v="Wildcat"/>
    <s v="PALF"/>
    <s v="CONGO"/>
    <m/>
    <m/>
    <m/>
  </r>
  <r>
    <d v="2022-03-09T00:00:00"/>
    <s v="I23C - CONGO Paiement hôtel du 8 au 9/3/22 cfr mission Kinshasa"/>
    <x v="8"/>
    <s v="Investigation"/>
    <m/>
    <n v="25000"/>
    <n v="30316737"/>
    <x v="4"/>
    <s v="Oui"/>
    <s v="Wildcat"/>
    <s v="PALF"/>
    <s v="CONGO"/>
    <m/>
    <m/>
    <m/>
  </r>
  <r>
    <d v="2022-03-09T00:00:00"/>
    <s v="Paiement billet et formalités (Retour Kinshasa - Brazzaville)/I23C"/>
    <x v="7"/>
    <s v="Investigation"/>
    <m/>
    <n v="20000"/>
    <n v="30296737"/>
    <x v="4"/>
    <s v="Oui"/>
    <s v="Wildcat"/>
    <s v="PALF"/>
    <s v="CONGO"/>
    <m/>
    <m/>
    <m/>
  </r>
  <r>
    <d v="2022-03-09T00:00:00"/>
    <s v="Paiement test COVID"/>
    <x v="12"/>
    <s v="Investigation"/>
    <m/>
    <n v="20000"/>
    <n v="30276737"/>
    <x v="4"/>
    <s v="Oui"/>
    <s v="Wildcat"/>
    <s v="PALF"/>
    <s v="CONGO"/>
    <m/>
    <m/>
    <m/>
  </r>
  <r>
    <d v="2022-03-09T00:00:00"/>
    <s v="Paiement redevance arrivé à Brazzaville"/>
    <x v="12"/>
    <s v="Investigation"/>
    <m/>
    <n v="1200"/>
    <n v="30275537"/>
    <x v="4"/>
    <s v="Oui"/>
    <s v="Wildcat"/>
    <s v="PALF"/>
    <s v="CONGO"/>
    <m/>
    <m/>
    <m/>
  </r>
  <r>
    <d v="2022-03-10T00:00:00"/>
    <s v="Merveille"/>
    <x v="1"/>
    <m/>
    <m/>
    <n v="20000"/>
    <n v="30255537"/>
    <x v="1"/>
    <m/>
    <m/>
    <m/>
    <s v="CONGO"/>
    <m/>
    <m/>
    <m/>
  </r>
  <r>
    <d v="2022-03-10T00:00:00"/>
    <s v="I23c"/>
    <x v="1"/>
    <m/>
    <m/>
    <n v="75000"/>
    <n v="30180537"/>
    <x v="1"/>
    <m/>
    <m/>
    <m/>
    <s v="CONGO"/>
    <m/>
    <m/>
    <m/>
  </r>
  <r>
    <d v="2022-03-10T00:00:00"/>
    <s v="Acompte Honoraire Contrat N°42-OYO / Me Hélène /Cas KAMBA,Apani"/>
    <x v="4"/>
    <s v="Legal"/>
    <m/>
    <n v="200000"/>
    <n v="29980537"/>
    <x v="3"/>
    <n v="3643630"/>
    <s v="Wildcat"/>
    <s v="RALFF"/>
    <s v="CONGO"/>
    <m/>
    <s v="5.2.2"/>
    <m/>
  </r>
  <r>
    <d v="2022-03-10T00:00:00"/>
    <s v="Solde Honoraire Contrat N°39/Me Hélène NANITELAMIO MALONGA/Cas Job &amp; Chancel/Brazzaville"/>
    <x v="4"/>
    <s v="Legal"/>
    <m/>
    <n v="300000"/>
    <n v="29680537"/>
    <x v="3"/>
    <n v="3643631"/>
    <s v="Wildcat"/>
    <s v="RALFF"/>
    <s v="CONGO"/>
    <m/>
    <s v="5.2.2"/>
    <m/>
  </r>
  <r>
    <d v="2022-03-10T00:00:00"/>
    <s v="Solde Honoraire Contrat N°40 / Me Hélène NANITELAMIO MALONGA /Cas Jonas, Hassan et Valentin"/>
    <x v="4"/>
    <s v="Legal"/>
    <m/>
    <n v="300000"/>
    <n v="29380537"/>
    <x v="3"/>
    <n v="3643632"/>
    <s v="UE"/>
    <s v="RALFF"/>
    <s v="CONGO"/>
    <m/>
    <s v="5.2.2"/>
    <m/>
  </r>
  <r>
    <d v="2022-03-10T00:00:00"/>
    <s v="Reçu caisse/Merveille"/>
    <x v="1"/>
    <m/>
    <n v="75000"/>
    <m/>
    <n v="29455537"/>
    <x v="4"/>
    <m/>
    <m/>
    <m/>
    <s v="CONGO"/>
    <m/>
    <m/>
    <m/>
  </r>
  <r>
    <d v="2022-03-10T00:00:00"/>
    <s v="Achat billet Brazzaville-Pointe Noire (cfr mission PN)/I23C"/>
    <x v="7"/>
    <s v="Investigation"/>
    <m/>
    <n v="15000"/>
    <n v="29440537"/>
    <x v="4"/>
    <s v="Oui"/>
    <s v="Wildcat"/>
    <s v="RALFF"/>
    <s v="CONGO"/>
    <m/>
    <s v="2.2"/>
    <m/>
  </r>
  <r>
    <d v="2022-03-10T00:00:00"/>
    <s v="Reçu caisse"/>
    <x v="1"/>
    <m/>
    <n v="20000"/>
    <m/>
    <n v="29460537"/>
    <x v="9"/>
    <m/>
    <m/>
    <m/>
    <s v="CONGO"/>
    <m/>
    <m/>
    <m/>
  </r>
  <r>
    <d v="2022-03-11T00:00:00"/>
    <s v="reçu de la caisse"/>
    <x v="1"/>
    <m/>
    <n v="15000"/>
    <m/>
    <n v="29475537"/>
    <x v="10"/>
    <m/>
    <m/>
    <m/>
    <s v="CONGO"/>
    <m/>
    <m/>
    <m/>
  </r>
  <r>
    <d v="2022-03-11T00:00:00"/>
    <s v="BCI-3643633/56"/>
    <x v="1"/>
    <m/>
    <n v="1000000"/>
    <m/>
    <n v="30475537"/>
    <x v="1"/>
    <m/>
    <m/>
    <m/>
    <s v="CONGO"/>
    <m/>
    <m/>
    <m/>
  </r>
  <r>
    <d v="2022-03-11T00:00:00"/>
    <s v="Bonus operation du 09 et 19 février 2022 à Oyo/Crépin"/>
    <x v="5"/>
    <s v="Operation"/>
    <m/>
    <n v="80000"/>
    <n v="30395537"/>
    <x v="1"/>
    <s v="Decharge"/>
    <s v="Wildcat"/>
    <s v="PALF"/>
    <s v="CONGO"/>
    <m/>
    <m/>
    <m/>
  </r>
  <r>
    <d v="2022-03-11T00:00:00"/>
    <s v="Bonus mois de janvier et février 2022/Crépin"/>
    <x v="5"/>
    <s v="Legal"/>
    <m/>
    <n v="80000"/>
    <n v="30315537"/>
    <x v="1"/>
    <s v="Decharge"/>
    <s v="Wildcat"/>
    <s v="PALF"/>
    <s v="CONGO"/>
    <m/>
    <m/>
    <m/>
  </r>
  <r>
    <d v="2022-03-11T00:00:00"/>
    <s v="Bonus mois de janvier et février 2022/Godfré"/>
    <x v="5"/>
    <s v="Legal"/>
    <m/>
    <n v="40000"/>
    <n v="30275537"/>
    <x v="1"/>
    <s v="Decharge"/>
    <s v="Wildcat"/>
    <s v="PALF"/>
    <s v="CONGO"/>
    <m/>
    <m/>
    <m/>
  </r>
  <r>
    <d v="2022-03-11T00:00:00"/>
    <s v="Bonus mois de février 2022/Evariste"/>
    <x v="5"/>
    <s v="Media"/>
    <m/>
    <n v="20000"/>
    <n v="30255537"/>
    <x v="1"/>
    <s v="Decharge"/>
    <s v="Wildcat"/>
    <s v="PALF"/>
    <s v="CONGO"/>
    <m/>
    <m/>
    <m/>
  </r>
  <r>
    <d v="2022-03-11T00:00:00"/>
    <s v="Bonus operation du 19 février 2022 à Oyo et du 22 Février 2022 à Makoua /Godfré"/>
    <x v="5"/>
    <s v="Operation"/>
    <m/>
    <n v="60000"/>
    <n v="30195537"/>
    <x v="1"/>
    <s v="Decharge"/>
    <s v="Wildcat"/>
    <s v="PALF"/>
    <s v="CONGO"/>
    <m/>
    <m/>
    <m/>
  </r>
  <r>
    <d v="2022-03-11T00:00:00"/>
    <s v="Bonus operation du 09 et 19 février 2022 à Oyo/Grace"/>
    <x v="5"/>
    <s v="Operation"/>
    <m/>
    <n v="40000"/>
    <n v="30155537"/>
    <x v="1"/>
    <s v="Decharge"/>
    <s v="Wildcat"/>
    <s v="PALF"/>
    <s v="CONGO"/>
    <m/>
    <m/>
    <m/>
  </r>
  <r>
    <d v="2022-03-11T00:00:00"/>
    <s v="Bonus operation du 09 et 19 février 2022 à Oyo/Evariste"/>
    <x v="5"/>
    <s v="Operation"/>
    <m/>
    <n v="40000"/>
    <n v="30115537"/>
    <x v="1"/>
    <s v="Decharge"/>
    <s v="Wildcat"/>
    <s v="PALF"/>
    <s v="CONGO"/>
    <m/>
    <m/>
    <m/>
  </r>
  <r>
    <d v="2022-03-11T00:00:00"/>
    <s v="Evariste"/>
    <x v="1"/>
    <m/>
    <m/>
    <n v="15000"/>
    <n v="30100537"/>
    <x v="1"/>
    <m/>
    <m/>
    <m/>
    <s v="CONGO"/>
    <m/>
    <m/>
    <m/>
  </r>
  <r>
    <d v="2022-03-11T00:00:00"/>
    <s v="Bonus média/transfert de deux bébés chimpanzés"/>
    <x v="5"/>
    <s v="Media"/>
    <m/>
    <n v="45000"/>
    <n v="30055537"/>
    <x v="1"/>
    <s v="Decharge"/>
    <s v="Wildcat"/>
    <s v="PALF"/>
    <s v="CONGO"/>
    <m/>
    <m/>
    <m/>
  </r>
  <r>
    <d v="2022-03-11T00:00:00"/>
    <s v="Bonus média/interpellation du 19 février 2022 à Makoua"/>
    <x v="5"/>
    <s v="Media"/>
    <m/>
    <n v="29000"/>
    <n v="30026537"/>
    <x v="1"/>
    <s v="Decharge"/>
    <s v="Wildcat"/>
    <s v="PALF"/>
    <s v="CONGO"/>
    <m/>
    <m/>
    <m/>
  </r>
  <r>
    <d v="2022-03-11T00:00:00"/>
    <s v="Achat Produit d'entretien bureau/ajax,javel,sacs poubelles, lait sucre et café"/>
    <x v="11"/>
    <s v="Office"/>
    <m/>
    <n v="27250"/>
    <n v="29999287"/>
    <x v="1"/>
    <s v="Oui"/>
    <s v="Wildcat"/>
    <s v="RALFF"/>
    <s v="CONGO"/>
    <m/>
    <s v="4.3"/>
    <m/>
  </r>
  <r>
    <d v="2022-03-11T00:00:00"/>
    <s v="Godfre/Retour caisse"/>
    <x v="1"/>
    <m/>
    <n v="40000"/>
    <m/>
    <n v="30039287"/>
    <x v="1"/>
    <m/>
    <m/>
    <m/>
    <s v="CONGO"/>
    <m/>
    <m/>
    <m/>
  </r>
  <r>
    <d v="2022-03-11T00:00:00"/>
    <s v="Retrait especes/appro caisse/bord n°3643633"/>
    <x v="1"/>
    <m/>
    <m/>
    <n v="1000000"/>
    <n v="29039287"/>
    <x v="3"/>
    <m/>
    <m/>
    <m/>
    <s v="CONGO"/>
    <m/>
    <m/>
    <m/>
  </r>
  <r>
    <d v="2022-03-11T00:00:00"/>
    <s v="Paiment Salaire Mois de Février 2022/Tiffany GOBERT"/>
    <x v="14"/>
    <s v="Management"/>
    <m/>
    <n v="1311914"/>
    <n v="27727373"/>
    <x v="3"/>
    <n v="3643629"/>
    <s v="UE"/>
    <s v="RALFF"/>
    <s v="CONGO"/>
    <m/>
    <s v="1.1.1.1"/>
    <m/>
  </r>
  <r>
    <d v="2022-03-11T00:00:00"/>
    <s v="I23C - CONGO Food allowance mission Pointe Noire du 11 au 15 mars 22"/>
    <x v="8"/>
    <s v="Investigation"/>
    <m/>
    <n v="40000"/>
    <n v="27687373"/>
    <x v="4"/>
    <s v="Décharge"/>
    <s v="Wildcat"/>
    <s v="RALFF"/>
    <s v="CONGO"/>
    <m/>
    <s v="1.3.2"/>
    <m/>
  </r>
  <r>
    <d v="2022-03-11T00:00:00"/>
    <s v="Retour Caisse "/>
    <x v="1"/>
    <m/>
    <m/>
    <n v="40000"/>
    <n v="27647373"/>
    <x v="5"/>
    <m/>
    <m/>
    <m/>
    <s v="CONGO"/>
    <m/>
    <m/>
    <m/>
  </r>
  <r>
    <d v="2022-03-11T00:00:00"/>
    <s v="Achat billet dolisie-brazzaville/P29"/>
    <x v="7"/>
    <s v="Investigation"/>
    <m/>
    <n v="10000"/>
    <n v="27637373"/>
    <x v="6"/>
    <s v="Oui"/>
    <s v="Wildcat"/>
    <s v="RALFF"/>
    <s v="CONGO"/>
    <m/>
    <s v="2.2"/>
    <m/>
  </r>
  <r>
    <d v="2022-03-12T00:00:00"/>
    <s v="P29 - CONGO Paiement 6 nuitées du 06 au 12-03-22 Dolisie"/>
    <x v="8"/>
    <s v="Investigation"/>
    <m/>
    <n v="90000"/>
    <n v="27547373"/>
    <x v="6"/>
    <s v="Oui"/>
    <s v="Wildcat"/>
    <s v="RALFF"/>
    <s v="CONGO"/>
    <m/>
    <s v="1.3.2"/>
    <m/>
  </r>
  <r>
    <d v="2022-03-13T00:00:00"/>
    <s v="Taxi Pointe Noire - NZASSI (départ pour NZASSI)/I23C"/>
    <x v="7"/>
    <s v="Investigation"/>
    <m/>
    <n v="5000"/>
    <n v="27542373"/>
    <x v="4"/>
    <s v="Oui"/>
    <s v="Wildcat"/>
    <s v="RALFF"/>
    <s v="CONGO"/>
    <m/>
    <s v="2.2"/>
    <m/>
  </r>
  <r>
    <d v="2022-03-13T00:00:00"/>
    <s v="Taxi NZASSI - Gare PN (départ pour PN)/I23C"/>
    <x v="7"/>
    <s v="Investigation"/>
    <m/>
    <n v="5000"/>
    <n v="27537373"/>
    <x v="4"/>
    <s v="Oui"/>
    <s v="Wildcat"/>
    <s v="RALFF"/>
    <s v="CONGO"/>
    <m/>
    <s v="2.2"/>
    <m/>
  </r>
  <r>
    <d v="2022-03-14T00:00:00"/>
    <s v="Godfre"/>
    <x v="1"/>
    <m/>
    <m/>
    <n v="3000"/>
    <n v="27534373"/>
    <x v="1"/>
    <m/>
    <m/>
    <m/>
    <s v="CONGO"/>
    <m/>
    <m/>
    <m/>
  </r>
  <r>
    <d v="2022-03-14T00:00:00"/>
    <s v="Bonus média/Pièce supplémentaire /interpellation du 19 février 2022 à Makoua"/>
    <x v="5"/>
    <s v="Media"/>
    <m/>
    <n v="6000"/>
    <n v="27528373"/>
    <x v="1"/>
    <s v="Decharge"/>
    <s v="Wildcat"/>
    <s v="PALF"/>
    <s v="CONGO"/>
    <m/>
    <s v="  "/>
    <m/>
  </r>
  <r>
    <d v="2022-03-14T00:00:00"/>
    <s v="Paule"/>
    <x v="1"/>
    <m/>
    <m/>
    <n v="15000"/>
    <n v="27513373"/>
    <x v="1"/>
    <m/>
    <m/>
    <m/>
    <s v="CONGO"/>
    <m/>
    <m/>
    <m/>
  </r>
  <r>
    <d v="2022-03-14T00:00:00"/>
    <s v="Hurielle"/>
    <x v="1"/>
    <m/>
    <m/>
    <n v="15000"/>
    <n v="27498373"/>
    <x v="1"/>
    <m/>
    <m/>
    <m/>
    <s v="CONGO"/>
    <m/>
    <m/>
    <m/>
  </r>
  <r>
    <d v="2022-03-14T00:00:00"/>
    <s v="Fonds reçu de Wildcat"/>
    <x v="10"/>
    <m/>
    <n v="11432442"/>
    <m/>
    <n v="38930815"/>
    <x v="2"/>
    <s v="Relevé"/>
    <s v="Wildcat"/>
    <s v="PALF"/>
    <s v="CONGO"/>
    <m/>
    <m/>
    <m/>
  </r>
  <r>
    <d v="2022-03-14T00:00:00"/>
    <s v="Paiment Salaire Mois de Mars  2022 et congé/Crépin Evariste IBOUILI-IBOUILI"/>
    <x v="14"/>
    <s v="Legal"/>
    <m/>
    <n v="324770"/>
    <n v="38606045"/>
    <x v="3"/>
    <n v="3643634"/>
    <s v="UE"/>
    <s v="RALFF"/>
    <s v="CONGO"/>
    <m/>
    <s v="1.1.1.7"/>
    <m/>
  </r>
  <r>
    <d v="2022-03-14T00:00:00"/>
    <s v="Cumul frais de Transport Local Mois de Mars 2022/Crépin"/>
    <x v="7"/>
    <s v="Management"/>
    <m/>
    <n v="4000"/>
    <n v="38602045"/>
    <x v="7"/>
    <s v="Décharge"/>
    <s v="Wildcat"/>
    <s v="RALFF"/>
    <s v="CONGO"/>
    <m/>
    <s v="2.2"/>
    <m/>
  </r>
  <r>
    <d v="2022-03-14T00:00:00"/>
    <s v="Reçu caisse"/>
    <x v="1"/>
    <m/>
    <n v="3000"/>
    <m/>
    <n v="38605045"/>
    <x v="5"/>
    <m/>
    <m/>
    <m/>
    <s v="CONGO"/>
    <m/>
    <m/>
    <m/>
  </r>
  <r>
    <d v="2022-03-14T00:00:00"/>
    <s v="Reçu caisse"/>
    <x v="1"/>
    <m/>
    <n v="15000"/>
    <m/>
    <n v="38620045"/>
    <x v="11"/>
    <m/>
    <m/>
    <m/>
    <s v="CONGO"/>
    <m/>
    <m/>
    <m/>
  </r>
  <r>
    <d v="2022-03-14T00:00:00"/>
    <s v="Reçu caisse"/>
    <x v="1"/>
    <m/>
    <n v="15000"/>
    <m/>
    <n v="38635045"/>
    <x v="12"/>
    <m/>
    <m/>
    <m/>
    <s v="CONGO"/>
    <m/>
    <m/>
    <m/>
  </r>
  <r>
    <d v="2022-03-14T00:00:00"/>
    <s v="Achat billet d'avion Brazzaville/ Paris/ Tiffany Reservation Congé "/>
    <x v="15"/>
    <s v="Management"/>
    <m/>
    <n v="782583"/>
    <n v="37852462"/>
    <x v="8"/>
    <s v="Oui"/>
    <s v="Wildcat"/>
    <s v="PALF"/>
    <s v="CONGO"/>
    <m/>
    <m/>
    <m/>
  </r>
  <r>
    <d v="2022-03-15T00:00:00"/>
    <s v="P29"/>
    <x v="1"/>
    <m/>
    <m/>
    <n v="4000"/>
    <n v="37848462"/>
    <x v="1"/>
    <m/>
    <m/>
    <m/>
    <s v="CONGO"/>
    <m/>
    <m/>
    <m/>
  </r>
  <r>
    <d v="2022-03-15T00:00:00"/>
    <s v="Achat credit  teléphonique MTN/PALF/deuxième partie Mars 2022/Management"/>
    <x v="2"/>
    <s v="Management "/>
    <m/>
    <n v="15000"/>
    <n v="37833462"/>
    <x v="1"/>
    <s v="Oui"/>
    <s v="Wildcat"/>
    <s v="RALFF"/>
    <s v="CONGO"/>
    <m/>
    <s v="4.6"/>
    <m/>
  </r>
  <r>
    <d v="2022-03-15T00:00:00"/>
    <s v="Achat credit  teléphonique MTN/PALF/deuxième partie Mars 2022/Legal"/>
    <x v="2"/>
    <s v="Legal"/>
    <m/>
    <n v="10000"/>
    <n v="37823462"/>
    <x v="1"/>
    <s v="Oui"/>
    <s v="Wildcat"/>
    <s v="RALFF"/>
    <s v="CONGO"/>
    <m/>
    <s v="4.6"/>
    <m/>
  </r>
  <r>
    <d v="2022-03-15T00:00:00"/>
    <s v="Achat credit  teléphonique MTN/PALF/deuxième partie Mars 2022/Legal Volontaire"/>
    <x v="2"/>
    <s v="Legal"/>
    <m/>
    <n v="32000"/>
    <n v="37791462"/>
    <x v="1"/>
    <s v="Oui"/>
    <s v="Wildcat"/>
    <s v="PALF"/>
    <s v="CONGO"/>
    <m/>
    <m/>
    <m/>
  </r>
  <r>
    <d v="2022-03-15T00:00:00"/>
    <s v="Achat credit  teléphonique MTN/PALF/deuxième partie Mars 2022/Investigation"/>
    <x v="2"/>
    <s v="Investigation"/>
    <m/>
    <n v="20000"/>
    <n v="37771462"/>
    <x v="1"/>
    <s v="Oui"/>
    <s v="Wildcat"/>
    <s v="RALFF"/>
    <s v="CONGO"/>
    <m/>
    <s v="4.6"/>
    <m/>
  </r>
  <r>
    <d v="2022-03-15T00:00:00"/>
    <s v="Achat credit  teléphonique MTN/PALF/deuxième partie Mars 2022/Media"/>
    <x v="2"/>
    <s v="Media"/>
    <m/>
    <n v="10000"/>
    <n v="37761462"/>
    <x v="1"/>
    <s v="Oui"/>
    <s v="Wildcat"/>
    <s v="RALFF"/>
    <s v="CONGO"/>
    <m/>
    <s v="4.6"/>
    <m/>
  </r>
  <r>
    <d v="2022-03-15T00:00:00"/>
    <s v="Achat credit  teléphonique Airtel/PALF/Deuxième partie Mars 2022/Management"/>
    <x v="2"/>
    <s v="Management "/>
    <m/>
    <n v="5000"/>
    <n v="37756462"/>
    <x v="1"/>
    <s v="Oui"/>
    <s v="Wildcat"/>
    <s v="RALFF"/>
    <s v="CONGO"/>
    <m/>
    <s v="4.6"/>
    <m/>
  </r>
  <r>
    <d v="2022-03-15T00:00:00"/>
    <s v="Achat credit  teléphonique Airtel/PALF/Deuxième partie Mars 2022/Investigation"/>
    <x v="2"/>
    <s v="Investigation"/>
    <m/>
    <n v="10000"/>
    <n v="37746462"/>
    <x v="1"/>
    <s v="Oui"/>
    <s v="Wildcat"/>
    <s v="RALFF"/>
    <s v="CONGO"/>
    <m/>
    <s v="4.6"/>
    <m/>
  </r>
  <r>
    <d v="2022-03-15T00:00:00"/>
    <s v="Main d'œuvre demontage, recharge et montage batterie/Groupe electrogène bureau"/>
    <x v="9"/>
    <s v="Office"/>
    <m/>
    <n v="6000"/>
    <n v="37740462"/>
    <x v="1"/>
    <s v="Oui"/>
    <s v="Wildcat"/>
    <s v="PALF"/>
    <s v="CONGO"/>
    <m/>
    <m/>
    <m/>
  </r>
  <r>
    <d v="2022-03-15T00:00:00"/>
    <s v="I23C - CONGO Paiement hôtel 4 nuitées du 11 au 15 mars 22 à Pointe Noire"/>
    <x v="8"/>
    <s v="Investigation"/>
    <m/>
    <n v="60000"/>
    <n v="37680462"/>
    <x v="4"/>
    <s v="Oui"/>
    <s v="Wildcat"/>
    <s v="RALFF"/>
    <s v="CONGO"/>
    <m/>
    <s v="1.3.2"/>
    <m/>
  </r>
  <r>
    <d v="2022-03-15T00:00:00"/>
    <s v="Achat billet Pointe Noire -Brazzaville (réservation pour BZ)/I23C"/>
    <x v="7"/>
    <s v="Investigation"/>
    <m/>
    <n v="15000"/>
    <n v="37665462"/>
    <x v="4"/>
    <s v="Oui"/>
    <s v="Wildcat"/>
    <s v="RALFF"/>
    <s v="CONGO"/>
    <m/>
    <s v="2.2"/>
    <m/>
  </r>
  <r>
    <d v="2022-03-15T00:00:00"/>
    <s v="Paiement frais d'appel et Expedition"/>
    <x v="16"/>
    <s v="Legal"/>
    <m/>
    <n v="40000"/>
    <n v="37625462"/>
    <x v="5"/>
    <s v="Oui"/>
    <s v="Wildcat"/>
    <s v="PALF"/>
    <s v="CONGO"/>
    <m/>
    <m/>
    <m/>
  </r>
  <r>
    <d v="2022-03-15T00:00:00"/>
    <s v="Recu de caisse"/>
    <x v="1"/>
    <m/>
    <n v="4000"/>
    <m/>
    <n v="37629462"/>
    <x v="6"/>
    <m/>
    <m/>
    <m/>
    <s v="CONGO"/>
    <m/>
    <m/>
    <m/>
  </r>
  <r>
    <d v="2022-03-16T00:00:00"/>
    <s v="Microsoft Office 2021 Professionnel Plus ( 5 PC) "/>
    <x v="11"/>
    <s v="Management"/>
    <m/>
    <n v="4585"/>
    <n v="37624877"/>
    <x v="8"/>
    <s v="Oui"/>
    <s v="Wildcat"/>
    <s v="PALF"/>
    <s v="CONGO"/>
    <m/>
    <m/>
    <m/>
  </r>
  <r>
    <d v="2022-03-17T00:00:00"/>
    <s v="Achat 04 bombones d'eau minerale"/>
    <x v="11"/>
    <s v="Office"/>
    <m/>
    <n v="18000"/>
    <n v="37606877"/>
    <x v="1"/>
    <s v="Oui"/>
    <s v="Wildcat"/>
    <s v="RALFF"/>
    <s v="CONGO"/>
    <m/>
    <s v="4.3"/>
    <m/>
  </r>
  <r>
    <d v="2022-03-17T00:00:00"/>
    <s v="Antivirus Avast Ultimate Suite (2 ans/ 5 PC) "/>
    <x v="11"/>
    <s v="Management"/>
    <m/>
    <n v="18354"/>
    <n v="37588523"/>
    <x v="8"/>
    <s v="Oui"/>
    <s v="Wildcat"/>
    <s v="PALF"/>
    <s v="CONGO"/>
    <m/>
    <m/>
    <m/>
  </r>
  <r>
    <d v="2022-03-18T00:00:00"/>
    <s v="P29"/>
    <x v="1"/>
    <m/>
    <m/>
    <n v="109000"/>
    <n v="37479523"/>
    <x v="1"/>
    <m/>
    <m/>
    <m/>
    <s v="CONGO"/>
    <m/>
    <m/>
    <m/>
  </r>
  <r>
    <d v="2022-03-18T00:00:00"/>
    <s v="I23c"/>
    <x v="1"/>
    <m/>
    <m/>
    <n v="256000"/>
    <n v="37223523"/>
    <x v="1"/>
    <m/>
    <m/>
    <m/>
    <s v="CONGO"/>
    <m/>
    <m/>
    <m/>
  </r>
  <r>
    <d v="2022-03-18T00:00:00"/>
    <s v="Reglement loyer Tiffany mois de Mars 2022/400USD"/>
    <x v="14"/>
    <s v="Management"/>
    <m/>
    <n v="233936"/>
    <n v="36989587"/>
    <x v="1"/>
    <s v="Oui"/>
    <s v="Wildcat"/>
    <s v="PALF"/>
    <s v="CONGO"/>
    <m/>
    <m/>
    <m/>
  </r>
  <r>
    <d v="2022-03-18T00:00:00"/>
    <s v="Reçu caisse"/>
    <x v="1"/>
    <m/>
    <n v="256000"/>
    <m/>
    <n v="37245587"/>
    <x v="4"/>
    <m/>
    <m/>
    <m/>
    <s v="CONGO"/>
    <m/>
    <m/>
    <m/>
  </r>
  <r>
    <d v="2022-03-18T00:00:00"/>
    <s v="Recu de caisse"/>
    <x v="1"/>
    <m/>
    <n v="109000"/>
    <m/>
    <n v="37354587"/>
    <x v="6"/>
    <m/>
    <m/>
    <m/>
    <s v="CONGO"/>
    <m/>
    <m/>
    <m/>
  </r>
  <r>
    <d v="2022-03-19T00:00:00"/>
    <s v="Achat billet brazzaville-djambala/P29"/>
    <x v="7"/>
    <s v="Investigation"/>
    <m/>
    <n v="6000"/>
    <n v="37348587"/>
    <x v="6"/>
    <s v="Oui"/>
    <s v="Wildcat"/>
    <s v="RALFF"/>
    <s v="CONGO"/>
    <m/>
    <s v="2.2"/>
    <m/>
  </r>
  <r>
    <d v="2022-03-21T00:00:00"/>
    <s v="BCI-3654475/34"/>
    <x v="1"/>
    <m/>
    <n v="1000000"/>
    <m/>
    <n v="38348587"/>
    <x v="1"/>
    <m/>
    <m/>
    <m/>
    <s v="CONGO"/>
    <m/>
    <m/>
    <m/>
  </r>
  <r>
    <d v="2022-03-21T00:00:00"/>
    <s v="Retrait especes/appro caisse/bord n°3654475"/>
    <x v="1"/>
    <m/>
    <m/>
    <n v="1000000"/>
    <n v="37348587"/>
    <x v="2"/>
    <m/>
    <m/>
    <m/>
    <s v="CONGO"/>
    <m/>
    <m/>
    <m/>
  </r>
  <r>
    <d v="2022-03-21T00:00:00"/>
    <s v="P29 - CONGO Food allowance mission du 21 au 27-03 Djambala.Lekana/Ngo"/>
    <x v="8"/>
    <s v="Investigation"/>
    <m/>
    <n v="60000"/>
    <n v="37288587"/>
    <x v="6"/>
    <s v="Décharge"/>
    <s v="Wildcat"/>
    <s v="RALFF"/>
    <s v="CONGO"/>
    <m/>
    <s v="1.3.2"/>
    <m/>
  </r>
  <r>
    <d v="2022-03-22T00:00:00"/>
    <s v="Hurielle"/>
    <x v="1"/>
    <m/>
    <m/>
    <n v="20000"/>
    <n v="37268587"/>
    <x v="1"/>
    <m/>
    <m/>
    <m/>
    <s v="CONGO"/>
    <m/>
    <m/>
    <m/>
  </r>
  <r>
    <d v="2022-03-22T00:00:00"/>
    <s v="Paule"/>
    <x v="1"/>
    <m/>
    <m/>
    <n v="20000"/>
    <n v="37248587"/>
    <x v="1"/>
    <m/>
    <m/>
    <m/>
    <s v="CONGO"/>
    <m/>
    <m/>
    <m/>
  </r>
  <r>
    <d v="2022-03-22T00:00:00"/>
    <s v="Paule"/>
    <x v="1"/>
    <m/>
    <m/>
    <n v="94000"/>
    <n v="37154587"/>
    <x v="1"/>
    <m/>
    <m/>
    <m/>
    <s v="CONGO"/>
    <m/>
    <m/>
    <m/>
  </r>
  <r>
    <d v="2022-03-22T00:00:00"/>
    <s v="Evariste"/>
    <x v="1"/>
    <m/>
    <m/>
    <n v="76000"/>
    <n v="37078587"/>
    <x v="1"/>
    <m/>
    <m/>
    <m/>
    <s v="CONGO"/>
    <m/>
    <m/>
    <m/>
  </r>
  <r>
    <d v="2022-03-22T00:00:00"/>
    <s v="Godfre"/>
    <x v="1"/>
    <m/>
    <m/>
    <n v="116000"/>
    <n v="36962587"/>
    <x v="1"/>
    <m/>
    <m/>
    <m/>
    <s v="CONGO"/>
    <m/>
    <m/>
    <m/>
  </r>
  <r>
    <d v="2022-03-22T00:00:00"/>
    <s v="Bonus media/audience du 24/03/2022 à oyo"/>
    <x v="5"/>
    <s v="Media"/>
    <m/>
    <n v="29000"/>
    <n v="36933587"/>
    <x v="1"/>
    <s v="Decharge"/>
    <s v="Wildcat"/>
    <s v="PALF"/>
    <s v="CONGO"/>
    <m/>
    <m/>
    <m/>
  </r>
  <r>
    <d v="2022-03-22T00:00:00"/>
    <s v="Frais de mission maitre Marie Hèlene à oyo du 23 au 25/03/2022/cas NGATSONGO"/>
    <x v="4"/>
    <s v="Legal"/>
    <m/>
    <n v="70000"/>
    <n v="36863587"/>
    <x v="1"/>
    <s v="Oui"/>
    <s v="Wildcat"/>
    <s v="RALFF"/>
    <s v="CONGO"/>
    <m/>
    <s v="5.2.2"/>
    <m/>
  </r>
  <r>
    <d v="2022-03-22T00:00:00"/>
    <s v="I23C - CONGO Food allowance mission Kinshasa du 22 au 28 mars 22"/>
    <x v="8"/>
    <s v="Investigation"/>
    <m/>
    <n v="60000"/>
    <n v="36803587"/>
    <x v="4"/>
    <s v="Décharge"/>
    <s v="Wildcat"/>
    <s v="PALF"/>
    <s v="CONGO"/>
    <m/>
    <m/>
    <m/>
  </r>
  <r>
    <d v="2022-03-22T00:00:00"/>
    <s v="Achat billet Brazzaville - Kinshasa/I23C"/>
    <x v="7"/>
    <s v="Investigation"/>
    <m/>
    <n v="11000"/>
    <n v="36792587"/>
    <x v="4"/>
    <s v="Oui"/>
    <s v="Wildcat"/>
    <s v="PALF"/>
    <s v="CONGO"/>
    <m/>
    <m/>
    <m/>
  </r>
  <r>
    <d v="2022-03-22T00:00:00"/>
    <s v="Paiement PABPS"/>
    <x v="12"/>
    <s v="Investigation"/>
    <m/>
    <n v="150"/>
    <n v="36792437"/>
    <x v="4"/>
    <s v="Oui"/>
    <s v="Wildcat"/>
    <s v="PALF"/>
    <s v="CONGO"/>
    <m/>
    <m/>
    <m/>
  </r>
  <r>
    <d v="2022-03-22T00:00:00"/>
    <s v="Achat vignette"/>
    <x v="12"/>
    <s v="Investigation"/>
    <m/>
    <n v="200"/>
    <n v="36792237"/>
    <x v="4"/>
    <s v="Oui"/>
    <s v="Wildcat"/>
    <s v="PALF"/>
    <s v="CONGO"/>
    <m/>
    <m/>
    <m/>
  </r>
  <r>
    <d v="2022-03-22T00:00:00"/>
    <s v="Paiement PABPS"/>
    <x v="12"/>
    <s v="Investigation"/>
    <m/>
    <n v="1200"/>
    <n v="36791037"/>
    <x v="4"/>
    <s v="Oui"/>
    <s v="Wildcat"/>
    <s v="PALF"/>
    <s v="CONGO"/>
    <m/>
    <m/>
    <m/>
  </r>
  <r>
    <d v="2022-03-22T00:00:00"/>
    <s v="Paiement immigration "/>
    <x v="12"/>
    <s v="Investigation"/>
    <m/>
    <n v="4000"/>
    <n v="36787037"/>
    <x v="4"/>
    <s v="Oui"/>
    <s v="Wildcat"/>
    <s v="PALF"/>
    <s v="CONGO"/>
    <m/>
    <m/>
    <m/>
  </r>
  <r>
    <d v="2022-03-22T00:00:00"/>
    <s v="Achat crédit (arrivé à Kinshasa)/Investigation/I23C"/>
    <x v="2"/>
    <s v="Investigation"/>
    <m/>
    <n v="10000"/>
    <n v="36777037"/>
    <x v="4"/>
    <s v="Oui"/>
    <s v="Wildcat"/>
    <s v="PALF"/>
    <s v="CONGO"/>
    <m/>
    <m/>
    <m/>
  </r>
  <r>
    <d v="2022-03-22T00:00:00"/>
    <s v="Reçu de la caisse"/>
    <x v="1"/>
    <m/>
    <n v="76000"/>
    <m/>
    <n v="36853037"/>
    <x v="10"/>
    <m/>
    <m/>
    <m/>
    <s v="CONGO"/>
    <m/>
    <m/>
    <m/>
  </r>
  <r>
    <d v="2022-03-22T00:00:00"/>
    <s v="Billet Brazzaville-Oyo /Evariste"/>
    <x v="7"/>
    <s v="Media"/>
    <m/>
    <n v="7000"/>
    <n v="36846037"/>
    <x v="10"/>
    <s v="Oui"/>
    <s v="Wildcat"/>
    <s v="RALFF"/>
    <s v="CONGO"/>
    <m/>
    <s v="2.2"/>
    <m/>
  </r>
  <r>
    <d v="2022-03-22T00:00:00"/>
    <s v="Reçu caisse"/>
    <x v="1"/>
    <m/>
    <n v="116000"/>
    <m/>
    <n v="36962037"/>
    <x v="5"/>
    <m/>
    <m/>
    <m/>
    <s v="CONGO"/>
    <m/>
    <m/>
    <m/>
  </r>
  <r>
    <d v="2022-03-22T00:00:00"/>
    <s v="Achat du billet aller (Brazzaville-Dolisie)/Godfré"/>
    <x v="7"/>
    <s v="Legal"/>
    <m/>
    <n v="10000"/>
    <n v="36952037"/>
    <x v="5"/>
    <s v="Oui"/>
    <s v="Wildcat"/>
    <s v="RALFF"/>
    <s v="CONGO"/>
    <m/>
    <s v="2.2"/>
    <m/>
  </r>
  <r>
    <d v="2022-03-22T00:00:00"/>
    <s v="Recu caisse"/>
    <x v="1"/>
    <m/>
    <n v="20000"/>
    <m/>
    <n v="36972037"/>
    <x v="11"/>
    <m/>
    <m/>
    <m/>
    <s v="CONGO"/>
    <m/>
    <m/>
    <m/>
  </r>
  <r>
    <d v="2022-03-22T00:00:00"/>
    <s v="Reçu caisse"/>
    <x v="1"/>
    <m/>
    <n v="20000"/>
    <m/>
    <n v="36992037"/>
    <x v="12"/>
    <m/>
    <m/>
    <m/>
    <s v="CONGO"/>
    <m/>
    <m/>
    <m/>
  </r>
  <r>
    <d v="2022-03-22T00:00:00"/>
    <s v="Reçu caisse"/>
    <x v="1"/>
    <m/>
    <n v="94000"/>
    <m/>
    <n v="37086037"/>
    <x v="12"/>
    <m/>
    <m/>
    <m/>
    <s v="CONGO"/>
    <m/>
    <m/>
    <m/>
  </r>
  <r>
    <d v="2022-03-22T00:00:00"/>
    <s v="Achat Billet  Brazzaville- Oyo/Paule"/>
    <x v="7"/>
    <s v="Legal"/>
    <m/>
    <n v="7000"/>
    <n v="37079037"/>
    <x v="12"/>
    <s v="Oui"/>
    <s v="Wildcat"/>
    <s v="PALF"/>
    <s v="CONGO"/>
    <m/>
    <m/>
    <m/>
  </r>
  <r>
    <d v="2022-03-23T00:00:00"/>
    <s v="P29"/>
    <x v="1"/>
    <m/>
    <m/>
    <n v="100000"/>
    <n v="36979037"/>
    <x v="1"/>
    <m/>
    <m/>
    <m/>
    <s v="CONGO"/>
    <m/>
    <m/>
    <m/>
  </r>
  <r>
    <d v="2022-03-23T00:00:00"/>
    <s v="Hurielle"/>
    <x v="1"/>
    <m/>
    <m/>
    <n v="3000"/>
    <n v="36976037"/>
    <x v="1"/>
    <m/>
    <m/>
    <m/>
    <s v="CONGO"/>
    <m/>
    <m/>
    <m/>
  </r>
  <r>
    <d v="2022-03-23T00:00:00"/>
    <s v="Frais de transfert charden farell à P29"/>
    <x v="3"/>
    <s v="Office"/>
    <m/>
    <n v="3000"/>
    <n v="36973037"/>
    <x v="1"/>
    <s v="Oui"/>
    <s v="UE"/>
    <s v="RALFF"/>
    <s v="CONGO"/>
    <m/>
    <s v="5.6"/>
    <m/>
  </r>
  <r>
    <d v="2022-03-23T00:00:00"/>
    <s v="GODFRE - CONGO Food allowance du 23 au 26/03/2022 à Dolisie"/>
    <x v="8"/>
    <s v="Legal"/>
    <m/>
    <n v="30000"/>
    <n v="36943037"/>
    <x v="5"/>
    <s v="Décharge"/>
    <s v="Wildcat"/>
    <s v="RALFF"/>
    <s v="CONGO"/>
    <m/>
    <s v="1.3.2"/>
    <m/>
  </r>
  <r>
    <d v="2022-03-23T00:00:00"/>
    <s v="Recu caisse"/>
    <x v="1"/>
    <m/>
    <n v="3000"/>
    <m/>
    <n v="36946037"/>
    <x v="11"/>
    <m/>
    <m/>
    <m/>
    <s v="CONGO"/>
    <m/>
    <m/>
    <m/>
  </r>
  <r>
    <d v="2022-03-23T00:00:00"/>
    <s v="Recu de caisse"/>
    <x v="1"/>
    <m/>
    <n v="100000"/>
    <m/>
    <n v="37046037"/>
    <x v="6"/>
    <m/>
    <m/>
    <m/>
    <s v="CONGO"/>
    <m/>
    <m/>
    <m/>
  </r>
  <r>
    <d v="2022-03-23T00:00:00"/>
    <s v="PAULE - CONGO Food Allowance mission Oyo du 23 au 25-03-2022"/>
    <x v="8"/>
    <s v="Legal"/>
    <m/>
    <n v="20000"/>
    <n v="37026037"/>
    <x v="12"/>
    <s v="Décharge"/>
    <s v="Wildcat"/>
    <s v="PALF"/>
    <s v="CONGO"/>
    <m/>
    <m/>
    <m/>
  </r>
  <r>
    <d v="2022-03-23T00:00:00"/>
    <s v="EVARISTE LELOUSSI -CONGO Food Allowance du 23 au 26 mars 2021 mission Oyo"/>
    <x v="8"/>
    <s v="Media"/>
    <m/>
    <n v="30000"/>
    <n v="36996037"/>
    <x v="10"/>
    <s v="Décharge"/>
    <s v="Wildcat"/>
    <s v="RALFF"/>
    <s v="CONGO"/>
    <m/>
    <s v="1.3.2"/>
    <m/>
  </r>
  <r>
    <d v="2022-03-24T00:00:00"/>
    <s v="Achat crédit téléphone MTN/Tiffany"/>
    <x v="2"/>
    <s v="Management"/>
    <m/>
    <n v="5000"/>
    <n v="36991037"/>
    <x v="1"/>
    <s v="Oui"/>
    <s v="Wildcat"/>
    <s v="RALFF"/>
    <s v="CONGO"/>
    <m/>
    <s v="4.6"/>
    <m/>
  </r>
  <r>
    <d v="2022-03-24T00:00:00"/>
    <s v="Achat carte sim airtel/Investigation"/>
    <x v="11"/>
    <s v="Investigation"/>
    <m/>
    <n v="1500"/>
    <n v="36989537"/>
    <x v="4"/>
    <s v="Oui"/>
    <s v="Wildcat"/>
    <s v="PALF"/>
    <s v="CONGO"/>
    <m/>
    <m/>
    <m/>
  </r>
  <r>
    <d v="2022-03-24T00:00:00"/>
    <s v="Achat crédit téléphonique/Investigation/Kinshasa I23C"/>
    <x v="2"/>
    <s v="Investigation"/>
    <m/>
    <n v="3500"/>
    <n v="36986037"/>
    <x v="4"/>
    <s v="Oui"/>
    <s v="Wildcat"/>
    <s v="PALF"/>
    <s v="CONGO"/>
    <m/>
    <m/>
    <m/>
  </r>
  <r>
    <d v="2022-03-24T00:00:00"/>
    <s v="Cumul frais de trust building du mois Mars 2022/I23C"/>
    <x v="17"/>
    <s v="Investigation"/>
    <m/>
    <n v="40000"/>
    <n v="36946037"/>
    <x v="4"/>
    <s v="Décharge"/>
    <s v="Wildcat"/>
    <s v="PALF"/>
    <s v="CONGO"/>
    <m/>
    <m/>
    <m/>
  </r>
  <r>
    <d v="2022-03-24T00:00:00"/>
    <s v="P29 - CONGO Paiement 3 nuitées du 21 au 24-03-22 Djambala"/>
    <x v="8"/>
    <s v="Investigation"/>
    <m/>
    <n v="45000"/>
    <n v="36901037"/>
    <x v="6"/>
    <s v="Oui"/>
    <s v="Wildcat"/>
    <s v="RALFF"/>
    <s v="CONGO"/>
    <m/>
    <s v="1.3.2"/>
    <m/>
  </r>
  <r>
    <d v="2022-03-24T00:00:00"/>
    <s v="Achat billet djambala-lekana/P29"/>
    <x v="7"/>
    <s v="Investigation"/>
    <m/>
    <n v="3000"/>
    <n v="36898037"/>
    <x v="6"/>
    <s v="Oui"/>
    <s v="Wildcat"/>
    <s v="RALFF"/>
    <s v="CONGO"/>
    <m/>
    <s v="2.2"/>
    <m/>
  </r>
  <r>
    <d v="2022-03-24T00:00:00"/>
    <s v="Cumul frais de Jail Visits du mois de Mars 2022/Paule"/>
    <x v="18"/>
    <s v="Legal"/>
    <m/>
    <n v="15000"/>
    <n v="36883037"/>
    <x v="12"/>
    <s v="Décharge"/>
    <s v="Wildcat"/>
    <s v="PALF"/>
    <s v="CONGO"/>
    <m/>
    <m/>
    <m/>
  </r>
  <r>
    <d v="2022-03-24T00:00:00"/>
    <s v="Achat Billet Oyo - Brazzaville/Paule"/>
    <x v="7"/>
    <s v="Legal"/>
    <m/>
    <n v="7000"/>
    <n v="36876037"/>
    <x v="12"/>
    <s v="Oui"/>
    <s v="Wildcat"/>
    <s v="PALF"/>
    <s v="CONGO"/>
    <m/>
    <m/>
    <m/>
  </r>
  <r>
    <d v="2022-03-25T00:00:00"/>
    <s v="Evariste"/>
    <x v="1"/>
    <m/>
    <m/>
    <n v="33000"/>
    <n v="36843037"/>
    <x v="1"/>
    <m/>
    <m/>
    <m/>
    <s v="CONGO"/>
    <m/>
    <m/>
    <m/>
  </r>
  <r>
    <d v="2022-03-25T00:00:00"/>
    <s v="I23c"/>
    <x v="1"/>
    <m/>
    <m/>
    <n v="193000"/>
    <n v="36650037"/>
    <x v="1"/>
    <m/>
    <m/>
    <m/>
    <s v="CONGO"/>
    <m/>
    <m/>
    <m/>
  </r>
  <r>
    <d v="2022-03-25T00:00:00"/>
    <s v="Frais de transfert western union à I23C/Kinshasa"/>
    <x v="3"/>
    <s v="Office"/>
    <m/>
    <n v="12557"/>
    <n v="36637480"/>
    <x v="1"/>
    <s v="Oui"/>
    <s v="Wildcat"/>
    <s v="PALF"/>
    <s v="CONGO"/>
    <m/>
    <m/>
    <m/>
  </r>
  <r>
    <d v="2022-03-25T00:00:00"/>
    <s v="Frais de transfert charden farell à Evariste"/>
    <x v="3"/>
    <s v="Office"/>
    <m/>
    <n v="990"/>
    <n v="36636490"/>
    <x v="1"/>
    <s v="Oui"/>
    <s v="UE"/>
    <s v="RALFF"/>
    <s v="CONGO"/>
    <m/>
    <s v="5.6"/>
    <m/>
  </r>
  <r>
    <d v="2022-03-25T00:00:00"/>
    <s v="Reglément Facture Congo Telecom Redevance Avril 2022"/>
    <x v="19"/>
    <s v="Office"/>
    <m/>
    <n v="89175"/>
    <n v="36547315"/>
    <x v="1"/>
    <s v="Oui"/>
    <s v="UE"/>
    <s v="RALFF"/>
    <s v="CONGO"/>
    <m/>
    <s v="4.5"/>
    <m/>
  </r>
  <r>
    <d v="2022-03-25T00:00:00"/>
    <s v="Reçu caisse"/>
    <x v="1"/>
    <m/>
    <n v="193000"/>
    <m/>
    <n v="36740315"/>
    <x v="4"/>
    <m/>
    <m/>
    <m/>
    <s v="CONGO"/>
    <m/>
    <m/>
    <m/>
  </r>
  <r>
    <d v="2022-03-25T00:00:00"/>
    <s v="Reçu de la caisse"/>
    <x v="1"/>
    <m/>
    <n v="33000"/>
    <m/>
    <n v="36773315"/>
    <x v="10"/>
    <m/>
    <m/>
    <m/>
    <s v="CONGO"/>
    <m/>
    <m/>
    <m/>
  </r>
  <r>
    <d v="2022-03-25T00:00:00"/>
    <s v="Billet Oyo-Brazzaville /Evariste"/>
    <x v="7"/>
    <s v="Media"/>
    <m/>
    <n v="7000"/>
    <n v="36766315"/>
    <x v="10"/>
    <s v="Oui"/>
    <s v="Wildcat"/>
    <s v="RALFF"/>
    <s v="CONGO"/>
    <m/>
    <s v="2.2"/>
    <m/>
  </r>
  <r>
    <d v="2022-03-25T00:00:00"/>
    <s v="EVARISTE LELOUSSI -CONGO Frais d'hôtel du 23 au 26 mars 2022 (3 nuités)"/>
    <x v="8"/>
    <s v="Media"/>
    <m/>
    <n v="45000"/>
    <n v="36721315"/>
    <x v="10"/>
    <s v="Oui"/>
    <s v="Wildcat"/>
    <s v="RALFF"/>
    <s v="CONGO"/>
    <m/>
    <s v="1.3.2"/>
    <m/>
  </r>
  <r>
    <d v="2022-03-25T00:00:00"/>
    <s v="Cumul frais Jail visits mois de Mars 2022/EVARISTE LELOUSSI"/>
    <x v="18"/>
    <s v="Legal"/>
    <m/>
    <n v="5000"/>
    <n v="36716315"/>
    <x v="10"/>
    <s v="Décharge"/>
    <s v="Wildcat"/>
    <s v="PALF"/>
    <s v="CONGO"/>
    <m/>
    <m/>
    <m/>
  </r>
  <r>
    <d v="2022-03-25T00:00:00"/>
    <s v="Cumul frais de jails visits Mars 2022/Godfré"/>
    <x v="18"/>
    <s v="Legal"/>
    <m/>
    <n v="5000"/>
    <n v="36711315"/>
    <x v="5"/>
    <s v="Décharge"/>
    <s v="Wildcat"/>
    <s v="PALF"/>
    <s v="CONGO"/>
    <m/>
    <m/>
    <m/>
  </r>
  <r>
    <d v="2022-03-25T00:00:00"/>
    <s v="Cumul frais de Transport local mois de Mars 2022/Grace MOLENDE"/>
    <x v="7"/>
    <s v="Management"/>
    <m/>
    <n v="10000"/>
    <n v="36701315"/>
    <x v="13"/>
    <s v="Décharge"/>
    <s v="Wildcat"/>
    <s v="RALFF"/>
    <s v="CONGO"/>
    <m/>
    <s v="2.2"/>
    <m/>
  </r>
  <r>
    <d v="2022-03-25T00:00:00"/>
    <s v="PAULE CONGO Frais d'hotel 02 nuitées du 23 au 25-03-22 à Oyo"/>
    <x v="8"/>
    <s v="Legal"/>
    <m/>
    <n v="30000"/>
    <n v="36671315"/>
    <x v="12"/>
    <s v="Oui"/>
    <s v="Wildcat"/>
    <s v="PALF"/>
    <s v="CONGO"/>
    <m/>
    <m/>
    <m/>
  </r>
  <r>
    <d v="2022-03-26T00:00:00"/>
    <s v="Paiement frais de démarcheuur/I23C"/>
    <x v="7"/>
    <s v="Investigation"/>
    <m/>
    <n v="10000"/>
    <n v="36661315"/>
    <x v="4"/>
    <s v="Oui"/>
    <s v="Wildcat"/>
    <s v="PALF"/>
    <s v="CONGO"/>
    <m/>
    <m/>
    <m/>
  </r>
  <r>
    <d v="2022-03-26T00:00:00"/>
    <s v="Achat crédit téléphonique/Investigation/Kinshasa I23C"/>
    <x v="2"/>
    <s v="Investigation"/>
    <m/>
    <n v="5000"/>
    <n v="36656315"/>
    <x v="4"/>
    <s v="Oui"/>
    <s v="Wildcat"/>
    <s v="PALF"/>
    <s v="CONGO"/>
    <m/>
    <m/>
    <m/>
  </r>
  <r>
    <d v="2022-03-26T00:00:00"/>
    <s v="GODFRE - CONGO Frais d'hôtel du 23au 26/03/2022 à Dolisie"/>
    <x v="8"/>
    <s v="Legal"/>
    <m/>
    <n v="45000"/>
    <n v="36611315"/>
    <x v="5"/>
    <s v="Oui"/>
    <s v="Wildcat"/>
    <s v="RALFF"/>
    <s v="CONGO"/>
    <m/>
    <s v="1.3.2"/>
    <m/>
  </r>
  <r>
    <d v="2022-03-26T00:00:00"/>
    <s v="Achat billet retour (Dolisie-Brazzaville)Godfré"/>
    <x v="7"/>
    <s v="Legal"/>
    <m/>
    <n v="10000"/>
    <n v="36601315"/>
    <x v="5"/>
    <s v="Oui"/>
    <s v="Wildcat"/>
    <s v="RALFF"/>
    <s v="CONGO"/>
    <m/>
    <s v="2.2"/>
    <m/>
  </r>
  <r>
    <d v="2022-03-26T00:00:00"/>
    <s v="Achat billet Lekana-Djambala/P29"/>
    <x v="7"/>
    <s v="Investigation"/>
    <m/>
    <n v="3000"/>
    <n v="36598315"/>
    <x v="6"/>
    <s v="Oui"/>
    <s v="Wildcat"/>
    <s v="RALFF"/>
    <s v="CONGO"/>
    <m/>
    <s v="2.2"/>
    <m/>
  </r>
  <r>
    <d v="2022-03-26T00:00:00"/>
    <s v="Achat billet Djambala-Ngo/P29"/>
    <x v="7"/>
    <s v="Investigation"/>
    <m/>
    <n v="4000"/>
    <n v="36594315"/>
    <x v="6"/>
    <s v="Oui"/>
    <s v="Wildcat"/>
    <s v="RALFF"/>
    <s v="CONGO"/>
    <m/>
    <s v="2.2"/>
    <m/>
  </r>
  <r>
    <d v="2022-03-26T00:00:00"/>
    <s v="P29 - CONGO Frais Hotel 2 nuitées du 24 au 26-03-22 Lekana"/>
    <x v="8"/>
    <s v="Investigation"/>
    <m/>
    <n v="30000"/>
    <n v="36564315"/>
    <x v="6"/>
    <s v="Oui"/>
    <s v="Wildcat"/>
    <s v="RALFF"/>
    <s v="CONGO"/>
    <m/>
    <s v="1.3.2"/>
    <m/>
  </r>
  <r>
    <d v="2022-03-27T00:00:00"/>
    <s v="P29 - CONGO Frais Hotel 1 nuitée du 26 au 27/03-22 Ngo"/>
    <x v="8"/>
    <s v="Investigation"/>
    <m/>
    <n v="15000"/>
    <n v="36549315"/>
    <x v="6"/>
    <s v="Oui"/>
    <s v="Wildcat"/>
    <s v="RALFF"/>
    <s v="CONGO"/>
    <m/>
    <s v="1.3.2"/>
    <m/>
  </r>
  <r>
    <d v="2022-03-27T00:00:00"/>
    <s v="Achat billet Ngo-brazzaville/P29"/>
    <x v="7"/>
    <s v="Investigation"/>
    <m/>
    <n v="6000"/>
    <n v="36543315"/>
    <x v="6"/>
    <s v="Oui"/>
    <s v="Wildcat"/>
    <s v="RALFF"/>
    <s v="CONGO"/>
    <m/>
    <s v="2.2"/>
    <m/>
  </r>
  <r>
    <d v="2022-03-28T00:00:00"/>
    <s v="Achat crédit téléphone MTN/Tiffany"/>
    <x v="2"/>
    <s v="Management"/>
    <m/>
    <n v="5000"/>
    <n v="36538315"/>
    <x v="1"/>
    <s v="Oui"/>
    <s v="Wildcat"/>
    <s v="RALFF"/>
    <s v="CONGO"/>
    <m/>
    <s v="4.6"/>
    <m/>
  </r>
  <r>
    <d v="2022-03-28T00:00:00"/>
    <s v="I23C - CONGO Paiement hôtel 6 nuitées du 22 au 28 mars 2022/Kinshasa"/>
    <x v="8"/>
    <s v="Investigation"/>
    <m/>
    <n v="150000"/>
    <n v="36388315"/>
    <x v="4"/>
    <s v="Oui"/>
    <s v="Wildcat"/>
    <s v="PALF"/>
    <s v="CONGO"/>
    <m/>
    <m/>
    <m/>
  </r>
  <r>
    <d v="2022-03-28T00:00:00"/>
    <s v="Paiement billet et formalités (Retour Kinshasa - Brazzaville)/I23C"/>
    <x v="7"/>
    <s v="Investigation"/>
    <m/>
    <n v="20000"/>
    <n v="36368315"/>
    <x v="4"/>
    <s v="Oui"/>
    <s v="Wildcat"/>
    <s v="PALF"/>
    <s v="CONGO"/>
    <m/>
    <m/>
    <m/>
  </r>
  <r>
    <d v="2022-03-28T00:00:00"/>
    <s v="Paiement test COVID"/>
    <x v="12"/>
    <s v="Investigation"/>
    <m/>
    <n v="20000"/>
    <n v="36348315"/>
    <x v="4"/>
    <s v="Oui"/>
    <s v="Wildcat"/>
    <s v="PALF"/>
    <s v="CONGO"/>
    <m/>
    <m/>
    <m/>
  </r>
  <r>
    <d v="2022-03-28T00:00:00"/>
    <s v="Paiement redevance arrivé à Brazzaville PABPS"/>
    <x v="12"/>
    <s v="Investigation"/>
    <m/>
    <n v="1200"/>
    <n v="36347115"/>
    <x v="4"/>
    <s v="Oui"/>
    <s v="Wildcat"/>
    <s v="PALF"/>
    <s v="CONGO"/>
    <m/>
    <m/>
    <m/>
  </r>
  <r>
    <d v="2022-03-28T00:00:00"/>
    <s v="Cumul frais de transport Local du mois Mars 2022/I23C"/>
    <x v="7"/>
    <s v="Investigation"/>
    <m/>
    <n v="70000"/>
    <n v="36277115"/>
    <x v="4"/>
    <s v="Décharge"/>
    <s v="Wildcat"/>
    <s v="RALFF"/>
    <s v="CONGO"/>
    <m/>
    <s v="2.2"/>
    <m/>
  </r>
  <r>
    <d v="2022-03-29T00:00:00"/>
    <s v="Hurielle"/>
    <x v="1"/>
    <m/>
    <m/>
    <n v="15000"/>
    <n v="36262115"/>
    <x v="1"/>
    <m/>
    <m/>
    <m/>
    <s v="CONGO"/>
    <m/>
    <m/>
    <m/>
  </r>
  <r>
    <d v="2022-03-29T00:00:00"/>
    <s v="Bonus média/portant sur la condamnation d'un trafiquant de perroquets,le 24 Mars 2022 au TGI d'OYO"/>
    <x v="5"/>
    <s v="Media"/>
    <m/>
    <n v="150000"/>
    <n v="36112115"/>
    <x v="1"/>
    <s v="Decharge"/>
    <s v="Wildcat"/>
    <s v="PALF"/>
    <s v="CONGO"/>
    <m/>
    <m/>
    <m/>
  </r>
  <r>
    <d v="2022-03-29T00:00:00"/>
    <s v="Paiment Salaire Mois Mars 2022/Godfré MALONGA"/>
    <x v="14"/>
    <s v="Legal"/>
    <m/>
    <n v="193600"/>
    <n v="35918515"/>
    <x v="3"/>
    <n v="3643636"/>
    <s v="UE"/>
    <s v="RALFF"/>
    <s v="CONGO"/>
    <m/>
    <s v="1.1.1.7"/>
    <m/>
  </r>
  <r>
    <d v="2022-03-29T00:00:00"/>
    <s v="Paiment Salaire Mois Mars 2022/Merveille MAHANGA"/>
    <x v="14"/>
    <s v="Management"/>
    <m/>
    <n v="300000"/>
    <n v="35618515"/>
    <x v="3"/>
    <n v="3643637"/>
    <s v="UE"/>
    <s v="RALFF"/>
    <s v="CONGO"/>
    <m/>
    <s v="1.1.2.1"/>
    <m/>
  </r>
  <r>
    <d v="2022-03-29T00:00:00"/>
    <s v="Paiment Salaire Mois Mars 2022/Evariste LELOUSSI"/>
    <x v="14"/>
    <s v="Media"/>
    <m/>
    <n v="234309"/>
    <n v="35384206"/>
    <x v="3"/>
    <n v="3643638"/>
    <s v="UE"/>
    <s v="RALFF"/>
    <s v="CONGO"/>
    <m/>
    <s v="1.1.1.4"/>
    <m/>
  </r>
  <r>
    <d v="2022-03-29T00:00:00"/>
    <s v="Paiment Salaire Mois Mars 2022/Grace MOLENDE"/>
    <x v="14"/>
    <s v="Management"/>
    <m/>
    <n v="350000"/>
    <n v="35034206"/>
    <x v="3"/>
    <s v="Virement"/>
    <s v="UE"/>
    <s v="RALFF"/>
    <s v="CONGO"/>
    <m/>
    <s v="1.1.2.1"/>
    <m/>
  </r>
  <r>
    <d v="2022-03-29T00:00:00"/>
    <s v="Paiment Salaire Mois de Mars 2022/Tiffany GOBERT"/>
    <x v="14"/>
    <s v="Management"/>
    <m/>
    <n v="1311914"/>
    <n v="33722292"/>
    <x v="3"/>
    <n v="3643640"/>
    <s v="UE"/>
    <s v="RALFF"/>
    <s v="CONGO"/>
    <m/>
    <s v="1.1.1.1"/>
    <m/>
  </r>
  <r>
    <d v="2022-03-29T00:00:00"/>
    <s v="Reglement loyer mois de Mars 2022/Bureau PALF"/>
    <x v="13"/>
    <s v="Office"/>
    <m/>
    <n v="500000"/>
    <n v="33222292"/>
    <x v="3"/>
    <n v="3643641"/>
    <s v="UE"/>
    <s v="RALFF"/>
    <s v="CONGO"/>
    <m/>
    <s v="4.2"/>
    <m/>
  </r>
  <r>
    <d v="2022-03-29T00:00:00"/>
    <s v="Recu caisse"/>
    <x v="1"/>
    <m/>
    <n v="15000"/>
    <m/>
    <n v="33237292"/>
    <x v="11"/>
    <m/>
    <m/>
    <m/>
    <s v="CONGO"/>
    <m/>
    <m/>
    <m/>
  </r>
  <r>
    <d v="2022-03-29T00:00:00"/>
    <s v="cumul frais Transport Local Mois de Mars 2022/P29"/>
    <x v="7"/>
    <s v="Investigation"/>
    <m/>
    <n v="60500"/>
    <n v="33176792"/>
    <x v="6"/>
    <s v="Décharge"/>
    <s v="Wildcat"/>
    <s v="RALFF"/>
    <s v="CONGO"/>
    <m/>
    <s v="2.2"/>
    <m/>
  </r>
  <r>
    <d v="2022-03-29T00:00:00"/>
    <s v="Cumul frais Trust Building Mois de Mars 2022/P29"/>
    <x v="17"/>
    <s v="Investigation"/>
    <m/>
    <n v="28500"/>
    <n v="33148292"/>
    <x v="6"/>
    <s v="Décharge"/>
    <s v="Wildcat"/>
    <s v="PALF"/>
    <s v="CONGO"/>
    <m/>
    <m/>
    <m/>
  </r>
  <r>
    <d v="2022-03-30T00:00:00"/>
    <s v="BCI-3654473/34"/>
    <x v="1"/>
    <m/>
    <n v="1000000"/>
    <m/>
    <n v="34148292"/>
    <x v="1"/>
    <m/>
    <m/>
    <m/>
    <s v="CONGO"/>
    <m/>
    <m/>
    <m/>
  </r>
  <r>
    <d v="2022-03-30T00:00:00"/>
    <s v="Evariste"/>
    <x v="1"/>
    <m/>
    <m/>
    <n v="15000"/>
    <n v="34133292"/>
    <x v="1"/>
    <m/>
    <m/>
    <m/>
    <s v="CONGO"/>
    <m/>
    <m/>
    <m/>
  </r>
  <r>
    <d v="2022-03-30T00:00:00"/>
    <s v="Achat 50 litres de gazoil pour le groupe electrogène"/>
    <x v="13"/>
    <s v="Office"/>
    <m/>
    <n v="24000"/>
    <n v="34109292"/>
    <x v="1"/>
    <s v="Oui"/>
    <s v="Wildcat"/>
    <s v="RALFF"/>
    <s v="CONGO"/>
    <m/>
    <s v="4.4"/>
    <m/>
  </r>
  <r>
    <d v="2022-03-30T00:00:00"/>
    <s v="Hurielle"/>
    <x v="1"/>
    <m/>
    <m/>
    <n v="82000"/>
    <n v="34027292"/>
    <x v="1"/>
    <m/>
    <m/>
    <m/>
    <s v="CONGO"/>
    <m/>
    <m/>
    <m/>
  </r>
  <r>
    <d v="2022-03-30T00:00:00"/>
    <s v="Frais de mission maitre Scrutin MOUYETI à Dolisie du 31/03 au 02/04/2022/cas MANGUILA et Serge"/>
    <x v="4"/>
    <s v="Legal"/>
    <m/>
    <n v="76000"/>
    <n v="33951292"/>
    <x v="1"/>
    <s v="Oui"/>
    <s v="Wildcat"/>
    <s v="RALFF"/>
    <s v="CONGO"/>
    <m/>
    <s v="5.2.2"/>
    <m/>
  </r>
  <r>
    <d v="2022-03-30T00:00:00"/>
    <s v="Reglement prestation Entretient bureau Mois de Mars  2022/Odile"/>
    <x v="9"/>
    <s v="Office"/>
    <m/>
    <n v="75625"/>
    <n v="33875667"/>
    <x v="1"/>
    <s v="Oui"/>
    <s v="Wildcat"/>
    <s v="PALF"/>
    <s v="CONGO"/>
    <m/>
    <m/>
    <m/>
  </r>
  <r>
    <d v="2022-03-30T00:00:00"/>
    <s v="Retrait especes/appro caisse/bord n°3654473"/>
    <x v="1"/>
    <m/>
    <m/>
    <n v="1000000"/>
    <n v="32875667"/>
    <x v="2"/>
    <m/>
    <m/>
    <m/>
    <s v="CONGO"/>
    <m/>
    <m/>
    <m/>
  </r>
  <r>
    <d v="2022-03-30T00:00:00"/>
    <s v="Reglement Facture Gardiennage Mois de Mars 2022/3654476"/>
    <x v="9"/>
    <s v="Office"/>
    <m/>
    <n v="260000"/>
    <n v="32615667"/>
    <x v="2"/>
    <n v="3654476"/>
    <s v="Wildcat"/>
    <s v="PALF"/>
    <s v="CONGO"/>
    <m/>
    <m/>
    <m/>
  </r>
  <r>
    <d v="2022-03-30T00:00:00"/>
    <s v="Reglement facture honoraire du mois de Mars 2022/I23C/chq n°3643643"/>
    <x v="14"/>
    <s v="Investigation"/>
    <m/>
    <n v="400000"/>
    <n v="32215667"/>
    <x v="3"/>
    <n v="3643643"/>
    <s v="UE"/>
    <s v="RALFF"/>
    <s v="CONGO"/>
    <m/>
    <s v="1.1.1.9"/>
    <m/>
  </r>
  <r>
    <d v="2022-03-30T00:00:00"/>
    <s v="Reglement facture honoraire du mois de Mars 2022/P29/chq n°3643645"/>
    <x v="14"/>
    <s v="Investigation"/>
    <m/>
    <n v="225000"/>
    <n v="31990667"/>
    <x v="3"/>
    <n v="3643644"/>
    <s v="UE"/>
    <s v="RALFF"/>
    <s v="CONGO"/>
    <m/>
    <s v="1.1.1.9"/>
    <m/>
  </r>
  <r>
    <d v="2022-03-30T00:00:00"/>
    <s v="Reçu de la caisse"/>
    <x v="1"/>
    <m/>
    <n v="15000"/>
    <m/>
    <n v="32005667"/>
    <x v="10"/>
    <m/>
    <m/>
    <m/>
    <s v="CONGO"/>
    <m/>
    <m/>
    <m/>
  </r>
  <r>
    <d v="2022-03-30T00:00:00"/>
    <s v="Cumul frais Transport Local mois de Mars 2022/EVARISTE LELOUSSI"/>
    <x v="7"/>
    <s v="Media"/>
    <m/>
    <n v="52500"/>
    <n v="31953167"/>
    <x v="10"/>
    <s v="Décharge"/>
    <s v="Wildcat"/>
    <s v="RALFF"/>
    <s v="CONGO"/>
    <m/>
    <s v="2.2"/>
    <m/>
  </r>
  <r>
    <d v="2022-03-30T00:00:00"/>
    <s v="Cumul frais de Ration journalière Mois de Mars 2022/Hurielle"/>
    <x v="8"/>
    <s v="Legal"/>
    <m/>
    <n v="13000"/>
    <n v="31940167"/>
    <x v="11"/>
    <s v="Décharge"/>
    <s v="Wildcat"/>
    <s v="PALF"/>
    <s v="CONGO"/>
    <m/>
    <m/>
    <m/>
  </r>
  <r>
    <d v="2022-03-30T00:00:00"/>
    <s v="Recu caisse"/>
    <x v="1"/>
    <m/>
    <n v="82000"/>
    <m/>
    <n v="32022167"/>
    <x v="11"/>
    <m/>
    <m/>
    <m/>
    <s v="CONGO"/>
    <m/>
    <m/>
    <m/>
  </r>
  <r>
    <d v="2022-03-30T00:00:00"/>
    <s v="Achat Billet Océan du Nord Brazzaville-Dolisie/Hurielle"/>
    <x v="7"/>
    <s v="Legal"/>
    <m/>
    <n v="10000"/>
    <n v="32012167"/>
    <x v="11"/>
    <s v="Oui"/>
    <s v="Wildcat"/>
    <s v="PALF"/>
    <s v="CONGO"/>
    <m/>
    <m/>
    <m/>
  </r>
  <r>
    <d v="2022-03-31T00:00:00"/>
    <s v="Cumul frais de transport local Mars 2022/Godfré"/>
    <x v="7"/>
    <s v="Legal"/>
    <m/>
    <n v="39700"/>
    <n v="31972467"/>
    <x v="5"/>
    <s v="Décharge"/>
    <s v="Wildcat"/>
    <s v="RALFF"/>
    <s v="CONGO"/>
    <m/>
    <s v="2.2"/>
    <m/>
  </r>
  <r>
    <d v="2022-03-31T00:00:00"/>
    <s v="Cumul frais de Jail Visits Mois de Mars 2022/Hurielle"/>
    <x v="18"/>
    <s v="Legal"/>
    <m/>
    <n v="4000"/>
    <n v="31968467"/>
    <x v="11"/>
    <s v="Décharge"/>
    <s v="Wildcat"/>
    <s v="PALF"/>
    <s v="CONGO"/>
    <m/>
    <m/>
    <m/>
  </r>
  <r>
    <d v="2022-03-31T00:00:00"/>
    <s v="HURIELLE - CONGO Food Allowanse du 31 Mars-02 Avril 2022 à Dolisie"/>
    <x v="8"/>
    <s v="Legal"/>
    <m/>
    <n v="20000"/>
    <n v="31948467"/>
    <x v="11"/>
    <s v="Décharge"/>
    <s v="Wildcat"/>
    <s v="PALF"/>
    <s v="CONGO"/>
    <m/>
    <m/>
    <m/>
  </r>
  <r>
    <d v="2022-03-31T00:00:00"/>
    <s v="Cumul frais de Transport Local de Mars 2022/Hurielle"/>
    <x v="7"/>
    <s v="Legal"/>
    <m/>
    <n v="36000"/>
    <n v="31912467"/>
    <x v="11"/>
    <s v="Décharge"/>
    <s v="Wildcat"/>
    <s v="PALF"/>
    <s v="CONGO"/>
    <m/>
    <m/>
    <m/>
  </r>
  <r>
    <d v="2022-03-31T00:00:00"/>
    <s v="Cumul frais de transport local mois de Mars 2022/Merveille"/>
    <x v="7"/>
    <s v="Management"/>
    <m/>
    <n v="20400"/>
    <n v="31892067"/>
    <x v="9"/>
    <s v="Décharge"/>
    <s v="Wildcat"/>
    <s v="RALFF"/>
    <s v="CONGO"/>
    <m/>
    <s v="2.2"/>
    <m/>
  </r>
  <r>
    <d v="2022-03-31T00:00:00"/>
    <s v="Cumul ration journalière du mois de Mars 2022/Paule"/>
    <x v="8"/>
    <s v="Legal"/>
    <m/>
    <n v="11000"/>
    <n v="31881067"/>
    <x v="12"/>
    <s v="Décharge"/>
    <s v="Wildcat"/>
    <s v="PALF"/>
    <s v="CONGO"/>
    <m/>
    <m/>
    <m/>
  </r>
  <r>
    <d v="2022-03-31T00:00:00"/>
    <s v="Cumul transport local du mois de Mars 2022/Paule"/>
    <x v="7"/>
    <s v="Legal"/>
    <m/>
    <n v="33000"/>
    <n v="31848067"/>
    <x v="12"/>
    <s v="Décharge"/>
    <s v="Wildcat"/>
    <s v="PALF"/>
    <s v="CONGO"/>
    <m/>
    <m/>
    <m/>
  </r>
  <r>
    <d v="2022-03-31T00:00:00"/>
    <s v="Cumul frais transport local mois de Mars 2022/Tiffany"/>
    <x v="7"/>
    <s v="Management"/>
    <m/>
    <n v="18500"/>
    <n v="31829567"/>
    <x v="8"/>
    <s v="Décharge"/>
    <s v="Wildcat"/>
    <s v="RALFF"/>
    <s v="CONGO"/>
    <m/>
    <s v="2.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3">
  <r>
    <d v="2022-03-01T00:00:00"/>
    <s v="Solde au 01/03/2022"/>
    <m/>
    <m/>
    <m/>
    <m/>
    <n v="3382917"/>
    <m/>
    <m/>
    <x v="0"/>
    <m/>
    <s v="CONGO"/>
    <m/>
    <m/>
    <m/>
  </r>
  <r>
    <d v="2022-03-01T00:00:00"/>
    <s v="I23c"/>
    <s v="Versement"/>
    <m/>
    <m/>
    <n v="116000"/>
    <n v="3266917"/>
    <s v="Caisse"/>
    <m/>
    <x v="0"/>
    <m/>
    <s v="CONGO"/>
    <m/>
    <m/>
    <m/>
  </r>
  <r>
    <d v="2022-03-01T00:00:00"/>
    <s v="Achat credit  teléphonique MTN/PALF/Prémière partie Mars 2022/Management"/>
    <s v="Telephone"/>
    <s v="Management "/>
    <m/>
    <n v="42000"/>
    <n v="3224917"/>
    <s v="Caisse"/>
    <s v="Oui"/>
    <x v="1"/>
    <s v="RALFF"/>
    <s v="CONGO"/>
    <m/>
    <s v="4.6"/>
    <m/>
  </r>
  <r>
    <d v="2022-03-01T00:00:00"/>
    <s v="Achat credit  teléphonique MTN/PALF/Prémière partie Mars 2022/Legal"/>
    <s v="Telephone"/>
    <s v="Legal"/>
    <m/>
    <n v="37000"/>
    <n v="3187917"/>
    <s v="Caisse"/>
    <s v="Oui"/>
    <x v="1"/>
    <s v="RALFF"/>
    <s v="CONGO"/>
    <m/>
    <s v="4.6"/>
    <m/>
  </r>
  <r>
    <d v="2022-03-01T00:00:00"/>
    <s v="Achat credit  teléphonique MTN/PALF/Prémière partie Mars 2022/Investigation"/>
    <s v="Telephone"/>
    <s v="Investigation"/>
    <m/>
    <n v="20000"/>
    <n v="3167917"/>
    <s v="Caisse"/>
    <s v="Oui"/>
    <x v="1"/>
    <s v="RALFF"/>
    <s v="CONGO"/>
    <m/>
    <s v="4.6"/>
    <m/>
  </r>
  <r>
    <d v="2022-03-01T00:00:00"/>
    <s v="Achat credit  teléphonique MTN/PALF/Prémière partie Mars 2022/Media"/>
    <s v="Telephone"/>
    <s v="Media"/>
    <m/>
    <n v="5000"/>
    <n v="3162917"/>
    <s v="Caisse"/>
    <s v="Oui"/>
    <x v="1"/>
    <s v="RALFF"/>
    <s v="CONGO"/>
    <m/>
    <s v="4.6"/>
    <m/>
  </r>
  <r>
    <d v="2022-03-01T00:00:00"/>
    <s v="Achat credit  teléphonique Airtel/PALF/Prémière partie Mars 2022/Management"/>
    <s v="Telephone"/>
    <s v="Management "/>
    <m/>
    <n v="32000"/>
    <n v="3130917"/>
    <s v="Caisse"/>
    <s v="Oui"/>
    <x v="1"/>
    <s v="RALFF"/>
    <s v="CONGO"/>
    <m/>
    <s v="4.6"/>
    <m/>
  </r>
  <r>
    <d v="2022-03-01T00:00:00"/>
    <s v="Achat credit  teléphonique Airtel/PALF/Prémière partie Mars 2022/Legal"/>
    <s v="Telephone"/>
    <s v="Legal"/>
    <m/>
    <n v="5000"/>
    <n v="3125917"/>
    <s v="Caisse"/>
    <s v="Oui"/>
    <x v="1"/>
    <s v="RALFF"/>
    <s v="CONGO"/>
    <m/>
    <s v="4.6"/>
    <m/>
  </r>
  <r>
    <d v="2022-03-01T00:00:00"/>
    <s v="Achat credit  teléphonique Airtel/PALF/Prémière partie Mars 2022/Investigation"/>
    <s v="Telephone"/>
    <s v="Investigation"/>
    <m/>
    <n v="32000"/>
    <n v="3093917"/>
    <s v="Caisse"/>
    <s v="Oui"/>
    <x v="1"/>
    <s v="RALFF"/>
    <s v="CONGO"/>
    <m/>
    <s v="4.6"/>
    <m/>
  </r>
  <r>
    <d v="2022-03-01T00:00:00"/>
    <s v="Achat credit  teléphonique Airtel/PALF/Prémière partie Mars 2022/Media"/>
    <s v="Telephone"/>
    <s v="Media"/>
    <m/>
    <n v="11000"/>
    <n v="3082917"/>
    <s v="Caisse"/>
    <s v="Oui"/>
    <x v="1"/>
    <s v="RALFF"/>
    <s v="CONGO"/>
    <m/>
    <s v="4.6"/>
    <m/>
  </r>
  <r>
    <d v="2022-03-01T00:00:00"/>
    <s v="Godfre"/>
    <s v="Versement"/>
    <m/>
    <m/>
    <n v="29000"/>
    <n v="3053917"/>
    <s v="Caisse"/>
    <m/>
    <x v="0"/>
    <m/>
    <s v="CONGO"/>
    <m/>
    <m/>
    <m/>
  </r>
  <r>
    <d v="2022-03-01T00:00:00"/>
    <s v="Frais de transfert Charden Farell/Godfré"/>
    <s v="Transfer Fees"/>
    <s v="Office"/>
    <m/>
    <n v="1680"/>
    <n v="3052237"/>
    <s v="Caisse"/>
    <s v="Oui"/>
    <x v="2"/>
    <s v="RALFF"/>
    <s v="CONGO"/>
    <m/>
    <s v="5.6"/>
    <m/>
  </r>
  <r>
    <d v="2022-03-01T00:00:00"/>
    <s v="Complément frais de mission maitre Anicet à Pointe-Noire du 01 au 02/03/2022"/>
    <s v="Lawyer fees"/>
    <s v="Legal"/>
    <m/>
    <n v="27000"/>
    <n v="3025237"/>
    <s v="Caisse"/>
    <s v="Oui"/>
    <x v="1"/>
    <s v="RALFF"/>
    <s v="CONGO"/>
    <m/>
    <s v="5.2.2"/>
    <m/>
  </r>
  <r>
    <d v="2022-03-01T00:00:00"/>
    <s v="BCI-3654471/34"/>
    <s v="Versement"/>
    <m/>
    <n v="600000"/>
    <m/>
    <n v="3625237"/>
    <s v="Caisse"/>
    <m/>
    <x v="0"/>
    <m/>
    <s v="CONGO"/>
    <m/>
    <m/>
    <m/>
  </r>
  <r>
    <d v="2022-03-01T00:00:00"/>
    <s v="BCI-3643627/56"/>
    <s v="Versement"/>
    <m/>
    <n v="600000"/>
    <m/>
    <n v="4225237"/>
    <s v="Caisse"/>
    <m/>
    <x v="0"/>
    <m/>
    <s v="CONGO"/>
    <m/>
    <m/>
    <m/>
  </r>
  <r>
    <d v="2022-03-01T00:00:00"/>
    <s v="Bonus Média/op du 19/02/2022 sur OP "/>
    <s v="Bonus"/>
    <s v="Media"/>
    <m/>
    <n v="150000"/>
    <n v="4075237"/>
    <s v="Caisse"/>
    <s v="Decharge"/>
    <x v="1"/>
    <s v="PALF"/>
    <s v="CONGO"/>
    <m/>
    <m/>
    <m/>
  </r>
  <r>
    <d v="2022-03-01T00:00:00"/>
    <s v="Retrait especes/appro caisse/bord n°3654471"/>
    <s v="Versement"/>
    <m/>
    <m/>
    <n v="600000"/>
    <n v="3475237"/>
    <s v="BCI"/>
    <m/>
    <x v="0"/>
    <m/>
    <s v="CONGO"/>
    <m/>
    <m/>
    <m/>
  </r>
  <r>
    <d v="2022-03-01T00:00:00"/>
    <s v="Retrait especes/appro caisse/bord n°3643627"/>
    <s v="Versement"/>
    <m/>
    <m/>
    <n v="600000"/>
    <n v="2875237"/>
    <s v="BCI-Sous Compte"/>
    <m/>
    <x v="0"/>
    <m/>
    <s v="CONGO"/>
    <m/>
    <m/>
    <m/>
  </r>
  <r>
    <d v="2022-03-01T00:00:00"/>
    <s v="Frais Bancaire"/>
    <s v="Bank Fees"/>
    <s v="Office"/>
    <m/>
    <n v="16099"/>
    <n v="2859138"/>
    <s v="BCI-Sous Compte"/>
    <s v="releve"/>
    <x v="2"/>
    <s v="RALFF"/>
    <s v="CONGO"/>
    <m/>
    <s v="5.6"/>
    <m/>
  </r>
  <r>
    <d v="2022-03-01T00:00:00"/>
    <s v="Reçu caisse"/>
    <s v="Versement"/>
    <m/>
    <n v="116000"/>
    <m/>
    <n v="2975138"/>
    <s v="i23c"/>
    <m/>
    <x v="0"/>
    <m/>
    <s v="CONGO"/>
    <m/>
    <m/>
    <m/>
  </r>
  <r>
    <d v="2022-03-01T00:00:00"/>
    <s v="Reçu caisse"/>
    <s v="Versement"/>
    <m/>
    <n v="29000"/>
    <m/>
    <n v="3004138"/>
    <s v="Godfré"/>
    <m/>
    <x v="0"/>
    <m/>
    <s v="CONGO"/>
    <m/>
    <m/>
    <m/>
  </r>
  <r>
    <d v="2022-03-01T00:00:00"/>
    <s v="Achat billet zanaga-sibiti/P29"/>
    <s v="Transport"/>
    <s v="Investigation"/>
    <m/>
    <n v="10000"/>
    <n v="2994138"/>
    <s v="P29"/>
    <s v="Oui"/>
    <x v="1"/>
    <s v="RALFF"/>
    <s v="CONGO"/>
    <m/>
    <s v="2.2"/>
    <m/>
  </r>
  <r>
    <d v="2022-03-01T00:00:00"/>
    <s v="Achat billet sibiti-loudima/P29"/>
    <s v="Transport"/>
    <s v="Investigation"/>
    <m/>
    <n v="4000"/>
    <n v="2990138"/>
    <s v="P29"/>
    <s v="Oui"/>
    <x v="1"/>
    <s v="RALFF"/>
    <s v="CONGO"/>
    <m/>
    <s v="2.2"/>
    <m/>
  </r>
  <r>
    <d v="2022-03-01T00:00:00"/>
    <s v="Achat billet loudima-brazzaville/P29"/>
    <s v="Transport"/>
    <s v="Investigation"/>
    <m/>
    <n v="10000"/>
    <n v="2980138"/>
    <s v="P29"/>
    <s v="Oui"/>
    <x v="1"/>
    <s v="RALFF"/>
    <s v="CONGO"/>
    <m/>
    <s v="2.2"/>
    <m/>
  </r>
  <r>
    <d v="2022-03-01T00:00:00"/>
    <s v="P29 - CONGO Paiement 3 nuitées du 26/02 au 01/03/22 Zanaga"/>
    <s v="Travel Subsistence"/>
    <s v="Investigation"/>
    <m/>
    <n v="45000"/>
    <n v="2935138"/>
    <s v="P29"/>
    <s v="Oui"/>
    <x v="1"/>
    <s v="RALFF"/>
    <s v="CONGO"/>
    <m/>
    <s v="1.3.2"/>
    <m/>
  </r>
  <r>
    <d v="2022-03-02T00:00:00"/>
    <s v="Reglement prestation Entretient bureau Mois de Février 2022/Odile"/>
    <s v="Services"/>
    <s v="Office"/>
    <m/>
    <n v="75625"/>
    <n v="2859513"/>
    <s v="Caisse"/>
    <s v="Oui"/>
    <x v="1"/>
    <s v="PALF"/>
    <s v="CONGO"/>
    <m/>
    <m/>
    <m/>
  </r>
  <r>
    <d v="2022-03-02T00:00:00"/>
    <s v="Crepin/retour caisse remboursement avance sur salaire"/>
    <s v="Versement"/>
    <m/>
    <n v="30000"/>
    <m/>
    <n v="2889513"/>
    <s v="Caisse"/>
    <m/>
    <x v="0"/>
    <m/>
    <s v="CONGO"/>
    <m/>
    <m/>
    <m/>
  </r>
  <r>
    <d v="2022-03-02T00:00:00"/>
    <s v="Reglement Facture Gardiennage Mois de Février 2022/3654472"/>
    <s v="Services"/>
    <s v="Office"/>
    <m/>
    <n v="260000"/>
    <n v="2629513"/>
    <s v="BCI"/>
    <n v="3654472"/>
    <x v="1"/>
    <s v="PALF"/>
    <s v="CONGO"/>
    <m/>
    <m/>
    <m/>
  </r>
  <r>
    <d v="2022-03-02T00:00:00"/>
    <s v="Fond Reçu de UE"/>
    <s v="Grant"/>
    <m/>
    <n v="28356365"/>
    <m/>
    <n v="30985878"/>
    <s v="BCI-Sous Compte"/>
    <s v="releve"/>
    <x v="2"/>
    <s v="RALFF"/>
    <s v="CONGO"/>
    <m/>
    <m/>
    <m/>
  </r>
  <r>
    <d v="2022-03-02T00:00:00"/>
    <s v="Retour à la caisse"/>
    <s v="Versement"/>
    <m/>
    <m/>
    <n v="30000"/>
    <n v="30955878"/>
    <s v="Crépin"/>
    <m/>
    <x v="0"/>
    <m/>
    <s v="CONGO"/>
    <m/>
    <m/>
    <m/>
  </r>
  <r>
    <d v="2022-03-02T00:00:00"/>
    <s v="Achat billet retour (Pointe Noire-Brazzaville)/Godfré"/>
    <s v="Transport"/>
    <s v="Legal"/>
    <m/>
    <n v="15000"/>
    <n v="30940878"/>
    <s v="Godfré"/>
    <s v="Oui"/>
    <x v="1"/>
    <s v="RALFF"/>
    <s v="CONGO"/>
    <m/>
    <s v="2.2"/>
    <m/>
  </r>
  <r>
    <d v="2022-03-02T00:00:00"/>
    <s v="GODFRE - CONGO Frais d'hôtel du 28/02 au 02/03/2022 PNR"/>
    <s v="Travel Subsistence"/>
    <s v="Legal"/>
    <m/>
    <n v="30000"/>
    <n v="30910878"/>
    <s v="Godfré"/>
    <s v="Oui"/>
    <x v="1"/>
    <s v="RALFF"/>
    <s v="CONGO"/>
    <m/>
    <s v="1.3.2"/>
    <m/>
  </r>
  <r>
    <d v="2022-03-03T00:00:00"/>
    <s v="Achat 02 paquets de chemises cartonées et 01 paquet de sous chemise"/>
    <s v="Office Materials"/>
    <s v="Office"/>
    <m/>
    <n v="12000"/>
    <n v="30898878"/>
    <s v="Caisse"/>
    <s v="Oui"/>
    <x v="1"/>
    <s v="RALFF"/>
    <s v="CONGO"/>
    <m/>
    <s v="4.3"/>
    <m/>
  </r>
  <r>
    <d v="2022-03-03T00:00:00"/>
    <s v="Achat 07 ampoules pour le bureau"/>
    <s v="Office Materials"/>
    <s v="Office"/>
    <m/>
    <n v="10500"/>
    <n v="30888378"/>
    <s v="Caisse"/>
    <s v="Oui"/>
    <x v="1"/>
    <s v="PALF"/>
    <s v="CONGO"/>
    <m/>
    <m/>
    <m/>
  </r>
  <r>
    <d v="2022-03-04T00:00:00"/>
    <s v="P29"/>
    <s v="Versement"/>
    <m/>
    <m/>
    <n v="117000"/>
    <n v="30771378"/>
    <s v="Caisse"/>
    <m/>
    <x v="0"/>
    <m/>
    <s v="CONGO"/>
    <m/>
    <m/>
    <m/>
  </r>
  <r>
    <d v="2022-03-04T00:00:00"/>
    <s v="Recu de caisse"/>
    <s v="Versement"/>
    <m/>
    <n v="117000"/>
    <m/>
    <n v="30888378"/>
    <s v="P29"/>
    <m/>
    <x v="0"/>
    <m/>
    <s v="CONGO"/>
    <m/>
    <m/>
    <m/>
  </r>
  <r>
    <d v="2022-03-05T00:00:00"/>
    <s v="Achat billet brazzaville-dolisie/P29"/>
    <s v="Transport"/>
    <s v="Investigation"/>
    <m/>
    <n v="10000"/>
    <n v="30878378"/>
    <s v="P29"/>
    <s v="Oui"/>
    <x v="1"/>
    <s v="RALFF"/>
    <s v="CONGO"/>
    <m/>
    <s v="2.2"/>
    <m/>
  </r>
  <r>
    <d v="2022-03-06T00:00:00"/>
    <s v="P29 - CONGO Food allowance mission du 06 au 12-03-22"/>
    <s v="Travel Subsistence"/>
    <s v="Investigation"/>
    <m/>
    <n v="60000"/>
    <n v="30818378"/>
    <s v="P29"/>
    <s v="Décharge"/>
    <x v="1"/>
    <s v="RALFF"/>
    <s v="CONGO"/>
    <m/>
    <s v="1.3.2"/>
    <m/>
  </r>
  <r>
    <d v="2022-03-07T00:00:00"/>
    <s v="I23c"/>
    <s v="Versement"/>
    <m/>
    <m/>
    <n v="107000"/>
    <n v="30711378"/>
    <s v="Caisse"/>
    <m/>
    <x v="0"/>
    <m/>
    <s v="CONGO"/>
    <m/>
    <m/>
    <m/>
  </r>
  <r>
    <d v="2022-03-07T00:00:00"/>
    <s v="Bonus média interpellation du 19/02/2022"/>
    <s v="Bonus"/>
    <s v="Media"/>
    <m/>
    <n v="46000"/>
    <n v="30665378"/>
    <s v="Caisse"/>
    <s v="Decharge"/>
    <x v="1"/>
    <s v="PALF"/>
    <s v="CONGO"/>
    <m/>
    <m/>
    <m/>
  </r>
  <r>
    <d v="2022-03-07T00:00:00"/>
    <s v="Frais bancaire"/>
    <s v="Bank Fees"/>
    <s v="Office"/>
    <m/>
    <n v="23345"/>
    <n v="30642033"/>
    <s v="BCI"/>
    <s v="Relevé"/>
    <x v="1"/>
    <s v="PALF"/>
    <s v="CONGO"/>
    <m/>
    <m/>
    <m/>
  </r>
  <r>
    <d v="2022-03-07T00:00:00"/>
    <s v="Paiement Honoraire Me LOCKO/Mois de Février 2022"/>
    <s v="Lawyer fees"/>
    <s v="Legal"/>
    <m/>
    <n v="150000"/>
    <n v="30492033"/>
    <s v="BCI-Sous Compte"/>
    <n v="3643628"/>
    <x v="2"/>
    <s v="RALFF"/>
    <s v="CONGO"/>
    <m/>
    <s v="5.2.1"/>
    <m/>
  </r>
  <r>
    <d v="2022-03-07T00:00:00"/>
    <s v="Reçu caisse"/>
    <s v="Versement"/>
    <m/>
    <n v="107000"/>
    <m/>
    <n v="30599033"/>
    <s v="i23c"/>
    <m/>
    <x v="0"/>
    <m/>
    <s v="CONGO"/>
    <m/>
    <m/>
    <m/>
  </r>
  <r>
    <d v="2022-03-08T00:00:00"/>
    <s v="P29"/>
    <s v="Versement"/>
    <m/>
    <m/>
    <n v="50000"/>
    <n v="30549033"/>
    <s v="Caisse"/>
    <m/>
    <x v="0"/>
    <m/>
    <s v="CONGO"/>
    <m/>
    <m/>
    <m/>
  </r>
  <r>
    <d v="2022-03-08T00:00:00"/>
    <s v="Frais de transfert Charden Farell/P29"/>
    <s v="Transfer Fees"/>
    <s v="Office"/>
    <m/>
    <n v="1500"/>
    <n v="30547533"/>
    <s v="Caisse"/>
    <s v="Oui"/>
    <x v="2"/>
    <s v="RALFF"/>
    <s v="CONGO"/>
    <m/>
    <s v="5.6"/>
    <m/>
  </r>
  <r>
    <d v="2022-03-08T00:00:00"/>
    <s v="Tiffany"/>
    <s v="Versement"/>
    <m/>
    <m/>
    <n v="70000"/>
    <n v="30477533"/>
    <s v="Caisse"/>
    <m/>
    <x v="0"/>
    <m/>
    <s v="CONGO"/>
    <m/>
    <m/>
    <m/>
  </r>
  <r>
    <d v="2022-03-08T00:00:00"/>
    <s v="Godfre"/>
    <s v="Versement"/>
    <m/>
    <m/>
    <n v="40000"/>
    <n v="30437533"/>
    <s v="Caisse"/>
    <m/>
    <x v="0"/>
    <m/>
    <s v="CONGO"/>
    <m/>
    <m/>
    <m/>
  </r>
  <r>
    <d v="2022-03-08T00:00:00"/>
    <s v="Bonus média/pièces TéléCongo sur Interpellation d'un traf d'invoires"/>
    <s v="Bonus"/>
    <s v="Media"/>
    <m/>
    <n v="150000"/>
    <n v="30287533"/>
    <s v="Caisse"/>
    <s v="Decharge"/>
    <x v="1"/>
    <s v="PALF"/>
    <s v="CONGO"/>
    <m/>
    <m/>
    <m/>
  </r>
  <r>
    <d v="2022-03-08T00:00:00"/>
    <s v="I23C - CONGO Food allowance mission Kinshasa du 8 au 9 mars 2022"/>
    <s v="Travel Subsistence"/>
    <s v="Investigation"/>
    <m/>
    <n v="10000"/>
    <n v="30277533"/>
    <s v="i23c"/>
    <s v="Décharge"/>
    <x v="1"/>
    <s v="PALF"/>
    <s v="CONGO"/>
    <m/>
    <m/>
    <m/>
  </r>
  <r>
    <d v="2022-03-08T00:00:00"/>
    <s v="Achat billet Brazzaville - Kinshasa/I23C"/>
    <s v="Transport"/>
    <s v="Investigation"/>
    <m/>
    <n v="11000"/>
    <n v="30266533"/>
    <s v="i23c"/>
    <s v="Oui"/>
    <x v="1"/>
    <s v="PALF"/>
    <s v="CONGO"/>
    <m/>
    <m/>
    <m/>
  </r>
  <r>
    <d v="2022-03-08T00:00:00"/>
    <s v="Paiement PABPS"/>
    <s v="Travel Expenses"/>
    <s v="Investigation"/>
    <m/>
    <n v="150"/>
    <n v="30266383"/>
    <s v="i23c"/>
    <s v="Oui"/>
    <x v="1"/>
    <s v="PALF"/>
    <s v="CONGO"/>
    <m/>
    <m/>
    <m/>
  </r>
  <r>
    <d v="2022-03-08T00:00:00"/>
    <s v="Achat vignette"/>
    <s v="Travel Expenses"/>
    <s v="Investigation"/>
    <m/>
    <n v="200"/>
    <n v="30266183"/>
    <s v="i23c"/>
    <s v="Oui"/>
    <x v="1"/>
    <s v="PALF"/>
    <s v="CONGO"/>
    <m/>
    <m/>
    <m/>
  </r>
  <r>
    <d v="2022-03-08T00:00:00"/>
    <s v="Paiement PABPS"/>
    <s v="Travel Expenses"/>
    <s v="Investigation"/>
    <m/>
    <n v="1200"/>
    <n v="30264983"/>
    <s v="i23c"/>
    <s v="Oui"/>
    <x v="1"/>
    <s v="PALF"/>
    <s v="CONGO"/>
    <m/>
    <m/>
    <m/>
  </r>
  <r>
    <d v="2022-03-08T00:00:00"/>
    <s v="Paiement immigration "/>
    <s v="Travel Expenses"/>
    <s v="Investigation"/>
    <m/>
    <n v="4000"/>
    <n v="30260983"/>
    <s v="i23c"/>
    <s v="Oui"/>
    <x v="1"/>
    <s v="PALF"/>
    <s v="CONGO"/>
    <m/>
    <m/>
    <m/>
  </r>
  <r>
    <d v="2022-03-08T00:00:00"/>
    <s v="Achat carte sim (arrivé à Kinshasa)"/>
    <s v="Office Materials"/>
    <s v="Investigation"/>
    <m/>
    <n v="1000"/>
    <n v="30259983"/>
    <s v="i23c"/>
    <s v="Oui"/>
    <x v="1"/>
    <s v="PALF"/>
    <s v="CONGO"/>
    <m/>
    <m/>
    <m/>
  </r>
  <r>
    <d v="2022-03-08T00:00:00"/>
    <s v="Achat crédit (arrivé à Kinshasa)/Investigation/I23C"/>
    <s v="Telephone"/>
    <s v="Investigation"/>
    <m/>
    <n v="5000"/>
    <n v="30254983"/>
    <s v="i23c"/>
    <s v="Oui"/>
    <x v="1"/>
    <s v="PALF"/>
    <s v="CONGO"/>
    <m/>
    <m/>
    <m/>
  </r>
  <r>
    <d v="2022-03-08T00:00:00"/>
    <s v="Reçu Caisse"/>
    <s v="Versement"/>
    <m/>
    <n v="40000"/>
    <m/>
    <n v="30294983"/>
    <s v="Godfré"/>
    <m/>
    <x v="0"/>
    <m/>
    <s v="CONGO"/>
    <m/>
    <m/>
    <m/>
  </r>
  <r>
    <d v="2022-03-08T00:00:00"/>
    <s v="Recu de caisse"/>
    <s v="Versement"/>
    <m/>
    <n v="50000"/>
    <m/>
    <n v="30344983"/>
    <s v="P29"/>
    <m/>
    <x v="0"/>
    <m/>
    <s v="CONGO"/>
    <m/>
    <m/>
    <m/>
  </r>
  <r>
    <d v="2022-03-08T00:00:00"/>
    <s v="Reçu Caisse/ Tiffany"/>
    <s v="Versement"/>
    <m/>
    <n v="70000"/>
    <m/>
    <n v="30414983"/>
    <s v="Tiffany"/>
    <m/>
    <x v="0"/>
    <m/>
    <s v="CONGO"/>
    <m/>
    <m/>
    <m/>
  </r>
  <r>
    <d v="2022-03-09T00:00:00"/>
    <s v="Reglement facture E²C/ période Janvier - Février 2022/bureau PALF"/>
    <s v="Rent &amp; Utilities"/>
    <s v="Office"/>
    <m/>
    <n v="61071"/>
    <n v="30353912"/>
    <s v="Caisse"/>
    <s v="Oui"/>
    <x v="2"/>
    <s v="RALFF"/>
    <s v="CONGO"/>
    <m/>
    <s v="4.4"/>
    <m/>
  </r>
  <r>
    <d v="2022-03-09T00:00:00"/>
    <s v="Remboursement frais Pharmaceutiques Crépin"/>
    <s v="Personnel"/>
    <s v="Legal"/>
    <m/>
    <n v="12175"/>
    <n v="30341737"/>
    <s v="Caisse"/>
    <s v="Oui"/>
    <x v="1"/>
    <s v="PALF"/>
    <s v="CONGO"/>
    <m/>
    <m/>
    <m/>
  </r>
  <r>
    <d v="2022-03-09T00:00:00"/>
    <s v="I23C - CONGO Paiement hôtel du 8 au 9/3/22 cfr mission Kinshasa"/>
    <s v="Travel Subsistence"/>
    <s v="Investigation"/>
    <m/>
    <n v="25000"/>
    <n v="30316737"/>
    <s v="i23c"/>
    <s v="Oui"/>
    <x v="1"/>
    <s v="PALF"/>
    <s v="CONGO"/>
    <m/>
    <m/>
    <m/>
  </r>
  <r>
    <d v="2022-03-09T00:00:00"/>
    <s v="Paiement billet et formalités (Retour Kinshasa - Brazzaville)/I23C"/>
    <s v="Transport"/>
    <s v="Investigation"/>
    <m/>
    <n v="20000"/>
    <n v="30296737"/>
    <s v="i23c"/>
    <s v="Oui"/>
    <x v="1"/>
    <s v="PALF"/>
    <s v="CONGO"/>
    <m/>
    <m/>
    <m/>
  </r>
  <r>
    <d v="2022-03-09T00:00:00"/>
    <s v="Paiement test COVID"/>
    <s v="Travel Expenses"/>
    <s v="Investigation"/>
    <m/>
    <n v="20000"/>
    <n v="30276737"/>
    <s v="i23c"/>
    <s v="Oui"/>
    <x v="1"/>
    <s v="PALF"/>
    <s v="CONGO"/>
    <m/>
    <m/>
    <m/>
  </r>
  <r>
    <d v="2022-03-09T00:00:00"/>
    <s v="Paiement redevance arrivé à Brazzaville"/>
    <s v="Travel Expenses"/>
    <s v="Investigation"/>
    <m/>
    <n v="1200"/>
    <n v="30275537"/>
    <s v="i23c"/>
    <s v="Oui"/>
    <x v="1"/>
    <s v="PALF"/>
    <s v="CONGO"/>
    <m/>
    <m/>
    <m/>
  </r>
  <r>
    <d v="2022-03-10T00:00:00"/>
    <s v="Merveille"/>
    <s v="Versement"/>
    <m/>
    <m/>
    <n v="20000"/>
    <n v="30255537"/>
    <s v="Caisse"/>
    <m/>
    <x v="0"/>
    <m/>
    <s v="CONGO"/>
    <m/>
    <m/>
    <m/>
  </r>
  <r>
    <d v="2022-03-10T00:00:00"/>
    <s v="I23c"/>
    <s v="Versement"/>
    <m/>
    <m/>
    <n v="75000"/>
    <n v="30180537"/>
    <s v="Caisse"/>
    <m/>
    <x v="0"/>
    <m/>
    <s v="CONGO"/>
    <m/>
    <m/>
    <m/>
  </r>
  <r>
    <d v="2022-03-10T00:00:00"/>
    <s v="Acompte Honoraire Contrat N°42-OYO / Me Hélène /Cas KAMBA,Apani"/>
    <s v="Lawyer fees"/>
    <s v="Legal"/>
    <m/>
    <n v="200000"/>
    <n v="29980537"/>
    <s v="BCI-Sous Compte"/>
    <n v="3643630"/>
    <x v="1"/>
    <s v="RALFF"/>
    <s v="CONGO"/>
    <m/>
    <s v="5.2.2"/>
    <m/>
  </r>
  <r>
    <d v="2022-03-10T00:00:00"/>
    <s v="Solde Honoraire Contrat N°39/Me Hélène NANITELAMIO MALONGA/Cas Job &amp; Chancel/Brazzaville"/>
    <s v="Lawyer fees"/>
    <s v="Legal"/>
    <m/>
    <n v="300000"/>
    <n v="29680537"/>
    <s v="BCI-Sous Compte"/>
    <n v="3643631"/>
    <x v="1"/>
    <s v="RALFF"/>
    <s v="CONGO"/>
    <m/>
    <s v="5.2.2"/>
    <m/>
  </r>
  <r>
    <d v="2022-03-10T00:00:00"/>
    <s v="Solde Honoraire Contrat N°40 / Me Hélène NANITELAMIO MALONGA /Cas Jonas, Hassan et Valentin"/>
    <s v="Lawyer fees"/>
    <s v="Legal"/>
    <m/>
    <n v="300000"/>
    <n v="29380537"/>
    <s v="BCI-Sous Compte"/>
    <n v="3643632"/>
    <x v="2"/>
    <s v="RALFF"/>
    <s v="CONGO"/>
    <m/>
    <s v="5.2.2"/>
    <m/>
  </r>
  <r>
    <d v="2022-03-10T00:00:00"/>
    <s v="Reçu caisse/Merveille"/>
    <s v="Versement"/>
    <m/>
    <n v="75000"/>
    <m/>
    <n v="29455537"/>
    <s v="i23c"/>
    <m/>
    <x v="0"/>
    <m/>
    <s v="CONGO"/>
    <m/>
    <m/>
    <m/>
  </r>
  <r>
    <d v="2022-03-10T00:00:00"/>
    <s v="Achat billet Brazzaville-Pointe Noire (cfr mission PN)/I23C"/>
    <s v="Transport"/>
    <s v="Investigation"/>
    <m/>
    <n v="15000"/>
    <n v="29440537"/>
    <s v="i23c"/>
    <s v="Oui"/>
    <x v="1"/>
    <s v="RALFF"/>
    <s v="CONGO"/>
    <m/>
    <s v="2.2"/>
    <m/>
  </r>
  <r>
    <d v="2022-03-10T00:00:00"/>
    <s v="Reçu caisse"/>
    <s v="Versement"/>
    <m/>
    <n v="20000"/>
    <m/>
    <n v="29460537"/>
    <s v="Merveille"/>
    <m/>
    <x v="0"/>
    <m/>
    <s v="CONGO"/>
    <m/>
    <m/>
    <m/>
  </r>
  <r>
    <d v="2022-03-11T00:00:00"/>
    <s v="reçu de la caisse"/>
    <s v="Versement"/>
    <m/>
    <n v="15000"/>
    <m/>
    <n v="29475537"/>
    <s v="Evariste"/>
    <m/>
    <x v="0"/>
    <m/>
    <s v="CONGO"/>
    <m/>
    <m/>
    <m/>
  </r>
  <r>
    <d v="2022-03-11T00:00:00"/>
    <s v="BCI-3643633/56"/>
    <s v="Versement"/>
    <m/>
    <n v="1000000"/>
    <m/>
    <n v="30475537"/>
    <s v="Caisse"/>
    <m/>
    <x v="0"/>
    <m/>
    <s v="CONGO"/>
    <m/>
    <m/>
    <m/>
  </r>
  <r>
    <d v="2022-03-11T00:00:00"/>
    <s v="Bonus operation du 09 et 19 février 2022 à Oyo/Crépin"/>
    <s v="Bonus"/>
    <s v="Operation"/>
    <m/>
    <n v="80000"/>
    <n v="30395537"/>
    <s v="Caisse"/>
    <s v="Decharge"/>
    <x v="1"/>
    <s v="PALF"/>
    <s v="CONGO"/>
    <m/>
    <m/>
    <m/>
  </r>
  <r>
    <d v="2022-03-11T00:00:00"/>
    <s v="Bonus mois de janvier et février 2022/Crépin"/>
    <s v="Bonus"/>
    <s v="Legal"/>
    <m/>
    <n v="80000"/>
    <n v="30315537"/>
    <s v="Caisse"/>
    <s v="Decharge"/>
    <x v="1"/>
    <s v="PALF"/>
    <s v="CONGO"/>
    <m/>
    <m/>
    <m/>
  </r>
  <r>
    <d v="2022-03-11T00:00:00"/>
    <s v="Bonus mois de janvier et février 2022/Godfré"/>
    <s v="Bonus"/>
    <s v="Legal"/>
    <m/>
    <n v="40000"/>
    <n v="30275537"/>
    <s v="Caisse"/>
    <s v="Decharge"/>
    <x v="1"/>
    <s v="PALF"/>
    <s v="CONGO"/>
    <m/>
    <m/>
    <m/>
  </r>
  <r>
    <d v="2022-03-11T00:00:00"/>
    <s v="Bonus mois de février 2022/Evariste"/>
    <s v="Bonus"/>
    <s v="Media"/>
    <m/>
    <n v="20000"/>
    <n v="30255537"/>
    <s v="Caisse"/>
    <s v="Decharge"/>
    <x v="1"/>
    <s v="PALF"/>
    <s v="CONGO"/>
    <m/>
    <m/>
    <m/>
  </r>
  <r>
    <d v="2022-03-11T00:00:00"/>
    <s v="Bonus operation du 19 février 2022 à Oyo et du 22 Février 2022 à Makoua /Godfré"/>
    <s v="Bonus"/>
    <s v="Operation"/>
    <m/>
    <n v="60000"/>
    <n v="30195537"/>
    <s v="Caisse"/>
    <s v="Decharge"/>
    <x v="1"/>
    <s v="PALF"/>
    <s v="CONGO"/>
    <m/>
    <m/>
    <m/>
  </r>
  <r>
    <d v="2022-03-11T00:00:00"/>
    <s v="Bonus operation du 09 et 19 février 2022 à Oyo/Grace"/>
    <s v="Bonus"/>
    <s v="Operation"/>
    <m/>
    <n v="40000"/>
    <n v="30155537"/>
    <s v="Caisse"/>
    <s v="Decharge"/>
    <x v="1"/>
    <s v="PALF"/>
    <s v="CONGO"/>
    <m/>
    <m/>
    <m/>
  </r>
  <r>
    <d v="2022-03-11T00:00:00"/>
    <s v="Bonus operation du 09 et 19 février 2022 à Oyo/Evariste"/>
    <s v="Bonus"/>
    <s v="Operation"/>
    <m/>
    <n v="40000"/>
    <n v="30115537"/>
    <s v="Caisse"/>
    <s v="Decharge"/>
    <x v="1"/>
    <s v="PALF"/>
    <s v="CONGO"/>
    <m/>
    <m/>
    <m/>
  </r>
  <r>
    <d v="2022-03-11T00:00:00"/>
    <s v="Evariste"/>
    <s v="Versement"/>
    <m/>
    <m/>
    <n v="15000"/>
    <n v="30100537"/>
    <s v="Caisse"/>
    <m/>
    <x v="0"/>
    <m/>
    <s v="CONGO"/>
    <m/>
    <m/>
    <m/>
  </r>
  <r>
    <d v="2022-03-11T00:00:00"/>
    <s v="Bonus média/transfert de deux bébés chimpanzés"/>
    <s v="Bonus"/>
    <s v="Media"/>
    <m/>
    <n v="45000"/>
    <n v="30055537"/>
    <s v="Caisse"/>
    <s v="Decharge"/>
    <x v="1"/>
    <s v="PALF"/>
    <s v="CONGO"/>
    <m/>
    <m/>
    <m/>
  </r>
  <r>
    <d v="2022-03-11T00:00:00"/>
    <s v="Bonus média/interpellation du 19 février 2022 à Makoua"/>
    <s v="Bonus"/>
    <s v="Media"/>
    <m/>
    <n v="29000"/>
    <n v="30026537"/>
    <s v="Caisse"/>
    <s v="Decharge"/>
    <x v="1"/>
    <s v="PALF"/>
    <s v="CONGO"/>
    <m/>
    <m/>
    <m/>
  </r>
  <r>
    <d v="2022-03-11T00:00:00"/>
    <s v="Achat Produit d'entretien bureau/ajax,javel,sacs poubelles, lait sucre et café"/>
    <s v="Office Materials"/>
    <s v="Office"/>
    <m/>
    <n v="27250"/>
    <n v="29999287"/>
    <s v="Caisse"/>
    <s v="Oui"/>
    <x v="1"/>
    <s v="RALFF"/>
    <s v="CONGO"/>
    <m/>
    <s v="4.3"/>
    <m/>
  </r>
  <r>
    <d v="2022-03-11T00:00:00"/>
    <s v="Godfre/Retour caisse"/>
    <s v="Versement"/>
    <m/>
    <n v="40000"/>
    <m/>
    <n v="30039287"/>
    <s v="Caisse"/>
    <m/>
    <x v="0"/>
    <m/>
    <s v="CONGO"/>
    <m/>
    <m/>
    <m/>
  </r>
  <r>
    <d v="2022-03-11T00:00:00"/>
    <s v="Retrait especes/appro caisse/bord n°3643633"/>
    <s v="Versement"/>
    <m/>
    <m/>
    <n v="1000000"/>
    <n v="29039287"/>
    <s v="BCI-Sous Compte"/>
    <m/>
    <x v="0"/>
    <m/>
    <s v="CONGO"/>
    <m/>
    <m/>
    <m/>
  </r>
  <r>
    <d v="2022-03-11T00:00:00"/>
    <s v="Paiment Salaire Mois de Février 2022/Tiffany GOBERT"/>
    <s v="Personnel"/>
    <s v="Management"/>
    <m/>
    <n v="1311914"/>
    <n v="27727373"/>
    <s v="BCI-Sous Compte"/>
    <n v="3643629"/>
    <x v="2"/>
    <s v="RALFF"/>
    <s v="CONGO"/>
    <m/>
    <s v="1.1.1.1"/>
    <m/>
  </r>
  <r>
    <d v="2022-03-11T00:00:00"/>
    <s v="I23C - CONGO Food allowance mission Pointe Noire du 11 au 15 mars 22"/>
    <s v="Travel Subsistence"/>
    <s v="Investigation"/>
    <m/>
    <n v="40000"/>
    <n v="27687373"/>
    <s v="i23c"/>
    <s v="Décharge"/>
    <x v="1"/>
    <s v="RALFF"/>
    <s v="CONGO"/>
    <m/>
    <s v="1.3.2"/>
    <m/>
  </r>
  <r>
    <d v="2022-03-11T00:00:00"/>
    <s v="Retour Caisse "/>
    <s v="Versement"/>
    <m/>
    <m/>
    <n v="40000"/>
    <n v="27647373"/>
    <s v="Godfré"/>
    <m/>
    <x v="0"/>
    <m/>
    <s v="CONGO"/>
    <m/>
    <m/>
    <m/>
  </r>
  <r>
    <d v="2022-03-11T00:00:00"/>
    <s v="Achat billet dolisie-brazzaville/P29"/>
    <s v="Transport"/>
    <s v="Investigation"/>
    <m/>
    <n v="10000"/>
    <n v="27637373"/>
    <s v="P29"/>
    <s v="Oui"/>
    <x v="1"/>
    <s v="RALFF"/>
    <s v="CONGO"/>
    <m/>
    <s v="2.2"/>
    <m/>
  </r>
  <r>
    <d v="2022-03-12T00:00:00"/>
    <s v="P29 - CONGO Paiement 6 nuitées du 06 au 12-03-22 Dolisie"/>
    <s v="Travel Subsistence"/>
    <s v="Investigation"/>
    <m/>
    <n v="90000"/>
    <n v="27547373"/>
    <s v="P29"/>
    <s v="Oui"/>
    <x v="1"/>
    <s v="RALFF"/>
    <s v="CONGO"/>
    <m/>
    <s v="1.3.2"/>
    <m/>
  </r>
  <r>
    <d v="2022-03-13T00:00:00"/>
    <s v="Taxi Pointe Noire - NZASSI (départ pour NZASSI)/I23C"/>
    <s v="Transport"/>
    <s v="Investigation"/>
    <m/>
    <n v="5000"/>
    <n v="27542373"/>
    <s v="i23c"/>
    <s v="Oui"/>
    <x v="1"/>
    <s v="RALFF"/>
    <s v="CONGO"/>
    <m/>
    <s v="2.2"/>
    <m/>
  </r>
  <r>
    <d v="2022-03-13T00:00:00"/>
    <s v="Taxi NZASSI - Gare PN (départ pour PN)/I23C"/>
    <s v="Transport"/>
    <s v="Investigation"/>
    <m/>
    <n v="5000"/>
    <n v="27537373"/>
    <s v="i23c"/>
    <s v="Oui"/>
    <x v="1"/>
    <s v="RALFF"/>
    <s v="CONGO"/>
    <m/>
    <s v="2.2"/>
    <m/>
  </r>
  <r>
    <d v="2022-03-14T00:00:00"/>
    <s v="Godfre"/>
    <s v="Versement"/>
    <m/>
    <m/>
    <n v="3000"/>
    <n v="27534373"/>
    <s v="Caisse"/>
    <m/>
    <x v="0"/>
    <m/>
    <s v="CONGO"/>
    <m/>
    <m/>
    <m/>
  </r>
  <r>
    <d v="2022-03-14T00:00:00"/>
    <s v="Bonus média/Pièce supplémentaire /interpellation du 19 février 2022 à Makoua"/>
    <s v="Bonus"/>
    <s v="Media"/>
    <m/>
    <n v="6000"/>
    <n v="27528373"/>
    <s v="Caisse"/>
    <s v="Decharge"/>
    <x v="1"/>
    <s v="PALF"/>
    <s v="CONGO"/>
    <m/>
    <s v="  "/>
    <m/>
  </r>
  <r>
    <d v="2022-03-14T00:00:00"/>
    <s v="Paule"/>
    <s v="Versement"/>
    <m/>
    <m/>
    <n v="15000"/>
    <n v="27513373"/>
    <s v="Caisse"/>
    <m/>
    <x v="0"/>
    <m/>
    <s v="CONGO"/>
    <m/>
    <m/>
    <m/>
  </r>
  <r>
    <d v="2022-03-14T00:00:00"/>
    <s v="Hurielle"/>
    <s v="Versement"/>
    <m/>
    <m/>
    <n v="15000"/>
    <n v="27498373"/>
    <s v="Caisse"/>
    <m/>
    <x v="0"/>
    <m/>
    <s v="CONGO"/>
    <m/>
    <m/>
    <m/>
  </r>
  <r>
    <d v="2022-03-14T00:00:00"/>
    <s v="Fonds reçu de Wildcat"/>
    <s v="Grant"/>
    <m/>
    <n v="11432442"/>
    <m/>
    <n v="38930815"/>
    <s v="BCI"/>
    <s v="Relevé"/>
    <x v="1"/>
    <s v="PALF"/>
    <s v="CONGO"/>
    <m/>
    <m/>
    <m/>
  </r>
  <r>
    <d v="2022-03-14T00:00:00"/>
    <s v="Paiment Salaire Mois de Mars  2022 et congé/Crépin Evariste IBOUILI-IBOUILI"/>
    <s v="Personnel"/>
    <s v="Legal"/>
    <m/>
    <n v="324770"/>
    <n v="38606045"/>
    <s v="BCI-Sous Compte"/>
    <n v="3643634"/>
    <x v="2"/>
    <s v="RALFF"/>
    <s v="CONGO"/>
    <m/>
    <s v="1.1.1.7"/>
    <m/>
  </r>
  <r>
    <d v="2022-03-14T00:00:00"/>
    <s v="Cumul frais de Transport Local Mois de Mars 2022/Crépin"/>
    <s v="Transport"/>
    <s v="Management"/>
    <m/>
    <n v="4000"/>
    <n v="38602045"/>
    <s v="Crépin"/>
    <s v="Décharge"/>
    <x v="1"/>
    <s v="RALFF"/>
    <s v="CONGO"/>
    <m/>
    <s v="2.2"/>
    <m/>
  </r>
  <r>
    <d v="2022-03-14T00:00:00"/>
    <s v="Reçu caisse"/>
    <s v="Versement"/>
    <m/>
    <n v="3000"/>
    <m/>
    <n v="38605045"/>
    <s v="Godfré"/>
    <m/>
    <x v="0"/>
    <m/>
    <s v="CONGO"/>
    <m/>
    <m/>
    <m/>
  </r>
  <r>
    <d v="2022-03-14T00:00:00"/>
    <s v="Reçu caisse"/>
    <s v="Versement"/>
    <m/>
    <n v="15000"/>
    <m/>
    <n v="38620045"/>
    <s v="Hurielle"/>
    <m/>
    <x v="0"/>
    <m/>
    <s v="CONGO"/>
    <m/>
    <m/>
    <m/>
  </r>
  <r>
    <d v="2022-03-14T00:00:00"/>
    <s v="Reçu caisse"/>
    <s v="Versement"/>
    <m/>
    <n v="15000"/>
    <m/>
    <n v="38635045"/>
    <s v="Paule"/>
    <m/>
    <x v="0"/>
    <m/>
    <s v="CONGO"/>
    <m/>
    <m/>
    <m/>
  </r>
  <r>
    <d v="2022-03-14T00:00:00"/>
    <s v="Achat billet d'avion Brazzaville/ Paris/ Tiffany Reservation Congé "/>
    <s v="Flight"/>
    <s v="Management"/>
    <m/>
    <n v="782583"/>
    <n v="37852462"/>
    <s v="Tiffany"/>
    <s v="Oui"/>
    <x v="1"/>
    <s v="PALF"/>
    <s v="CONGO"/>
    <m/>
    <m/>
    <m/>
  </r>
  <r>
    <d v="2022-03-15T00:00:00"/>
    <s v="P29"/>
    <s v="Versement"/>
    <m/>
    <m/>
    <n v="4000"/>
    <n v="37848462"/>
    <s v="Caisse"/>
    <m/>
    <x v="0"/>
    <m/>
    <s v="CONGO"/>
    <m/>
    <m/>
    <m/>
  </r>
  <r>
    <d v="2022-03-15T00:00:00"/>
    <s v="Achat credit  teléphonique MTN/PALF/deuxième partie Mars 2022/Management"/>
    <s v="Telephone"/>
    <s v="Management "/>
    <m/>
    <n v="15000"/>
    <n v="37833462"/>
    <s v="Caisse"/>
    <s v="Oui"/>
    <x v="1"/>
    <s v="RALFF"/>
    <s v="CONGO"/>
    <m/>
    <s v="4.6"/>
    <m/>
  </r>
  <r>
    <d v="2022-03-15T00:00:00"/>
    <s v="Achat credit  teléphonique MTN/PALF/deuxième partie Mars 2022/Legal"/>
    <s v="Telephone"/>
    <s v="Legal"/>
    <m/>
    <n v="10000"/>
    <n v="37823462"/>
    <s v="Caisse"/>
    <s v="Oui"/>
    <x v="1"/>
    <s v="RALFF"/>
    <s v="CONGO"/>
    <m/>
    <s v="4.6"/>
    <m/>
  </r>
  <r>
    <d v="2022-03-15T00:00:00"/>
    <s v="Achat credit  teléphonique MTN/PALF/deuxième partie Mars 2022/Legal Volontaire"/>
    <s v="Telephone"/>
    <s v="Legal"/>
    <m/>
    <n v="32000"/>
    <n v="37791462"/>
    <s v="Caisse"/>
    <s v="Oui"/>
    <x v="1"/>
    <s v="PALF"/>
    <s v="CONGO"/>
    <m/>
    <m/>
    <m/>
  </r>
  <r>
    <d v="2022-03-15T00:00:00"/>
    <s v="Achat credit  teléphonique MTN/PALF/deuxième partie Mars 2022/Investigation"/>
    <s v="Telephone"/>
    <s v="Investigation"/>
    <m/>
    <n v="20000"/>
    <n v="37771462"/>
    <s v="Caisse"/>
    <s v="Oui"/>
    <x v="1"/>
    <s v="RALFF"/>
    <s v="CONGO"/>
    <m/>
    <s v="4.6"/>
    <m/>
  </r>
  <r>
    <d v="2022-03-15T00:00:00"/>
    <s v="Achat credit  teléphonique MTN/PALF/deuxième partie Mars 2022/Media"/>
    <s v="Telephone"/>
    <s v="Media"/>
    <m/>
    <n v="10000"/>
    <n v="37761462"/>
    <s v="Caisse"/>
    <s v="Oui"/>
    <x v="1"/>
    <s v="RALFF"/>
    <s v="CONGO"/>
    <m/>
    <s v="4.6"/>
    <m/>
  </r>
  <r>
    <d v="2022-03-15T00:00:00"/>
    <s v="Achat credit  teléphonique Airtel/PALF/Deuxième partie Mars 2022/Management"/>
    <s v="Telephone"/>
    <s v="Management "/>
    <m/>
    <n v="5000"/>
    <n v="37756462"/>
    <s v="Caisse"/>
    <s v="Oui"/>
    <x v="1"/>
    <s v="RALFF"/>
    <s v="CONGO"/>
    <m/>
    <s v="4.6"/>
    <m/>
  </r>
  <r>
    <d v="2022-03-15T00:00:00"/>
    <s v="Achat credit  teléphonique Airtel/PALF/Deuxième partie Mars 2022/Investigation"/>
    <s v="Telephone"/>
    <s v="Investigation"/>
    <m/>
    <n v="10000"/>
    <n v="37746462"/>
    <s v="Caisse"/>
    <s v="Oui"/>
    <x v="1"/>
    <s v="RALFF"/>
    <s v="CONGO"/>
    <m/>
    <s v="4.6"/>
    <m/>
  </r>
  <r>
    <d v="2022-03-15T00:00:00"/>
    <s v="Main d'œuvre demontage, recharge et montage batterie/Groupe electrogène bureau"/>
    <s v="Services"/>
    <s v="Office"/>
    <m/>
    <n v="6000"/>
    <n v="37740462"/>
    <s v="Caisse"/>
    <s v="Oui"/>
    <x v="1"/>
    <s v="PALF"/>
    <s v="CONGO"/>
    <m/>
    <m/>
    <m/>
  </r>
  <r>
    <d v="2022-03-15T00:00:00"/>
    <s v="I23C - CONGO Paiement hôtel 4 nuitées du 11 au 15 mars 22 à Pointe Noire"/>
    <s v="Travel Subsistence"/>
    <s v="Investigation"/>
    <m/>
    <n v="60000"/>
    <n v="37680462"/>
    <s v="i23c"/>
    <s v="Oui"/>
    <x v="1"/>
    <s v="RALFF"/>
    <s v="CONGO"/>
    <m/>
    <s v="1.3.2"/>
    <m/>
  </r>
  <r>
    <d v="2022-03-15T00:00:00"/>
    <s v="Achat billet Pointe Noire -Brazzaville (réservation pour BZ)/I23C"/>
    <s v="Transport"/>
    <s v="Investigation"/>
    <m/>
    <n v="15000"/>
    <n v="37665462"/>
    <s v="i23c"/>
    <s v="Oui"/>
    <x v="1"/>
    <s v="RALFF"/>
    <s v="CONGO"/>
    <m/>
    <s v="2.2"/>
    <m/>
  </r>
  <r>
    <d v="2022-03-15T00:00:00"/>
    <s v="Paiement frais d'appel et Expedition"/>
    <s v="Court Fees"/>
    <s v="Legal"/>
    <m/>
    <n v="40000"/>
    <n v="37625462"/>
    <s v="Godfré"/>
    <s v="Oui"/>
    <x v="1"/>
    <s v="PALF"/>
    <s v="CONGO"/>
    <m/>
    <m/>
    <m/>
  </r>
  <r>
    <d v="2022-03-15T00:00:00"/>
    <s v="Recu de caisse"/>
    <s v="Versement"/>
    <m/>
    <n v="4000"/>
    <m/>
    <n v="37629462"/>
    <s v="P29"/>
    <m/>
    <x v="0"/>
    <m/>
    <s v="CONGO"/>
    <m/>
    <m/>
    <m/>
  </r>
  <r>
    <d v="2022-03-16T00:00:00"/>
    <s v="Microsoft Office 2021 Professionnel Plus ( 5 PC) "/>
    <s v="Office Materials"/>
    <s v="Management"/>
    <m/>
    <n v="4585"/>
    <n v="37624877"/>
    <s v="Tiffany"/>
    <s v="Oui"/>
    <x v="1"/>
    <s v="PALF"/>
    <s v="CONGO"/>
    <m/>
    <m/>
    <m/>
  </r>
  <r>
    <d v="2022-03-17T00:00:00"/>
    <s v="Achat 04 bombones d'eau minerale"/>
    <s v="Office Materials"/>
    <s v="Office"/>
    <m/>
    <n v="18000"/>
    <n v="37606877"/>
    <s v="Caisse"/>
    <s v="Oui"/>
    <x v="1"/>
    <s v="RALFF"/>
    <s v="CONGO"/>
    <m/>
    <s v="4.3"/>
    <m/>
  </r>
  <r>
    <d v="2022-03-17T00:00:00"/>
    <s v="Antivirus Avast Ultimate Suite (2 ans/ 5 PC) "/>
    <s v="Office Materials"/>
    <s v="Management"/>
    <m/>
    <n v="18354"/>
    <n v="37588523"/>
    <s v="Tiffany"/>
    <s v="Oui"/>
    <x v="1"/>
    <s v="PALF"/>
    <s v="CONGO"/>
    <m/>
    <m/>
    <m/>
  </r>
  <r>
    <d v="2022-03-18T00:00:00"/>
    <s v="P29"/>
    <s v="Versement"/>
    <m/>
    <m/>
    <n v="109000"/>
    <n v="37479523"/>
    <s v="Caisse"/>
    <m/>
    <x v="0"/>
    <m/>
    <s v="CONGO"/>
    <m/>
    <m/>
    <m/>
  </r>
  <r>
    <d v="2022-03-18T00:00:00"/>
    <s v="I23c"/>
    <s v="Versement"/>
    <m/>
    <m/>
    <n v="256000"/>
    <n v="37223523"/>
    <s v="Caisse"/>
    <m/>
    <x v="0"/>
    <m/>
    <s v="CONGO"/>
    <m/>
    <m/>
    <m/>
  </r>
  <r>
    <d v="2022-03-18T00:00:00"/>
    <s v="Reglement loyer Tiffany mois de Mars 2022/400USD"/>
    <s v="Personnel"/>
    <s v="Management"/>
    <m/>
    <n v="233936"/>
    <n v="36989587"/>
    <s v="Caisse"/>
    <s v="Oui"/>
    <x v="1"/>
    <s v="PALF"/>
    <s v="CONGO"/>
    <m/>
    <m/>
    <m/>
  </r>
  <r>
    <d v="2022-03-18T00:00:00"/>
    <s v="Reçu caisse"/>
    <s v="Versement"/>
    <m/>
    <n v="256000"/>
    <m/>
    <n v="37245587"/>
    <s v="i23c"/>
    <m/>
    <x v="0"/>
    <m/>
    <s v="CONGO"/>
    <m/>
    <m/>
    <m/>
  </r>
  <r>
    <d v="2022-03-18T00:00:00"/>
    <s v="Recu de caisse"/>
    <s v="Versement"/>
    <m/>
    <n v="109000"/>
    <m/>
    <n v="37354587"/>
    <s v="P29"/>
    <m/>
    <x v="0"/>
    <m/>
    <s v="CONGO"/>
    <m/>
    <m/>
    <m/>
  </r>
  <r>
    <d v="2022-03-19T00:00:00"/>
    <s v="Achat billet brazzaville-djambala/P29"/>
    <s v="Transport"/>
    <s v="Investigation"/>
    <m/>
    <n v="6000"/>
    <n v="37348587"/>
    <s v="P29"/>
    <s v="Oui"/>
    <x v="1"/>
    <s v="RALFF"/>
    <s v="CONGO"/>
    <m/>
    <s v="2.2"/>
    <m/>
  </r>
  <r>
    <d v="2022-03-21T00:00:00"/>
    <s v="BCI-3654475/34"/>
    <s v="Versement"/>
    <m/>
    <n v="1000000"/>
    <m/>
    <n v="38348587"/>
    <s v="Caisse"/>
    <m/>
    <x v="0"/>
    <m/>
    <s v="CONGO"/>
    <m/>
    <m/>
    <m/>
  </r>
  <r>
    <d v="2022-03-21T00:00:00"/>
    <s v="Retrait especes/appro caisse/bord n°3654475"/>
    <s v="Versement"/>
    <m/>
    <m/>
    <n v="1000000"/>
    <n v="37348587"/>
    <s v="BCI"/>
    <m/>
    <x v="0"/>
    <m/>
    <s v="CONGO"/>
    <m/>
    <m/>
    <m/>
  </r>
  <r>
    <d v="2022-03-21T00:00:00"/>
    <s v="P29 - CONGO Food allowance mission du 21 au 27-03 Djambala.Lekana/Ngo"/>
    <s v="Travel Subsistence"/>
    <s v="Investigation"/>
    <m/>
    <n v="60000"/>
    <n v="37288587"/>
    <s v="P29"/>
    <s v="Décharge"/>
    <x v="1"/>
    <s v="RALFF"/>
    <s v="CONGO"/>
    <m/>
    <s v="1.3.2"/>
    <m/>
  </r>
  <r>
    <d v="2022-03-22T00:00:00"/>
    <s v="Hurielle"/>
    <s v="Versement"/>
    <m/>
    <m/>
    <n v="20000"/>
    <n v="37268587"/>
    <s v="Caisse"/>
    <m/>
    <x v="0"/>
    <m/>
    <s v="CONGO"/>
    <m/>
    <m/>
    <m/>
  </r>
  <r>
    <d v="2022-03-22T00:00:00"/>
    <s v="Paule"/>
    <s v="Versement"/>
    <m/>
    <m/>
    <n v="20000"/>
    <n v="37248587"/>
    <s v="Caisse"/>
    <m/>
    <x v="0"/>
    <m/>
    <s v="CONGO"/>
    <m/>
    <m/>
    <m/>
  </r>
  <r>
    <d v="2022-03-22T00:00:00"/>
    <s v="Paule"/>
    <s v="Versement"/>
    <m/>
    <m/>
    <n v="94000"/>
    <n v="37154587"/>
    <s v="Caisse"/>
    <m/>
    <x v="0"/>
    <m/>
    <s v="CONGO"/>
    <m/>
    <m/>
    <m/>
  </r>
  <r>
    <d v="2022-03-22T00:00:00"/>
    <s v="Evariste"/>
    <s v="Versement"/>
    <m/>
    <m/>
    <n v="76000"/>
    <n v="37078587"/>
    <s v="Caisse"/>
    <m/>
    <x v="0"/>
    <m/>
    <s v="CONGO"/>
    <m/>
    <m/>
    <m/>
  </r>
  <r>
    <d v="2022-03-22T00:00:00"/>
    <s v="Godfre"/>
    <s v="Versement"/>
    <m/>
    <m/>
    <n v="116000"/>
    <n v="36962587"/>
    <s v="Caisse"/>
    <m/>
    <x v="0"/>
    <m/>
    <s v="CONGO"/>
    <m/>
    <m/>
    <m/>
  </r>
  <r>
    <d v="2022-03-22T00:00:00"/>
    <s v="Bonus media/audience du 24/03/2022 à oyo"/>
    <s v="Bonus"/>
    <s v="Media"/>
    <m/>
    <n v="29000"/>
    <n v="36933587"/>
    <s v="Caisse"/>
    <s v="Decharge"/>
    <x v="1"/>
    <s v="PALF"/>
    <s v="CONGO"/>
    <m/>
    <m/>
    <m/>
  </r>
  <r>
    <d v="2022-03-22T00:00:00"/>
    <s v="Frais de mission maitre Marie Hèlene à oyo du 23 au 25/03/2022/cas NGATSONGO"/>
    <s v="Lawyer fees"/>
    <s v="Legal"/>
    <m/>
    <n v="70000"/>
    <n v="36863587"/>
    <s v="Caisse"/>
    <s v="Oui"/>
    <x v="1"/>
    <s v="RALFF"/>
    <s v="CONGO"/>
    <m/>
    <s v="5.2.2"/>
    <m/>
  </r>
  <r>
    <d v="2022-03-22T00:00:00"/>
    <s v="I23C - CONGO Food allowance mission Kinshasa du 22 au 28 mars 22"/>
    <s v="Travel Subsistence"/>
    <s v="Investigation"/>
    <m/>
    <n v="60000"/>
    <n v="36803587"/>
    <s v="i23c"/>
    <s v="Décharge"/>
    <x v="1"/>
    <s v="PALF"/>
    <s v="CONGO"/>
    <m/>
    <m/>
    <m/>
  </r>
  <r>
    <d v="2022-03-22T00:00:00"/>
    <s v="Achat billet Brazzaville - Kinshasa/I23C"/>
    <s v="Transport"/>
    <s v="Investigation"/>
    <m/>
    <n v="11000"/>
    <n v="36792587"/>
    <s v="i23c"/>
    <s v="Oui"/>
    <x v="1"/>
    <s v="PALF"/>
    <s v="CONGO"/>
    <m/>
    <m/>
    <m/>
  </r>
  <r>
    <d v="2022-03-22T00:00:00"/>
    <s v="Paiement PABPS"/>
    <s v="Travel Expenses"/>
    <s v="Investigation"/>
    <m/>
    <n v="150"/>
    <n v="36792437"/>
    <s v="i23c"/>
    <s v="Oui"/>
    <x v="1"/>
    <s v="PALF"/>
    <s v="CONGO"/>
    <m/>
    <m/>
    <m/>
  </r>
  <r>
    <d v="2022-03-22T00:00:00"/>
    <s v="Achat vignette"/>
    <s v="Travel Expenses"/>
    <s v="Investigation"/>
    <m/>
    <n v="200"/>
    <n v="36792237"/>
    <s v="i23c"/>
    <s v="Oui"/>
    <x v="1"/>
    <s v="PALF"/>
    <s v="CONGO"/>
    <m/>
    <m/>
    <m/>
  </r>
  <r>
    <d v="2022-03-22T00:00:00"/>
    <s v="Paiement PABPS"/>
    <s v="Travel Expenses"/>
    <s v="Investigation"/>
    <m/>
    <n v="1200"/>
    <n v="36791037"/>
    <s v="i23c"/>
    <s v="Oui"/>
    <x v="1"/>
    <s v="PALF"/>
    <s v="CONGO"/>
    <m/>
    <m/>
    <m/>
  </r>
  <r>
    <d v="2022-03-22T00:00:00"/>
    <s v="Paiement immigration "/>
    <s v="Travel Expenses"/>
    <s v="Investigation"/>
    <m/>
    <n v="4000"/>
    <n v="36787037"/>
    <s v="i23c"/>
    <s v="Oui"/>
    <x v="1"/>
    <s v="PALF"/>
    <s v="CONGO"/>
    <m/>
    <m/>
    <m/>
  </r>
  <r>
    <d v="2022-03-22T00:00:00"/>
    <s v="Achat crédit (arrivé à Kinshasa)/Investigation/I23C"/>
    <s v="Telephone"/>
    <s v="Investigation"/>
    <m/>
    <n v="10000"/>
    <n v="36777037"/>
    <s v="i23c"/>
    <s v="Oui"/>
    <x v="1"/>
    <s v="PALF"/>
    <s v="CONGO"/>
    <m/>
    <m/>
    <m/>
  </r>
  <r>
    <d v="2022-03-22T00:00:00"/>
    <s v="Reçu de la caisse"/>
    <s v="Versement"/>
    <m/>
    <n v="76000"/>
    <m/>
    <n v="36853037"/>
    <s v="Evariste"/>
    <m/>
    <x v="0"/>
    <m/>
    <s v="CONGO"/>
    <m/>
    <m/>
    <m/>
  </r>
  <r>
    <d v="2022-03-22T00:00:00"/>
    <s v="Billet Brazzaville-Oyo /Evariste"/>
    <s v="Transport"/>
    <s v="Media"/>
    <m/>
    <n v="7000"/>
    <n v="36846037"/>
    <s v="Evariste"/>
    <s v="Oui"/>
    <x v="1"/>
    <s v="RALFF"/>
    <s v="CONGO"/>
    <m/>
    <s v="2.2"/>
    <m/>
  </r>
  <r>
    <d v="2022-03-22T00:00:00"/>
    <s v="Reçu caisse"/>
    <s v="Versement"/>
    <m/>
    <n v="116000"/>
    <m/>
    <n v="36962037"/>
    <s v="Godfré"/>
    <m/>
    <x v="0"/>
    <m/>
    <s v="CONGO"/>
    <m/>
    <m/>
    <m/>
  </r>
  <r>
    <d v="2022-03-22T00:00:00"/>
    <s v="Achat du billet aller (Brazzaville-Dolisie)/Godfré"/>
    <s v="Transport"/>
    <s v="Legal"/>
    <m/>
    <n v="10000"/>
    <n v="36952037"/>
    <s v="Godfré"/>
    <s v="Oui"/>
    <x v="1"/>
    <s v="RALFF"/>
    <s v="CONGO"/>
    <m/>
    <s v="2.2"/>
    <m/>
  </r>
  <r>
    <d v="2022-03-22T00:00:00"/>
    <s v="Recu caisse"/>
    <s v="Versement"/>
    <m/>
    <n v="20000"/>
    <m/>
    <n v="36972037"/>
    <s v="Hurielle"/>
    <m/>
    <x v="0"/>
    <m/>
    <s v="CONGO"/>
    <m/>
    <m/>
    <m/>
  </r>
  <r>
    <d v="2022-03-22T00:00:00"/>
    <s v="Reçu caisse"/>
    <s v="Versement"/>
    <m/>
    <n v="20000"/>
    <m/>
    <n v="36992037"/>
    <s v="Paule"/>
    <m/>
    <x v="0"/>
    <m/>
    <s v="CONGO"/>
    <m/>
    <m/>
    <m/>
  </r>
  <r>
    <d v="2022-03-22T00:00:00"/>
    <s v="Reçu caisse"/>
    <s v="Versement"/>
    <m/>
    <n v="94000"/>
    <m/>
    <n v="37086037"/>
    <s v="Paule"/>
    <m/>
    <x v="0"/>
    <m/>
    <s v="CONGO"/>
    <m/>
    <m/>
    <m/>
  </r>
  <r>
    <d v="2022-03-22T00:00:00"/>
    <s v="Achat Billet  Brazzaville- Oyo/Paule"/>
    <s v="Transport"/>
    <s v="Legal"/>
    <m/>
    <n v="7000"/>
    <n v="37079037"/>
    <s v="Paule"/>
    <s v="Oui"/>
    <x v="1"/>
    <s v="PALF"/>
    <s v="CONGO"/>
    <m/>
    <m/>
    <m/>
  </r>
  <r>
    <d v="2022-03-23T00:00:00"/>
    <s v="P29"/>
    <s v="Versement"/>
    <m/>
    <m/>
    <n v="100000"/>
    <n v="36979037"/>
    <s v="Caisse"/>
    <m/>
    <x v="0"/>
    <m/>
    <s v="CONGO"/>
    <m/>
    <m/>
    <m/>
  </r>
  <r>
    <d v="2022-03-23T00:00:00"/>
    <s v="Hurielle"/>
    <s v="Versement"/>
    <m/>
    <m/>
    <n v="3000"/>
    <n v="36976037"/>
    <s v="Caisse"/>
    <m/>
    <x v="0"/>
    <m/>
    <s v="CONGO"/>
    <m/>
    <m/>
    <m/>
  </r>
  <r>
    <d v="2022-03-23T00:00:00"/>
    <s v="Frais de transfert charden farell à P29"/>
    <s v="Transfer Fees"/>
    <s v="Office"/>
    <m/>
    <n v="3000"/>
    <n v="36973037"/>
    <s v="Caisse"/>
    <s v="Oui"/>
    <x v="2"/>
    <s v="RALFF"/>
    <s v="CONGO"/>
    <m/>
    <s v="5.6"/>
    <m/>
  </r>
  <r>
    <d v="2022-03-23T00:00:00"/>
    <s v="GODFRE - CONGO Food allowance du 23 au 26/03/2022 à Dolisie"/>
    <s v="Travel Subsistence"/>
    <s v="Legal"/>
    <m/>
    <n v="30000"/>
    <n v="36943037"/>
    <s v="Godfré"/>
    <s v="Décharge"/>
    <x v="1"/>
    <s v="RALFF"/>
    <s v="CONGO"/>
    <m/>
    <s v="1.3.2"/>
    <m/>
  </r>
  <r>
    <d v="2022-03-23T00:00:00"/>
    <s v="Recu caisse"/>
    <s v="Versement"/>
    <m/>
    <n v="3000"/>
    <m/>
    <n v="36946037"/>
    <s v="Hurielle"/>
    <m/>
    <x v="0"/>
    <m/>
    <s v="CONGO"/>
    <m/>
    <m/>
    <m/>
  </r>
  <r>
    <d v="2022-03-23T00:00:00"/>
    <s v="Recu de caisse"/>
    <s v="Versement"/>
    <m/>
    <n v="100000"/>
    <m/>
    <n v="37046037"/>
    <s v="P29"/>
    <m/>
    <x v="0"/>
    <m/>
    <s v="CONGO"/>
    <m/>
    <m/>
    <m/>
  </r>
  <r>
    <d v="2022-03-23T00:00:00"/>
    <s v="PAULE - CONGO Food Allowance mission Oyo du 23 au 25-03-2022"/>
    <s v="Travel Subsistence"/>
    <s v="Legal"/>
    <m/>
    <n v="20000"/>
    <n v="37026037"/>
    <s v="Paule"/>
    <s v="Décharge"/>
    <x v="1"/>
    <s v="PALF"/>
    <s v="CONGO"/>
    <m/>
    <m/>
    <m/>
  </r>
  <r>
    <d v="2022-03-23T00:00:00"/>
    <s v="EVARISTE LELOUSSI -CONGO Food Allowance du 23 au 26 mars 2021 mission Oyo"/>
    <s v="Travel Subsistence"/>
    <s v="Media"/>
    <m/>
    <n v="30000"/>
    <n v="36996037"/>
    <s v="Evariste"/>
    <s v="Décharge"/>
    <x v="1"/>
    <s v="RALFF"/>
    <s v="CONGO"/>
    <m/>
    <s v="1.3.2"/>
    <m/>
  </r>
  <r>
    <d v="2022-03-24T00:00:00"/>
    <s v="Achat crédit téléphone MTN/Tiffany"/>
    <s v="Telephone"/>
    <s v="Management"/>
    <m/>
    <n v="5000"/>
    <n v="36991037"/>
    <s v="Caisse"/>
    <s v="Oui"/>
    <x v="1"/>
    <s v="RALFF"/>
    <s v="CONGO"/>
    <m/>
    <s v="4.6"/>
    <m/>
  </r>
  <r>
    <d v="2022-03-24T00:00:00"/>
    <s v="Achat carte sim airtel/Investigation"/>
    <s v="Office Materials"/>
    <s v="Investigation"/>
    <m/>
    <n v="1500"/>
    <n v="36989537"/>
    <s v="i23c"/>
    <s v="Oui"/>
    <x v="1"/>
    <s v="PALF"/>
    <s v="CONGO"/>
    <m/>
    <m/>
    <m/>
  </r>
  <r>
    <d v="2022-03-24T00:00:00"/>
    <s v="Achat crédit téléphonique/Investigation/Kinshasa I23C"/>
    <s v="Telephone"/>
    <s v="Investigation"/>
    <m/>
    <n v="3500"/>
    <n v="36986037"/>
    <s v="i23c"/>
    <s v="Oui"/>
    <x v="1"/>
    <s v="PALF"/>
    <s v="CONGO"/>
    <m/>
    <m/>
    <m/>
  </r>
  <r>
    <d v="2022-03-24T00:00:00"/>
    <s v="Cumul frais de trust building du mois Mars 2022/I23C"/>
    <s v="Trust building"/>
    <s v="Investigation"/>
    <m/>
    <n v="40000"/>
    <n v="36946037"/>
    <s v="i23c"/>
    <s v="Décharge"/>
    <x v="1"/>
    <s v="PALF"/>
    <s v="CONGO"/>
    <m/>
    <m/>
    <m/>
  </r>
  <r>
    <d v="2022-03-24T00:00:00"/>
    <s v="P29 - CONGO Paiement 3 nuitées du 21 au 24-03-22 Djambala"/>
    <s v="Travel Subsistence"/>
    <s v="Investigation"/>
    <m/>
    <n v="45000"/>
    <n v="36901037"/>
    <s v="P29"/>
    <s v="Oui"/>
    <x v="1"/>
    <s v="RALFF"/>
    <s v="CONGO"/>
    <m/>
    <s v="1.3.2"/>
    <m/>
  </r>
  <r>
    <d v="2022-03-24T00:00:00"/>
    <s v="Achat billet djambala-lekana/P29"/>
    <s v="Transport"/>
    <s v="Investigation"/>
    <m/>
    <n v="3000"/>
    <n v="36898037"/>
    <s v="P29"/>
    <s v="Oui"/>
    <x v="1"/>
    <s v="RALFF"/>
    <s v="CONGO"/>
    <m/>
    <s v="2.2"/>
    <m/>
  </r>
  <r>
    <d v="2022-03-24T00:00:00"/>
    <s v="Cumul frais de Jail Visits du mois de Mars 2022/Paule"/>
    <s v="Jail Visits"/>
    <s v="Legal"/>
    <m/>
    <n v="15000"/>
    <n v="36883037"/>
    <s v="Paule"/>
    <s v="Décharge"/>
    <x v="1"/>
    <s v="PALF"/>
    <s v="CONGO"/>
    <m/>
    <m/>
    <m/>
  </r>
  <r>
    <d v="2022-03-24T00:00:00"/>
    <s v="Achat Billet Oyo - Brazzaville/Paule"/>
    <s v="Transport"/>
    <s v="Legal"/>
    <m/>
    <n v="7000"/>
    <n v="36876037"/>
    <s v="Paule"/>
    <s v="Oui"/>
    <x v="1"/>
    <s v="PALF"/>
    <s v="CONGO"/>
    <m/>
    <m/>
    <m/>
  </r>
  <r>
    <d v="2022-03-25T00:00:00"/>
    <s v="Evariste"/>
    <s v="Versement"/>
    <m/>
    <m/>
    <n v="33000"/>
    <n v="36843037"/>
    <s v="Caisse"/>
    <m/>
    <x v="0"/>
    <m/>
    <s v="CONGO"/>
    <m/>
    <m/>
    <m/>
  </r>
  <r>
    <d v="2022-03-25T00:00:00"/>
    <s v="I23c"/>
    <s v="Versement"/>
    <m/>
    <m/>
    <n v="193000"/>
    <n v="36650037"/>
    <s v="Caisse"/>
    <m/>
    <x v="0"/>
    <m/>
    <s v="CONGO"/>
    <m/>
    <m/>
    <m/>
  </r>
  <r>
    <d v="2022-03-25T00:00:00"/>
    <s v="Frais de transfert western union à I23C/Kinshasa"/>
    <s v="Transfer Fees"/>
    <s v="Office"/>
    <m/>
    <n v="12557"/>
    <n v="36637480"/>
    <s v="Caisse"/>
    <s v="Oui"/>
    <x v="1"/>
    <s v="PALF"/>
    <s v="CONGO"/>
    <m/>
    <m/>
    <m/>
  </r>
  <r>
    <d v="2022-03-25T00:00:00"/>
    <s v="Frais de transfert charden farell à Evariste"/>
    <s v="Transfer Fees"/>
    <s v="Office"/>
    <m/>
    <n v="990"/>
    <n v="36636490"/>
    <s v="Caisse"/>
    <s v="Oui"/>
    <x v="2"/>
    <s v="RALFF"/>
    <s v="CONGO"/>
    <m/>
    <s v="5.6"/>
    <m/>
  </r>
  <r>
    <d v="2022-03-25T00:00:00"/>
    <s v="Reglément Facture Congo Telecom Redevance Avril 2022"/>
    <s v="Internet"/>
    <s v="Office"/>
    <m/>
    <n v="89175"/>
    <n v="36547315"/>
    <s v="Caisse"/>
    <s v="Oui"/>
    <x v="2"/>
    <s v="RALFF"/>
    <s v="CONGO"/>
    <m/>
    <s v="4.5"/>
    <m/>
  </r>
  <r>
    <d v="2022-03-25T00:00:00"/>
    <s v="Reçu caisse"/>
    <s v="Versement"/>
    <m/>
    <n v="193000"/>
    <m/>
    <n v="36740315"/>
    <s v="i23c"/>
    <m/>
    <x v="0"/>
    <m/>
    <s v="CONGO"/>
    <m/>
    <m/>
    <m/>
  </r>
  <r>
    <d v="2022-03-25T00:00:00"/>
    <s v="Reçu de la caisse"/>
    <s v="Versement"/>
    <m/>
    <n v="33000"/>
    <m/>
    <n v="36773315"/>
    <s v="Evariste"/>
    <m/>
    <x v="0"/>
    <m/>
    <s v="CONGO"/>
    <m/>
    <m/>
    <m/>
  </r>
  <r>
    <d v="2022-03-25T00:00:00"/>
    <s v="Billet Oyo-Brazzaville /Evariste"/>
    <s v="Transport"/>
    <s v="Media"/>
    <m/>
    <n v="7000"/>
    <n v="36766315"/>
    <s v="Evariste"/>
    <s v="Oui"/>
    <x v="1"/>
    <s v="RALFF"/>
    <s v="CONGO"/>
    <m/>
    <s v="2.2"/>
    <m/>
  </r>
  <r>
    <d v="2022-03-25T00:00:00"/>
    <s v="EVARISTE LELOUSSI -CONGO Frais d'hôtel du 23 au 26 mars 2022 (3 nuités)"/>
    <s v="Travel Subsistence"/>
    <s v="Media"/>
    <m/>
    <n v="45000"/>
    <n v="36721315"/>
    <s v="Evariste"/>
    <s v="Oui"/>
    <x v="1"/>
    <s v="RALFF"/>
    <s v="CONGO"/>
    <m/>
    <s v="1.3.2"/>
    <m/>
  </r>
  <r>
    <d v="2022-03-25T00:00:00"/>
    <s v="Cumul frais Jail visits mois de Mars 2022/EVARISTE LELOUSSI"/>
    <s v="Jail Visits"/>
    <s v="Legal"/>
    <m/>
    <n v="5000"/>
    <n v="36716315"/>
    <s v="Evariste"/>
    <s v="Décharge"/>
    <x v="1"/>
    <s v="PALF"/>
    <s v="CONGO"/>
    <m/>
    <m/>
    <m/>
  </r>
  <r>
    <d v="2022-03-25T00:00:00"/>
    <s v="Cumul frais de jails visits Mars 2022/Godfré"/>
    <s v="Jail Visits"/>
    <s v="Legal"/>
    <m/>
    <n v="5000"/>
    <n v="36711315"/>
    <s v="Godfré"/>
    <s v="Décharge"/>
    <x v="1"/>
    <s v="PALF"/>
    <s v="CONGO"/>
    <m/>
    <m/>
    <m/>
  </r>
  <r>
    <d v="2022-03-25T00:00:00"/>
    <s v="Cumul frais de Transport local mois de Mars 2022/Grace MOLENDE"/>
    <s v="Transport"/>
    <s v="Management"/>
    <m/>
    <n v="10000"/>
    <n v="36701315"/>
    <s v="Grace"/>
    <s v="Décharge"/>
    <x v="1"/>
    <s v="RALFF"/>
    <s v="CONGO"/>
    <m/>
    <s v="2.2"/>
    <m/>
  </r>
  <r>
    <d v="2022-03-25T00:00:00"/>
    <s v="PAULE CONGO Frais d'hotel 02 nuitées du 23 au 25-03-22 à Oyo"/>
    <s v="Travel Subsistence"/>
    <s v="Legal"/>
    <m/>
    <n v="30000"/>
    <n v="36671315"/>
    <s v="Paule"/>
    <s v="Oui"/>
    <x v="1"/>
    <s v="PALF"/>
    <s v="CONGO"/>
    <m/>
    <m/>
    <m/>
  </r>
  <r>
    <d v="2022-03-26T00:00:00"/>
    <s v="Paiement frais de démarcheuur/I23C"/>
    <s v="Transport"/>
    <s v="Investigation"/>
    <m/>
    <n v="10000"/>
    <n v="36661315"/>
    <s v="i23c"/>
    <s v="Oui"/>
    <x v="1"/>
    <s v="PALF"/>
    <s v="CONGO"/>
    <m/>
    <m/>
    <m/>
  </r>
  <r>
    <d v="2022-03-26T00:00:00"/>
    <s v="Achat crédit téléphonique/Investigation/Kinshasa I23C"/>
    <s v="Telephone"/>
    <s v="Investigation"/>
    <m/>
    <n v="5000"/>
    <n v="36656315"/>
    <s v="i23c"/>
    <s v="Oui"/>
    <x v="1"/>
    <s v="PALF"/>
    <s v="CONGO"/>
    <m/>
    <m/>
    <m/>
  </r>
  <r>
    <d v="2022-03-26T00:00:00"/>
    <s v="GODFRE - CONGO Frais d'hôtel du 23au 26/03/2022 à Dolisie"/>
    <s v="Travel Subsistence"/>
    <s v="Legal"/>
    <m/>
    <n v="45000"/>
    <n v="36611315"/>
    <s v="Godfré"/>
    <s v="Oui"/>
    <x v="1"/>
    <s v="RALFF"/>
    <s v="CONGO"/>
    <m/>
    <s v="1.3.2"/>
    <m/>
  </r>
  <r>
    <d v="2022-03-26T00:00:00"/>
    <s v="Achat billet retour (Dolisie-Brazzaville)Godfré"/>
    <s v="Transport"/>
    <s v="Legal"/>
    <m/>
    <n v="10000"/>
    <n v="36601315"/>
    <s v="Godfré"/>
    <s v="Oui"/>
    <x v="1"/>
    <s v="RALFF"/>
    <s v="CONGO"/>
    <m/>
    <s v="2.2"/>
    <m/>
  </r>
  <r>
    <d v="2022-03-26T00:00:00"/>
    <s v="Achat billet Lekana-Djambala/P29"/>
    <s v="Transport"/>
    <s v="Investigation"/>
    <m/>
    <n v="3000"/>
    <n v="36598315"/>
    <s v="P29"/>
    <s v="Oui"/>
    <x v="1"/>
    <s v="RALFF"/>
    <s v="CONGO"/>
    <m/>
    <s v="2.2"/>
    <m/>
  </r>
  <r>
    <d v="2022-03-26T00:00:00"/>
    <s v="Achat billet Djambala-Ngo/P29"/>
    <s v="Transport"/>
    <s v="Investigation"/>
    <m/>
    <n v="4000"/>
    <n v="36594315"/>
    <s v="P29"/>
    <s v="Oui"/>
    <x v="1"/>
    <s v="RALFF"/>
    <s v="CONGO"/>
    <m/>
    <s v="2.2"/>
    <m/>
  </r>
  <r>
    <d v="2022-03-26T00:00:00"/>
    <s v="P29 - CONGO Frais Hotel 2 nuitées du 24 au 26-03-22 Lekana"/>
    <s v="Travel Subsistence"/>
    <s v="Investigation"/>
    <m/>
    <n v="30000"/>
    <n v="36564315"/>
    <s v="P29"/>
    <s v="Oui"/>
    <x v="1"/>
    <s v="RALFF"/>
    <s v="CONGO"/>
    <m/>
    <s v="1.3.2"/>
    <m/>
  </r>
  <r>
    <d v="2022-03-27T00:00:00"/>
    <s v="P29 - CONGO Frais Hotel 1 nuitée du 26 au 27/03-22 Ngo"/>
    <s v="Travel Subsistence"/>
    <s v="Investigation"/>
    <m/>
    <n v="15000"/>
    <n v="36549315"/>
    <s v="P29"/>
    <s v="Oui"/>
    <x v="1"/>
    <s v="RALFF"/>
    <s v="CONGO"/>
    <m/>
    <s v="1.3.2"/>
    <m/>
  </r>
  <r>
    <d v="2022-03-27T00:00:00"/>
    <s v="Achat billet Ngo-brazzaville/P29"/>
    <s v="Transport"/>
    <s v="Investigation"/>
    <m/>
    <n v="6000"/>
    <n v="36543315"/>
    <s v="P29"/>
    <s v="Oui"/>
    <x v="1"/>
    <s v="RALFF"/>
    <s v="CONGO"/>
    <m/>
    <s v="2.2"/>
    <m/>
  </r>
  <r>
    <d v="2022-03-28T00:00:00"/>
    <s v="Achat crédit téléphone MTN/Tiffany"/>
    <s v="Telephone"/>
    <s v="Management"/>
    <m/>
    <n v="5000"/>
    <n v="36538315"/>
    <s v="Caisse"/>
    <s v="Oui"/>
    <x v="1"/>
    <s v="RALFF"/>
    <s v="CONGO"/>
    <m/>
    <s v="4.6"/>
    <m/>
  </r>
  <r>
    <d v="2022-03-28T00:00:00"/>
    <s v="I23C - CONGO Paiement hôtel 6 nuitées du 22 au 28 mars 2022/Kinshasa"/>
    <s v="Travel Subsistence"/>
    <s v="Investigation"/>
    <m/>
    <n v="150000"/>
    <n v="36388315"/>
    <s v="i23c"/>
    <s v="Oui"/>
    <x v="1"/>
    <s v="PALF"/>
    <s v="CONGO"/>
    <m/>
    <m/>
    <m/>
  </r>
  <r>
    <d v="2022-03-28T00:00:00"/>
    <s v="Paiement billet et formalités (Retour Kinshasa - Brazzaville)/I23C"/>
    <s v="Transport"/>
    <s v="Investigation"/>
    <m/>
    <n v="20000"/>
    <n v="36368315"/>
    <s v="i23c"/>
    <s v="Oui"/>
    <x v="1"/>
    <s v="PALF"/>
    <s v="CONGO"/>
    <m/>
    <m/>
    <m/>
  </r>
  <r>
    <d v="2022-03-28T00:00:00"/>
    <s v="Paiement test COVID"/>
    <s v="Travel Expenses"/>
    <s v="Investigation"/>
    <m/>
    <n v="20000"/>
    <n v="36348315"/>
    <s v="i23c"/>
    <s v="Oui"/>
    <x v="1"/>
    <s v="PALF"/>
    <s v="CONGO"/>
    <m/>
    <m/>
    <m/>
  </r>
  <r>
    <d v="2022-03-28T00:00:00"/>
    <s v="Paiement redevance arrivé à Brazzaville PABPS"/>
    <s v="Travel Expenses"/>
    <s v="Investigation"/>
    <m/>
    <n v="1200"/>
    <n v="36347115"/>
    <s v="i23c"/>
    <s v="Oui"/>
    <x v="1"/>
    <s v="PALF"/>
    <s v="CONGO"/>
    <m/>
    <m/>
    <m/>
  </r>
  <r>
    <d v="2022-03-28T00:00:00"/>
    <s v="Cumul frais de transport Local du mois Mars 2022/I23C"/>
    <s v="Transport"/>
    <s v="Investigation"/>
    <m/>
    <n v="70000"/>
    <n v="36277115"/>
    <s v="i23c"/>
    <s v="Décharge"/>
    <x v="1"/>
    <s v="RALFF"/>
    <s v="CONGO"/>
    <m/>
    <s v="2.2"/>
    <m/>
  </r>
  <r>
    <d v="2022-03-29T00:00:00"/>
    <s v="Hurielle"/>
    <s v="Versement"/>
    <m/>
    <m/>
    <n v="15000"/>
    <n v="36262115"/>
    <s v="Caisse"/>
    <m/>
    <x v="0"/>
    <m/>
    <s v="CONGO"/>
    <m/>
    <m/>
    <m/>
  </r>
  <r>
    <d v="2022-03-29T00:00:00"/>
    <s v="Bonus média/portant sur la condamnation d'un trafiquant de perroquets,le 24 Mars 2022 au TGI d'OYO"/>
    <s v="Bonus"/>
    <s v="Media"/>
    <m/>
    <n v="150000"/>
    <n v="36112115"/>
    <s v="Caisse"/>
    <s v="Decharge"/>
    <x v="1"/>
    <s v="PALF"/>
    <s v="CONGO"/>
    <m/>
    <m/>
    <m/>
  </r>
  <r>
    <d v="2022-03-29T00:00:00"/>
    <s v="Paiment Salaire Mois Mars 2022/Godfré MALONGA"/>
    <s v="Personnel"/>
    <s v="Legal"/>
    <m/>
    <n v="193600"/>
    <n v="35918515"/>
    <s v="BCI-Sous Compte"/>
    <n v="3643636"/>
    <x v="2"/>
    <s v="RALFF"/>
    <s v="CONGO"/>
    <m/>
    <s v="1.1.1.7"/>
    <m/>
  </r>
  <r>
    <d v="2022-03-29T00:00:00"/>
    <s v="Paiment Salaire Mois Mars 2022/Merveille MAHANGA"/>
    <s v="Personnel"/>
    <s v="Management"/>
    <m/>
    <n v="300000"/>
    <n v="35618515"/>
    <s v="BCI-Sous Compte"/>
    <n v="3643637"/>
    <x v="2"/>
    <s v="RALFF"/>
    <s v="CONGO"/>
    <m/>
    <s v="1.1.2.1"/>
    <m/>
  </r>
  <r>
    <d v="2022-03-29T00:00:00"/>
    <s v="Paiment Salaire Mois Mars 2022/Evariste LELOUSSI"/>
    <s v="Personnel"/>
    <s v="Media"/>
    <m/>
    <n v="234309"/>
    <n v="35384206"/>
    <s v="BCI-Sous Compte"/>
    <n v="3643638"/>
    <x v="2"/>
    <s v="RALFF"/>
    <s v="CONGO"/>
    <m/>
    <s v="1.1.1.4"/>
    <m/>
  </r>
  <r>
    <d v="2022-03-29T00:00:00"/>
    <s v="Paiment Salaire Mois Mars 2022/Grace MOLENDE"/>
    <s v="Personnel"/>
    <s v="Management"/>
    <m/>
    <n v="350000"/>
    <n v="35034206"/>
    <s v="BCI-Sous Compte"/>
    <s v="Virement"/>
    <x v="2"/>
    <s v="RALFF"/>
    <s v="CONGO"/>
    <m/>
    <s v="1.1.2.1"/>
    <m/>
  </r>
  <r>
    <d v="2022-03-29T00:00:00"/>
    <s v="Paiment Salaire Mois de Mars 2022/Tiffany GOBERT"/>
    <s v="Personnel"/>
    <s v="Management"/>
    <m/>
    <n v="1311914"/>
    <n v="33722292"/>
    <s v="BCI-Sous Compte"/>
    <n v="3643640"/>
    <x v="2"/>
    <s v="RALFF"/>
    <s v="CONGO"/>
    <m/>
    <s v="1.1.1.1"/>
    <m/>
  </r>
  <r>
    <d v="2022-03-29T00:00:00"/>
    <s v="Reglement loyer mois de Mars 2022/Bureau PALF"/>
    <s v="Rent &amp; Utilities"/>
    <s v="Office"/>
    <m/>
    <n v="500000"/>
    <n v="33222292"/>
    <s v="BCI-Sous Compte"/>
    <n v="3643641"/>
    <x v="2"/>
    <s v="RALFF"/>
    <s v="CONGO"/>
    <m/>
    <s v="4.2"/>
    <m/>
  </r>
  <r>
    <d v="2022-03-29T00:00:00"/>
    <s v="Recu caisse"/>
    <s v="Versement"/>
    <m/>
    <n v="15000"/>
    <m/>
    <n v="33237292"/>
    <s v="Hurielle"/>
    <m/>
    <x v="0"/>
    <m/>
    <s v="CONGO"/>
    <m/>
    <m/>
    <m/>
  </r>
  <r>
    <d v="2022-03-29T00:00:00"/>
    <s v="cumul frais Transport Local Mois de Mars 2022/P29"/>
    <s v="Transport"/>
    <s v="Investigation"/>
    <m/>
    <n v="60500"/>
    <n v="33176792"/>
    <s v="P29"/>
    <s v="Décharge"/>
    <x v="1"/>
    <s v="RALFF"/>
    <s v="CONGO"/>
    <m/>
    <s v="2.2"/>
    <m/>
  </r>
  <r>
    <d v="2022-03-29T00:00:00"/>
    <s v="Cumul frais Trust Building Mois de Mars 2022/P29"/>
    <s v="Trust building"/>
    <s v="Investigation"/>
    <m/>
    <n v="28500"/>
    <n v="33148292"/>
    <s v="P29"/>
    <s v="Décharge"/>
    <x v="1"/>
    <s v="PALF"/>
    <s v="CONGO"/>
    <m/>
    <m/>
    <m/>
  </r>
  <r>
    <d v="2022-03-30T00:00:00"/>
    <s v="BCI-3654473/34"/>
    <s v="Versement"/>
    <m/>
    <n v="1000000"/>
    <m/>
    <n v="34148292"/>
    <s v="Caisse"/>
    <m/>
    <x v="0"/>
    <m/>
    <s v="CONGO"/>
    <m/>
    <m/>
    <m/>
  </r>
  <r>
    <d v="2022-03-30T00:00:00"/>
    <s v="Evariste"/>
    <s v="Versement"/>
    <m/>
    <m/>
    <n v="15000"/>
    <n v="34133292"/>
    <s v="Caisse"/>
    <m/>
    <x v="0"/>
    <m/>
    <s v="CONGO"/>
    <m/>
    <m/>
    <m/>
  </r>
  <r>
    <d v="2022-03-30T00:00:00"/>
    <s v="Achat 50 litres de gazoil pour le groupe electrogène"/>
    <s v="Rent &amp; Utilities"/>
    <s v="Office"/>
    <m/>
    <n v="24000"/>
    <n v="34109292"/>
    <s v="Caisse"/>
    <s v="Oui"/>
    <x v="1"/>
    <s v="RALFF"/>
    <s v="CONGO"/>
    <m/>
    <s v="4.4"/>
    <m/>
  </r>
  <r>
    <d v="2022-03-30T00:00:00"/>
    <s v="Hurielle"/>
    <s v="Versement"/>
    <m/>
    <m/>
    <n v="82000"/>
    <n v="34027292"/>
    <s v="Caisse"/>
    <m/>
    <x v="0"/>
    <m/>
    <s v="CONGO"/>
    <m/>
    <m/>
    <m/>
  </r>
  <r>
    <d v="2022-03-30T00:00:00"/>
    <s v="Frais de mission maitre Scrutin MOUYETI à Dolisie du 31/03 au 02/04/2022/cas MANGUILA et Serge"/>
    <s v="Lawyer fees"/>
    <s v="Legal"/>
    <m/>
    <n v="76000"/>
    <n v="33951292"/>
    <s v="Caisse"/>
    <s v="Oui"/>
    <x v="1"/>
    <s v="RALFF"/>
    <s v="CONGO"/>
    <m/>
    <s v="5.2.2"/>
    <m/>
  </r>
  <r>
    <d v="2022-03-30T00:00:00"/>
    <s v="Reglement prestation Entretient bureau Mois de Mars  2022/Odile"/>
    <s v="Services"/>
    <s v="Office"/>
    <m/>
    <n v="75625"/>
    <n v="33875667"/>
    <s v="Caisse"/>
    <s v="Oui"/>
    <x v="1"/>
    <s v="PALF"/>
    <s v="CONGO"/>
    <m/>
    <m/>
    <m/>
  </r>
  <r>
    <d v="2022-03-30T00:00:00"/>
    <s v="Retrait especes/appro caisse/bord n°3654473"/>
    <s v="Versement"/>
    <m/>
    <m/>
    <n v="1000000"/>
    <n v="32875667"/>
    <s v="BCI"/>
    <m/>
    <x v="0"/>
    <m/>
    <s v="CONGO"/>
    <m/>
    <m/>
    <m/>
  </r>
  <r>
    <d v="2022-03-30T00:00:00"/>
    <s v="Reglement Facture Gardiennage Mois de Mars 2022/3654476"/>
    <s v="Services"/>
    <s v="Office"/>
    <m/>
    <n v="260000"/>
    <n v="32615667"/>
    <s v="BCI"/>
    <n v="3654476"/>
    <x v="1"/>
    <s v="PALF"/>
    <s v="CONGO"/>
    <m/>
    <m/>
    <m/>
  </r>
  <r>
    <d v="2022-03-30T00:00:00"/>
    <s v="Reglement facture honoraire du mois de Mars 2022/I23C/chq n°3643643"/>
    <s v="Personnel"/>
    <s v="Investigation"/>
    <m/>
    <n v="400000"/>
    <n v="32215667"/>
    <s v="BCI-Sous Compte"/>
    <n v="3643643"/>
    <x v="2"/>
    <s v="RALFF"/>
    <s v="CONGO"/>
    <m/>
    <s v="1.1.1.9"/>
    <m/>
  </r>
  <r>
    <d v="2022-03-30T00:00:00"/>
    <s v="Reglement facture honoraire du mois de Mars 2022/P29/chq n°3643645"/>
    <s v="Personnel"/>
    <s v="Investigation"/>
    <m/>
    <n v="225000"/>
    <n v="31990667"/>
    <s v="BCI-Sous Compte"/>
    <n v="3643644"/>
    <x v="2"/>
    <s v="RALFF"/>
    <s v="CONGO"/>
    <m/>
    <s v="1.1.1.9"/>
    <m/>
  </r>
  <r>
    <d v="2022-03-30T00:00:00"/>
    <s v="Reçu de la caisse"/>
    <s v="Versement"/>
    <m/>
    <n v="15000"/>
    <m/>
    <n v="32005667"/>
    <s v="Evariste"/>
    <m/>
    <x v="0"/>
    <m/>
    <s v="CONGO"/>
    <m/>
    <m/>
    <m/>
  </r>
  <r>
    <d v="2022-03-30T00:00:00"/>
    <s v="Cumul frais Transport Local mois de Mars 2022/EVARISTE LELOUSSI"/>
    <s v="Transport"/>
    <s v="Media"/>
    <m/>
    <n v="52500"/>
    <n v="31953167"/>
    <s v="Evariste"/>
    <s v="Décharge"/>
    <x v="1"/>
    <s v="RALFF"/>
    <s v="CONGO"/>
    <m/>
    <s v="2.2"/>
    <m/>
  </r>
  <r>
    <d v="2022-03-30T00:00:00"/>
    <s v="Cumul frais de Ration journalière Mois de Mars 2022/Hurielle"/>
    <s v="Travel Subsistence"/>
    <s v="Legal"/>
    <m/>
    <n v="13000"/>
    <n v="31940167"/>
    <s v="Hurielle"/>
    <s v="Décharge"/>
    <x v="1"/>
    <s v="PALF"/>
    <s v="CONGO"/>
    <m/>
    <m/>
    <m/>
  </r>
  <r>
    <d v="2022-03-30T00:00:00"/>
    <s v="Recu caisse"/>
    <s v="Versement"/>
    <m/>
    <n v="82000"/>
    <m/>
    <n v="32022167"/>
    <s v="Hurielle"/>
    <m/>
    <x v="0"/>
    <m/>
    <s v="CONGO"/>
    <m/>
    <m/>
    <m/>
  </r>
  <r>
    <d v="2022-03-30T00:00:00"/>
    <s v="Achat Billet Océan du Nord Brazzaville-Dolisie/Hurielle"/>
    <s v="Transport"/>
    <s v="Legal"/>
    <m/>
    <n v="10000"/>
    <n v="32012167"/>
    <s v="Hurielle"/>
    <s v="Oui"/>
    <x v="1"/>
    <s v="PALF"/>
    <s v="CONGO"/>
    <m/>
    <m/>
    <m/>
  </r>
  <r>
    <d v="2022-03-31T00:00:00"/>
    <s v="Cumul frais de transport local Mars 2022/Godfré"/>
    <s v="Transport"/>
    <s v="Legal"/>
    <m/>
    <n v="39700"/>
    <n v="31972467"/>
    <s v="Godfré"/>
    <s v="Décharge"/>
    <x v="1"/>
    <s v="RALFF"/>
    <s v="CONGO"/>
    <m/>
    <s v="2.2"/>
    <m/>
  </r>
  <r>
    <d v="2022-03-31T00:00:00"/>
    <s v="Cumul frais de Jail Visits Mois de Mars 2022/Hurielle"/>
    <s v="Jail Visits"/>
    <s v="Legal"/>
    <m/>
    <n v="4000"/>
    <n v="31968467"/>
    <s v="Hurielle"/>
    <s v="Décharge"/>
    <x v="1"/>
    <s v="PALF"/>
    <s v="CONGO"/>
    <m/>
    <m/>
    <m/>
  </r>
  <r>
    <d v="2022-03-31T00:00:00"/>
    <s v="HURIELLE - CONGO Food Allowanse du 31 Mars-02 Avril 2022 à Dolisie"/>
    <s v="Travel Subsistence"/>
    <s v="Legal"/>
    <m/>
    <n v="20000"/>
    <n v="31948467"/>
    <s v="Hurielle"/>
    <s v="Décharge"/>
    <x v="1"/>
    <s v="PALF"/>
    <s v="CONGO"/>
    <m/>
    <m/>
    <m/>
  </r>
  <r>
    <d v="2022-03-31T00:00:00"/>
    <s v="Cumul frais de Transport Local de Mars 2022/Hurielle"/>
    <s v="Transport"/>
    <s v="Legal"/>
    <m/>
    <n v="36000"/>
    <n v="31912467"/>
    <s v="Hurielle"/>
    <s v="Décharge"/>
    <x v="1"/>
    <s v="PALF"/>
    <s v="CONGO"/>
    <m/>
    <m/>
    <m/>
  </r>
  <r>
    <d v="2022-03-31T00:00:00"/>
    <s v="Cumul frais de transport local mois de Mars 2022/Merveille"/>
    <s v="Transport"/>
    <s v="Management"/>
    <m/>
    <n v="20400"/>
    <n v="31892067"/>
    <s v="Merveille"/>
    <s v="Décharge"/>
    <x v="1"/>
    <s v="RALFF"/>
    <s v="CONGO"/>
    <m/>
    <s v="2.2"/>
    <m/>
  </r>
  <r>
    <d v="2022-03-31T00:00:00"/>
    <s v="Cumul ration journalière du mois de Mars 2022/Paule"/>
    <s v="Travel Subsistence"/>
    <s v="Legal"/>
    <m/>
    <n v="11000"/>
    <n v="31881067"/>
    <s v="Paule"/>
    <s v="Décharge"/>
    <x v="1"/>
    <s v="PALF"/>
    <s v="CONGO"/>
    <m/>
    <m/>
    <m/>
  </r>
  <r>
    <d v="2022-03-31T00:00:00"/>
    <s v="Cumul transport local du mois de Mars 2022/Paule"/>
    <s v="Transport"/>
    <s v="Legal"/>
    <m/>
    <n v="33000"/>
    <n v="31848067"/>
    <s v="Paule"/>
    <s v="Décharge"/>
    <x v="1"/>
    <s v="PALF"/>
    <s v="CONGO"/>
    <m/>
    <m/>
    <m/>
  </r>
  <r>
    <d v="2022-03-31T00:00:00"/>
    <s v="Cumul frais transport local mois de Mars 2022/Tiffany"/>
    <s v="Transport"/>
    <s v="Management"/>
    <m/>
    <n v="18500"/>
    <n v="31829567"/>
    <s v="Tiffany"/>
    <s v="Décharge"/>
    <x v="1"/>
    <s v="RALFF"/>
    <s v="CONGO"/>
    <m/>
    <s v="2.2"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1">
  <r>
    <d v="2022-03-01T00:00:00"/>
    <s v="Solde au 01/03/2022"/>
    <m/>
    <m/>
    <m/>
    <x v="0"/>
    <n v="3382917"/>
    <m/>
    <x v="0"/>
    <x v="0"/>
    <x v="0"/>
    <s v="CONGO"/>
    <m/>
    <m/>
  </r>
  <r>
    <d v="2022-03-01T00:00:00"/>
    <s v="I23c"/>
    <s v="Versement"/>
    <m/>
    <m/>
    <x v="1"/>
    <n v="3266917"/>
    <s v="Caisse"/>
    <x v="0"/>
    <x v="0"/>
    <x v="0"/>
    <s v="CONGO"/>
    <m/>
    <m/>
  </r>
  <r>
    <d v="2022-03-01T00:00:00"/>
    <s v="Achat credit  teléphonique MTN/PALF/Prémière partie Mars 2022/Management"/>
    <s v="Telephone"/>
    <s v="Management "/>
    <m/>
    <x v="2"/>
    <n v="3224917"/>
    <s v="Caisse"/>
    <x v="1"/>
    <x v="1"/>
    <x v="1"/>
    <s v="CONGO"/>
    <m/>
    <s v="4.6"/>
  </r>
  <r>
    <d v="2022-03-01T00:00:00"/>
    <s v="Achat credit  teléphonique MTN/PALF/Prémière partie Mars 2022/Legal"/>
    <s v="Telephone"/>
    <s v="Legal"/>
    <m/>
    <x v="3"/>
    <n v="3187917"/>
    <s v="Caisse"/>
    <x v="1"/>
    <x v="1"/>
    <x v="1"/>
    <s v="CONGO"/>
    <m/>
    <s v="4.6"/>
  </r>
  <r>
    <d v="2022-03-01T00:00:00"/>
    <s v="Achat credit  teléphonique MTN/PALF/Prémière partie Mars 2022/Investigation"/>
    <s v="Telephone"/>
    <s v="Investigation"/>
    <m/>
    <x v="4"/>
    <n v="3167917"/>
    <s v="Caisse"/>
    <x v="1"/>
    <x v="1"/>
    <x v="1"/>
    <s v="CONGO"/>
    <m/>
    <s v="4.6"/>
  </r>
  <r>
    <d v="2022-03-01T00:00:00"/>
    <s v="Achat credit  teléphonique MTN/PALF/Prémière partie Mars 2022/Media"/>
    <s v="Telephone"/>
    <s v="Media"/>
    <m/>
    <x v="5"/>
    <n v="3162917"/>
    <s v="Caisse"/>
    <x v="1"/>
    <x v="1"/>
    <x v="1"/>
    <s v="CONGO"/>
    <m/>
    <s v="4.6"/>
  </r>
  <r>
    <d v="2022-03-01T00:00:00"/>
    <s v="Achat credit  teléphonique Airtel/PALF/Prémière partie Mars 2022/Management"/>
    <s v="Telephone"/>
    <s v="Management "/>
    <m/>
    <x v="6"/>
    <n v="3130917"/>
    <s v="Caisse"/>
    <x v="1"/>
    <x v="1"/>
    <x v="1"/>
    <s v="CONGO"/>
    <m/>
    <s v="4.6"/>
  </r>
  <r>
    <d v="2022-03-01T00:00:00"/>
    <s v="Achat credit  teléphonique Airtel/PALF/Prémière partie Mars 2022/Legal"/>
    <s v="Telephone"/>
    <s v="Legal"/>
    <m/>
    <x v="5"/>
    <n v="3125917"/>
    <s v="Caisse"/>
    <x v="1"/>
    <x v="1"/>
    <x v="1"/>
    <s v="CONGO"/>
    <m/>
    <s v="4.6"/>
  </r>
  <r>
    <d v="2022-03-01T00:00:00"/>
    <s v="Achat credit  teléphonique Airtel/PALF/Prémière partie Mars 2022/Investigation"/>
    <s v="Telephone"/>
    <s v="Investigation"/>
    <m/>
    <x v="6"/>
    <n v="3093917"/>
    <s v="Caisse"/>
    <x v="1"/>
    <x v="1"/>
    <x v="1"/>
    <s v="CONGO"/>
    <m/>
    <s v="4.6"/>
  </r>
  <r>
    <d v="2022-03-01T00:00:00"/>
    <s v="Achat credit  teléphonique Airtel/PALF/Prémière partie Mars 2022/Media"/>
    <s v="Telephone"/>
    <s v="Media"/>
    <m/>
    <x v="7"/>
    <n v="3082917"/>
    <s v="Caisse"/>
    <x v="1"/>
    <x v="1"/>
    <x v="1"/>
    <s v="CONGO"/>
    <m/>
    <s v="4.6"/>
  </r>
  <r>
    <d v="2022-03-01T00:00:00"/>
    <s v="Godfre"/>
    <s v="Versement"/>
    <m/>
    <m/>
    <x v="8"/>
    <n v="3053917"/>
    <s v="Caisse"/>
    <x v="0"/>
    <x v="0"/>
    <x v="0"/>
    <s v="CONGO"/>
    <m/>
    <m/>
  </r>
  <r>
    <d v="2022-03-01T00:00:00"/>
    <s v="Frais de transfert Charden Farell/Godfré"/>
    <s v="Transfer Fees"/>
    <s v="Office"/>
    <m/>
    <x v="9"/>
    <n v="3052237"/>
    <s v="Caisse"/>
    <x v="1"/>
    <x v="2"/>
    <x v="1"/>
    <s v="CONGO"/>
    <m/>
    <s v="5.6"/>
  </r>
  <r>
    <d v="2022-03-01T00:00:00"/>
    <s v="Complément frais de mission maitre Anicet à Pointe-Noire du 01 au 02/03/2022"/>
    <s v="Lawyer fees"/>
    <s v="Legal"/>
    <m/>
    <x v="10"/>
    <n v="3025237"/>
    <s v="Caisse"/>
    <x v="1"/>
    <x v="1"/>
    <x v="1"/>
    <s v="CONGO"/>
    <m/>
    <s v="5.2.2"/>
  </r>
  <r>
    <d v="2022-03-01T00:00:00"/>
    <s v="BCI-3654471/34"/>
    <s v="Versement"/>
    <m/>
    <n v="600000"/>
    <x v="0"/>
    <n v="3625237"/>
    <s v="Caisse"/>
    <x v="0"/>
    <x v="0"/>
    <x v="0"/>
    <s v="CONGO"/>
    <m/>
    <m/>
  </r>
  <r>
    <d v="2022-03-01T00:00:00"/>
    <s v="BCI-3643627/56"/>
    <s v="Versement"/>
    <m/>
    <n v="600000"/>
    <x v="0"/>
    <n v="4225237"/>
    <s v="Caisse"/>
    <x v="0"/>
    <x v="0"/>
    <x v="0"/>
    <s v="CONGO"/>
    <m/>
    <m/>
  </r>
  <r>
    <d v="2022-03-01T00:00:00"/>
    <s v="Bonus Média/op du 19/02/2022 sur OP "/>
    <s v="Bonus"/>
    <s v="Media"/>
    <m/>
    <x v="11"/>
    <n v="4075237"/>
    <s v="Caisse"/>
    <x v="2"/>
    <x v="1"/>
    <x v="2"/>
    <s v="CONGO"/>
    <m/>
    <m/>
  </r>
  <r>
    <d v="2022-03-01T00:00:00"/>
    <s v="Retrait especes/appro caisse/bord n°3654471"/>
    <s v="Versement"/>
    <m/>
    <m/>
    <x v="12"/>
    <n v="3475237"/>
    <s v="BCI"/>
    <x v="0"/>
    <x v="0"/>
    <x v="0"/>
    <s v="CONGO"/>
    <m/>
    <m/>
  </r>
  <r>
    <d v="2022-03-01T00:00:00"/>
    <s v="Retrait especes/appro caisse/bord n°3643627"/>
    <s v="Versement"/>
    <m/>
    <m/>
    <x v="12"/>
    <n v="2875237"/>
    <s v="BCI-Sous Compte"/>
    <x v="0"/>
    <x v="0"/>
    <x v="0"/>
    <s v="CONGO"/>
    <m/>
    <m/>
  </r>
  <r>
    <d v="2022-03-01T00:00:00"/>
    <s v="Frais Bancaire"/>
    <s v="Bank Fees"/>
    <s v="Office"/>
    <m/>
    <x v="13"/>
    <n v="2859138"/>
    <s v="BCI-Sous Compte"/>
    <x v="3"/>
    <x v="2"/>
    <x v="1"/>
    <s v="CONGO"/>
    <m/>
    <s v="5.6"/>
  </r>
  <r>
    <d v="2022-03-01T00:00:00"/>
    <s v="Reçu caisse"/>
    <s v="Versement"/>
    <m/>
    <n v="116000"/>
    <x v="0"/>
    <n v="2975138"/>
    <s v="i23c"/>
    <x v="0"/>
    <x v="0"/>
    <x v="0"/>
    <s v="CONGO"/>
    <m/>
    <m/>
  </r>
  <r>
    <d v="2022-03-01T00:00:00"/>
    <s v="Reçu caisse"/>
    <s v="Versement"/>
    <m/>
    <n v="29000"/>
    <x v="0"/>
    <n v="3004138"/>
    <s v="Godfré"/>
    <x v="0"/>
    <x v="0"/>
    <x v="0"/>
    <s v="CONGO"/>
    <m/>
    <m/>
  </r>
  <r>
    <d v="2022-03-01T00:00:00"/>
    <s v="Achat billet zanaga-sibiti/P29"/>
    <s v="Transport"/>
    <s v="Investigation"/>
    <m/>
    <x v="14"/>
    <n v="2994138"/>
    <s v="P29"/>
    <x v="1"/>
    <x v="1"/>
    <x v="1"/>
    <s v="CONGO"/>
    <m/>
    <s v="2.2"/>
  </r>
  <r>
    <d v="2022-03-01T00:00:00"/>
    <s v="Achat billet sibiti-loudima/P29"/>
    <s v="Transport"/>
    <s v="Investigation"/>
    <m/>
    <x v="15"/>
    <n v="2990138"/>
    <s v="P29"/>
    <x v="1"/>
    <x v="1"/>
    <x v="1"/>
    <s v="CONGO"/>
    <m/>
    <s v="2.2"/>
  </r>
  <r>
    <d v="2022-03-01T00:00:00"/>
    <s v="Achat billet loudima-brazzaville/P29"/>
    <s v="Transport"/>
    <s v="Investigation"/>
    <m/>
    <x v="14"/>
    <n v="2980138"/>
    <s v="P29"/>
    <x v="1"/>
    <x v="1"/>
    <x v="1"/>
    <s v="CONGO"/>
    <m/>
    <s v="2.2"/>
  </r>
  <r>
    <d v="2022-03-01T00:00:00"/>
    <s v="P29 - CONGO Paiement 3 nuitées du 26/02 au 01/03/22 Zanaga"/>
    <s v="Travel Subsistence"/>
    <s v="Investigation"/>
    <m/>
    <x v="16"/>
    <n v="2935138"/>
    <s v="P29"/>
    <x v="1"/>
    <x v="1"/>
    <x v="1"/>
    <s v="CONGO"/>
    <m/>
    <s v="1.3.2"/>
  </r>
  <r>
    <d v="2022-03-02T00:00:00"/>
    <s v="Reglement prestation Entretient bureau Mois de Février 2022/Odile"/>
    <s v="Services"/>
    <s v="Office"/>
    <m/>
    <x v="17"/>
    <n v="2859513"/>
    <s v="Caisse"/>
    <x v="1"/>
    <x v="1"/>
    <x v="2"/>
    <s v="CONGO"/>
    <m/>
    <m/>
  </r>
  <r>
    <d v="2022-03-02T00:00:00"/>
    <s v="Crepin/retour caisse remboursement avance sur salaire"/>
    <s v="Versement"/>
    <m/>
    <n v="30000"/>
    <x v="0"/>
    <n v="2889513"/>
    <s v="Caisse"/>
    <x v="0"/>
    <x v="0"/>
    <x v="0"/>
    <s v="CONGO"/>
    <m/>
    <m/>
  </r>
  <r>
    <d v="2022-03-02T00:00:00"/>
    <s v="Reglement Facture Gardiennage Mois de Février 2022/3654472"/>
    <s v="Services"/>
    <s v="Office"/>
    <m/>
    <x v="18"/>
    <n v="2629513"/>
    <s v="BCI"/>
    <x v="4"/>
    <x v="1"/>
    <x v="2"/>
    <s v="CONGO"/>
    <m/>
    <m/>
  </r>
  <r>
    <d v="2022-03-02T00:00:00"/>
    <s v="Fond Reçu de UE"/>
    <s v="Grant"/>
    <m/>
    <n v="28356365"/>
    <x v="0"/>
    <n v="30985878"/>
    <s v="BCI-Sous Compte"/>
    <x v="3"/>
    <x v="2"/>
    <x v="1"/>
    <s v="CONGO"/>
    <m/>
    <m/>
  </r>
  <r>
    <d v="2022-03-02T00:00:00"/>
    <s v="Retour à la caisse"/>
    <s v="Versement"/>
    <m/>
    <m/>
    <x v="19"/>
    <n v="30955878"/>
    <s v="Crépin"/>
    <x v="0"/>
    <x v="0"/>
    <x v="0"/>
    <s v="CONGO"/>
    <m/>
    <m/>
  </r>
  <r>
    <d v="2022-03-02T00:00:00"/>
    <s v="Achat billet retour (Pointe Noire-Brazzaville)/Godfré"/>
    <s v="Transport"/>
    <s v="Legal"/>
    <m/>
    <x v="20"/>
    <n v="30940878"/>
    <s v="Godfré"/>
    <x v="1"/>
    <x v="1"/>
    <x v="1"/>
    <s v="CONGO"/>
    <m/>
    <s v="2.2"/>
  </r>
  <r>
    <d v="2022-03-02T00:00:00"/>
    <s v="GODFRE - CONGO Frais d'hôtel du 28/02 au 02/03/2022 PNR"/>
    <s v="Travel Subsistence"/>
    <s v="Legal"/>
    <m/>
    <x v="19"/>
    <n v="30910878"/>
    <s v="Godfré"/>
    <x v="1"/>
    <x v="1"/>
    <x v="1"/>
    <s v="CONGO"/>
    <m/>
    <s v="1.3.2"/>
  </r>
  <r>
    <d v="2022-03-03T00:00:00"/>
    <s v="Achat 02 paquets de chemises cartonées et 01 paquet de sous chemise"/>
    <s v="Office Materials"/>
    <s v="Office"/>
    <m/>
    <x v="21"/>
    <n v="30898878"/>
    <s v="Caisse"/>
    <x v="1"/>
    <x v="1"/>
    <x v="1"/>
    <s v="CONGO"/>
    <m/>
    <s v="4.3"/>
  </r>
  <r>
    <d v="2022-03-03T00:00:00"/>
    <s v="Achat 07 ampoules pour le bureau"/>
    <s v="Office Materials"/>
    <s v="Office"/>
    <m/>
    <x v="22"/>
    <n v="30888378"/>
    <s v="Caisse"/>
    <x v="1"/>
    <x v="1"/>
    <x v="2"/>
    <s v="CONGO"/>
    <m/>
    <m/>
  </r>
  <r>
    <d v="2022-03-04T00:00:00"/>
    <s v="P29"/>
    <s v="Versement"/>
    <m/>
    <m/>
    <x v="23"/>
    <n v="30771378"/>
    <s v="Caisse"/>
    <x v="0"/>
    <x v="0"/>
    <x v="0"/>
    <s v="CONGO"/>
    <m/>
    <m/>
  </r>
  <r>
    <d v="2022-03-04T00:00:00"/>
    <s v="Recu de caisse"/>
    <s v="Versement"/>
    <m/>
    <n v="117000"/>
    <x v="0"/>
    <n v="30888378"/>
    <s v="P29"/>
    <x v="0"/>
    <x v="0"/>
    <x v="0"/>
    <s v="CONGO"/>
    <m/>
    <m/>
  </r>
  <r>
    <d v="2022-03-05T00:00:00"/>
    <s v="Achat billet brazzaville-dolisie/P29"/>
    <s v="Transport"/>
    <s v="Investigation"/>
    <m/>
    <x v="14"/>
    <n v="30878378"/>
    <s v="P29"/>
    <x v="1"/>
    <x v="1"/>
    <x v="1"/>
    <s v="CONGO"/>
    <m/>
    <s v="2.2"/>
  </r>
  <r>
    <d v="2022-03-06T00:00:00"/>
    <s v="P29 - CONGO Food allowance mission du 06 au 12-03-22"/>
    <s v="Travel Subsistence"/>
    <s v="Investigation"/>
    <m/>
    <x v="24"/>
    <n v="30818378"/>
    <s v="P29"/>
    <x v="5"/>
    <x v="1"/>
    <x v="1"/>
    <s v="CONGO"/>
    <m/>
    <s v="1.3.2"/>
  </r>
  <r>
    <d v="2022-03-07T00:00:00"/>
    <s v="I23c"/>
    <s v="Versement"/>
    <m/>
    <m/>
    <x v="25"/>
    <n v="30711378"/>
    <s v="Caisse"/>
    <x v="0"/>
    <x v="0"/>
    <x v="0"/>
    <s v="CONGO"/>
    <m/>
    <m/>
  </r>
  <r>
    <d v="2022-03-07T00:00:00"/>
    <s v="Bonus média interpellation du 19/02/2022"/>
    <s v="Bonus"/>
    <s v="Media"/>
    <m/>
    <x v="26"/>
    <n v="30665378"/>
    <s v="Caisse"/>
    <x v="2"/>
    <x v="1"/>
    <x v="2"/>
    <s v="CONGO"/>
    <m/>
    <m/>
  </r>
  <r>
    <d v="2022-03-07T00:00:00"/>
    <s v="Frais bancaire"/>
    <s v="Bank Fees"/>
    <s v="Office"/>
    <m/>
    <x v="27"/>
    <n v="30642033"/>
    <s v="BCI"/>
    <x v="6"/>
    <x v="1"/>
    <x v="2"/>
    <s v="CONGO"/>
    <m/>
    <m/>
  </r>
  <r>
    <d v="2022-03-07T00:00:00"/>
    <s v="Paiement Honoraire Me LOCKO/Mois de Février 2022"/>
    <s v="Lawyer fees"/>
    <s v="Legal"/>
    <m/>
    <x v="11"/>
    <n v="30492033"/>
    <s v="BCI-Sous Compte"/>
    <x v="7"/>
    <x v="2"/>
    <x v="1"/>
    <s v="CONGO"/>
    <m/>
    <s v="5.2.1"/>
  </r>
  <r>
    <d v="2022-03-07T00:00:00"/>
    <s v="Reçu caisse"/>
    <s v="Versement"/>
    <m/>
    <n v="107000"/>
    <x v="0"/>
    <n v="30599033"/>
    <s v="i23c"/>
    <x v="0"/>
    <x v="0"/>
    <x v="0"/>
    <s v="CONGO"/>
    <m/>
    <m/>
  </r>
  <r>
    <d v="2022-03-08T00:00:00"/>
    <s v="P29"/>
    <s v="Versement"/>
    <m/>
    <m/>
    <x v="28"/>
    <n v="30549033"/>
    <s v="Caisse"/>
    <x v="0"/>
    <x v="0"/>
    <x v="0"/>
    <s v="CONGO"/>
    <m/>
    <m/>
  </r>
  <r>
    <d v="2022-03-08T00:00:00"/>
    <s v="Frais de transfert Charden Farell/P29"/>
    <s v="Transfer Fees"/>
    <s v="Office"/>
    <m/>
    <x v="29"/>
    <n v="30547533"/>
    <s v="Caisse"/>
    <x v="1"/>
    <x v="2"/>
    <x v="1"/>
    <s v="CONGO"/>
    <m/>
    <s v="5.6"/>
  </r>
  <r>
    <d v="2022-03-08T00:00:00"/>
    <s v="Tiffany"/>
    <s v="Versement"/>
    <m/>
    <m/>
    <x v="30"/>
    <n v="30477533"/>
    <s v="Caisse"/>
    <x v="0"/>
    <x v="0"/>
    <x v="0"/>
    <s v="CONGO"/>
    <m/>
    <m/>
  </r>
  <r>
    <d v="2022-03-08T00:00:00"/>
    <s v="Godfre"/>
    <s v="Versement"/>
    <m/>
    <m/>
    <x v="31"/>
    <n v="30437533"/>
    <s v="Caisse"/>
    <x v="0"/>
    <x v="0"/>
    <x v="0"/>
    <s v="CONGO"/>
    <m/>
    <m/>
  </r>
  <r>
    <d v="2022-03-08T00:00:00"/>
    <s v="Bonus média/pièces TéléCongo sur Interpellation d'un traf d'invoires"/>
    <s v="Bonus"/>
    <s v="Media"/>
    <m/>
    <x v="11"/>
    <n v="30287533"/>
    <s v="Caisse"/>
    <x v="2"/>
    <x v="1"/>
    <x v="2"/>
    <s v="CONGO"/>
    <m/>
    <m/>
  </r>
  <r>
    <d v="2022-03-08T00:00:00"/>
    <s v="I23C - CONGO Food allowance mission Kinshasa du 8 au 9 mars 2022"/>
    <s v="Travel Subsistence"/>
    <s v="Investigation"/>
    <m/>
    <x v="14"/>
    <n v="30277533"/>
    <s v="i23c"/>
    <x v="5"/>
    <x v="1"/>
    <x v="2"/>
    <s v="CONGO"/>
    <m/>
    <m/>
  </r>
  <r>
    <d v="2022-03-08T00:00:00"/>
    <s v="Achat billet Brazzaville - Kinshasa/I23C"/>
    <s v="Transport"/>
    <s v="Investigation"/>
    <m/>
    <x v="7"/>
    <n v="30266533"/>
    <s v="i23c"/>
    <x v="1"/>
    <x v="1"/>
    <x v="2"/>
    <s v="CONGO"/>
    <m/>
    <m/>
  </r>
  <r>
    <d v="2022-03-08T00:00:00"/>
    <s v="Paiement PABPS"/>
    <s v="Travel Expenses"/>
    <s v="Investigation"/>
    <m/>
    <x v="32"/>
    <n v="30266383"/>
    <s v="i23c"/>
    <x v="1"/>
    <x v="1"/>
    <x v="2"/>
    <s v="CONGO"/>
    <m/>
    <m/>
  </r>
  <r>
    <d v="2022-03-08T00:00:00"/>
    <s v="Achat vignette"/>
    <s v="Travel Expenses"/>
    <s v="Investigation"/>
    <m/>
    <x v="33"/>
    <n v="30266183"/>
    <s v="i23c"/>
    <x v="1"/>
    <x v="1"/>
    <x v="2"/>
    <s v="CONGO"/>
    <m/>
    <m/>
  </r>
  <r>
    <d v="2022-03-08T00:00:00"/>
    <s v="Paiement PABPS"/>
    <s v="Travel Expenses"/>
    <s v="Investigation"/>
    <m/>
    <x v="34"/>
    <n v="30264983"/>
    <s v="i23c"/>
    <x v="1"/>
    <x v="1"/>
    <x v="2"/>
    <s v="CONGO"/>
    <m/>
    <m/>
  </r>
  <r>
    <d v="2022-03-08T00:00:00"/>
    <s v="Paiement immigration "/>
    <s v="Travel Expenses"/>
    <s v="Investigation"/>
    <m/>
    <x v="15"/>
    <n v="30260983"/>
    <s v="i23c"/>
    <x v="1"/>
    <x v="1"/>
    <x v="2"/>
    <s v="CONGO"/>
    <m/>
    <m/>
  </r>
  <r>
    <d v="2022-03-08T00:00:00"/>
    <s v="Achat carte sim (arrivé à Kinshasa)"/>
    <s v="Office Materials"/>
    <s v="Investigation"/>
    <m/>
    <x v="35"/>
    <n v="30259983"/>
    <s v="i23c"/>
    <x v="1"/>
    <x v="1"/>
    <x v="2"/>
    <s v="CONGO"/>
    <m/>
    <m/>
  </r>
  <r>
    <d v="2022-03-08T00:00:00"/>
    <s v="Achat crédit (arrivé à Kinshasa)/Investigation/I23C"/>
    <s v="Telephone"/>
    <s v="Investigation"/>
    <m/>
    <x v="5"/>
    <n v="30254983"/>
    <s v="i23c"/>
    <x v="1"/>
    <x v="1"/>
    <x v="2"/>
    <s v="CONGO"/>
    <m/>
    <m/>
  </r>
  <r>
    <d v="2022-03-08T00:00:00"/>
    <s v="Reçu Caisse"/>
    <s v="Versement"/>
    <m/>
    <n v="40000"/>
    <x v="0"/>
    <n v="30294983"/>
    <s v="Godfré"/>
    <x v="0"/>
    <x v="0"/>
    <x v="0"/>
    <s v="CONGO"/>
    <m/>
    <m/>
  </r>
  <r>
    <d v="2022-03-08T00:00:00"/>
    <s v="Recu de caisse"/>
    <s v="Versement"/>
    <m/>
    <n v="50000"/>
    <x v="0"/>
    <n v="30344983"/>
    <s v="P29"/>
    <x v="0"/>
    <x v="0"/>
    <x v="0"/>
    <s v="CONGO"/>
    <m/>
    <m/>
  </r>
  <r>
    <d v="2022-03-08T00:00:00"/>
    <s v="Reçu Caisse/ Tiffany"/>
    <s v="Versement"/>
    <m/>
    <n v="70000"/>
    <x v="0"/>
    <n v="30414983"/>
    <s v="Tiffany"/>
    <x v="0"/>
    <x v="0"/>
    <x v="0"/>
    <s v="CONGO"/>
    <m/>
    <m/>
  </r>
  <r>
    <d v="2022-03-09T00:00:00"/>
    <s v="Reglement facture E²C/ période Janvier - Février 2022/bureau PALF"/>
    <s v="Rent &amp; Utilities"/>
    <s v="Office"/>
    <m/>
    <x v="36"/>
    <n v="30353912"/>
    <s v="Caisse"/>
    <x v="1"/>
    <x v="2"/>
    <x v="1"/>
    <s v="CONGO"/>
    <m/>
    <s v="4.4"/>
  </r>
  <r>
    <d v="2022-03-09T00:00:00"/>
    <s v="Remboursement frais Pharmaceutiques Crépin"/>
    <s v="Personnel"/>
    <s v="Legal"/>
    <m/>
    <x v="37"/>
    <n v="30341737"/>
    <s v="Caisse"/>
    <x v="1"/>
    <x v="1"/>
    <x v="2"/>
    <s v="CONGO"/>
    <m/>
    <m/>
  </r>
  <r>
    <d v="2022-03-09T00:00:00"/>
    <s v="I23C - CONGO Paiement hôtel du 8 au 9/3/22 cfr mission Kinshasa"/>
    <s v="Travel Subsistence"/>
    <s v="Investigation"/>
    <m/>
    <x v="38"/>
    <n v="30316737"/>
    <s v="i23c"/>
    <x v="1"/>
    <x v="1"/>
    <x v="2"/>
    <s v="CONGO"/>
    <m/>
    <m/>
  </r>
  <r>
    <d v="2022-03-09T00:00:00"/>
    <s v="Paiement billet et formalités (Retour Kinshasa - Brazzaville)/I23C"/>
    <s v="Transport"/>
    <s v="Investigation"/>
    <m/>
    <x v="4"/>
    <n v="30296737"/>
    <s v="i23c"/>
    <x v="1"/>
    <x v="1"/>
    <x v="2"/>
    <s v="CONGO"/>
    <m/>
    <m/>
  </r>
  <r>
    <d v="2022-03-09T00:00:00"/>
    <s v="Paiement test COVID"/>
    <s v="Travel Expenses"/>
    <s v="Investigation"/>
    <m/>
    <x v="4"/>
    <n v="30276737"/>
    <s v="i23c"/>
    <x v="1"/>
    <x v="1"/>
    <x v="2"/>
    <s v="CONGO"/>
    <m/>
    <m/>
  </r>
  <r>
    <d v="2022-03-09T00:00:00"/>
    <s v="Paiement redevance arrivé à Brazzaville"/>
    <s v="Travel Expenses"/>
    <s v="Investigation"/>
    <m/>
    <x v="34"/>
    <n v="30275537"/>
    <s v="i23c"/>
    <x v="1"/>
    <x v="1"/>
    <x v="2"/>
    <s v="CONGO"/>
    <m/>
    <m/>
  </r>
  <r>
    <d v="2022-03-10T00:00:00"/>
    <s v="Merveille"/>
    <s v="Versement"/>
    <m/>
    <m/>
    <x v="4"/>
    <n v="30255537"/>
    <s v="Caisse"/>
    <x v="0"/>
    <x v="0"/>
    <x v="0"/>
    <s v="CONGO"/>
    <m/>
    <m/>
  </r>
  <r>
    <d v="2022-03-10T00:00:00"/>
    <s v="I23c"/>
    <s v="Versement"/>
    <m/>
    <m/>
    <x v="39"/>
    <n v="30180537"/>
    <s v="Caisse"/>
    <x v="0"/>
    <x v="0"/>
    <x v="0"/>
    <s v="CONGO"/>
    <m/>
    <m/>
  </r>
  <r>
    <d v="2022-03-10T00:00:00"/>
    <s v="Acompte Honoraire Contrat N°42-OYO / Me Hélène /Cas KAMBA,Apani"/>
    <s v="Lawyer fees"/>
    <s v="Legal"/>
    <m/>
    <x v="40"/>
    <n v="29980537"/>
    <s v="BCI-Sous Compte"/>
    <x v="8"/>
    <x v="1"/>
    <x v="1"/>
    <s v="CONGO"/>
    <m/>
    <s v="5.2.2"/>
  </r>
  <r>
    <d v="2022-03-10T00:00:00"/>
    <s v="Solde Honoraire Contrat N°39/Me Hélène NANITELAMIO MALONGA/Cas Job &amp; Chancel/Brazzaville"/>
    <s v="Lawyer fees"/>
    <s v="Legal"/>
    <m/>
    <x v="41"/>
    <n v="29680537"/>
    <s v="BCI-Sous Compte"/>
    <x v="9"/>
    <x v="1"/>
    <x v="1"/>
    <s v="CONGO"/>
    <m/>
    <s v="5.2.2"/>
  </r>
  <r>
    <d v="2022-03-10T00:00:00"/>
    <s v="Solde Honoraire Contrat N°40 / Me Hélène NANITELAMIO MALONGA /Cas Jonas, Hassan et Valentin"/>
    <s v="Lawyer fees"/>
    <s v="Legal"/>
    <m/>
    <x v="41"/>
    <n v="29380537"/>
    <s v="BCI-Sous Compte"/>
    <x v="10"/>
    <x v="2"/>
    <x v="1"/>
    <s v="CONGO"/>
    <m/>
    <s v="5.2.2"/>
  </r>
  <r>
    <d v="2022-03-10T00:00:00"/>
    <s v="Reçu caisse/Merveille"/>
    <s v="Versement"/>
    <m/>
    <n v="75000"/>
    <x v="0"/>
    <n v="29455537"/>
    <s v="i23c"/>
    <x v="0"/>
    <x v="0"/>
    <x v="0"/>
    <s v="CONGO"/>
    <m/>
    <m/>
  </r>
  <r>
    <d v="2022-03-10T00:00:00"/>
    <s v="Achat billet Brazzaville-Pointe Noire (cfr mission PN)/I23C"/>
    <s v="Transport"/>
    <s v="Investigation"/>
    <m/>
    <x v="20"/>
    <n v="29440537"/>
    <s v="i23c"/>
    <x v="1"/>
    <x v="1"/>
    <x v="1"/>
    <s v="CONGO"/>
    <m/>
    <s v="2.2"/>
  </r>
  <r>
    <d v="2022-03-10T00:00:00"/>
    <s v="Reçu caisse"/>
    <s v="Versement"/>
    <m/>
    <n v="20000"/>
    <x v="0"/>
    <n v="29460537"/>
    <s v="Merveille"/>
    <x v="0"/>
    <x v="0"/>
    <x v="0"/>
    <s v="CONGO"/>
    <m/>
    <m/>
  </r>
  <r>
    <d v="2022-03-11T00:00:00"/>
    <s v="reçu de la caisse"/>
    <s v="Versement"/>
    <m/>
    <n v="15000"/>
    <x v="0"/>
    <n v="29475537"/>
    <s v="Evariste"/>
    <x v="0"/>
    <x v="0"/>
    <x v="0"/>
    <s v="CONGO"/>
    <m/>
    <m/>
  </r>
  <r>
    <d v="2022-03-11T00:00:00"/>
    <s v="BCI-3643633/56"/>
    <s v="Versement"/>
    <m/>
    <n v="1000000"/>
    <x v="0"/>
    <n v="30475537"/>
    <s v="Caisse"/>
    <x v="0"/>
    <x v="0"/>
    <x v="0"/>
    <s v="CONGO"/>
    <m/>
    <m/>
  </r>
  <r>
    <d v="2022-03-11T00:00:00"/>
    <s v="Bonus operation du 09 et 19 février 2022 à Oyo/Crépin"/>
    <s v="Bonus"/>
    <s v="Operation"/>
    <m/>
    <x v="42"/>
    <n v="30395537"/>
    <s v="Caisse"/>
    <x v="2"/>
    <x v="1"/>
    <x v="2"/>
    <s v="CONGO"/>
    <m/>
    <m/>
  </r>
  <r>
    <d v="2022-03-11T00:00:00"/>
    <s v="Bonus mois de janvier et février 2022/Crépin"/>
    <s v="Bonus"/>
    <s v="Legal"/>
    <m/>
    <x v="42"/>
    <n v="30315537"/>
    <s v="Caisse"/>
    <x v="2"/>
    <x v="1"/>
    <x v="2"/>
    <s v="CONGO"/>
    <m/>
    <m/>
  </r>
  <r>
    <d v="2022-03-11T00:00:00"/>
    <s v="Bonus mois de janvier et février 2022/Godfré"/>
    <s v="Bonus"/>
    <s v="Legal"/>
    <m/>
    <x v="31"/>
    <n v="30275537"/>
    <s v="Caisse"/>
    <x v="2"/>
    <x v="1"/>
    <x v="2"/>
    <s v="CONGO"/>
    <m/>
    <m/>
  </r>
  <r>
    <d v="2022-03-11T00:00:00"/>
    <s v="Bonus mois de février 2022/Evariste"/>
    <s v="Bonus"/>
    <s v="Media"/>
    <m/>
    <x v="4"/>
    <n v="30255537"/>
    <s v="Caisse"/>
    <x v="2"/>
    <x v="1"/>
    <x v="2"/>
    <s v="CONGO"/>
    <m/>
    <m/>
  </r>
  <r>
    <d v="2022-03-11T00:00:00"/>
    <s v="Bonus operation du 19 février 2022 à Oyo et du 22 Février 2022 à Makoua /Godfré"/>
    <s v="Bonus"/>
    <s v="Operation"/>
    <m/>
    <x v="24"/>
    <n v="30195537"/>
    <s v="Caisse"/>
    <x v="2"/>
    <x v="1"/>
    <x v="2"/>
    <s v="CONGO"/>
    <m/>
    <m/>
  </r>
  <r>
    <d v="2022-03-11T00:00:00"/>
    <s v="Bonus operation du 09 et 19 février 2022 à Oyo/Grace"/>
    <s v="Bonus"/>
    <s v="Operation"/>
    <m/>
    <x v="31"/>
    <n v="30155537"/>
    <s v="Caisse"/>
    <x v="2"/>
    <x v="1"/>
    <x v="2"/>
    <s v="CONGO"/>
    <m/>
    <m/>
  </r>
  <r>
    <d v="2022-03-11T00:00:00"/>
    <s v="Bonus operation du 09 et 19 février 2022 à Oyo/Evariste"/>
    <s v="Bonus"/>
    <s v="Operation"/>
    <m/>
    <x v="31"/>
    <n v="30115537"/>
    <s v="Caisse"/>
    <x v="2"/>
    <x v="1"/>
    <x v="2"/>
    <s v="CONGO"/>
    <m/>
    <m/>
  </r>
  <r>
    <d v="2022-03-11T00:00:00"/>
    <s v="Evariste"/>
    <s v="Versement"/>
    <m/>
    <m/>
    <x v="20"/>
    <n v="30100537"/>
    <s v="Caisse"/>
    <x v="0"/>
    <x v="0"/>
    <x v="0"/>
    <s v="CONGO"/>
    <m/>
    <m/>
  </r>
  <r>
    <d v="2022-03-11T00:00:00"/>
    <s v="Bonus média/transfert de deux bébés chimpanzés"/>
    <s v="Bonus"/>
    <s v="Media"/>
    <m/>
    <x v="16"/>
    <n v="30055537"/>
    <s v="Caisse"/>
    <x v="2"/>
    <x v="1"/>
    <x v="2"/>
    <s v="CONGO"/>
    <m/>
    <m/>
  </r>
  <r>
    <d v="2022-03-11T00:00:00"/>
    <s v="Bonus média/interpellation du 19 février 2022 à Makoua"/>
    <s v="Bonus"/>
    <s v="Media"/>
    <m/>
    <x v="8"/>
    <n v="30026537"/>
    <s v="Caisse"/>
    <x v="2"/>
    <x v="1"/>
    <x v="2"/>
    <s v="CONGO"/>
    <m/>
    <m/>
  </r>
  <r>
    <d v="2022-03-11T00:00:00"/>
    <s v="Achat Produit d'entretien bureau/ajax,javel,sacs poubelles, lait sucre et café"/>
    <s v="Office Materials"/>
    <s v="Office"/>
    <m/>
    <x v="43"/>
    <n v="29999287"/>
    <s v="Caisse"/>
    <x v="1"/>
    <x v="1"/>
    <x v="1"/>
    <s v="CONGO"/>
    <m/>
    <s v="4.3"/>
  </r>
  <r>
    <d v="2022-03-11T00:00:00"/>
    <s v="Godfre/Retour caisse"/>
    <s v="Versement"/>
    <m/>
    <n v="40000"/>
    <x v="0"/>
    <n v="30039287"/>
    <s v="Caisse"/>
    <x v="0"/>
    <x v="0"/>
    <x v="0"/>
    <s v="CONGO"/>
    <m/>
    <m/>
  </r>
  <r>
    <d v="2022-03-11T00:00:00"/>
    <s v="Retrait especes/appro caisse/bord n°3643633"/>
    <s v="Versement"/>
    <m/>
    <m/>
    <x v="44"/>
    <n v="29039287"/>
    <s v="BCI-Sous Compte"/>
    <x v="0"/>
    <x v="0"/>
    <x v="0"/>
    <s v="CONGO"/>
    <m/>
    <m/>
  </r>
  <r>
    <d v="2022-03-11T00:00:00"/>
    <s v="Paiment Salaire Mois de Février 2022/Tiffany GOBERT"/>
    <s v="Personnel"/>
    <s v="Management"/>
    <m/>
    <x v="45"/>
    <n v="27727373"/>
    <s v="BCI-Sous Compte"/>
    <x v="11"/>
    <x v="2"/>
    <x v="1"/>
    <s v="CONGO"/>
    <m/>
    <s v="1.1.1.1"/>
  </r>
  <r>
    <d v="2022-03-11T00:00:00"/>
    <s v="I23C - CONGO Food allowance mission Pointe Noire du 11 au 15 mars 22"/>
    <s v="Travel Subsistence"/>
    <s v="Investigation"/>
    <m/>
    <x v="31"/>
    <n v="27687373"/>
    <s v="i23c"/>
    <x v="5"/>
    <x v="1"/>
    <x v="1"/>
    <s v="CONGO"/>
    <m/>
    <s v="1.3.2"/>
  </r>
  <r>
    <d v="2022-03-11T00:00:00"/>
    <s v="Retour Caisse "/>
    <s v="Versement"/>
    <m/>
    <m/>
    <x v="31"/>
    <n v="27647373"/>
    <s v="Godfré"/>
    <x v="0"/>
    <x v="0"/>
    <x v="0"/>
    <s v="CONGO"/>
    <m/>
    <m/>
  </r>
  <r>
    <d v="2022-03-11T00:00:00"/>
    <s v="Achat billet dolisie-brazzaville/P29"/>
    <s v="Transport"/>
    <s v="Investigation"/>
    <m/>
    <x v="14"/>
    <n v="27637373"/>
    <s v="P29"/>
    <x v="1"/>
    <x v="1"/>
    <x v="1"/>
    <s v="CONGO"/>
    <m/>
    <s v="2.2"/>
  </r>
  <r>
    <d v="2022-03-12T00:00:00"/>
    <s v="P29 - CONGO Paiement 6 nuitées du 06 au 12-03-22 Dolisie"/>
    <s v="Travel Subsistence"/>
    <s v="Investigation"/>
    <m/>
    <x v="46"/>
    <n v="27547373"/>
    <s v="P29"/>
    <x v="1"/>
    <x v="1"/>
    <x v="1"/>
    <s v="CONGO"/>
    <m/>
    <s v="1.3.2"/>
  </r>
  <r>
    <d v="2022-03-13T00:00:00"/>
    <s v="Taxi Pointe Noire - NZASSI (départ pour NZASSI)/I23C"/>
    <s v="Transport"/>
    <s v="Investigation"/>
    <m/>
    <x v="5"/>
    <n v="27542373"/>
    <s v="i23c"/>
    <x v="1"/>
    <x v="1"/>
    <x v="1"/>
    <s v="CONGO"/>
    <m/>
    <s v="2.2"/>
  </r>
  <r>
    <d v="2022-03-13T00:00:00"/>
    <s v="Taxi NZASSI - Gare PN (départ pour PN)/I23C"/>
    <s v="Transport"/>
    <s v="Investigation"/>
    <m/>
    <x v="5"/>
    <n v="27537373"/>
    <s v="i23c"/>
    <x v="1"/>
    <x v="1"/>
    <x v="1"/>
    <s v="CONGO"/>
    <m/>
    <s v="2.2"/>
  </r>
  <r>
    <d v="2022-03-14T00:00:00"/>
    <s v="Godfre"/>
    <s v="Versement"/>
    <m/>
    <m/>
    <x v="47"/>
    <n v="27534373"/>
    <s v="Caisse"/>
    <x v="0"/>
    <x v="0"/>
    <x v="0"/>
    <s v="CONGO"/>
    <m/>
    <m/>
  </r>
  <r>
    <d v="2022-03-14T00:00:00"/>
    <s v="Bonus média/Pièce supplémentaire /interpellation du 19 février 2022 à Makoua"/>
    <s v="Bonus"/>
    <s v="Media"/>
    <m/>
    <x v="48"/>
    <n v="27528373"/>
    <s v="Caisse"/>
    <x v="2"/>
    <x v="1"/>
    <x v="2"/>
    <s v="CONGO"/>
    <m/>
    <s v="  "/>
  </r>
  <r>
    <d v="2022-03-14T00:00:00"/>
    <s v="Paule"/>
    <s v="Versement"/>
    <m/>
    <m/>
    <x v="20"/>
    <n v="27513373"/>
    <s v="Caisse"/>
    <x v="0"/>
    <x v="0"/>
    <x v="0"/>
    <s v="CONGO"/>
    <m/>
    <m/>
  </r>
  <r>
    <d v="2022-03-14T00:00:00"/>
    <s v="Hurielle"/>
    <s v="Versement"/>
    <m/>
    <m/>
    <x v="20"/>
    <n v="27498373"/>
    <s v="Caisse"/>
    <x v="0"/>
    <x v="0"/>
    <x v="0"/>
    <s v="CONGO"/>
    <m/>
    <m/>
  </r>
  <r>
    <d v="2022-03-14T00:00:00"/>
    <s v="Fonds reçu de Wildcat"/>
    <s v="Grant"/>
    <m/>
    <n v="11432442"/>
    <x v="0"/>
    <n v="38930815"/>
    <s v="BCI"/>
    <x v="6"/>
    <x v="1"/>
    <x v="2"/>
    <s v="CONGO"/>
    <m/>
    <m/>
  </r>
  <r>
    <d v="2022-03-14T00:00:00"/>
    <s v="Paiment Salaire Mois de Mars  2022 et congé/Crépin Evariste IBOUILI-IBOUILI"/>
    <s v="Personnel"/>
    <s v="Legal"/>
    <m/>
    <x v="49"/>
    <n v="38606045"/>
    <s v="BCI-Sous Compte"/>
    <x v="12"/>
    <x v="2"/>
    <x v="1"/>
    <s v="CONGO"/>
    <m/>
    <s v="1.1.1.7"/>
  </r>
  <r>
    <d v="2022-03-14T00:00:00"/>
    <s v="Cumul frais de Transport Local Mois de Mars 2022/Crépin"/>
    <s v="Transport"/>
    <s v="Management"/>
    <m/>
    <x v="15"/>
    <n v="38602045"/>
    <s v="Crépin"/>
    <x v="5"/>
    <x v="1"/>
    <x v="1"/>
    <s v="CONGO"/>
    <m/>
    <s v="2.2"/>
  </r>
  <r>
    <d v="2022-03-14T00:00:00"/>
    <s v="Reçu caisse"/>
    <s v="Versement"/>
    <m/>
    <n v="3000"/>
    <x v="0"/>
    <n v="38605045"/>
    <s v="Godfré"/>
    <x v="0"/>
    <x v="0"/>
    <x v="0"/>
    <s v="CONGO"/>
    <m/>
    <m/>
  </r>
  <r>
    <d v="2022-03-14T00:00:00"/>
    <s v="Reçu caisse"/>
    <s v="Versement"/>
    <m/>
    <n v="15000"/>
    <x v="0"/>
    <n v="38620045"/>
    <s v="Hurielle"/>
    <x v="0"/>
    <x v="0"/>
    <x v="0"/>
    <s v="CONGO"/>
    <m/>
    <m/>
  </r>
  <r>
    <d v="2022-03-14T00:00:00"/>
    <s v="Reçu caisse"/>
    <s v="Versement"/>
    <m/>
    <n v="15000"/>
    <x v="0"/>
    <n v="38635045"/>
    <s v="Paule"/>
    <x v="0"/>
    <x v="0"/>
    <x v="0"/>
    <s v="CONGO"/>
    <m/>
    <m/>
  </r>
  <r>
    <d v="2022-03-14T00:00:00"/>
    <s v="Achat billet d'avion Brazzaville/ Paris/ Tiffany Reservation Congé "/>
    <s v="Flight"/>
    <s v="Management"/>
    <m/>
    <x v="50"/>
    <n v="37852462"/>
    <s v="Tiffany"/>
    <x v="1"/>
    <x v="1"/>
    <x v="2"/>
    <s v="CONGO"/>
    <m/>
    <m/>
  </r>
  <r>
    <d v="2022-03-15T00:00:00"/>
    <s v="P29"/>
    <s v="Versement"/>
    <m/>
    <m/>
    <x v="15"/>
    <n v="37848462"/>
    <s v="Caisse"/>
    <x v="0"/>
    <x v="0"/>
    <x v="0"/>
    <s v="CONGO"/>
    <m/>
    <m/>
  </r>
  <r>
    <d v="2022-03-15T00:00:00"/>
    <s v="Achat credit  teléphonique MTN/PALF/deuxième partie Mars 2022/Management"/>
    <s v="Telephone"/>
    <s v="Management "/>
    <m/>
    <x v="20"/>
    <n v="37833462"/>
    <s v="Caisse"/>
    <x v="1"/>
    <x v="1"/>
    <x v="1"/>
    <s v="CONGO"/>
    <m/>
    <s v="4.6"/>
  </r>
  <r>
    <d v="2022-03-15T00:00:00"/>
    <s v="Achat credit  teléphonique MTN/PALF/deuxième partie Mars 2022/Legal"/>
    <s v="Telephone"/>
    <s v="Legal"/>
    <m/>
    <x v="14"/>
    <n v="37823462"/>
    <s v="Caisse"/>
    <x v="1"/>
    <x v="1"/>
    <x v="1"/>
    <s v="CONGO"/>
    <m/>
    <s v="4.6"/>
  </r>
  <r>
    <d v="2022-03-15T00:00:00"/>
    <s v="Achat credit  teléphonique MTN/PALF/deuxième partie Mars 2022/Legal Volontaire"/>
    <s v="Telephone"/>
    <s v="Legal"/>
    <m/>
    <x v="6"/>
    <n v="37791462"/>
    <s v="Caisse"/>
    <x v="1"/>
    <x v="1"/>
    <x v="2"/>
    <s v="CONGO"/>
    <m/>
    <m/>
  </r>
  <r>
    <d v="2022-03-15T00:00:00"/>
    <s v="Achat credit  teléphonique MTN/PALF/deuxième partie Mars 2022/Investigation"/>
    <s v="Telephone"/>
    <s v="Investigation"/>
    <m/>
    <x v="4"/>
    <n v="37771462"/>
    <s v="Caisse"/>
    <x v="1"/>
    <x v="1"/>
    <x v="1"/>
    <s v="CONGO"/>
    <m/>
    <s v="4.6"/>
  </r>
  <r>
    <d v="2022-03-15T00:00:00"/>
    <s v="Achat credit  teléphonique MTN/PALF/deuxième partie Mars 2022/Media"/>
    <s v="Telephone"/>
    <s v="Media"/>
    <m/>
    <x v="14"/>
    <n v="37761462"/>
    <s v="Caisse"/>
    <x v="1"/>
    <x v="1"/>
    <x v="1"/>
    <s v="CONGO"/>
    <m/>
    <s v="4.6"/>
  </r>
  <r>
    <d v="2022-03-15T00:00:00"/>
    <s v="Achat credit  teléphonique Airtel/PALF/Deuxième partie Mars 2022/Management"/>
    <s v="Telephone"/>
    <s v="Management "/>
    <m/>
    <x v="5"/>
    <n v="37756462"/>
    <s v="Caisse"/>
    <x v="1"/>
    <x v="1"/>
    <x v="1"/>
    <s v="CONGO"/>
    <m/>
    <s v="4.6"/>
  </r>
  <r>
    <d v="2022-03-15T00:00:00"/>
    <s v="Achat credit  teléphonique Airtel/PALF/Deuxième partie Mars 2022/Investigation"/>
    <s v="Telephone"/>
    <s v="Investigation"/>
    <m/>
    <x v="14"/>
    <n v="37746462"/>
    <s v="Caisse"/>
    <x v="1"/>
    <x v="1"/>
    <x v="1"/>
    <s v="CONGO"/>
    <m/>
    <s v="4.6"/>
  </r>
  <r>
    <d v="2022-03-15T00:00:00"/>
    <s v="Main d'œuvre demontage, recharge et montage batterie/Groupe electrogène bureau"/>
    <s v="Services"/>
    <s v="Office"/>
    <m/>
    <x v="48"/>
    <n v="37740462"/>
    <s v="Caisse"/>
    <x v="1"/>
    <x v="1"/>
    <x v="2"/>
    <s v="CONGO"/>
    <m/>
    <m/>
  </r>
  <r>
    <d v="2022-03-15T00:00:00"/>
    <s v="I23C - CONGO Paiement hôtel 4 nuitées du 11 au 15 mars 22 à Pointe Noire"/>
    <s v="Travel Subsistence"/>
    <s v="Investigation"/>
    <m/>
    <x v="24"/>
    <n v="37680462"/>
    <s v="i23c"/>
    <x v="1"/>
    <x v="1"/>
    <x v="1"/>
    <s v="CONGO"/>
    <m/>
    <s v="1.3.2"/>
  </r>
  <r>
    <d v="2022-03-15T00:00:00"/>
    <s v="Achat billet Pointe Noire -Brazzaville (réservation pour BZ)/I23C"/>
    <s v="Transport"/>
    <s v="Investigation"/>
    <m/>
    <x v="20"/>
    <n v="37665462"/>
    <s v="i23c"/>
    <x v="1"/>
    <x v="1"/>
    <x v="1"/>
    <s v="CONGO"/>
    <m/>
    <s v="2.2"/>
  </r>
  <r>
    <d v="2022-03-15T00:00:00"/>
    <s v="Paiement frais d'appel et Expedition"/>
    <s v="Court Fees"/>
    <s v="Legal"/>
    <m/>
    <x v="31"/>
    <n v="37625462"/>
    <s v="Godfré"/>
    <x v="1"/>
    <x v="1"/>
    <x v="2"/>
    <s v="CONGO"/>
    <m/>
    <m/>
  </r>
  <r>
    <d v="2022-03-15T00:00:00"/>
    <s v="Recu de caisse"/>
    <s v="Versement"/>
    <m/>
    <n v="4000"/>
    <x v="0"/>
    <n v="37629462"/>
    <s v="P29"/>
    <x v="0"/>
    <x v="0"/>
    <x v="0"/>
    <s v="CONGO"/>
    <m/>
    <m/>
  </r>
  <r>
    <d v="2022-03-16T00:00:00"/>
    <s v="Microsoft Office 2021 Professionnel Plus ( 5 PC) "/>
    <s v="Office Materials"/>
    <s v="Management"/>
    <m/>
    <x v="51"/>
    <n v="37624877"/>
    <s v="Tiffany"/>
    <x v="1"/>
    <x v="1"/>
    <x v="2"/>
    <s v="CONGO"/>
    <m/>
    <m/>
  </r>
  <r>
    <d v="2022-03-17T00:00:00"/>
    <s v="Achat 04 bombones d'eau minerale"/>
    <s v="Office Materials"/>
    <s v="Office"/>
    <m/>
    <x v="52"/>
    <n v="37606877"/>
    <s v="Caisse"/>
    <x v="1"/>
    <x v="1"/>
    <x v="1"/>
    <s v="CONGO"/>
    <m/>
    <s v="4.3"/>
  </r>
  <r>
    <d v="2022-03-17T00:00:00"/>
    <s v="Antivirus Avast Ultimate Suite (2 ans/ 5 PC) "/>
    <s v="Office Materials"/>
    <s v="Management"/>
    <m/>
    <x v="53"/>
    <n v="37588523"/>
    <s v="Tiffany"/>
    <x v="1"/>
    <x v="1"/>
    <x v="2"/>
    <s v="CONGO"/>
    <m/>
    <m/>
  </r>
  <r>
    <d v="2022-03-18T00:00:00"/>
    <s v="P29"/>
    <s v="Versement"/>
    <m/>
    <m/>
    <x v="54"/>
    <n v="37479523"/>
    <s v="Caisse"/>
    <x v="0"/>
    <x v="0"/>
    <x v="0"/>
    <s v="CONGO"/>
    <m/>
    <m/>
  </r>
  <r>
    <d v="2022-03-18T00:00:00"/>
    <s v="I23c"/>
    <s v="Versement"/>
    <m/>
    <m/>
    <x v="55"/>
    <n v="37223523"/>
    <s v="Caisse"/>
    <x v="0"/>
    <x v="0"/>
    <x v="0"/>
    <s v="CONGO"/>
    <m/>
    <m/>
  </r>
  <r>
    <d v="2022-03-18T00:00:00"/>
    <s v="Reglement loyer Tiffany mois de Mars 2022/400USD"/>
    <s v="Personnel"/>
    <s v="Management"/>
    <m/>
    <x v="56"/>
    <n v="36989587"/>
    <s v="Caisse"/>
    <x v="1"/>
    <x v="1"/>
    <x v="2"/>
    <s v="CONGO"/>
    <m/>
    <m/>
  </r>
  <r>
    <d v="2022-03-18T00:00:00"/>
    <s v="Reçu caisse"/>
    <s v="Versement"/>
    <m/>
    <n v="256000"/>
    <x v="0"/>
    <n v="37245587"/>
    <s v="i23c"/>
    <x v="0"/>
    <x v="0"/>
    <x v="0"/>
    <s v="CONGO"/>
    <m/>
    <m/>
  </r>
  <r>
    <d v="2022-03-18T00:00:00"/>
    <s v="Recu de caisse"/>
    <s v="Versement"/>
    <m/>
    <n v="109000"/>
    <x v="0"/>
    <n v="37354587"/>
    <s v="P29"/>
    <x v="0"/>
    <x v="0"/>
    <x v="0"/>
    <s v="CONGO"/>
    <m/>
    <m/>
  </r>
  <r>
    <d v="2022-03-19T00:00:00"/>
    <s v="Achat billet brazzaville-djambala/P29"/>
    <s v="Transport"/>
    <s v="Investigation"/>
    <m/>
    <x v="48"/>
    <n v="37348587"/>
    <s v="P29"/>
    <x v="1"/>
    <x v="1"/>
    <x v="1"/>
    <s v="CONGO"/>
    <m/>
    <s v="2.2"/>
  </r>
  <r>
    <d v="2022-03-21T00:00:00"/>
    <s v="BCI-3654475/34"/>
    <s v="Versement"/>
    <m/>
    <n v="1000000"/>
    <x v="0"/>
    <n v="38348587"/>
    <s v="Caisse"/>
    <x v="0"/>
    <x v="0"/>
    <x v="0"/>
    <s v="CONGO"/>
    <m/>
    <m/>
  </r>
  <r>
    <d v="2022-03-21T00:00:00"/>
    <s v="Retrait especes/appro caisse/bord n°3654475"/>
    <s v="Versement"/>
    <m/>
    <m/>
    <x v="44"/>
    <n v="37348587"/>
    <s v="BCI"/>
    <x v="0"/>
    <x v="0"/>
    <x v="0"/>
    <s v="CONGO"/>
    <m/>
    <m/>
  </r>
  <r>
    <d v="2022-03-21T00:00:00"/>
    <s v="P29 - CONGO Food allowance mission du 21 au 27-03 Djambala.Lekana/Ngo"/>
    <s v="Travel Subsistence"/>
    <s v="Investigation"/>
    <m/>
    <x v="24"/>
    <n v="37288587"/>
    <s v="P29"/>
    <x v="5"/>
    <x v="1"/>
    <x v="1"/>
    <s v="CONGO"/>
    <m/>
    <s v="1.3.2"/>
  </r>
  <r>
    <d v="2022-03-22T00:00:00"/>
    <s v="Hurielle"/>
    <s v="Versement"/>
    <m/>
    <m/>
    <x v="4"/>
    <n v="37268587"/>
    <s v="Caisse"/>
    <x v="0"/>
    <x v="0"/>
    <x v="0"/>
    <s v="CONGO"/>
    <m/>
    <m/>
  </r>
  <r>
    <d v="2022-03-22T00:00:00"/>
    <s v="Paule"/>
    <s v="Versement"/>
    <m/>
    <m/>
    <x v="4"/>
    <n v="37248587"/>
    <s v="Caisse"/>
    <x v="0"/>
    <x v="0"/>
    <x v="0"/>
    <s v="CONGO"/>
    <m/>
    <m/>
  </r>
  <r>
    <d v="2022-03-22T00:00:00"/>
    <s v="Paule"/>
    <s v="Versement"/>
    <m/>
    <m/>
    <x v="57"/>
    <n v="37154587"/>
    <s v="Caisse"/>
    <x v="0"/>
    <x v="0"/>
    <x v="0"/>
    <s v="CONGO"/>
    <m/>
    <m/>
  </r>
  <r>
    <d v="2022-03-22T00:00:00"/>
    <s v="Evariste"/>
    <s v="Versement"/>
    <m/>
    <m/>
    <x v="58"/>
    <n v="37078587"/>
    <s v="Caisse"/>
    <x v="0"/>
    <x v="0"/>
    <x v="0"/>
    <s v="CONGO"/>
    <m/>
    <m/>
  </r>
  <r>
    <d v="2022-03-22T00:00:00"/>
    <s v="Godfre"/>
    <s v="Versement"/>
    <m/>
    <m/>
    <x v="1"/>
    <n v="36962587"/>
    <s v="Caisse"/>
    <x v="0"/>
    <x v="0"/>
    <x v="0"/>
    <s v="CONGO"/>
    <m/>
    <m/>
  </r>
  <r>
    <d v="2022-03-22T00:00:00"/>
    <s v="Bonus media/audience du 24/03/2022 à oyo"/>
    <s v="Bonus"/>
    <s v="Media"/>
    <m/>
    <x v="8"/>
    <n v="36933587"/>
    <s v="Caisse"/>
    <x v="2"/>
    <x v="1"/>
    <x v="2"/>
    <s v="CONGO"/>
    <m/>
    <m/>
  </r>
  <r>
    <d v="2022-03-22T00:00:00"/>
    <s v="Frais de mission maitre Marie Hèlene à oyo du 23 au 25/03/2022/cas NGATSONGO"/>
    <s v="Lawyer fees"/>
    <s v="Legal"/>
    <m/>
    <x v="30"/>
    <n v="36863587"/>
    <s v="Caisse"/>
    <x v="1"/>
    <x v="1"/>
    <x v="1"/>
    <s v="CONGO"/>
    <m/>
    <s v="5.2.2"/>
  </r>
  <r>
    <d v="2022-03-22T00:00:00"/>
    <s v="I23C - CONGO Food allowance mission Kinshasa du 22 au 28 mars 22"/>
    <s v="Travel Subsistence"/>
    <s v="Investigation"/>
    <m/>
    <x v="24"/>
    <n v="36803587"/>
    <s v="i23c"/>
    <x v="5"/>
    <x v="1"/>
    <x v="2"/>
    <s v="CONGO"/>
    <m/>
    <m/>
  </r>
  <r>
    <d v="2022-03-22T00:00:00"/>
    <s v="Achat billet Brazzaville - Kinshasa/I23C"/>
    <s v="Transport"/>
    <s v="Investigation"/>
    <m/>
    <x v="7"/>
    <n v="36792587"/>
    <s v="i23c"/>
    <x v="1"/>
    <x v="1"/>
    <x v="2"/>
    <s v="CONGO"/>
    <m/>
    <m/>
  </r>
  <r>
    <d v="2022-03-22T00:00:00"/>
    <s v="Paiement PABPS"/>
    <s v="Travel Expenses"/>
    <s v="Investigation"/>
    <m/>
    <x v="32"/>
    <n v="36792437"/>
    <s v="i23c"/>
    <x v="1"/>
    <x v="1"/>
    <x v="2"/>
    <s v="CONGO"/>
    <m/>
    <m/>
  </r>
  <r>
    <d v="2022-03-22T00:00:00"/>
    <s v="Achat vignette"/>
    <s v="Travel Expenses"/>
    <s v="Investigation"/>
    <m/>
    <x v="33"/>
    <n v="36792237"/>
    <s v="i23c"/>
    <x v="1"/>
    <x v="1"/>
    <x v="2"/>
    <s v="CONGO"/>
    <m/>
    <m/>
  </r>
  <r>
    <d v="2022-03-22T00:00:00"/>
    <s v="Paiement PABPS"/>
    <s v="Travel Expenses"/>
    <s v="Investigation"/>
    <m/>
    <x v="34"/>
    <n v="36791037"/>
    <s v="i23c"/>
    <x v="1"/>
    <x v="1"/>
    <x v="2"/>
    <s v="CONGO"/>
    <m/>
    <m/>
  </r>
  <r>
    <d v="2022-03-22T00:00:00"/>
    <s v="Paiement immigration "/>
    <s v="Travel Expenses"/>
    <s v="Investigation"/>
    <m/>
    <x v="15"/>
    <n v="36787037"/>
    <s v="i23c"/>
    <x v="1"/>
    <x v="1"/>
    <x v="2"/>
    <s v="CONGO"/>
    <m/>
    <m/>
  </r>
  <r>
    <d v="2022-03-22T00:00:00"/>
    <s v="Achat crédit (arrivé à Kinshasa)/Investigation/I23C"/>
    <s v="Telephone"/>
    <s v="Investigation"/>
    <m/>
    <x v="14"/>
    <n v="36777037"/>
    <s v="i23c"/>
    <x v="1"/>
    <x v="1"/>
    <x v="2"/>
    <s v="CONGO"/>
    <m/>
    <m/>
  </r>
  <r>
    <d v="2022-03-22T00:00:00"/>
    <s v="Reçu de la caisse"/>
    <s v="Versement"/>
    <m/>
    <n v="76000"/>
    <x v="0"/>
    <n v="36853037"/>
    <s v="Evariste"/>
    <x v="0"/>
    <x v="0"/>
    <x v="0"/>
    <s v="CONGO"/>
    <m/>
    <m/>
  </r>
  <r>
    <d v="2022-03-22T00:00:00"/>
    <s v="Billet Brazzaville-Oyo /Evariste"/>
    <s v="Transport"/>
    <s v="Media"/>
    <m/>
    <x v="59"/>
    <n v="36846037"/>
    <s v="Evariste"/>
    <x v="1"/>
    <x v="1"/>
    <x v="1"/>
    <s v="CONGO"/>
    <m/>
    <s v="2.2"/>
  </r>
  <r>
    <d v="2022-03-22T00:00:00"/>
    <s v="Reçu caisse"/>
    <s v="Versement"/>
    <m/>
    <n v="116000"/>
    <x v="0"/>
    <n v="36962037"/>
    <s v="Godfré"/>
    <x v="0"/>
    <x v="0"/>
    <x v="0"/>
    <s v="CONGO"/>
    <m/>
    <m/>
  </r>
  <r>
    <d v="2022-03-22T00:00:00"/>
    <s v="Achat du billet aller (Brazzaville-Dolisie)/Godfré"/>
    <s v="Transport"/>
    <s v="Legal"/>
    <m/>
    <x v="14"/>
    <n v="36952037"/>
    <s v="Godfré"/>
    <x v="1"/>
    <x v="1"/>
    <x v="1"/>
    <s v="CONGO"/>
    <m/>
    <s v="2.2"/>
  </r>
  <r>
    <d v="2022-03-22T00:00:00"/>
    <s v="Recu caisse"/>
    <s v="Versement"/>
    <m/>
    <n v="20000"/>
    <x v="0"/>
    <n v="36972037"/>
    <s v="Hurielle"/>
    <x v="0"/>
    <x v="0"/>
    <x v="0"/>
    <s v="CONGO"/>
    <m/>
    <m/>
  </r>
  <r>
    <d v="2022-03-22T00:00:00"/>
    <s v="Reçu caisse"/>
    <s v="Versement"/>
    <m/>
    <n v="20000"/>
    <x v="0"/>
    <n v="36992037"/>
    <s v="Paule"/>
    <x v="0"/>
    <x v="0"/>
    <x v="0"/>
    <s v="CONGO"/>
    <m/>
    <m/>
  </r>
  <r>
    <d v="2022-03-22T00:00:00"/>
    <s v="Reçu caisse"/>
    <s v="Versement"/>
    <m/>
    <n v="94000"/>
    <x v="0"/>
    <n v="37086037"/>
    <s v="Paule"/>
    <x v="0"/>
    <x v="0"/>
    <x v="0"/>
    <s v="CONGO"/>
    <m/>
    <m/>
  </r>
  <r>
    <d v="2022-03-22T00:00:00"/>
    <s v="Achat Billet  Brazzaville- Oyo/Paule"/>
    <s v="Transport"/>
    <s v="Legal"/>
    <m/>
    <x v="59"/>
    <n v="37079037"/>
    <s v="Paule"/>
    <x v="1"/>
    <x v="1"/>
    <x v="2"/>
    <s v="CONGO"/>
    <m/>
    <m/>
  </r>
  <r>
    <d v="2022-03-23T00:00:00"/>
    <s v="P29"/>
    <s v="Versement"/>
    <m/>
    <m/>
    <x v="60"/>
    <n v="36979037"/>
    <s v="Caisse"/>
    <x v="0"/>
    <x v="0"/>
    <x v="0"/>
    <s v="CONGO"/>
    <m/>
    <m/>
  </r>
  <r>
    <d v="2022-03-23T00:00:00"/>
    <s v="Hurielle"/>
    <s v="Versement"/>
    <m/>
    <m/>
    <x v="47"/>
    <n v="36976037"/>
    <s v="Caisse"/>
    <x v="0"/>
    <x v="0"/>
    <x v="0"/>
    <s v="CONGO"/>
    <m/>
    <m/>
  </r>
  <r>
    <d v="2022-03-23T00:00:00"/>
    <s v="Frais de transfert charden farell à P29"/>
    <s v="Transfer Fees"/>
    <s v="Office"/>
    <m/>
    <x v="47"/>
    <n v="36973037"/>
    <s v="Caisse"/>
    <x v="1"/>
    <x v="2"/>
    <x v="1"/>
    <s v="CONGO"/>
    <m/>
    <s v="5.6"/>
  </r>
  <r>
    <d v="2022-03-23T00:00:00"/>
    <s v="GODFRE - CONGO Food allowance du 23 au 26/03/2022 à Dolisie"/>
    <s v="Travel Subsistence"/>
    <s v="Legal"/>
    <m/>
    <x v="19"/>
    <n v="36943037"/>
    <s v="Godfré"/>
    <x v="5"/>
    <x v="1"/>
    <x v="1"/>
    <s v="CONGO"/>
    <m/>
    <s v="1.3.2"/>
  </r>
  <r>
    <d v="2022-03-23T00:00:00"/>
    <s v="Recu caisse"/>
    <s v="Versement"/>
    <m/>
    <n v="3000"/>
    <x v="0"/>
    <n v="36946037"/>
    <s v="Hurielle"/>
    <x v="0"/>
    <x v="0"/>
    <x v="0"/>
    <s v="CONGO"/>
    <m/>
    <m/>
  </r>
  <r>
    <d v="2022-03-23T00:00:00"/>
    <s v="Recu de caisse"/>
    <s v="Versement"/>
    <m/>
    <n v="100000"/>
    <x v="0"/>
    <n v="37046037"/>
    <s v="P29"/>
    <x v="0"/>
    <x v="0"/>
    <x v="0"/>
    <s v="CONGO"/>
    <m/>
    <m/>
  </r>
  <r>
    <d v="2022-03-23T00:00:00"/>
    <s v="PAULE - CONGO Food Allowance mission Oyo du 23 au 25-03-2022"/>
    <s v="Travel Subsistence"/>
    <s v="Legal"/>
    <m/>
    <x v="4"/>
    <n v="37026037"/>
    <s v="Paule"/>
    <x v="5"/>
    <x v="1"/>
    <x v="2"/>
    <s v="CONGO"/>
    <m/>
    <m/>
  </r>
  <r>
    <d v="2022-03-23T00:00:00"/>
    <s v="EVARISTE LELOUSSI -CONGO Food Allowance du 23 au 26 mars 2021 mission Oyo"/>
    <s v="Travel Subsistence"/>
    <s v="Media"/>
    <m/>
    <x v="19"/>
    <n v="36996037"/>
    <s v="Evariste"/>
    <x v="5"/>
    <x v="1"/>
    <x v="1"/>
    <s v="CONGO"/>
    <m/>
    <s v="1.3.2"/>
  </r>
  <r>
    <d v="2022-03-24T00:00:00"/>
    <s v="Achat crédit téléphone MTN/Tiffany"/>
    <s v="Telephone"/>
    <s v="Management"/>
    <m/>
    <x v="5"/>
    <n v="36991037"/>
    <s v="Caisse"/>
    <x v="1"/>
    <x v="1"/>
    <x v="1"/>
    <s v="CONGO"/>
    <m/>
    <s v="4.6"/>
  </r>
  <r>
    <d v="2022-03-24T00:00:00"/>
    <s v="Achat carte sim airtel/Investigation"/>
    <s v="Office Materials"/>
    <s v="Investigation"/>
    <m/>
    <x v="29"/>
    <n v="36989537"/>
    <s v="i23c"/>
    <x v="1"/>
    <x v="1"/>
    <x v="2"/>
    <s v="CONGO"/>
    <m/>
    <m/>
  </r>
  <r>
    <d v="2022-03-24T00:00:00"/>
    <s v="Achat crédit téléphonique/Investigation/Kinshasa I23C"/>
    <s v="Telephone"/>
    <s v="Investigation"/>
    <m/>
    <x v="61"/>
    <n v="36986037"/>
    <s v="i23c"/>
    <x v="1"/>
    <x v="1"/>
    <x v="2"/>
    <s v="CONGO"/>
    <m/>
    <m/>
  </r>
  <r>
    <d v="2022-03-24T00:00:00"/>
    <s v="Cumul frais de trust building du mois Mars 2022/I23C"/>
    <s v="Trust building"/>
    <s v="Investigation"/>
    <m/>
    <x v="31"/>
    <n v="36946037"/>
    <s v="i23c"/>
    <x v="5"/>
    <x v="1"/>
    <x v="2"/>
    <s v="CONGO"/>
    <m/>
    <m/>
  </r>
  <r>
    <d v="2022-03-24T00:00:00"/>
    <s v="P29 - CONGO Paiement 3 nuitées du 21 au 24-03-22 Djambala"/>
    <s v="Travel Subsistence"/>
    <s v="Investigation"/>
    <m/>
    <x v="16"/>
    <n v="36901037"/>
    <s v="P29"/>
    <x v="1"/>
    <x v="1"/>
    <x v="1"/>
    <s v="CONGO"/>
    <m/>
    <s v="1.3.2"/>
  </r>
  <r>
    <d v="2022-03-24T00:00:00"/>
    <s v="Achat billet djambala-lekana/P29"/>
    <s v="Transport"/>
    <s v="Investigation"/>
    <m/>
    <x v="47"/>
    <n v="36898037"/>
    <s v="P29"/>
    <x v="1"/>
    <x v="1"/>
    <x v="1"/>
    <s v="CONGO"/>
    <m/>
    <s v="2.2"/>
  </r>
  <r>
    <d v="2022-03-24T00:00:00"/>
    <s v="Cumul frais de Jail Visits du mois de Mars 2022/Paule"/>
    <s v="Jail Visits"/>
    <s v="Legal"/>
    <m/>
    <x v="20"/>
    <n v="36883037"/>
    <s v="Paule"/>
    <x v="5"/>
    <x v="1"/>
    <x v="2"/>
    <s v="CONGO"/>
    <m/>
    <m/>
  </r>
  <r>
    <d v="2022-03-24T00:00:00"/>
    <s v="Achat Billet Oyo - Brazzaville/Paule"/>
    <s v="Transport"/>
    <s v="Legal"/>
    <m/>
    <x v="59"/>
    <n v="36876037"/>
    <s v="Paule"/>
    <x v="1"/>
    <x v="1"/>
    <x v="2"/>
    <s v="CONGO"/>
    <m/>
    <m/>
  </r>
  <r>
    <d v="2022-03-25T00:00:00"/>
    <s v="Evariste"/>
    <s v="Versement"/>
    <m/>
    <m/>
    <x v="62"/>
    <n v="36843037"/>
    <s v="Caisse"/>
    <x v="0"/>
    <x v="0"/>
    <x v="0"/>
    <s v="CONGO"/>
    <m/>
    <m/>
  </r>
  <r>
    <d v="2022-03-25T00:00:00"/>
    <s v="I23c"/>
    <s v="Versement"/>
    <m/>
    <m/>
    <x v="63"/>
    <n v="36650037"/>
    <s v="Caisse"/>
    <x v="0"/>
    <x v="0"/>
    <x v="0"/>
    <s v="CONGO"/>
    <m/>
    <m/>
  </r>
  <r>
    <d v="2022-03-25T00:00:00"/>
    <s v="Frais de transfert western union à I23C/Kinshasa"/>
    <s v="Transfer Fees"/>
    <s v="Office"/>
    <m/>
    <x v="64"/>
    <n v="36637480"/>
    <s v="Caisse"/>
    <x v="1"/>
    <x v="1"/>
    <x v="2"/>
    <s v="CONGO"/>
    <m/>
    <m/>
  </r>
  <r>
    <d v="2022-03-25T00:00:00"/>
    <s v="Frais de transfert charden farell à Evariste"/>
    <s v="Transfer Fees"/>
    <s v="Office"/>
    <m/>
    <x v="65"/>
    <n v="36636490"/>
    <s v="Caisse"/>
    <x v="1"/>
    <x v="2"/>
    <x v="1"/>
    <s v="CONGO"/>
    <m/>
    <s v="5.6"/>
  </r>
  <r>
    <d v="2022-03-25T00:00:00"/>
    <s v="Reglément Facture Congo Telecom Redevance Avril 2022"/>
    <s v="Internet"/>
    <s v="Office"/>
    <m/>
    <x v="66"/>
    <n v="36547315"/>
    <s v="Caisse"/>
    <x v="1"/>
    <x v="2"/>
    <x v="1"/>
    <s v="CONGO"/>
    <m/>
    <s v="4.5"/>
  </r>
  <r>
    <d v="2022-03-25T00:00:00"/>
    <s v="Reçu caisse"/>
    <s v="Versement"/>
    <m/>
    <n v="193000"/>
    <x v="0"/>
    <n v="36740315"/>
    <s v="i23c"/>
    <x v="0"/>
    <x v="0"/>
    <x v="0"/>
    <s v="CONGO"/>
    <m/>
    <m/>
  </r>
  <r>
    <d v="2022-03-25T00:00:00"/>
    <s v="Reçu de la caisse"/>
    <s v="Versement"/>
    <m/>
    <n v="33000"/>
    <x v="0"/>
    <n v="36773315"/>
    <s v="Evariste"/>
    <x v="0"/>
    <x v="0"/>
    <x v="0"/>
    <s v="CONGO"/>
    <m/>
    <m/>
  </r>
  <r>
    <d v="2022-03-25T00:00:00"/>
    <s v="Billet Oyo-Brazzaville /Evariste"/>
    <s v="Transport"/>
    <s v="Media"/>
    <m/>
    <x v="59"/>
    <n v="36766315"/>
    <s v="Evariste"/>
    <x v="1"/>
    <x v="1"/>
    <x v="1"/>
    <s v="CONGO"/>
    <m/>
    <s v="2.2"/>
  </r>
  <r>
    <d v="2022-03-25T00:00:00"/>
    <s v="EVARISTE LELOUSSI -CONGO Frais d'hôtel du 23 au 26 mars 2022 (3 nuités)"/>
    <s v="Travel Subsistence"/>
    <s v="Media"/>
    <m/>
    <x v="16"/>
    <n v="36721315"/>
    <s v="Evariste"/>
    <x v="1"/>
    <x v="1"/>
    <x v="1"/>
    <s v="CONGO"/>
    <m/>
    <s v="1.3.2"/>
  </r>
  <r>
    <d v="2022-03-25T00:00:00"/>
    <s v="Cumul frais Jail visits mois de Mars 2022/EVARISTE LELOUSSI"/>
    <s v="Jail Visits"/>
    <s v="Legal"/>
    <m/>
    <x v="5"/>
    <n v="36716315"/>
    <s v="Evariste"/>
    <x v="5"/>
    <x v="1"/>
    <x v="2"/>
    <s v="CONGO"/>
    <m/>
    <m/>
  </r>
  <r>
    <d v="2022-03-25T00:00:00"/>
    <s v="Cumul frais de jails visits Mars 2022/Godfré"/>
    <s v="Jail Visits"/>
    <s v="Legal"/>
    <m/>
    <x v="5"/>
    <n v="36711315"/>
    <s v="Godfré"/>
    <x v="5"/>
    <x v="1"/>
    <x v="2"/>
    <s v="CONGO"/>
    <m/>
    <m/>
  </r>
  <r>
    <d v="2022-03-25T00:00:00"/>
    <s v="Cumul frais de Transport local mois de Mars 2022/Grace MOLENDE"/>
    <s v="Transport"/>
    <s v="Management"/>
    <m/>
    <x v="14"/>
    <n v="36701315"/>
    <s v="Grace"/>
    <x v="5"/>
    <x v="1"/>
    <x v="1"/>
    <s v="CONGO"/>
    <m/>
    <s v="2.2"/>
  </r>
  <r>
    <d v="2022-03-25T00:00:00"/>
    <s v="PAULE CONGO Frais d'hotel 02 nuitées du 23 au 25-03-22 à Oyo"/>
    <s v="Travel Subsistence"/>
    <s v="Legal"/>
    <m/>
    <x v="19"/>
    <n v="36671315"/>
    <s v="Paule"/>
    <x v="1"/>
    <x v="1"/>
    <x v="2"/>
    <s v="CONGO"/>
    <m/>
    <m/>
  </r>
  <r>
    <d v="2022-03-26T00:00:00"/>
    <s v="Paiement frais de démarcheuur/I23C"/>
    <s v="Transport"/>
    <s v="Investigation"/>
    <m/>
    <x v="14"/>
    <n v="36661315"/>
    <s v="i23c"/>
    <x v="1"/>
    <x v="1"/>
    <x v="2"/>
    <s v="CONGO"/>
    <m/>
    <m/>
  </r>
  <r>
    <d v="2022-03-26T00:00:00"/>
    <s v="Achat crédit téléphonique/Investigation/Kinshasa I23C"/>
    <s v="Telephone"/>
    <s v="Investigation"/>
    <m/>
    <x v="5"/>
    <n v="36656315"/>
    <s v="i23c"/>
    <x v="1"/>
    <x v="1"/>
    <x v="2"/>
    <s v="CONGO"/>
    <m/>
    <m/>
  </r>
  <r>
    <d v="2022-03-26T00:00:00"/>
    <s v="GODFRE - CONGO Frais d'hôtel du 23au 26/03/2022 à Dolisie"/>
    <s v="Travel Subsistence"/>
    <s v="Legal"/>
    <m/>
    <x v="16"/>
    <n v="36611315"/>
    <s v="Godfré"/>
    <x v="1"/>
    <x v="1"/>
    <x v="1"/>
    <s v="CONGO"/>
    <m/>
    <s v="1.3.2"/>
  </r>
  <r>
    <d v="2022-03-26T00:00:00"/>
    <s v="Achat billet retour (Dolisie-Brazzaville)Godfré"/>
    <s v="Transport"/>
    <s v="Legal"/>
    <m/>
    <x v="14"/>
    <n v="36601315"/>
    <s v="Godfré"/>
    <x v="1"/>
    <x v="1"/>
    <x v="1"/>
    <s v="CONGO"/>
    <m/>
    <s v="2.2"/>
  </r>
  <r>
    <d v="2022-03-26T00:00:00"/>
    <s v="Achat billet Lekana-Djambala/P29"/>
    <s v="Transport"/>
    <s v="Investigation"/>
    <m/>
    <x v="47"/>
    <n v="36598315"/>
    <s v="P29"/>
    <x v="1"/>
    <x v="1"/>
    <x v="1"/>
    <s v="CONGO"/>
    <m/>
    <s v="2.2"/>
  </r>
  <r>
    <d v="2022-03-26T00:00:00"/>
    <s v="Achat billet Djambala-Ngo/P29"/>
    <s v="Transport"/>
    <s v="Investigation"/>
    <m/>
    <x v="15"/>
    <n v="36594315"/>
    <s v="P29"/>
    <x v="1"/>
    <x v="1"/>
    <x v="1"/>
    <s v="CONGO"/>
    <m/>
    <s v="2.2"/>
  </r>
  <r>
    <d v="2022-03-26T00:00:00"/>
    <s v="P29 - CONGO Frais Hotel 2 nuitées du 24 au 26-03-22 Lekana"/>
    <s v="Travel Subsistence"/>
    <s v="Investigation"/>
    <m/>
    <x v="19"/>
    <n v="36564315"/>
    <s v="P29"/>
    <x v="1"/>
    <x v="1"/>
    <x v="1"/>
    <s v="CONGO"/>
    <m/>
    <s v="1.3.2"/>
  </r>
  <r>
    <d v="2022-03-27T00:00:00"/>
    <s v="P29 - CONGO Frais Hotel 1 nuitée du 26 au 27/03-22 Ngo"/>
    <s v="Travel Subsistence"/>
    <s v="Investigation"/>
    <m/>
    <x v="20"/>
    <n v="36549315"/>
    <s v="P29"/>
    <x v="1"/>
    <x v="1"/>
    <x v="1"/>
    <s v="CONGO"/>
    <m/>
    <s v="1.3.2"/>
  </r>
  <r>
    <d v="2022-03-27T00:00:00"/>
    <s v="Achat billet Ngo-brazzaville/P29"/>
    <s v="Transport"/>
    <s v="Investigation"/>
    <m/>
    <x v="48"/>
    <n v="36543315"/>
    <s v="P29"/>
    <x v="1"/>
    <x v="1"/>
    <x v="1"/>
    <s v="CONGO"/>
    <m/>
    <s v="2.2"/>
  </r>
  <r>
    <d v="2022-03-28T00:00:00"/>
    <s v="Achat crédit téléphone MTN/Tiffany"/>
    <s v="Telephone"/>
    <s v="Management"/>
    <m/>
    <x v="5"/>
    <n v="36538315"/>
    <s v="Caisse"/>
    <x v="1"/>
    <x v="1"/>
    <x v="1"/>
    <s v="CONGO"/>
    <m/>
    <s v="4.6"/>
  </r>
  <r>
    <d v="2022-03-28T00:00:00"/>
    <s v="I23C - CONGO Paiement hôtel 6 nuitées du 22 au 28 mars 2022/Kinshasa"/>
    <s v="Travel Subsistence"/>
    <s v="Investigation"/>
    <m/>
    <x v="11"/>
    <n v="36388315"/>
    <s v="i23c"/>
    <x v="1"/>
    <x v="1"/>
    <x v="2"/>
    <s v="CONGO"/>
    <m/>
    <m/>
  </r>
  <r>
    <d v="2022-03-28T00:00:00"/>
    <s v="Paiement billet et formalités (Retour Kinshasa - Brazzaville)/I23C"/>
    <s v="Transport"/>
    <s v="Investigation"/>
    <m/>
    <x v="4"/>
    <n v="36368315"/>
    <s v="i23c"/>
    <x v="1"/>
    <x v="1"/>
    <x v="2"/>
    <s v="CONGO"/>
    <m/>
    <m/>
  </r>
  <r>
    <d v="2022-03-28T00:00:00"/>
    <s v="Paiement test COVID"/>
    <s v="Travel Expenses"/>
    <s v="Investigation"/>
    <m/>
    <x v="4"/>
    <n v="36348315"/>
    <s v="i23c"/>
    <x v="1"/>
    <x v="1"/>
    <x v="2"/>
    <s v="CONGO"/>
    <m/>
    <m/>
  </r>
  <r>
    <d v="2022-03-28T00:00:00"/>
    <s v="Paiement redevance arrivé à Brazzaville PABPS"/>
    <s v="Travel Expenses"/>
    <s v="Investigation"/>
    <m/>
    <x v="34"/>
    <n v="36347115"/>
    <s v="i23c"/>
    <x v="1"/>
    <x v="1"/>
    <x v="2"/>
    <s v="CONGO"/>
    <m/>
    <m/>
  </r>
  <r>
    <d v="2022-03-28T00:00:00"/>
    <s v="Cumul frais de transport Local du mois Mars 2022/I23C"/>
    <s v="Transport"/>
    <s v="Investigation"/>
    <m/>
    <x v="30"/>
    <n v="36277115"/>
    <s v="i23c"/>
    <x v="5"/>
    <x v="1"/>
    <x v="1"/>
    <s v="CONGO"/>
    <m/>
    <s v="2.2"/>
  </r>
  <r>
    <d v="2022-03-29T00:00:00"/>
    <s v="Hurielle"/>
    <s v="Versement"/>
    <m/>
    <m/>
    <x v="20"/>
    <n v="36262115"/>
    <s v="Caisse"/>
    <x v="0"/>
    <x v="0"/>
    <x v="0"/>
    <s v="CONGO"/>
    <m/>
    <m/>
  </r>
  <r>
    <d v="2022-03-29T00:00:00"/>
    <s v="Bonus média/portant sur la condamnation d'un trafiquant de perroquets,le 24 Mars 2022 au TGI d'OYO"/>
    <s v="Bonus"/>
    <s v="Media"/>
    <m/>
    <x v="11"/>
    <n v="36112115"/>
    <s v="Caisse"/>
    <x v="2"/>
    <x v="1"/>
    <x v="2"/>
    <s v="CONGO"/>
    <m/>
    <m/>
  </r>
  <r>
    <d v="2022-03-29T00:00:00"/>
    <s v="Paiment Salaire Mois Mars 2022/Godfré MALONGA"/>
    <s v="Personnel"/>
    <s v="Legal"/>
    <m/>
    <x v="67"/>
    <n v="35918515"/>
    <s v="BCI-Sous Compte"/>
    <x v="13"/>
    <x v="2"/>
    <x v="1"/>
    <s v="CONGO"/>
    <m/>
    <s v="1.1.1.7"/>
  </r>
  <r>
    <d v="2022-03-29T00:00:00"/>
    <s v="Paiment Salaire Mois Mars 2022/Merveille MAHANGA"/>
    <s v="Personnel"/>
    <s v="Management"/>
    <m/>
    <x v="41"/>
    <n v="35618515"/>
    <s v="BCI-Sous Compte"/>
    <x v="14"/>
    <x v="2"/>
    <x v="1"/>
    <s v="CONGO"/>
    <m/>
    <s v="1.1.2.1"/>
  </r>
  <r>
    <d v="2022-03-29T00:00:00"/>
    <s v="Paiment Salaire Mois Mars 2022/Evariste LELOUSSI"/>
    <s v="Personnel"/>
    <s v="Media"/>
    <m/>
    <x v="68"/>
    <n v="35384206"/>
    <s v="BCI-Sous Compte"/>
    <x v="15"/>
    <x v="2"/>
    <x v="1"/>
    <s v="CONGO"/>
    <m/>
    <s v="1.1.1.4"/>
  </r>
  <r>
    <d v="2022-03-29T00:00:00"/>
    <s v="Paiment Salaire Mois Mars 2022/Grace MOLENDE"/>
    <s v="Personnel"/>
    <s v="Management"/>
    <m/>
    <x v="69"/>
    <n v="35034206"/>
    <s v="BCI-Sous Compte"/>
    <x v="16"/>
    <x v="2"/>
    <x v="1"/>
    <s v="CONGO"/>
    <m/>
    <s v="1.1.2.1"/>
  </r>
  <r>
    <d v="2022-03-29T00:00:00"/>
    <s v="Paiment Salaire Mois de Mars 2022/Tiffany GOBERT"/>
    <s v="Personnel"/>
    <s v="Management"/>
    <m/>
    <x v="45"/>
    <n v="33722292"/>
    <s v="BCI-Sous Compte"/>
    <x v="17"/>
    <x v="2"/>
    <x v="1"/>
    <s v="CONGO"/>
    <m/>
    <s v="1.1.1.1"/>
  </r>
  <r>
    <d v="2022-03-29T00:00:00"/>
    <s v="Reglement loyer mois de Mars 2022/Bureau PALF"/>
    <s v="Rent &amp; Utilities"/>
    <s v="Office"/>
    <m/>
    <x v="70"/>
    <n v="33222292"/>
    <s v="BCI-Sous Compte"/>
    <x v="18"/>
    <x v="2"/>
    <x v="1"/>
    <s v="CONGO"/>
    <m/>
    <s v="4.2"/>
  </r>
  <r>
    <d v="2022-03-29T00:00:00"/>
    <s v="Recu caisse"/>
    <s v="Versement"/>
    <m/>
    <n v="15000"/>
    <x v="0"/>
    <n v="33237292"/>
    <s v="Hurielle"/>
    <x v="0"/>
    <x v="0"/>
    <x v="0"/>
    <s v="CONGO"/>
    <m/>
    <m/>
  </r>
  <r>
    <d v="2022-03-29T00:00:00"/>
    <s v="cumul frais Transport Local Mois de Mars 2022/P29"/>
    <s v="Transport"/>
    <s v="Investigation"/>
    <m/>
    <x v="71"/>
    <n v="33176792"/>
    <s v="P29"/>
    <x v="5"/>
    <x v="1"/>
    <x v="1"/>
    <s v="CONGO"/>
    <m/>
    <s v="2.2"/>
  </r>
  <r>
    <d v="2022-03-29T00:00:00"/>
    <s v="Cumul frais Trust Building Mois de Mars 2022/P29"/>
    <s v="Trust building"/>
    <s v="Investigation"/>
    <m/>
    <x v="72"/>
    <n v="33148292"/>
    <s v="P29"/>
    <x v="5"/>
    <x v="1"/>
    <x v="2"/>
    <s v="CONGO"/>
    <m/>
    <m/>
  </r>
  <r>
    <d v="2022-03-30T00:00:00"/>
    <s v="BCI-3654473/34"/>
    <s v="Versement"/>
    <m/>
    <n v="1000000"/>
    <x v="0"/>
    <n v="34148292"/>
    <s v="Caisse"/>
    <x v="0"/>
    <x v="0"/>
    <x v="0"/>
    <s v="CONGO"/>
    <m/>
    <m/>
  </r>
  <r>
    <d v="2022-03-30T00:00:00"/>
    <s v="Evariste"/>
    <s v="Versement"/>
    <m/>
    <m/>
    <x v="20"/>
    <n v="34133292"/>
    <s v="Caisse"/>
    <x v="0"/>
    <x v="0"/>
    <x v="0"/>
    <s v="CONGO"/>
    <m/>
    <m/>
  </r>
  <r>
    <d v="2022-03-30T00:00:00"/>
    <s v="Achat 50 litres de gazoil pour le groupe electrogène"/>
    <s v="Rent &amp; Utilities"/>
    <s v="Office"/>
    <m/>
    <x v="73"/>
    <n v="34109292"/>
    <s v="Caisse"/>
    <x v="1"/>
    <x v="1"/>
    <x v="1"/>
    <s v="CONGO"/>
    <m/>
    <s v="4.4"/>
  </r>
  <r>
    <d v="2022-03-30T00:00:00"/>
    <s v="Hurielle"/>
    <s v="Versement"/>
    <m/>
    <m/>
    <x v="74"/>
    <n v="34027292"/>
    <s v="Caisse"/>
    <x v="0"/>
    <x v="0"/>
    <x v="0"/>
    <s v="CONGO"/>
    <m/>
    <m/>
  </r>
  <r>
    <d v="2022-03-30T00:00:00"/>
    <s v="Frais de mission maitre Scrutin MOUYETI à Dolisie du 31/03 au 02/04/2022/cas MANGUILA et Serge"/>
    <s v="Lawyer fees"/>
    <s v="Legal"/>
    <m/>
    <x v="58"/>
    <n v="33951292"/>
    <s v="Caisse"/>
    <x v="1"/>
    <x v="1"/>
    <x v="1"/>
    <s v="CONGO"/>
    <m/>
    <s v="5.2.2"/>
  </r>
  <r>
    <d v="2022-03-30T00:00:00"/>
    <s v="Reglement prestation Entretient bureau Mois de Mars  2022/Odile"/>
    <s v="Services"/>
    <s v="Office"/>
    <m/>
    <x v="17"/>
    <n v="33875667"/>
    <s v="Caisse"/>
    <x v="1"/>
    <x v="1"/>
    <x v="2"/>
    <s v="CONGO"/>
    <m/>
    <m/>
  </r>
  <r>
    <d v="2022-03-30T00:00:00"/>
    <s v="Retrait especes/appro caisse/bord n°3654473"/>
    <s v="Versement"/>
    <m/>
    <m/>
    <x v="44"/>
    <n v="32875667"/>
    <s v="BCI"/>
    <x v="0"/>
    <x v="0"/>
    <x v="0"/>
    <s v="CONGO"/>
    <m/>
    <m/>
  </r>
  <r>
    <d v="2022-03-30T00:00:00"/>
    <s v="Reglement Facture Gardiennage Mois de Mars 2022/3654476"/>
    <s v="Services"/>
    <s v="Office"/>
    <m/>
    <x v="18"/>
    <n v="32615667"/>
    <s v="BCI"/>
    <x v="19"/>
    <x v="1"/>
    <x v="2"/>
    <s v="CONGO"/>
    <m/>
    <m/>
  </r>
  <r>
    <d v="2022-03-30T00:00:00"/>
    <s v="Reglement facture honoraire du mois de Mars 2022/I23C/chq n°3643643"/>
    <s v="Personnel"/>
    <s v="Investigation"/>
    <m/>
    <x v="75"/>
    <n v="32215667"/>
    <s v="BCI-Sous Compte"/>
    <x v="20"/>
    <x v="2"/>
    <x v="1"/>
    <s v="CONGO"/>
    <m/>
    <s v="1.1.1.9"/>
  </r>
  <r>
    <d v="2022-03-30T00:00:00"/>
    <s v="Reglement facture honoraire du mois de Mars 2022/P29/chq n°3643645"/>
    <s v="Personnel"/>
    <s v="Investigation"/>
    <m/>
    <x v="76"/>
    <n v="31990667"/>
    <s v="BCI-Sous Compte"/>
    <x v="21"/>
    <x v="2"/>
    <x v="1"/>
    <s v="CONGO"/>
    <m/>
    <s v="1.1.1.9"/>
  </r>
  <r>
    <d v="2022-03-30T00:00:00"/>
    <s v="Reçu de la caisse"/>
    <s v="Versement"/>
    <m/>
    <n v="15000"/>
    <x v="0"/>
    <n v="32005667"/>
    <s v="Evariste"/>
    <x v="0"/>
    <x v="0"/>
    <x v="0"/>
    <s v="CONGO"/>
    <m/>
    <m/>
  </r>
  <r>
    <d v="2022-03-30T00:00:00"/>
    <s v="Cumul frais Transport Local mois de Mars 2022/EVARISTE LELOUSSI"/>
    <s v="Transport"/>
    <s v="Media"/>
    <m/>
    <x v="77"/>
    <n v="31953167"/>
    <s v="Evariste"/>
    <x v="5"/>
    <x v="1"/>
    <x v="1"/>
    <s v="CONGO"/>
    <m/>
    <s v="2.2"/>
  </r>
  <r>
    <d v="2022-03-30T00:00:00"/>
    <s v="Cumul frais de Ration journalière Mois de Mars 2022/Hurielle"/>
    <s v="Travel Subsistence"/>
    <s v="Legal"/>
    <m/>
    <x v="78"/>
    <n v="31940167"/>
    <s v="Hurielle"/>
    <x v="5"/>
    <x v="1"/>
    <x v="2"/>
    <s v="CONGO"/>
    <m/>
    <m/>
  </r>
  <r>
    <d v="2022-03-30T00:00:00"/>
    <s v="Recu caisse"/>
    <s v="Versement"/>
    <m/>
    <n v="82000"/>
    <x v="0"/>
    <n v="32022167"/>
    <s v="Hurielle"/>
    <x v="0"/>
    <x v="0"/>
    <x v="0"/>
    <s v="CONGO"/>
    <m/>
    <m/>
  </r>
  <r>
    <d v="2022-03-30T00:00:00"/>
    <s v="Achat Billet Océan du Nord Brazzaville-Dolisie/Hurielle"/>
    <s v="Transport"/>
    <s v="Legal"/>
    <m/>
    <x v="14"/>
    <n v="32012167"/>
    <s v="Hurielle"/>
    <x v="1"/>
    <x v="1"/>
    <x v="2"/>
    <s v="CONGO"/>
    <m/>
    <m/>
  </r>
  <r>
    <d v="2022-03-31T00:00:00"/>
    <s v="Cumul frais de transport local Mars 2022/Godfré"/>
    <s v="Transport"/>
    <s v="Legal"/>
    <m/>
    <x v="79"/>
    <n v="31972467"/>
    <s v="Godfré"/>
    <x v="5"/>
    <x v="1"/>
    <x v="1"/>
    <s v="CONGO"/>
    <m/>
    <s v="2.2"/>
  </r>
  <r>
    <d v="2022-03-31T00:00:00"/>
    <s v="Cumul frais de Jail Visits Mois de Mars 2022/Hurielle"/>
    <s v="Jail Visits"/>
    <s v="Legal"/>
    <m/>
    <x v="15"/>
    <n v="31968467"/>
    <s v="Hurielle"/>
    <x v="5"/>
    <x v="1"/>
    <x v="2"/>
    <s v="CONGO"/>
    <m/>
    <m/>
  </r>
  <r>
    <d v="2022-03-31T00:00:00"/>
    <s v="HURIELLE - CONGO Food Allowanse du 31 Mars-02 Avril 2022 à Dolisie"/>
    <s v="Travel Subsistence"/>
    <s v="Legal"/>
    <m/>
    <x v="4"/>
    <n v="31948467"/>
    <s v="Hurielle"/>
    <x v="5"/>
    <x v="1"/>
    <x v="2"/>
    <s v="CONGO"/>
    <m/>
    <m/>
  </r>
  <r>
    <d v="2022-03-31T00:00:00"/>
    <s v="Cumul frais de Transport Local de Mars 2022/Hurielle"/>
    <s v="Transport"/>
    <s v="Legal"/>
    <m/>
    <x v="80"/>
    <n v="31912467"/>
    <s v="Hurielle"/>
    <x v="5"/>
    <x v="1"/>
    <x v="2"/>
    <s v="CONGO"/>
    <m/>
    <m/>
  </r>
  <r>
    <d v="2022-03-31T00:00:00"/>
    <s v="Cumul frais de transport local mois de Mars 2022/Merveille"/>
    <s v="Transport"/>
    <s v="Management"/>
    <m/>
    <x v="81"/>
    <n v="31892067"/>
    <s v="Merveille"/>
    <x v="5"/>
    <x v="1"/>
    <x v="1"/>
    <s v="CONGO"/>
    <m/>
    <s v="2.2"/>
  </r>
  <r>
    <d v="2022-03-31T00:00:00"/>
    <s v="Cumul ration journalière du mois de Mars 2022/Paule"/>
    <s v="Travel Subsistence"/>
    <s v="Legal"/>
    <m/>
    <x v="7"/>
    <n v="31881067"/>
    <s v="Paule"/>
    <x v="5"/>
    <x v="1"/>
    <x v="2"/>
    <s v="CONGO"/>
    <m/>
    <m/>
  </r>
  <r>
    <d v="2022-03-31T00:00:00"/>
    <s v="Cumul transport local du mois de Mars 2022/Paule"/>
    <s v="Transport"/>
    <s v="Legal"/>
    <m/>
    <x v="62"/>
    <n v="31848067"/>
    <s v="Paule"/>
    <x v="5"/>
    <x v="1"/>
    <x v="2"/>
    <s v="CONGO"/>
    <m/>
    <m/>
  </r>
  <r>
    <d v="2022-03-31T00:00:00"/>
    <s v="Cumul frais transport local mois de Mars 2022/Tiffany"/>
    <s v="Transport"/>
    <s v="Management"/>
    <m/>
    <x v="82"/>
    <n v="31829567"/>
    <s v="Tiffany"/>
    <x v="5"/>
    <x v="1"/>
    <x v="1"/>
    <s v="CONGO"/>
    <m/>
    <s v="2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D17" firstHeaderRow="1" firstDataRow="2" firstDataCol="1"/>
  <pivotFields count="14">
    <pivotField numFmtId="172" showAll="0"/>
    <pivotField showAll="0"/>
    <pivotField showAll="0"/>
    <pivotField showAll="0"/>
    <pivotField showAll="0"/>
    <pivotField dataField="1" showAll="0">
      <items count="84">
        <item x="32"/>
        <item x="33"/>
        <item x="65"/>
        <item x="35"/>
        <item x="34"/>
        <item x="29"/>
        <item x="9"/>
        <item x="47"/>
        <item x="61"/>
        <item x="15"/>
        <item x="51"/>
        <item x="5"/>
        <item x="48"/>
        <item x="59"/>
        <item x="14"/>
        <item x="22"/>
        <item x="7"/>
        <item x="21"/>
        <item x="37"/>
        <item x="64"/>
        <item x="78"/>
        <item x="20"/>
        <item x="13"/>
        <item x="52"/>
        <item x="53"/>
        <item x="82"/>
        <item x="4"/>
        <item x="81"/>
        <item x="27"/>
        <item x="73"/>
        <item x="38"/>
        <item x="10"/>
        <item x="43"/>
        <item x="72"/>
        <item x="8"/>
        <item x="19"/>
        <item x="6"/>
        <item x="62"/>
        <item x="80"/>
        <item x="3"/>
        <item x="79"/>
        <item x="31"/>
        <item x="2"/>
        <item x="16"/>
        <item x="26"/>
        <item x="28"/>
        <item x="77"/>
        <item x="24"/>
        <item x="71"/>
        <item x="36"/>
        <item x="30"/>
        <item x="39"/>
        <item x="17"/>
        <item x="58"/>
        <item x="42"/>
        <item x="74"/>
        <item x="66"/>
        <item x="46"/>
        <item x="57"/>
        <item x="60"/>
        <item x="25"/>
        <item x="54"/>
        <item x="1"/>
        <item x="23"/>
        <item x="11"/>
        <item x="63"/>
        <item x="67"/>
        <item x="40"/>
        <item x="76"/>
        <item x="56"/>
        <item x="68"/>
        <item x="55"/>
        <item x="18"/>
        <item x="41"/>
        <item x="49"/>
        <item x="69"/>
        <item x="75"/>
        <item x="70"/>
        <item x="12"/>
        <item x="50"/>
        <item x="44"/>
        <item x="45"/>
        <item x="0"/>
        <item t="default"/>
      </items>
    </pivotField>
    <pivotField numFmtId="166" showAll="0"/>
    <pivotField showAll="0"/>
    <pivotField showAll="0">
      <items count="23">
        <item x="7"/>
        <item x="11"/>
        <item x="8"/>
        <item x="9"/>
        <item x="10"/>
        <item x="12"/>
        <item x="13"/>
        <item x="14"/>
        <item x="15"/>
        <item x="17"/>
        <item x="18"/>
        <item x="20"/>
        <item x="21"/>
        <item x="4"/>
        <item x="19"/>
        <item x="2"/>
        <item x="5"/>
        <item x="1"/>
        <item x="3"/>
        <item x="6"/>
        <item x="16"/>
        <item x="0"/>
        <item t="default"/>
      </items>
    </pivotField>
    <pivotField axis="axisCol" showAll="0">
      <items count="4">
        <item x="2"/>
        <item x="1"/>
        <item x="0"/>
        <item t="default"/>
      </items>
    </pivotField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Somme de Spent" fld="5" baseField="0" baseItem="0"/>
  </dataFields>
  <formats count="1">
    <format dxfId="0">
      <pivotArea dataOnly="0" labelOnly="1" fieldPosition="0">
        <references count="1"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6" cacheId="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numFmtId="172"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O19" firstHeaderRow="1" firstDataRow="3" firstDataCol="1"/>
  <pivotFields count="15">
    <pivotField numFmtId="172" showAll="0"/>
    <pivotField showAll="0"/>
    <pivotField axis="axisCol" showAll="0">
      <items count="21">
        <item x="6"/>
        <item x="5"/>
        <item x="16"/>
        <item x="15"/>
        <item x="10"/>
        <item x="19"/>
        <item x="18"/>
        <item x="4"/>
        <item x="11"/>
        <item x="14"/>
        <item x="13"/>
        <item x="9"/>
        <item x="2"/>
        <item x="3"/>
        <item x="7"/>
        <item x="12"/>
        <item x="8"/>
        <item x="17"/>
        <item x="1"/>
        <item x="0"/>
        <item t="default"/>
      </items>
    </pivotField>
    <pivotField showAll="0"/>
    <pivotField dataField="1" showAll="0"/>
    <pivotField dataField="1" showAll="0"/>
    <pivotField numFmtId="166" showAll="0"/>
    <pivotField axis="axisRow" showAll="0">
      <items count="15">
        <item x="2"/>
        <item x="3"/>
        <item x="1"/>
        <item x="7"/>
        <item x="10"/>
        <item x="5"/>
        <item x="13"/>
        <item x="11"/>
        <item x="4"/>
        <item x="9"/>
        <item x="6"/>
        <item x="12"/>
        <item x="8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2"/>
    <field x="-2"/>
  </colFields>
  <colItems count="4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 t="grand">
      <x/>
    </i>
    <i t="grand" i="1">
      <x/>
    </i>
  </colItems>
  <dataFields count="2">
    <dataField name="Somme de Spent" fld="5" baseField="0" baseItem="0"/>
    <dataField name="Somme de Received" fld="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2:Q648"/>
  <sheetViews>
    <sheetView zoomScale="73" zoomScaleNormal="73" workbookViewId="0">
      <pane xSplit="1" topLeftCell="F1" activePane="topRight" state="frozen"/>
      <selection pane="topRight" activeCell="J22" sqref="J22"/>
    </sheetView>
  </sheetViews>
  <sheetFormatPr baseColWidth="10" defaultColWidth="11.42578125" defaultRowHeight="15" x14ac:dyDescent="0.25"/>
  <cols>
    <col min="1" max="1" width="43.140625" style="5" customWidth="1"/>
    <col min="2" max="2" width="25.710937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36.28515625" style="5" customWidth="1"/>
    <col min="8" max="8" width="20.5703125" style="5" customWidth="1"/>
    <col min="9" max="9" width="19.7109375" style="5" customWidth="1"/>
    <col min="10" max="10" width="16.7109375" style="5" customWidth="1"/>
    <col min="11" max="11" width="18.7109375" style="5" customWidth="1"/>
    <col min="12" max="12" width="16" style="48" customWidth="1"/>
    <col min="13" max="13" width="18.7109375" style="48" customWidth="1"/>
    <col min="14" max="14" width="14.140625" style="48" customWidth="1"/>
    <col min="15" max="15" width="14.85546875" style="48" customWidth="1"/>
    <col min="16" max="16" width="11.42578125" style="5"/>
    <col min="17" max="17" width="2.85546875" style="277" customWidth="1"/>
    <col min="18" max="16384" width="11.42578125" style="5"/>
  </cols>
  <sheetData>
    <row r="2" spans="1:17" ht="15.75" x14ac:dyDescent="0.25">
      <c r="A2" s="6" t="s">
        <v>37</v>
      </c>
      <c r="B2" s="6" t="s">
        <v>1</v>
      </c>
      <c r="C2" s="6">
        <v>44621</v>
      </c>
      <c r="D2" s="7" t="s">
        <v>38</v>
      </c>
      <c r="E2" s="7" t="s">
        <v>39</v>
      </c>
      <c r="F2" s="7" t="s">
        <v>40</v>
      </c>
      <c r="G2" s="7" t="s">
        <v>41</v>
      </c>
      <c r="H2" s="6">
        <v>44651</v>
      </c>
      <c r="I2" s="7" t="s">
        <v>42</v>
      </c>
      <c r="K2" s="47"/>
      <c r="L2" s="47" t="s">
        <v>43</v>
      </c>
      <c r="M2" s="47" t="s">
        <v>44</v>
      </c>
      <c r="N2" s="47" t="s">
        <v>45</v>
      </c>
      <c r="O2" s="47" t="s">
        <v>46</v>
      </c>
      <c r="Q2" s="5"/>
    </row>
    <row r="3" spans="1:17" ht="16.5" x14ac:dyDescent="0.3">
      <c r="A3" s="60" t="str">
        <f>K3</f>
        <v>BCI</v>
      </c>
      <c r="B3" s="61" t="s">
        <v>47</v>
      </c>
      <c r="C3" s="63">
        <v>888683</v>
      </c>
      <c r="D3" s="63">
        <f>+L3</f>
        <v>0</v>
      </c>
      <c r="E3" s="63">
        <f>+N3</f>
        <v>543345</v>
      </c>
      <c r="F3" s="63">
        <f>+M3</f>
        <v>2600000</v>
      </c>
      <c r="G3" s="63">
        <f t="shared" ref="G3:G14" si="0">+O3</f>
        <v>11432442</v>
      </c>
      <c r="H3" s="63">
        <v>9177780</v>
      </c>
      <c r="I3" s="63">
        <f>+C3+D3-E3-F3+G3</f>
        <v>9177780</v>
      </c>
      <c r="J3" s="9">
        <f>I3-H3</f>
        <v>0</v>
      </c>
      <c r="K3" s="47" t="s">
        <v>24</v>
      </c>
      <c r="L3" s="49">
        <v>0</v>
      </c>
      <c r="M3" s="49">
        <v>2600000</v>
      </c>
      <c r="N3" s="49">
        <v>543345</v>
      </c>
      <c r="O3" s="49">
        <v>11432442</v>
      </c>
      <c r="Q3" s="5"/>
    </row>
    <row r="4" spans="1:17" ht="16.5" x14ac:dyDescent="0.3">
      <c r="A4" s="60" t="str">
        <f t="shared" ref="A4:A17" si="1">K4</f>
        <v>BCI-Sous Compte</v>
      </c>
      <c r="B4" s="61" t="s">
        <v>47</v>
      </c>
      <c r="C4" s="63">
        <v>882502</v>
      </c>
      <c r="D4" s="63">
        <f t="shared" ref="D4:D17" si="2">+L4</f>
        <v>0</v>
      </c>
      <c r="E4" s="63">
        <f t="shared" ref="E4:E17" si="3">+N4</f>
        <v>6117606</v>
      </c>
      <c r="F4" s="63">
        <f t="shared" ref="F4:F17" si="4">+M4</f>
        <v>1600000</v>
      </c>
      <c r="G4" s="63">
        <f t="shared" si="0"/>
        <v>28356365</v>
      </c>
      <c r="H4" s="63">
        <v>21521261</v>
      </c>
      <c r="I4" s="63">
        <f>+C4+D4-E4-F4+G4</f>
        <v>21521261</v>
      </c>
      <c r="J4" s="9">
        <f t="shared" ref="J4:J11" si="5">I4-H4</f>
        <v>0</v>
      </c>
      <c r="K4" s="47" t="s">
        <v>158</v>
      </c>
      <c r="L4" s="49">
        <v>0</v>
      </c>
      <c r="M4" s="49">
        <v>1600000</v>
      </c>
      <c r="N4" s="49">
        <v>6117606</v>
      </c>
      <c r="O4" s="49">
        <v>28356365</v>
      </c>
      <c r="Q4" s="5"/>
    </row>
    <row r="5" spans="1:17" ht="16.5" x14ac:dyDescent="0.3">
      <c r="A5" s="60" t="str">
        <f t="shared" si="1"/>
        <v>Caisse</v>
      </c>
      <c r="B5" s="61" t="s">
        <v>25</v>
      </c>
      <c r="C5" s="63">
        <v>797106</v>
      </c>
      <c r="D5" s="63">
        <f t="shared" si="2"/>
        <v>4270000</v>
      </c>
      <c r="E5" s="63">
        <f t="shared" si="3"/>
        <v>2099084</v>
      </c>
      <c r="F5" s="63">
        <f t="shared" si="4"/>
        <v>1808000</v>
      </c>
      <c r="G5" s="63">
        <f t="shared" si="0"/>
        <v>0</v>
      </c>
      <c r="H5" s="63">
        <v>1160022</v>
      </c>
      <c r="I5" s="63">
        <f>+C5+D5-E5-F5+G5</f>
        <v>1160022</v>
      </c>
      <c r="J5" s="108">
        <f t="shared" si="5"/>
        <v>0</v>
      </c>
      <c r="K5" s="47" t="s">
        <v>25</v>
      </c>
      <c r="L5" s="49">
        <v>4270000</v>
      </c>
      <c r="M5" s="49">
        <v>1808000</v>
      </c>
      <c r="N5" s="49">
        <v>2099084</v>
      </c>
      <c r="O5" s="49">
        <v>0</v>
      </c>
      <c r="Q5" s="5"/>
    </row>
    <row r="6" spans="1:17" ht="16.5" x14ac:dyDescent="0.3">
      <c r="A6" s="60" t="str">
        <f t="shared" si="1"/>
        <v>Crépin</v>
      </c>
      <c r="B6" s="61" t="s">
        <v>164</v>
      </c>
      <c r="C6" s="63">
        <v>56050</v>
      </c>
      <c r="D6" s="63">
        <f t="shared" si="2"/>
        <v>0</v>
      </c>
      <c r="E6" s="63">
        <f t="shared" si="3"/>
        <v>4000</v>
      </c>
      <c r="F6" s="63">
        <f t="shared" si="4"/>
        <v>30000</v>
      </c>
      <c r="G6" s="63">
        <f t="shared" si="0"/>
        <v>0</v>
      </c>
      <c r="H6" s="63">
        <v>22050</v>
      </c>
      <c r="I6" s="63">
        <f>+C6+D6-E6-F6+G6</f>
        <v>22050</v>
      </c>
      <c r="J6" s="9">
        <f t="shared" si="5"/>
        <v>0</v>
      </c>
      <c r="K6" s="47" t="s">
        <v>48</v>
      </c>
      <c r="L6" s="49">
        <v>0</v>
      </c>
      <c r="M6" s="49">
        <v>30000</v>
      </c>
      <c r="N6" s="49">
        <v>4000</v>
      </c>
      <c r="O6" s="49">
        <v>0</v>
      </c>
      <c r="Q6" s="5"/>
    </row>
    <row r="7" spans="1:17" ht="16.5" x14ac:dyDescent="0.3">
      <c r="A7" s="60" t="str">
        <f t="shared" si="1"/>
        <v>Evariste</v>
      </c>
      <c r="B7" s="61" t="s">
        <v>165</v>
      </c>
      <c r="C7" s="63">
        <v>21495</v>
      </c>
      <c r="D7" s="63">
        <f t="shared" si="2"/>
        <v>139000</v>
      </c>
      <c r="E7" s="63">
        <f t="shared" si="3"/>
        <v>146500</v>
      </c>
      <c r="F7" s="63">
        <f t="shared" si="4"/>
        <v>0</v>
      </c>
      <c r="G7" s="63">
        <f t="shared" si="0"/>
        <v>0</v>
      </c>
      <c r="H7" s="63">
        <v>13995</v>
      </c>
      <c r="I7" s="63">
        <f t="shared" ref="I7" si="6">+C7+D7-E7-F7+G7</f>
        <v>13995</v>
      </c>
      <c r="J7" s="9">
        <f t="shared" si="5"/>
        <v>0</v>
      </c>
      <c r="K7" s="47" t="s">
        <v>31</v>
      </c>
      <c r="L7" s="49">
        <v>139000</v>
      </c>
      <c r="M7" s="49">
        <v>0</v>
      </c>
      <c r="N7" s="49">
        <v>146500</v>
      </c>
      <c r="O7" s="49">
        <v>0</v>
      </c>
      <c r="Q7" s="5"/>
    </row>
    <row r="8" spans="1:17" ht="16.5" x14ac:dyDescent="0.3">
      <c r="A8" s="60" t="str">
        <f t="shared" si="1"/>
        <v>Godfré</v>
      </c>
      <c r="B8" s="61" t="s">
        <v>164</v>
      </c>
      <c r="C8" s="63">
        <v>113185</v>
      </c>
      <c r="D8" s="63">
        <f t="shared" si="2"/>
        <v>188000</v>
      </c>
      <c r="E8" s="63">
        <f t="shared" si="3"/>
        <v>224700</v>
      </c>
      <c r="F8" s="63">
        <f t="shared" si="4"/>
        <v>40000</v>
      </c>
      <c r="G8" s="63">
        <f t="shared" si="0"/>
        <v>0</v>
      </c>
      <c r="H8" s="63">
        <v>36485</v>
      </c>
      <c r="I8" s="63">
        <f>+C8+D8-E8-F8+G8</f>
        <v>36485</v>
      </c>
      <c r="J8" s="9">
        <f t="shared" si="5"/>
        <v>0</v>
      </c>
      <c r="K8" s="47" t="s">
        <v>153</v>
      </c>
      <c r="L8" s="49">
        <v>188000</v>
      </c>
      <c r="M8" s="49">
        <v>40000</v>
      </c>
      <c r="N8" s="49">
        <v>224700</v>
      </c>
      <c r="O8" s="49">
        <v>0</v>
      </c>
      <c r="Q8" s="5"/>
    </row>
    <row r="9" spans="1:17" ht="16.5" x14ac:dyDescent="0.3">
      <c r="A9" s="60" t="str">
        <f t="shared" si="1"/>
        <v>I55S</v>
      </c>
      <c r="B9" s="124" t="s">
        <v>4</v>
      </c>
      <c r="C9" s="126">
        <v>233614</v>
      </c>
      <c r="D9" s="126">
        <f t="shared" si="2"/>
        <v>0</v>
      </c>
      <c r="E9" s="126">
        <f t="shared" si="3"/>
        <v>0</v>
      </c>
      <c r="F9" s="126">
        <f t="shared" si="4"/>
        <v>0</v>
      </c>
      <c r="G9" s="126">
        <f t="shared" si="0"/>
        <v>0</v>
      </c>
      <c r="H9" s="126">
        <v>233614</v>
      </c>
      <c r="I9" s="126">
        <f>+C9+D9-E9-F9+G9</f>
        <v>233614</v>
      </c>
      <c r="J9" s="9">
        <f t="shared" si="5"/>
        <v>0</v>
      </c>
      <c r="K9" s="47" t="s">
        <v>85</v>
      </c>
      <c r="L9" s="49">
        <v>0</v>
      </c>
      <c r="M9" s="49">
        <v>0</v>
      </c>
      <c r="N9" s="49">
        <v>0</v>
      </c>
      <c r="O9" s="49">
        <v>0</v>
      </c>
      <c r="Q9" s="5"/>
    </row>
    <row r="10" spans="1:17" ht="16.5" x14ac:dyDescent="0.3">
      <c r="A10" s="60" t="str">
        <f t="shared" si="1"/>
        <v>I73X</v>
      </c>
      <c r="B10" s="124" t="s">
        <v>4</v>
      </c>
      <c r="C10" s="126">
        <v>249769</v>
      </c>
      <c r="D10" s="126">
        <f t="shared" si="2"/>
        <v>0</v>
      </c>
      <c r="E10" s="126">
        <f t="shared" si="3"/>
        <v>0</v>
      </c>
      <c r="F10" s="126">
        <f t="shared" si="4"/>
        <v>0</v>
      </c>
      <c r="G10" s="126">
        <f t="shared" si="0"/>
        <v>0</v>
      </c>
      <c r="H10" s="126">
        <v>249769</v>
      </c>
      <c r="I10" s="126">
        <f t="shared" ref="I10:I13" si="7">+C10+D10-E10-F10+G10</f>
        <v>249769</v>
      </c>
      <c r="J10" s="9">
        <f t="shared" si="5"/>
        <v>0</v>
      </c>
      <c r="K10" s="47" t="s">
        <v>84</v>
      </c>
      <c r="L10" s="49">
        <v>0</v>
      </c>
      <c r="M10" s="49">
        <v>0</v>
      </c>
      <c r="N10" s="49">
        <v>0</v>
      </c>
      <c r="O10" s="49">
        <v>0</v>
      </c>
      <c r="Q10" s="5"/>
    </row>
    <row r="11" spans="1:17" ht="16.5" x14ac:dyDescent="0.3">
      <c r="A11" s="60" t="str">
        <f t="shared" si="1"/>
        <v>Grace</v>
      </c>
      <c r="B11" s="104" t="s">
        <v>2</v>
      </c>
      <c r="C11" s="63">
        <v>20700</v>
      </c>
      <c r="D11" s="63">
        <f t="shared" si="2"/>
        <v>0</v>
      </c>
      <c r="E11" s="63">
        <f t="shared" si="3"/>
        <v>10000</v>
      </c>
      <c r="F11" s="63">
        <f t="shared" si="4"/>
        <v>0</v>
      </c>
      <c r="G11" s="63">
        <f t="shared" si="0"/>
        <v>0</v>
      </c>
      <c r="H11" s="63">
        <v>10700</v>
      </c>
      <c r="I11" s="63">
        <f t="shared" si="7"/>
        <v>10700</v>
      </c>
      <c r="J11" s="9">
        <f t="shared" si="5"/>
        <v>0</v>
      </c>
      <c r="K11" s="47" t="s">
        <v>152</v>
      </c>
      <c r="L11" s="49">
        <v>0</v>
      </c>
      <c r="M11" s="49">
        <v>0</v>
      </c>
      <c r="N11" s="49">
        <v>10000</v>
      </c>
      <c r="O11" s="49">
        <v>0</v>
      </c>
      <c r="Q11" s="5"/>
    </row>
    <row r="12" spans="1:17" ht="16.5" x14ac:dyDescent="0.3">
      <c r="A12" s="60" t="str">
        <f t="shared" si="1"/>
        <v>Hurielle</v>
      </c>
      <c r="B12" s="61" t="s">
        <v>4</v>
      </c>
      <c r="C12" s="63">
        <v>0</v>
      </c>
      <c r="D12" s="63">
        <f t="shared" si="2"/>
        <v>135000</v>
      </c>
      <c r="E12" s="63">
        <f t="shared" si="3"/>
        <v>83000</v>
      </c>
      <c r="F12" s="63">
        <f t="shared" si="4"/>
        <v>0</v>
      </c>
      <c r="G12" s="63">
        <f t="shared" si="0"/>
        <v>0</v>
      </c>
      <c r="H12" s="63">
        <v>52000</v>
      </c>
      <c r="I12" s="63">
        <f t="shared" si="7"/>
        <v>52000</v>
      </c>
      <c r="J12" s="9">
        <f>I12-H12</f>
        <v>0</v>
      </c>
      <c r="K12" s="47" t="s">
        <v>265</v>
      </c>
      <c r="L12" s="49">
        <v>135000</v>
      </c>
      <c r="M12" s="49">
        <v>0</v>
      </c>
      <c r="N12" s="49">
        <v>83000</v>
      </c>
      <c r="O12" s="49">
        <v>0</v>
      </c>
      <c r="Q12" s="5"/>
    </row>
    <row r="13" spans="1:17" ht="16.5" x14ac:dyDescent="0.3">
      <c r="A13" s="60" t="str">
        <f t="shared" si="1"/>
        <v>I23C</v>
      </c>
      <c r="B13" s="104" t="s">
        <v>2</v>
      </c>
      <c r="C13" s="63">
        <v>15550</v>
      </c>
      <c r="D13" s="63">
        <f t="shared" si="2"/>
        <v>747000</v>
      </c>
      <c r="E13" s="63">
        <f t="shared" si="3"/>
        <v>646500</v>
      </c>
      <c r="F13" s="63">
        <f t="shared" si="4"/>
        <v>0</v>
      </c>
      <c r="G13" s="63">
        <f t="shared" si="0"/>
        <v>0</v>
      </c>
      <c r="H13" s="63">
        <v>116050</v>
      </c>
      <c r="I13" s="63">
        <f t="shared" si="7"/>
        <v>116050</v>
      </c>
      <c r="J13" s="9">
        <f t="shared" ref="J13:J14" si="8">I13-H13</f>
        <v>0</v>
      </c>
      <c r="K13" s="47" t="s">
        <v>30</v>
      </c>
      <c r="L13" s="49">
        <v>747000</v>
      </c>
      <c r="M13" s="49">
        <v>0</v>
      </c>
      <c r="N13" s="49">
        <v>646500</v>
      </c>
      <c r="O13" s="49">
        <v>0</v>
      </c>
      <c r="Q13" s="5"/>
    </row>
    <row r="14" spans="1:17" ht="16.5" x14ac:dyDescent="0.3">
      <c r="A14" s="60" t="str">
        <f t="shared" si="1"/>
        <v>Merveille</v>
      </c>
      <c r="B14" s="61" t="s">
        <v>4</v>
      </c>
      <c r="C14" s="63">
        <v>4800</v>
      </c>
      <c r="D14" s="63">
        <f t="shared" si="2"/>
        <v>20000</v>
      </c>
      <c r="E14" s="63">
        <f t="shared" si="3"/>
        <v>20400</v>
      </c>
      <c r="F14" s="63">
        <f t="shared" si="4"/>
        <v>0</v>
      </c>
      <c r="G14" s="63">
        <f t="shared" si="0"/>
        <v>0</v>
      </c>
      <c r="H14" s="63">
        <v>4400</v>
      </c>
      <c r="I14" s="63">
        <f>+C14+D14-E14-F14+G14</f>
        <v>4400</v>
      </c>
      <c r="J14" s="9">
        <f t="shared" si="8"/>
        <v>0</v>
      </c>
      <c r="K14" s="47" t="s">
        <v>94</v>
      </c>
      <c r="L14" s="49">
        <v>20000</v>
      </c>
      <c r="M14" s="49">
        <v>0</v>
      </c>
      <c r="N14" s="49">
        <v>20400</v>
      </c>
      <c r="O14" s="49"/>
      <c r="Q14" s="5"/>
    </row>
    <row r="15" spans="1:17" ht="16.5" x14ac:dyDescent="0.3">
      <c r="A15" s="60" t="str">
        <f t="shared" si="1"/>
        <v>P29</v>
      </c>
      <c r="B15" s="61" t="s">
        <v>164</v>
      </c>
      <c r="C15" s="63">
        <v>136200</v>
      </c>
      <c r="D15" s="63">
        <f t="shared" si="2"/>
        <v>380000</v>
      </c>
      <c r="E15" s="63">
        <f t="shared" si="3"/>
        <v>500000</v>
      </c>
      <c r="F15" s="63">
        <f t="shared" si="4"/>
        <v>0</v>
      </c>
      <c r="G15" s="63">
        <f>+O15</f>
        <v>0</v>
      </c>
      <c r="H15" s="63">
        <v>16200</v>
      </c>
      <c r="I15" s="63">
        <f>+C15+D15-E15-F15+G15</f>
        <v>16200</v>
      </c>
      <c r="J15" s="9">
        <f>I15-H15</f>
        <v>0</v>
      </c>
      <c r="K15" s="47" t="s">
        <v>29</v>
      </c>
      <c r="L15" s="49">
        <v>380000</v>
      </c>
      <c r="M15" s="49">
        <v>0</v>
      </c>
      <c r="N15" s="49">
        <v>500000</v>
      </c>
      <c r="O15" s="49">
        <v>0</v>
      </c>
      <c r="Q15" s="5"/>
    </row>
    <row r="16" spans="1:17" ht="16.5" x14ac:dyDescent="0.3">
      <c r="A16" s="60" t="str">
        <f t="shared" si="1"/>
        <v>Paule</v>
      </c>
      <c r="B16" s="61" t="s">
        <v>164</v>
      </c>
      <c r="C16" s="63">
        <v>0</v>
      </c>
      <c r="D16" s="63">
        <f t="shared" si="2"/>
        <v>129000</v>
      </c>
      <c r="E16" s="63">
        <f t="shared" si="3"/>
        <v>123000</v>
      </c>
      <c r="F16" s="63">
        <f t="shared" si="4"/>
        <v>0</v>
      </c>
      <c r="G16" s="63">
        <f>+O16</f>
        <v>0</v>
      </c>
      <c r="H16" s="63">
        <v>6000</v>
      </c>
      <c r="I16" s="63">
        <f>+C16+D16-E16-F16+G16</f>
        <v>6000</v>
      </c>
      <c r="J16" s="9">
        <f>I16-H16</f>
        <v>0</v>
      </c>
      <c r="K16" s="47" t="s">
        <v>264</v>
      </c>
      <c r="L16" s="49">
        <v>129000</v>
      </c>
      <c r="M16" s="49">
        <v>0</v>
      </c>
      <c r="N16" s="49">
        <v>123000</v>
      </c>
      <c r="O16" s="49">
        <v>0</v>
      </c>
      <c r="Q16" s="5"/>
    </row>
    <row r="17" spans="1:17" ht="16.5" x14ac:dyDescent="0.3">
      <c r="A17" s="60" t="str">
        <f t="shared" si="1"/>
        <v>Tiffany</v>
      </c>
      <c r="B17" s="61" t="s">
        <v>2</v>
      </c>
      <c r="C17" s="63">
        <v>-36737</v>
      </c>
      <c r="D17" s="63">
        <f t="shared" si="2"/>
        <v>70000</v>
      </c>
      <c r="E17" s="63">
        <f t="shared" si="3"/>
        <v>824022</v>
      </c>
      <c r="F17" s="63">
        <f t="shared" si="4"/>
        <v>0</v>
      </c>
      <c r="G17" s="63">
        <f t="shared" ref="G17" si="9">+O17</f>
        <v>0</v>
      </c>
      <c r="H17" s="63">
        <v>-790759</v>
      </c>
      <c r="I17" s="63">
        <f t="shared" ref="I17" si="10">+C17+D17-E17-F17+G17</f>
        <v>-790759</v>
      </c>
      <c r="J17" s="9">
        <f t="shared" ref="J17" si="11">I17-H17</f>
        <v>0</v>
      </c>
      <c r="K17" s="47" t="s">
        <v>114</v>
      </c>
      <c r="L17" s="49">
        <v>70000</v>
      </c>
      <c r="M17" s="49">
        <v>0</v>
      </c>
      <c r="N17" s="49">
        <v>824022</v>
      </c>
      <c r="O17" s="49">
        <v>0</v>
      </c>
      <c r="Q17" s="5"/>
    </row>
    <row r="18" spans="1:17" ht="16.5" x14ac:dyDescent="0.3">
      <c r="A18" s="10" t="s">
        <v>51</v>
      </c>
      <c r="B18" s="11"/>
      <c r="C18" s="12">
        <f t="shared" ref="C18:I18" si="12">SUM(C3:C17)</f>
        <v>3382917</v>
      </c>
      <c r="D18" s="59">
        <f t="shared" si="12"/>
        <v>6078000</v>
      </c>
      <c r="E18" s="59">
        <f t="shared" si="12"/>
        <v>11342157</v>
      </c>
      <c r="F18" s="59">
        <f t="shared" si="12"/>
        <v>6078000</v>
      </c>
      <c r="G18" s="59">
        <f t="shared" si="12"/>
        <v>39788807</v>
      </c>
      <c r="H18" s="59">
        <f t="shared" si="12"/>
        <v>31829567</v>
      </c>
      <c r="I18" s="59">
        <f t="shared" si="12"/>
        <v>31829567</v>
      </c>
      <c r="J18" s="9">
        <f>I18-H18</f>
        <v>0</v>
      </c>
      <c r="K18" s="3"/>
      <c r="L18" s="49">
        <f>+SUM(L3:L17)</f>
        <v>6078000</v>
      </c>
      <c r="M18" s="49">
        <f>+SUM(M3:M17)</f>
        <v>6078000</v>
      </c>
      <c r="N18" s="49">
        <f>+SUM(N3:N17)</f>
        <v>11342157</v>
      </c>
      <c r="O18" s="49">
        <f>+SUM(O3:O17)</f>
        <v>39788807</v>
      </c>
      <c r="Q18" s="5"/>
    </row>
    <row r="19" spans="1:17" ht="16.5" x14ac:dyDescent="0.3">
      <c r="A19" s="10"/>
      <c r="B19" s="11"/>
      <c r="C19" s="12"/>
      <c r="D19" s="13"/>
      <c r="E19" s="12"/>
      <c r="F19" s="13"/>
      <c r="G19" s="12"/>
      <c r="H19" s="12"/>
      <c r="I19" s="143" t="b">
        <f>I18=D21</f>
        <v>1</v>
      </c>
      <c r="L19" s="5"/>
      <c r="M19" s="5"/>
      <c r="N19" s="5"/>
      <c r="O19" s="5"/>
      <c r="Q19" s="5"/>
    </row>
    <row r="20" spans="1:17" ht="16.5" x14ac:dyDescent="0.3">
      <c r="A20" s="10" t="s">
        <v>212</v>
      </c>
      <c r="B20" s="11" t="s">
        <v>213</v>
      </c>
      <c r="C20" s="12" t="s">
        <v>217</v>
      </c>
      <c r="D20" s="12" t="s">
        <v>214</v>
      </c>
      <c r="E20" s="12" t="s">
        <v>52</v>
      </c>
      <c r="F20" s="12"/>
      <c r="G20" s="12">
        <f>+D18-F18</f>
        <v>0</v>
      </c>
      <c r="H20" s="12"/>
      <c r="I20" s="12"/>
      <c r="Q20" s="5"/>
    </row>
    <row r="21" spans="1:17" ht="16.5" x14ac:dyDescent="0.3">
      <c r="A21" s="14">
        <f>C18</f>
        <v>3382917</v>
      </c>
      <c r="B21" s="15">
        <f>G18</f>
        <v>39788807</v>
      </c>
      <c r="C21" s="12">
        <f>E18</f>
        <v>11342157</v>
      </c>
      <c r="D21" s="12">
        <f>A21+B21-C21</f>
        <v>31829567</v>
      </c>
      <c r="E21" s="13">
        <f>I18-D21</f>
        <v>0</v>
      </c>
      <c r="F21" s="12"/>
      <c r="G21" s="12"/>
      <c r="H21" s="12"/>
      <c r="I21" s="12"/>
      <c r="Q21" s="5"/>
    </row>
    <row r="22" spans="1:17" ht="16.5" x14ac:dyDescent="0.3">
      <c r="A22" s="14"/>
      <c r="B22" s="15"/>
      <c r="C22" s="12"/>
      <c r="D22" s="12"/>
      <c r="E22" s="13"/>
      <c r="F22" s="12"/>
      <c r="G22" s="12"/>
      <c r="H22" s="12"/>
      <c r="I22" s="12"/>
      <c r="Q22" s="5"/>
    </row>
    <row r="23" spans="1:17" x14ac:dyDescent="0.2">
      <c r="A23" s="16" t="s">
        <v>53</v>
      </c>
      <c r="B23" s="16"/>
      <c r="C23" s="16"/>
      <c r="D23" s="17"/>
      <c r="E23" s="17"/>
      <c r="F23" s="17"/>
      <c r="G23" s="17"/>
      <c r="H23" s="17"/>
      <c r="I23" s="17"/>
      <c r="Q23" s="5"/>
    </row>
    <row r="24" spans="1:17" x14ac:dyDescent="0.2">
      <c r="A24" s="18" t="s">
        <v>215</v>
      </c>
      <c r="B24" s="18"/>
      <c r="C24" s="18"/>
      <c r="D24" s="18"/>
      <c r="E24" s="18"/>
      <c r="F24" s="18"/>
      <c r="G24" s="18"/>
      <c r="H24" s="18"/>
      <c r="I24" s="18"/>
      <c r="J24" s="18"/>
      <c r="Q24" s="5"/>
    </row>
    <row r="25" spans="1:17" x14ac:dyDescent="0.2">
      <c r="A25" s="19"/>
      <c r="B25" s="20"/>
      <c r="C25" s="21"/>
      <c r="D25" s="21"/>
      <c r="E25" s="21"/>
      <c r="F25" s="21"/>
      <c r="G25" s="21"/>
      <c r="H25" s="20"/>
      <c r="I25" s="20"/>
      <c r="Q25" s="5"/>
    </row>
    <row r="26" spans="1:17" x14ac:dyDescent="0.2">
      <c r="A26" s="331" t="s">
        <v>54</v>
      </c>
      <c r="B26" s="333" t="s">
        <v>55</v>
      </c>
      <c r="C26" s="335" t="s">
        <v>216</v>
      </c>
      <c r="D26" s="337" t="s">
        <v>56</v>
      </c>
      <c r="E26" s="338"/>
      <c r="F26" s="338"/>
      <c r="G26" s="339"/>
      <c r="H26" s="340" t="s">
        <v>57</v>
      </c>
      <c r="I26" s="327" t="s">
        <v>58</v>
      </c>
      <c r="J26" s="20"/>
      <c r="Q26" s="5"/>
    </row>
    <row r="27" spans="1:17" ht="28.5" customHeight="1" x14ac:dyDescent="0.25">
      <c r="A27" s="332"/>
      <c r="B27" s="334"/>
      <c r="C27" s="336"/>
      <c r="D27" s="22" t="s">
        <v>24</v>
      </c>
      <c r="E27" s="22" t="s">
        <v>25</v>
      </c>
      <c r="F27" s="336" t="s">
        <v>124</v>
      </c>
      <c r="G27" s="22" t="s">
        <v>59</v>
      </c>
      <c r="H27" s="341"/>
      <c r="I27" s="328"/>
      <c r="J27" s="329" t="s">
        <v>211</v>
      </c>
      <c r="K27" s="155"/>
      <c r="Q27" s="5"/>
    </row>
    <row r="28" spans="1:17" x14ac:dyDescent="0.2">
      <c r="A28" s="24"/>
      <c r="B28" s="25" t="s">
        <v>60</v>
      </c>
      <c r="C28" s="26"/>
      <c r="D28" s="26"/>
      <c r="E28" s="26"/>
      <c r="F28" s="26"/>
      <c r="G28" s="26"/>
      <c r="H28" s="26"/>
      <c r="I28" s="27"/>
      <c r="J28" s="330"/>
      <c r="K28" s="155"/>
      <c r="Q28" s="5"/>
    </row>
    <row r="29" spans="1:17" x14ac:dyDescent="0.2">
      <c r="A29" s="130" t="s">
        <v>121</v>
      </c>
      <c r="B29" s="135" t="s">
        <v>48</v>
      </c>
      <c r="C29" s="33">
        <f>+C6</f>
        <v>56050</v>
      </c>
      <c r="D29" s="32"/>
      <c r="E29" s="33">
        <f>+D6</f>
        <v>0</v>
      </c>
      <c r="F29" s="33"/>
      <c r="G29" s="33"/>
      <c r="H29" s="57">
        <f t="shared" ref="H29:H39" si="13">+F6</f>
        <v>30000</v>
      </c>
      <c r="I29" s="33">
        <f t="shared" ref="I29:I39" si="14">+E6</f>
        <v>4000</v>
      </c>
      <c r="J29" s="31">
        <f t="shared" ref="J29:J30" si="15">+SUM(C29:G29)-(H29+I29)</f>
        <v>22050</v>
      </c>
      <c r="K29" s="156" t="b">
        <f t="shared" ref="K29:K39" si="16">J29=I6</f>
        <v>1</v>
      </c>
      <c r="Q29" s="5"/>
    </row>
    <row r="30" spans="1:17" x14ac:dyDescent="0.2">
      <c r="A30" s="130" t="str">
        <f>+A29</f>
        <v>MARS</v>
      </c>
      <c r="B30" s="135" t="s">
        <v>31</v>
      </c>
      <c r="C30" s="33">
        <f t="shared" ref="C30:C31" si="17">+C7</f>
        <v>21495</v>
      </c>
      <c r="D30" s="32"/>
      <c r="E30" s="33">
        <f t="shared" ref="E30:E31" si="18">+D7</f>
        <v>139000</v>
      </c>
      <c r="F30" s="33"/>
      <c r="G30" s="33"/>
      <c r="H30" s="57">
        <f t="shared" si="13"/>
        <v>0</v>
      </c>
      <c r="I30" s="33">
        <f t="shared" si="14"/>
        <v>146500</v>
      </c>
      <c r="J30" s="107">
        <f t="shared" si="15"/>
        <v>13995</v>
      </c>
      <c r="K30" s="156" t="b">
        <f t="shared" si="16"/>
        <v>1</v>
      </c>
      <c r="Q30" s="5"/>
    </row>
    <row r="31" spans="1:17" x14ac:dyDescent="0.2">
      <c r="A31" s="130" t="str">
        <f t="shared" ref="A31:A36" si="19">+A30</f>
        <v>MARS</v>
      </c>
      <c r="B31" s="136" t="s">
        <v>153</v>
      </c>
      <c r="C31" s="33">
        <f t="shared" si="17"/>
        <v>113185</v>
      </c>
      <c r="D31" s="127"/>
      <c r="E31" s="33">
        <f t="shared" si="18"/>
        <v>188000</v>
      </c>
      <c r="F31" s="53"/>
      <c r="G31" s="53"/>
      <c r="H31" s="57">
        <f t="shared" si="13"/>
        <v>40000</v>
      </c>
      <c r="I31" s="33">
        <f t="shared" si="14"/>
        <v>224700</v>
      </c>
      <c r="J31" s="132">
        <f>+SUM(C31:G31)-(H31+I31)</f>
        <v>36485</v>
      </c>
      <c r="K31" s="156" t="b">
        <f t="shared" si="16"/>
        <v>1</v>
      </c>
      <c r="Q31" s="5"/>
    </row>
    <row r="32" spans="1:17" x14ac:dyDescent="0.2">
      <c r="A32" s="130" t="str">
        <f t="shared" si="19"/>
        <v>MARS</v>
      </c>
      <c r="B32" s="137" t="s">
        <v>85</v>
      </c>
      <c r="C32" s="128">
        <f>+C9</f>
        <v>233614</v>
      </c>
      <c r="D32" s="131"/>
      <c r="E32" s="128">
        <f>+D9</f>
        <v>0</v>
      </c>
      <c r="F32" s="146"/>
      <c r="G32" s="146"/>
      <c r="H32" s="180">
        <f t="shared" si="13"/>
        <v>0</v>
      </c>
      <c r="I32" s="128">
        <f t="shared" si="14"/>
        <v>0</v>
      </c>
      <c r="J32" s="129">
        <f>+SUM(C32:G32)-(H32+I32)</f>
        <v>233614</v>
      </c>
      <c r="K32" s="156" t="b">
        <f t="shared" si="16"/>
        <v>1</v>
      </c>
      <c r="Q32" s="5"/>
    </row>
    <row r="33" spans="1:17" x14ac:dyDescent="0.2">
      <c r="A33" s="130" t="str">
        <f t="shared" si="19"/>
        <v>MARS</v>
      </c>
      <c r="B33" s="137" t="s">
        <v>84</v>
      </c>
      <c r="C33" s="128">
        <f>+C10</f>
        <v>249769</v>
      </c>
      <c r="D33" s="131"/>
      <c r="E33" s="128">
        <f>+D10</f>
        <v>0</v>
      </c>
      <c r="F33" s="146"/>
      <c r="G33" s="146"/>
      <c r="H33" s="180">
        <f t="shared" si="13"/>
        <v>0</v>
      </c>
      <c r="I33" s="128">
        <f t="shared" si="14"/>
        <v>0</v>
      </c>
      <c r="J33" s="129">
        <f t="shared" ref="J33:J40" si="20">+SUM(C33:G33)-(H33+I33)</f>
        <v>249769</v>
      </c>
      <c r="K33" s="156" t="b">
        <f t="shared" si="16"/>
        <v>1</v>
      </c>
      <c r="Q33" s="5"/>
    </row>
    <row r="34" spans="1:17" x14ac:dyDescent="0.2">
      <c r="A34" s="130" t="str">
        <f t="shared" si="19"/>
        <v>MARS</v>
      </c>
      <c r="B34" s="135" t="s">
        <v>152</v>
      </c>
      <c r="C34" s="33">
        <f>+C11</f>
        <v>20700</v>
      </c>
      <c r="D34" s="32"/>
      <c r="E34" s="33">
        <f>+D11</f>
        <v>0</v>
      </c>
      <c r="F34" s="33"/>
      <c r="G34" s="110"/>
      <c r="H34" s="57">
        <f t="shared" si="13"/>
        <v>0</v>
      </c>
      <c r="I34" s="33">
        <f t="shared" si="14"/>
        <v>10000</v>
      </c>
      <c r="J34" s="31">
        <f t="shared" si="20"/>
        <v>10700</v>
      </c>
      <c r="K34" s="156" t="b">
        <f t="shared" si="16"/>
        <v>1</v>
      </c>
      <c r="Q34" s="5"/>
    </row>
    <row r="35" spans="1:17" x14ac:dyDescent="0.2">
      <c r="A35" s="130" t="str">
        <f t="shared" si="19"/>
        <v>MARS</v>
      </c>
      <c r="B35" s="135" t="s">
        <v>265</v>
      </c>
      <c r="C35" s="33">
        <f t="shared" ref="C35:C38" si="21">+C12</f>
        <v>0</v>
      </c>
      <c r="D35" s="32"/>
      <c r="E35" s="33">
        <f t="shared" ref="E35:E40" si="22">+D12</f>
        <v>135000</v>
      </c>
      <c r="F35" s="33"/>
      <c r="G35" s="110"/>
      <c r="H35" s="57">
        <f t="shared" si="13"/>
        <v>0</v>
      </c>
      <c r="I35" s="33">
        <f t="shared" si="14"/>
        <v>83000</v>
      </c>
      <c r="J35" s="31">
        <f t="shared" si="20"/>
        <v>52000</v>
      </c>
      <c r="K35" s="156" t="b">
        <f t="shared" si="16"/>
        <v>1</v>
      </c>
      <c r="Q35" s="5"/>
    </row>
    <row r="36" spans="1:17" x14ac:dyDescent="0.2">
      <c r="A36" s="130" t="str">
        <f t="shared" si="19"/>
        <v>MARS</v>
      </c>
      <c r="B36" s="135" t="s">
        <v>30</v>
      </c>
      <c r="C36" s="33">
        <f t="shared" si="21"/>
        <v>15550</v>
      </c>
      <c r="D36" s="32"/>
      <c r="E36" s="33">
        <f t="shared" si="22"/>
        <v>747000</v>
      </c>
      <c r="F36" s="33"/>
      <c r="G36" s="110"/>
      <c r="H36" s="57">
        <f t="shared" si="13"/>
        <v>0</v>
      </c>
      <c r="I36" s="33">
        <f t="shared" si="14"/>
        <v>646500</v>
      </c>
      <c r="J36" s="31">
        <f t="shared" si="20"/>
        <v>116050</v>
      </c>
      <c r="K36" s="156" t="b">
        <f t="shared" si="16"/>
        <v>1</v>
      </c>
      <c r="Q36" s="5"/>
    </row>
    <row r="37" spans="1:17" x14ac:dyDescent="0.2">
      <c r="A37" s="130" t="str">
        <f>+A35</f>
        <v>MARS</v>
      </c>
      <c r="B37" s="135" t="s">
        <v>94</v>
      </c>
      <c r="C37" s="33">
        <f t="shared" si="21"/>
        <v>4800</v>
      </c>
      <c r="D37" s="32"/>
      <c r="E37" s="33">
        <f t="shared" si="22"/>
        <v>20000</v>
      </c>
      <c r="F37" s="33"/>
      <c r="G37" s="110"/>
      <c r="H37" s="57">
        <f t="shared" si="13"/>
        <v>0</v>
      </c>
      <c r="I37" s="33">
        <f t="shared" si="14"/>
        <v>20400</v>
      </c>
      <c r="J37" s="31">
        <f t="shared" si="20"/>
        <v>4400</v>
      </c>
      <c r="K37" s="156" t="b">
        <f t="shared" si="16"/>
        <v>1</v>
      </c>
      <c r="Q37" s="5"/>
    </row>
    <row r="38" spans="1:17" x14ac:dyDescent="0.2">
      <c r="A38" s="130" t="str">
        <f>+A36</f>
        <v>MARS</v>
      </c>
      <c r="B38" s="135" t="s">
        <v>29</v>
      </c>
      <c r="C38" s="33">
        <f t="shared" si="21"/>
        <v>136200</v>
      </c>
      <c r="D38" s="32"/>
      <c r="E38" s="33">
        <f t="shared" si="22"/>
        <v>380000</v>
      </c>
      <c r="F38" s="33"/>
      <c r="G38" s="110"/>
      <c r="H38" s="57">
        <f t="shared" si="13"/>
        <v>0</v>
      </c>
      <c r="I38" s="33">
        <f t="shared" si="14"/>
        <v>500000</v>
      </c>
      <c r="J38" s="31">
        <f t="shared" si="20"/>
        <v>16200</v>
      </c>
      <c r="K38" s="156" t="b">
        <f t="shared" si="16"/>
        <v>1</v>
      </c>
      <c r="Q38" s="5"/>
    </row>
    <row r="39" spans="1:17" x14ac:dyDescent="0.2">
      <c r="A39" s="130" t="str">
        <f>+A37</f>
        <v>MARS</v>
      </c>
      <c r="B39" s="135" t="s">
        <v>264</v>
      </c>
      <c r="C39" s="33">
        <f>+C16</f>
        <v>0</v>
      </c>
      <c r="D39" s="32"/>
      <c r="E39" s="33">
        <f t="shared" si="22"/>
        <v>129000</v>
      </c>
      <c r="F39" s="33"/>
      <c r="G39" s="110"/>
      <c r="H39" s="57">
        <f t="shared" si="13"/>
        <v>0</v>
      </c>
      <c r="I39" s="33">
        <f t="shared" si="14"/>
        <v>123000</v>
      </c>
      <c r="J39" s="31">
        <f t="shared" ref="J39" si="23">+SUM(C39:G39)-(H39+I39)</f>
        <v>6000</v>
      </c>
      <c r="K39" s="156" t="b">
        <f t="shared" si="16"/>
        <v>1</v>
      </c>
      <c r="Q39" s="5"/>
    </row>
    <row r="40" spans="1:17" x14ac:dyDescent="0.2">
      <c r="A40" s="130" t="str">
        <f>+A38</f>
        <v>MARS</v>
      </c>
      <c r="B40" s="136" t="s">
        <v>114</v>
      </c>
      <c r="C40" s="33">
        <f t="shared" ref="C40" si="24">+C17</f>
        <v>-36737</v>
      </c>
      <c r="D40" s="127"/>
      <c r="E40" s="33">
        <f t="shared" si="22"/>
        <v>70000</v>
      </c>
      <c r="F40" s="53"/>
      <c r="G40" s="147"/>
      <c r="H40" s="57">
        <f t="shared" ref="H40" si="25">+F17</f>
        <v>0</v>
      </c>
      <c r="I40" s="33">
        <f t="shared" ref="I40" si="26">+E17</f>
        <v>824022</v>
      </c>
      <c r="J40" s="31">
        <f t="shared" si="20"/>
        <v>-790759</v>
      </c>
      <c r="K40" s="156" t="b">
        <f t="shared" ref="K40" si="27">J40=I17</f>
        <v>1</v>
      </c>
      <c r="Q40" s="5"/>
    </row>
    <row r="41" spans="1:17" x14ac:dyDescent="0.2">
      <c r="A41" s="35" t="s">
        <v>61</v>
      </c>
      <c r="B41" s="36"/>
      <c r="C41" s="36"/>
      <c r="D41" s="36"/>
      <c r="E41" s="36"/>
      <c r="F41" s="36"/>
      <c r="G41" s="36"/>
      <c r="H41" s="36"/>
      <c r="I41" s="36"/>
      <c r="J41" s="37"/>
      <c r="K41" s="155"/>
      <c r="Q41" s="5"/>
    </row>
    <row r="42" spans="1:17" x14ac:dyDescent="0.2">
      <c r="A42" s="130" t="str">
        <f>+A40</f>
        <v>MARS</v>
      </c>
      <c r="B42" s="38" t="s">
        <v>62</v>
      </c>
      <c r="C42" s="39">
        <f>+C5</f>
        <v>797106</v>
      </c>
      <c r="D42" s="51"/>
      <c r="E42" s="51">
        <f>D5</f>
        <v>4270000</v>
      </c>
      <c r="F42" s="51"/>
      <c r="G42" s="133"/>
      <c r="H42" s="53">
        <f>+F5</f>
        <v>1808000</v>
      </c>
      <c r="I42" s="134">
        <f>+E5</f>
        <v>2099084</v>
      </c>
      <c r="J42" s="46">
        <f>+SUM(C42:G42)-(H42+I42)</f>
        <v>1160022</v>
      </c>
      <c r="K42" s="156" t="b">
        <f>J42=I5</f>
        <v>1</v>
      </c>
      <c r="Q42" s="5"/>
    </row>
    <row r="43" spans="1:17" x14ac:dyDescent="0.2">
      <c r="A43" s="44" t="s">
        <v>63</v>
      </c>
      <c r="B43" s="25"/>
      <c r="C43" s="36"/>
      <c r="D43" s="25"/>
      <c r="E43" s="25"/>
      <c r="F43" s="25"/>
      <c r="G43" s="25"/>
      <c r="H43" s="25"/>
      <c r="I43" s="25"/>
      <c r="J43" s="37"/>
      <c r="K43" s="155"/>
      <c r="Q43" s="5"/>
    </row>
    <row r="44" spans="1:17" x14ac:dyDescent="0.2">
      <c r="A44" s="130" t="str">
        <f>+A42</f>
        <v>MARS</v>
      </c>
      <c r="B44" s="38" t="s">
        <v>167</v>
      </c>
      <c r="C44" s="133">
        <f>+C3</f>
        <v>888683</v>
      </c>
      <c r="D44" s="140">
        <f>+G3</f>
        <v>11432442</v>
      </c>
      <c r="E44" s="51"/>
      <c r="F44" s="51"/>
      <c r="G44" s="51"/>
      <c r="H44" s="53">
        <f>+F3</f>
        <v>2600000</v>
      </c>
      <c r="I44" s="55">
        <f>+E3</f>
        <v>543345</v>
      </c>
      <c r="J44" s="46">
        <f>+SUM(C44:G44)-(H44+I44)</f>
        <v>9177780</v>
      </c>
      <c r="K44" s="156" t="b">
        <f>+J44=I3</f>
        <v>1</v>
      </c>
      <c r="Q44" s="5"/>
    </row>
    <row r="45" spans="1:17" x14ac:dyDescent="0.2">
      <c r="A45" s="130" t="str">
        <f t="shared" ref="A45" si="28">+A44</f>
        <v>MARS</v>
      </c>
      <c r="B45" s="38" t="s">
        <v>65</v>
      </c>
      <c r="C45" s="133">
        <f>+C4</f>
        <v>882502</v>
      </c>
      <c r="D45" s="51">
        <f>+G4</f>
        <v>28356365</v>
      </c>
      <c r="E45" s="50"/>
      <c r="F45" s="50"/>
      <c r="G45" s="50"/>
      <c r="H45" s="33">
        <f>+F4</f>
        <v>1600000</v>
      </c>
      <c r="I45" s="52">
        <f>+E4</f>
        <v>6117606</v>
      </c>
      <c r="J45" s="46">
        <f>SUM(C45:G45)-(H45+I45)</f>
        <v>21521261</v>
      </c>
      <c r="K45" s="156" t="b">
        <f>+J45=I4</f>
        <v>1</v>
      </c>
      <c r="Q45" s="5"/>
    </row>
    <row r="46" spans="1:17" ht="15.75" x14ac:dyDescent="0.25">
      <c r="C46" s="151">
        <f>SUM(C29:C45)</f>
        <v>3382917</v>
      </c>
      <c r="I46" s="149">
        <f>SUM(I29:I45)</f>
        <v>11342157</v>
      </c>
      <c r="J46" s="111">
        <f>+SUM(J29:J45)</f>
        <v>31829567</v>
      </c>
      <c r="K46" s="5" t="b">
        <f>J46=I18</f>
        <v>1</v>
      </c>
      <c r="Q46" s="5"/>
    </row>
    <row r="47" spans="1:17" ht="15.75" x14ac:dyDescent="0.25">
      <c r="A47" s="272"/>
      <c r="B47" s="272"/>
      <c r="C47" s="273"/>
      <c r="D47" s="272"/>
      <c r="E47" s="272"/>
      <c r="F47" s="272"/>
      <c r="G47" s="272"/>
      <c r="H47" s="272"/>
      <c r="I47" s="274"/>
      <c r="J47" s="275"/>
      <c r="K47" s="272"/>
      <c r="L47" s="276"/>
      <c r="M47" s="276"/>
      <c r="N47" s="276"/>
      <c r="O47" s="276"/>
      <c r="P47" s="272"/>
      <c r="Q47" s="5"/>
    </row>
    <row r="51" spans="1:17" ht="15.75" x14ac:dyDescent="0.25">
      <c r="A51" s="6" t="s">
        <v>37</v>
      </c>
      <c r="B51" s="6" t="s">
        <v>1</v>
      </c>
      <c r="C51" s="6">
        <v>44593</v>
      </c>
      <c r="D51" s="7" t="s">
        <v>38</v>
      </c>
      <c r="E51" s="7" t="s">
        <v>39</v>
      </c>
      <c r="F51" s="7" t="s">
        <v>40</v>
      </c>
      <c r="G51" s="7" t="s">
        <v>41</v>
      </c>
      <c r="H51" s="6">
        <v>44620</v>
      </c>
      <c r="I51" s="7" t="s">
        <v>42</v>
      </c>
      <c r="K51" s="47"/>
      <c r="L51" s="47" t="s">
        <v>43</v>
      </c>
      <c r="M51" s="47" t="s">
        <v>44</v>
      </c>
      <c r="N51" s="47" t="s">
        <v>45</v>
      </c>
      <c r="O51" s="47" t="s">
        <v>46</v>
      </c>
      <c r="Q51" s="5"/>
    </row>
    <row r="52" spans="1:17" ht="16.5" x14ac:dyDescent="0.3">
      <c r="A52" s="60" t="str">
        <f>+K52</f>
        <v>B52</v>
      </c>
      <c r="B52" s="61" t="s">
        <v>4</v>
      </c>
      <c r="C52" s="63">
        <v>500</v>
      </c>
      <c r="D52" s="63">
        <f t="shared" ref="D52:D65" si="29">+L52</f>
        <v>50000</v>
      </c>
      <c r="E52" s="63">
        <f>+N52</f>
        <v>50500</v>
      </c>
      <c r="F52" s="63">
        <f>+M52</f>
        <v>0</v>
      </c>
      <c r="G52" s="63">
        <f t="shared" ref="G52:G63" si="30">+O52</f>
        <v>0</v>
      </c>
      <c r="H52" s="63">
        <v>0</v>
      </c>
      <c r="I52" s="63">
        <f>+C52+D52-E52-F52+G52</f>
        <v>0</v>
      </c>
      <c r="J52" s="9">
        <f>I52-H52</f>
        <v>0</v>
      </c>
      <c r="K52" s="47" t="s">
        <v>173</v>
      </c>
      <c r="L52" s="49">
        <v>50000</v>
      </c>
      <c r="M52" s="49">
        <v>0</v>
      </c>
      <c r="N52" s="49">
        <v>50500</v>
      </c>
      <c r="O52" s="49">
        <v>0</v>
      </c>
      <c r="Q52" s="5"/>
    </row>
    <row r="53" spans="1:17" ht="16.5" x14ac:dyDescent="0.3">
      <c r="A53" s="60" t="str">
        <f>+K53</f>
        <v>BCI</v>
      </c>
      <c r="B53" s="61" t="s">
        <v>47</v>
      </c>
      <c r="C53" s="63">
        <v>2172028</v>
      </c>
      <c r="D53" s="63">
        <f t="shared" si="29"/>
        <v>0</v>
      </c>
      <c r="E53" s="63">
        <f>+N53</f>
        <v>283345</v>
      </c>
      <c r="F53" s="63">
        <f>+M53</f>
        <v>1000000</v>
      </c>
      <c r="G53" s="63">
        <f t="shared" si="30"/>
        <v>0</v>
      </c>
      <c r="H53" s="63">
        <v>888683</v>
      </c>
      <c r="I53" s="63">
        <f>+C53+D53-E53-F53+G53</f>
        <v>888683</v>
      </c>
      <c r="J53" s="9">
        <f t="shared" ref="J53:J60" si="31">I53-H53</f>
        <v>0</v>
      </c>
      <c r="K53" s="47" t="s">
        <v>24</v>
      </c>
      <c r="L53" s="49">
        <v>0</v>
      </c>
      <c r="M53" s="49">
        <v>1000000</v>
      </c>
      <c r="N53" s="49">
        <v>283345</v>
      </c>
      <c r="O53" s="49">
        <v>0</v>
      </c>
      <c r="Q53" s="5"/>
    </row>
    <row r="54" spans="1:17" ht="16.5" x14ac:dyDescent="0.3">
      <c r="A54" s="60" t="str">
        <f t="shared" ref="A54:A56" si="32">+K54</f>
        <v>BCI-Sous Compte</v>
      </c>
      <c r="B54" s="61" t="s">
        <v>47</v>
      </c>
      <c r="C54" s="63">
        <v>14143094</v>
      </c>
      <c r="D54" s="63">
        <f t="shared" si="29"/>
        <v>0</v>
      </c>
      <c r="E54" s="63">
        <f>+N54</f>
        <v>4260592</v>
      </c>
      <c r="F54" s="63">
        <f>+M54</f>
        <v>9000000</v>
      </c>
      <c r="G54" s="63">
        <f t="shared" si="30"/>
        <v>0</v>
      </c>
      <c r="H54" s="63">
        <v>882502</v>
      </c>
      <c r="I54" s="63">
        <f>+C54+D54-E54-F54+G54</f>
        <v>882502</v>
      </c>
      <c r="J54" s="108">
        <f t="shared" si="31"/>
        <v>0</v>
      </c>
      <c r="K54" s="47" t="s">
        <v>158</v>
      </c>
      <c r="L54" s="49">
        <v>0</v>
      </c>
      <c r="M54" s="49">
        <v>9000000</v>
      </c>
      <c r="N54" s="49">
        <v>4260592</v>
      </c>
      <c r="O54" s="49">
        <v>0</v>
      </c>
      <c r="Q54" s="5"/>
    </row>
    <row r="55" spans="1:17" ht="16.5" x14ac:dyDescent="0.3">
      <c r="A55" s="60" t="str">
        <f t="shared" si="32"/>
        <v>Caisse</v>
      </c>
      <c r="B55" s="61" t="s">
        <v>25</v>
      </c>
      <c r="C55" s="63">
        <v>580885</v>
      </c>
      <c r="D55" s="63">
        <f t="shared" si="29"/>
        <v>10511000</v>
      </c>
      <c r="E55" s="63">
        <f t="shared" ref="E55" si="33">+N55</f>
        <v>2520779</v>
      </c>
      <c r="F55" s="63">
        <f t="shared" ref="F55:F63" si="34">+M55</f>
        <v>7774000</v>
      </c>
      <c r="G55" s="63">
        <f t="shared" si="30"/>
        <v>0</v>
      </c>
      <c r="H55" s="63">
        <v>797106</v>
      </c>
      <c r="I55" s="63">
        <f>+C55+D55-E55-F55+G55</f>
        <v>797106</v>
      </c>
      <c r="J55" s="9">
        <f t="shared" si="31"/>
        <v>0</v>
      </c>
      <c r="K55" s="47" t="s">
        <v>25</v>
      </c>
      <c r="L55" s="49">
        <v>10511000</v>
      </c>
      <c r="M55" s="49">
        <v>7774000</v>
      </c>
      <c r="N55" s="49">
        <v>2520779</v>
      </c>
      <c r="O55" s="49">
        <v>0</v>
      </c>
      <c r="Q55" s="5"/>
    </row>
    <row r="56" spans="1:17" ht="16.5" x14ac:dyDescent="0.3">
      <c r="A56" s="60" t="str">
        <f t="shared" si="32"/>
        <v>Crépin</v>
      </c>
      <c r="B56" s="61" t="s">
        <v>164</v>
      </c>
      <c r="C56" s="63">
        <v>9000</v>
      </c>
      <c r="D56" s="63">
        <f t="shared" si="29"/>
        <v>2509000</v>
      </c>
      <c r="E56" s="63">
        <f>+N56</f>
        <v>2021950</v>
      </c>
      <c r="F56" s="63">
        <f t="shared" si="34"/>
        <v>440000</v>
      </c>
      <c r="G56" s="63">
        <f t="shared" si="30"/>
        <v>0</v>
      </c>
      <c r="H56" s="63">
        <v>56050</v>
      </c>
      <c r="I56" s="63">
        <f t="shared" ref="I56" si="35">+C56+D56-E56-F56+G56</f>
        <v>56050</v>
      </c>
      <c r="J56" s="9">
        <f t="shared" si="31"/>
        <v>0</v>
      </c>
      <c r="K56" s="47" t="s">
        <v>48</v>
      </c>
      <c r="L56" s="49">
        <v>2509000</v>
      </c>
      <c r="M56" s="49">
        <v>440000</v>
      </c>
      <c r="N56" s="49">
        <v>2021950</v>
      </c>
      <c r="O56" s="49">
        <v>0</v>
      </c>
      <c r="Q56" s="5"/>
    </row>
    <row r="57" spans="1:17" ht="16.5" x14ac:dyDescent="0.3">
      <c r="A57" s="60" t="str">
        <f>K57</f>
        <v>Evariste</v>
      </c>
      <c r="B57" s="61" t="s">
        <v>165</v>
      </c>
      <c r="C57" s="63">
        <v>8645</v>
      </c>
      <c r="D57" s="63">
        <f t="shared" si="29"/>
        <v>614000</v>
      </c>
      <c r="E57" s="63">
        <f t="shared" ref="E57" si="36">+N57</f>
        <v>601150</v>
      </c>
      <c r="F57" s="63">
        <f t="shared" si="34"/>
        <v>0</v>
      </c>
      <c r="G57" s="63">
        <f t="shared" si="30"/>
        <v>0</v>
      </c>
      <c r="H57" s="63">
        <v>21495</v>
      </c>
      <c r="I57" s="63">
        <f>+C57+D57-E57-F57+G57</f>
        <v>21495</v>
      </c>
      <c r="J57" s="9">
        <f t="shared" si="31"/>
        <v>0</v>
      </c>
      <c r="K57" s="47" t="s">
        <v>31</v>
      </c>
      <c r="L57" s="49">
        <v>614000</v>
      </c>
      <c r="M57" s="49">
        <v>0</v>
      </c>
      <c r="N57" s="49">
        <v>601150</v>
      </c>
      <c r="O57" s="49">
        <v>0</v>
      </c>
      <c r="Q57" s="5"/>
    </row>
    <row r="58" spans="1:17" ht="16.5" x14ac:dyDescent="0.3">
      <c r="A58" s="123" t="str">
        <f t="shared" ref="A58:A65" si="37">+K58</f>
        <v>I55S</v>
      </c>
      <c r="B58" s="124" t="s">
        <v>4</v>
      </c>
      <c r="C58" s="126">
        <v>233614</v>
      </c>
      <c r="D58" s="126">
        <f t="shared" si="29"/>
        <v>0</v>
      </c>
      <c r="E58" s="126">
        <f>+N58</f>
        <v>0</v>
      </c>
      <c r="F58" s="126">
        <f t="shared" si="34"/>
        <v>0</v>
      </c>
      <c r="G58" s="126">
        <f t="shared" si="30"/>
        <v>0</v>
      </c>
      <c r="H58" s="126">
        <v>233614</v>
      </c>
      <c r="I58" s="126">
        <f>+C58+D58-E58-F58+G58</f>
        <v>233614</v>
      </c>
      <c r="J58" s="9">
        <f t="shared" si="31"/>
        <v>0</v>
      </c>
      <c r="K58" s="47" t="s">
        <v>85</v>
      </c>
      <c r="L58" s="49">
        <v>0</v>
      </c>
      <c r="M58" s="49">
        <v>0</v>
      </c>
      <c r="N58" s="49">
        <v>0</v>
      </c>
      <c r="O58" s="49">
        <v>0</v>
      </c>
      <c r="Q58" s="5"/>
    </row>
    <row r="59" spans="1:17" ht="16.5" x14ac:dyDescent="0.3">
      <c r="A59" s="123" t="str">
        <f t="shared" si="37"/>
        <v>I73X</v>
      </c>
      <c r="B59" s="124" t="s">
        <v>4</v>
      </c>
      <c r="C59" s="126">
        <v>249769</v>
      </c>
      <c r="D59" s="126">
        <f t="shared" si="29"/>
        <v>0</v>
      </c>
      <c r="E59" s="126">
        <f>+N59</f>
        <v>0</v>
      </c>
      <c r="F59" s="126">
        <f t="shared" si="34"/>
        <v>0</v>
      </c>
      <c r="G59" s="126">
        <f t="shared" si="30"/>
        <v>0</v>
      </c>
      <c r="H59" s="126">
        <v>249769</v>
      </c>
      <c r="I59" s="126">
        <f t="shared" ref="I59:I62" si="38">+C59+D59-E59-F59+G59</f>
        <v>249769</v>
      </c>
      <c r="J59" s="9">
        <f t="shared" si="31"/>
        <v>0</v>
      </c>
      <c r="K59" s="47" t="s">
        <v>84</v>
      </c>
      <c r="L59" s="49">
        <v>0</v>
      </c>
      <c r="M59" s="49">
        <v>0</v>
      </c>
      <c r="N59" s="49">
        <v>0</v>
      </c>
      <c r="O59" s="49">
        <v>0</v>
      </c>
      <c r="Q59" s="5"/>
    </row>
    <row r="60" spans="1:17" ht="16.5" x14ac:dyDescent="0.3">
      <c r="A60" s="60" t="str">
        <f t="shared" si="37"/>
        <v>Godfré</v>
      </c>
      <c r="B60" s="104" t="s">
        <v>164</v>
      </c>
      <c r="C60" s="63">
        <v>79935</v>
      </c>
      <c r="D60" s="63">
        <f t="shared" si="29"/>
        <v>1202000</v>
      </c>
      <c r="E60" s="179">
        <f t="shared" ref="E60" si="39">+N60</f>
        <v>1118750</v>
      </c>
      <c r="F60" s="63">
        <f t="shared" si="34"/>
        <v>50000</v>
      </c>
      <c r="G60" s="63">
        <f t="shared" si="30"/>
        <v>0</v>
      </c>
      <c r="H60" s="63">
        <v>113185</v>
      </c>
      <c r="I60" s="63">
        <f t="shared" si="38"/>
        <v>113185</v>
      </c>
      <c r="J60" s="9">
        <f t="shared" si="31"/>
        <v>0</v>
      </c>
      <c r="K60" s="47" t="s">
        <v>153</v>
      </c>
      <c r="L60" s="49">
        <v>1202000</v>
      </c>
      <c r="M60" s="49">
        <v>50000</v>
      </c>
      <c r="N60" s="49">
        <v>1118750</v>
      </c>
      <c r="O60" s="49">
        <v>0</v>
      </c>
      <c r="Q60" s="5"/>
    </row>
    <row r="61" spans="1:17" ht="16.5" x14ac:dyDescent="0.3">
      <c r="A61" s="60" t="str">
        <f t="shared" si="37"/>
        <v>Grace</v>
      </c>
      <c r="B61" s="61" t="s">
        <v>2</v>
      </c>
      <c r="C61" s="63">
        <v>19800</v>
      </c>
      <c r="D61" s="63">
        <f t="shared" si="29"/>
        <v>3247000</v>
      </c>
      <c r="E61" s="179">
        <f>+N61</f>
        <v>1165100</v>
      </c>
      <c r="F61" s="63">
        <f t="shared" si="34"/>
        <v>2081000</v>
      </c>
      <c r="G61" s="63">
        <f t="shared" si="30"/>
        <v>0</v>
      </c>
      <c r="H61" s="63">
        <v>20700</v>
      </c>
      <c r="I61" s="63">
        <f t="shared" si="38"/>
        <v>20700</v>
      </c>
      <c r="J61" s="9">
        <f>I61-H61</f>
        <v>0</v>
      </c>
      <c r="K61" s="47" t="s">
        <v>152</v>
      </c>
      <c r="L61" s="49">
        <v>3247000</v>
      </c>
      <c r="M61" s="49">
        <v>2081000</v>
      </c>
      <c r="N61" s="49">
        <v>1165100</v>
      </c>
      <c r="O61" s="49">
        <v>0</v>
      </c>
      <c r="Q61" s="5"/>
    </row>
    <row r="62" spans="1:17" ht="16.5" x14ac:dyDescent="0.3">
      <c r="A62" s="60" t="str">
        <f t="shared" si="37"/>
        <v>I23C</v>
      </c>
      <c r="B62" s="104" t="s">
        <v>4</v>
      </c>
      <c r="C62" s="63">
        <v>30550</v>
      </c>
      <c r="D62" s="63">
        <f t="shared" si="29"/>
        <v>1493000</v>
      </c>
      <c r="E62" s="179">
        <f t="shared" ref="E62:E65" si="40">+N62</f>
        <v>1238000</v>
      </c>
      <c r="F62" s="63">
        <f t="shared" si="34"/>
        <v>270000</v>
      </c>
      <c r="G62" s="63">
        <f t="shared" si="30"/>
        <v>0</v>
      </c>
      <c r="H62" s="63">
        <v>15550</v>
      </c>
      <c r="I62" s="63">
        <f t="shared" si="38"/>
        <v>15550</v>
      </c>
      <c r="J62" s="9">
        <f t="shared" ref="J62:J63" si="41">I62-H62</f>
        <v>0</v>
      </c>
      <c r="K62" s="47" t="s">
        <v>30</v>
      </c>
      <c r="L62" s="49">
        <v>1493000</v>
      </c>
      <c r="M62" s="49">
        <v>270000</v>
      </c>
      <c r="N62" s="49">
        <v>1238000</v>
      </c>
      <c r="O62" s="49">
        <v>0</v>
      </c>
      <c r="Q62" s="5"/>
    </row>
    <row r="63" spans="1:17" ht="16.5" x14ac:dyDescent="0.3">
      <c r="A63" s="60" t="str">
        <f t="shared" si="37"/>
        <v>Merveille</v>
      </c>
      <c r="B63" s="61" t="s">
        <v>2</v>
      </c>
      <c r="C63" s="63">
        <v>13000</v>
      </c>
      <c r="D63" s="63">
        <f t="shared" si="29"/>
        <v>50000</v>
      </c>
      <c r="E63" s="179">
        <f t="shared" si="40"/>
        <v>58200</v>
      </c>
      <c r="F63" s="63">
        <f t="shared" si="34"/>
        <v>0</v>
      </c>
      <c r="G63" s="63">
        <f t="shared" si="30"/>
        <v>0</v>
      </c>
      <c r="H63" s="63">
        <v>4800</v>
      </c>
      <c r="I63" s="63">
        <f>+C63+D63-E63-F63+G63</f>
        <v>4800</v>
      </c>
      <c r="J63" s="9">
        <f t="shared" si="41"/>
        <v>0</v>
      </c>
      <c r="K63" s="47" t="s">
        <v>94</v>
      </c>
      <c r="L63" s="49">
        <v>50000</v>
      </c>
      <c r="M63" s="49">
        <v>0</v>
      </c>
      <c r="N63" s="49">
        <v>58200</v>
      </c>
      <c r="O63" s="49"/>
      <c r="Q63" s="5"/>
    </row>
    <row r="64" spans="1:17" ht="16.5" x14ac:dyDescent="0.3">
      <c r="A64" s="60" t="str">
        <f t="shared" si="37"/>
        <v>P29</v>
      </c>
      <c r="B64" s="61" t="s">
        <v>4</v>
      </c>
      <c r="C64" s="63">
        <v>55700</v>
      </c>
      <c r="D64" s="63">
        <f t="shared" si="29"/>
        <v>1029000</v>
      </c>
      <c r="E64" s="179">
        <f t="shared" si="40"/>
        <v>648500</v>
      </c>
      <c r="F64" s="63">
        <f>+M64</f>
        <v>300000</v>
      </c>
      <c r="G64" s="63">
        <f>+O64</f>
        <v>0</v>
      </c>
      <c r="H64" s="63">
        <v>136200</v>
      </c>
      <c r="I64" s="63">
        <f>+C64+D64-E64-F64+G64</f>
        <v>136200</v>
      </c>
      <c r="J64" s="9">
        <f>I64-H64</f>
        <v>0</v>
      </c>
      <c r="K64" s="47" t="s">
        <v>29</v>
      </c>
      <c r="L64" s="49">
        <v>1029000</v>
      </c>
      <c r="M64" s="49">
        <v>300000</v>
      </c>
      <c r="N64" s="49">
        <v>648500</v>
      </c>
      <c r="O64" s="49">
        <v>0</v>
      </c>
      <c r="Q64" s="5"/>
    </row>
    <row r="65" spans="1:17" ht="16.5" x14ac:dyDescent="0.3">
      <c r="A65" s="60" t="str">
        <f t="shared" si="37"/>
        <v>Tiffany</v>
      </c>
      <c r="B65" s="61" t="s">
        <v>2</v>
      </c>
      <c r="C65" s="63">
        <v>-36237</v>
      </c>
      <c r="D65" s="63">
        <f t="shared" si="29"/>
        <v>210000</v>
      </c>
      <c r="E65" s="179">
        <f t="shared" si="40"/>
        <v>210500</v>
      </c>
      <c r="F65" s="63">
        <f t="shared" ref="F65" si="42">+M65</f>
        <v>0</v>
      </c>
      <c r="G65" s="63">
        <f t="shared" ref="G65" si="43">+O65</f>
        <v>0</v>
      </c>
      <c r="H65" s="63">
        <v>-36737</v>
      </c>
      <c r="I65" s="63">
        <f t="shared" ref="I65" si="44">+C65+D65-E65-F65+G65</f>
        <v>-36737</v>
      </c>
      <c r="J65" s="9">
        <f t="shared" ref="J65" si="45">I65-H65</f>
        <v>0</v>
      </c>
      <c r="K65" s="47" t="s">
        <v>114</v>
      </c>
      <c r="L65" s="49">
        <v>210000</v>
      </c>
      <c r="M65" s="49">
        <v>0</v>
      </c>
      <c r="N65" s="49">
        <v>210500</v>
      </c>
      <c r="O65" s="49">
        <v>0</v>
      </c>
      <c r="Q65" s="5"/>
    </row>
    <row r="66" spans="1:17" ht="16.5" x14ac:dyDescent="0.3">
      <c r="A66" s="10" t="s">
        <v>51</v>
      </c>
      <c r="B66" s="11"/>
      <c r="C66" s="12">
        <f t="shared" ref="C66:I66" si="46">SUM(C52:C65)</f>
        <v>17560283</v>
      </c>
      <c r="D66" s="59">
        <f t="shared" si="46"/>
        <v>20915000</v>
      </c>
      <c r="E66" s="59">
        <f t="shared" si="46"/>
        <v>14177366</v>
      </c>
      <c r="F66" s="59">
        <f t="shared" si="46"/>
        <v>20915000</v>
      </c>
      <c r="G66" s="59">
        <f t="shared" si="46"/>
        <v>0</v>
      </c>
      <c r="H66" s="59">
        <f t="shared" si="46"/>
        <v>3382917</v>
      </c>
      <c r="I66" s="59">
        <f t="shared" si="46"/>
        <v>3382917</v>
      </c>
      <c r="J66" s="9">
        <f>I66-H66</f>
        <v>0</v>
      </c>
      <c r="K66" s="3"/>
      <c r="L66" s="49">
        <f>+SUM(L52:L65)</f>
        <v>20915000</v>
      </c>
      <c r="M66" s="49">
        <f>+SUM(M52:M65)</f>
        <v>20915000</v>
      </c>
      <c r="N66" s="49">
        <f>+SUM(N52:N65)</f>
        <v>14177366</v>
      </c>
      <c r="O66" s="49">
        <f>+SUM(O52:O65)</f>
        <v>0</v>
      </c>
      <c r="Q66" s="5"/>
    </row>
    <row r="67" spans="1:17" ht="16.5" x14ac:dyDescent="0.3">
      <c r="A67" s="10"/>
      <c r="B67" s="11"/>
      <c r="C67" s="12"/>
      <c r="D67" s="13"/>
      <c r="E67" s="12"/>
      <c r="F67" s="13"/>
      <c r="G67" s="12"/>
      <c r="H67" s="12"/>
      <c r="I67" s="143" t="b">
        <f>I66=D69</f>
        <v>1</v>
      </c>
      <c r="L67" s="5"/>
      <c r="M67" s="5"/>
      <c r="N67" s="5"/>
      <c r="O67" s="5"/>
      <c r="Q67" s="5"/>
    </row>
    <row r="68" spans="1:17" ht="16.5" x14ac:dyDescent="0.3">
      <c r="A68" s="10" t="s">
        <v>201</v>
      </c>
      <c r="B68" s="11" t="s">
        <v>202</v>
      </c>
      <c r="C68" s="12" t="s">
        <v>203</v>
      </c>
      <c r="D68" s="12" t="s">
        <v>218</v>
      </c>
      <c r="E68" s="12" t="s">
        <v>52</v>
      </c>
      <c r="F68" s="12"/>
      <c r="G68" s="12">
        <f>+D66-F66</f>
        <v>0</v>
      </c>
      <c r="H68" s="12"/>
      <c r="I68" s="12"/>
      <c r="Q68" s="5"/>
    </row>
    <row r="69" spans="1:17" ht="16.5" x14ac:dyDescent="0.3">
      <c r="A69" s="14">
        <f>C66</f>
        <v>17560283</v>
      </c>
      <c r="B69" s="15">
        <f>G66</f>
        <v>0</v>
      </c>
      <c r="C69" s="12">
        <f>E66</f>
        <v>14177366</v>
      </c>
      <c r="D69" s="12">
        <f>A69+B69-C69</f>
        <v>3382917</v>
      </c>
      <c r="E69" s="13">
        <f>I66-D69</f>
        <v>0</v>
      </c>
      <c r="F69" s="12"/>
      <c r="G69" s="12"/>
      <c r="H69" s="12"/>
      <c r="I69" s="12"/>
      <c r="Q69" s="5"/>
    </row>
    <row r="70" spans="1:17" ht="16.5" x14ac:dyDescent="0.3">
      <c r="A70" s="14"/>
      <c r="B70" s="15"/>
      <c r="C70" s="12"/>
      <c r="D70" s="12"/>
      <c r="E70" s="13"/>
      <c r="F70" s="12"/>
      <c r="G70" s="12"/>
      <c r="H70" s="12"/>
      <c r="I70" s="12"/>
      <c r="Q70" s="5"/>
    </row>
    <row r="71" spans="1:17" x14ac:dyDescent="0.2">
      <c r="A71" s="16" t="s">
        <v>53</v>
      </c>
      <c r="B71" s="16"/>
      <c r="C71" s="16"/>
      <c r="D71" s="17"/>
      <c r="E71" s="17"/>
      <c r="F71" s="17"/>
      <c r="G71" s="17"/>
      <c r="H71" s="17"/>
      <c r="I71" s="17"/>
      <c r="Q71" s="5"/>
    </row>
    <row r="72" spans="1:17" x14ac:dyDescent="0.2">
      <c r="A72" s="18" t="s">
        <v>205</v>
      </c>
      <c r="B72" s="18"/>
      <c r="C72" s="18"/>
      <c r="D72" s="18"/>
      <c r="E72" s="18"/>
      <c r="F72" s="18"/>
      <c r="G72" s="18"/>
      <c r="H72" s="18"/>
      <c r="I72" s="18"/>
      <c r="J72" s="18"/>
      <c r="Q72" s="5"/>
    </row>
    <row r="73" spans="1:17" x14ac:dyDescent="0.2">
      <c r="A73" s="19"/>
      <c r="B73" s="20"/>
      <c r="C73" s="21"/>
      <c r="D73" s="21"/>
      <c r="E73" s="21"/>
      <c r="F73" s="21"/>
      <c r="G73" s="21"/>
      <c r="H73" s="20"/>
      <c r="I73" s="20"/>
      <c r="Q73" s="5"/>
    </row>
    <row r="74" spans="1:17" x14ac:dyDescent="0.2">
      <c r="A74" s="331" t="s">
        <v>54</v>
      </c>
      <c r="B74" s="333" t="s">
        <v>55</v>
      </c>
      <c r="C74" s="335" t="s">
        <v>204</v>
      </c>
      <c r="D74" s="337" t="s">
        <v>56</v>
      </c>
      <c r="E74" s="338"/>
      <c r="F74" s="338"/>
      <c r="G74" s="339"/>
      <c r="H74" s="340" t="s">
        <v>57</v>
      </c>
      <c r="I74" s="327" t="s">
        <v>58</v>
      </c>
      <c r="J74" s="20"/>
      <c r="Q74" s="5"/>
    </row>
    <row r="75" spans="1:17" ht="28.5" customHeight="1" x14ac:dyDescent="0.25">
      <c r="A75" s="332"/>
      <c r="B75" s="334"/>
      <c r="C75" s="336"/>
      <c r="D75" s="22" t="s">
        <v>24</v>
      </c>
      <c r="E75" s="22" t="s">
        <v>25</v>
      </c>
      <c r="F75" s="336" t="s">
        <v>124</v>
      </c>
      <c r="G75" s="22" t="s">
        <v>59</v>
      </c>
      <c r="H75" s="341"/>
      <c r="I75" s="328"/>
      <c r="J75" s="329" t="s">
        <v>206</v>
      </c>
      <c r="K75" s="155"/>
      <c r="Q75" s="5"/>
    </row>
    <row r="76" spans="1:17" x14ac:dyDescent="0.2">
      <c r="A76" s="24"/>
      <c r="B76" s="25" t="s">
        <v>60</v>
      </c>
      <c r="C76" s="26"/>
      <c r="D76" s="26"/>
      <c r="E76" s="26"/>
      <c r="F76" s="26"/>
      <c r="G76" s="26"/>
      <c r="H76" s="26"/>
      <c r="I76" s="27"/>
      <c r="J76" s="330"/>
      <c r="K76" s="155"/>
      <c r="Q76" s="5"/>
    </row>
    <row r="77" spans="1:17" x14ac:dyDescent="0.2">
      <c r="A77" s="130" t="s">
        <v>116</v>
      </c>
      <c r="B77" s="135" t="s">
        <v>173</v>
      </c>
      <c r="C77" s="33">
        <f>+C52</f>
        <v>500</v>
      </c>
      <c r="D77" s="32"/>
      <c r="E77" s="33">
        <f>+D52</f>
        <v>50000</v>
      </c>
      <c r="F77" s="33"/>
      <c r="G77" s="33"/>
      <c r="H77" s="57">
        <f>+F52</f>
        <v>0</v>
      </c>
      <c r="I77" s="33">
        <f>+E52</f>
        <v>50500</v>
      </c>
      <c r="J77" s="31">
        <f t="shared" ref="J77:J78" si="47">+SUM(C77:G77)-(H77+I77)</f>
        <v>0</v>
      </c>
      <c r="K77" s="156" t="b">
        <f>J77=I52</f>
        <v>1</v>
      </c>
      <c r="Q77" s="5"/>
    </row>
    <row r="78" spans="1:17" x14ac:dyDescent="0.2">
      <c r="A78" s="130" t="str">
        <f>+A77</f>
        <v>FEVRIER</v>
      </c>
      <c r="B78" s="135" t="s">
        <v>48</v>
      </c>
      <c r="C78" s="33">
        <f>+C56</f>
        <v>9000</v>
      </c>
      <c r="D78" s="32"/>
      <c r="E78" s="33">
        <f>+D56</f>
        <v>2509000</v>
      </c>
      <c r="F78" s="33"/>
      <c r="G78" s="33"/>
      <c r="H78" s="57">
        <f>+F56</f>
        <v>440000</v>
      </c>
      <c r="I78" s="33">
        <f>+E56</f>
        <v>2021950</v>
      </c>
      <c r="J78" s="107">
        <f t="shared" si="47"/>
        <v>56050</v>
      </c>
      <c r="K78" s="156" t="b">
        <f t="shared" ref="K78:K87" si="48">J78=I56</f>
        <v>1</v>
      </c>
      <c r="Q78" s="5"/>
    </row>
    <row r="79" spans="1:17" x14ac:dyDescent="0.2">
      <c r="A79" s="130" t="str">
        <f t="shared" ref="A79:A87" si="49">+A78</f>
        <v>FEVRIER</v>
      </c>
      <c r="B79" s="136" t="s">
        <v>31</v>
      </c>
      <c r="C79" s="33">
        <f>+C57</f>
        <v>8645</v>
      </c>
      <c r="D79" s="127"/>
      <c r="E79" s="33">
        <f>+D57</f>
        <v>614000</v>
      </c>
      <c r="F79" s="53"/>
      <c r="G79" s="53"/>
      <c r="H79" s="57">
        <f>+F57</f>
        <v>0</v>
      </c>
      <c r="I79" s="33">
        <f>+E57</f>
        <v>601150</v>
      </c>
      <c r="J79" s="132">
        <f>+SUM(C79:G79)-(H79+I79)</f>
        <v>21495</v>
      </c>
      <c r="K79" s="156" t="b">
        <f t="shared" si="48"/>
        <v>1</v>
      </c>
      <c r="Q79" s="5"/>
    </row>
    <row r="80" spans="1:17" x14ac:dyDescent="0.2">
      <c r="A80" s="130" t="str">
        <f t="shared" si="49"/>
        <v>FEVRIER</v>
      </c>
      <c r="B80" s="137" t="s">
        <v>85</v>
      </c>
      <c r="C80" s="128">
        <f>+C58</f>
        <v>233614</v>
      </c>
      <c r="D80" s="131"/>
      <c r="E80" s="128">
        <f>+D58</f>
        <v>0</v>
      </c>
      <c r="F80" s="146"/>
      <c r="G80" s="146"/>
      <c r="H80" s="180">
        <f>+F58</f>
        <v>0</v>
      </c>
      <c r="I80" s="128">
        <f>+E58</f>
        <v>0</v>
      </c>
      <c r="J80" s="129">
        <f>+SUM(C80:G80)-(H80+I80)</f>
        <v>233614</v>
      </c>
      <c r="K80" s="156" t="b">
        <f t="shared" si="48"/>
        <v>1</v>
      </c>
      <c r="Q80" s="5"/>
    </row>
    <row r="81" spans="1:17" x14ac:dyDescent="0.2">
      <c r="A81" s="130" t="str">
        <f t="shared" si="49"/>
        <v>FEVRIER</v>
      </c>
      <c r="B81" s="137" t="s">
        <v>84</v>
      </c>
      <c r="C81" s="128">
        <f>+C59</f>
        <v>249769</v>
      </c>
      <c r="D81" s="131"/>
      <c r="E81" s="128">
        <f>+D59</f>
        <v>0</v>
      </c>
      <c r="F81" s="146"/>
      <c r="G81" s="146"/>
      <c r="H81" s="180">
        <f>+F59</f>
        <v>0</v>
      </c>
      <c r="I81" s="128">
        <f>+E59</f>
        <v>0</v>
      </c>
      <c r="J81" s="129">
        <f t="shared" ref="J81:J87" si="50">+SUM(C81:G81)-(H81+I81)</f>
        <v>249769</v>
      </c>
      <c r="K81" s="156" t="b">
        <f t="shared" si="48"/>
        <v>1</v>
      </c>
      <c r="Q81" s="5"/>
    </row>
    <row r="82" spans="1:17" x14ac:dyDescent="0.2">
      <c r="A82" s="130" t="str">
        <f t="shared" si="49"/>
        <v>FEVRIER</v>
      </c>
      <c r="B82" s="135" t="s">
        <v>153</v>
      </c>
      <c r="C82" s="33">
        <f>+C60</f>
        <v>79935</v>
      </c>
      <c r="D82" s="32"/>
      <c r="E82" s="33">
        <f>+D60</f>
        <v>1202000</v>
      </c>
      <c r="F82" s="33"/>
      <c r="G82" s="110"/>
      <c r="H82" s="57">
        <f>+F60</f>
        <v>50000</v>
      </c>
      <c r="I82" s="33">
        <f>+E60</f>
        <v>1118750</v>
      </c>
      <c r="J82" s="31">
        <f t="shared" si="50"/>
        <v>113185</v>
      </c>
      <c r="K82" s="156" t="b">
        <f t="shared" si="48"/>
        <v>1</v>
      </c>
      <c r="Q82" s="5"/>
    </row>
    <row r="83" spans="1:17" x14ac:dyDescent="0.2">
      <c r="A83" s="130" t="str">
        <f t="shared" si="49"/>
        <v>FEVRIER</v>
      </c>
      <c r="B83" s="135" t="s">
        <v>152</v>
      </c>
      <c r="C83" s="33">
        <f t="shared" ref="C83:C87" si="51">+C61</f>
        <v>19800</v>
      </c>
      <c r="D83" s="32"/>
      <c r="E83" s="33">
        <f t="shared" ref="E83:E87" si="52">+D61</f>
        <v>3247000</v>
      </c>
      <c r="F83" s="33"/>
      <c r="G83" s="110"/>
      <c r="H83" s="57">
        <f t="shared" ref="H83:H87" si="53">+F61</f>
        <v>2081000</v>
      </c>
      <c r="I83" s="33">
        <f t="shared" ref="I83:I87" si="54">+E61</f>
        <v>1165100</v>
      </c>
      <c r="J83" s="31">
        <f t="shared" si="50"/>
        <v>20700</v>
      </c>
      <c r="K83" s="156" t="b">
        <f t="shared" si="48"/>
        <v>1</v>
      </c>
      <c r="Q83" s="5"/>
    </row>
    <row r="84" spans="1:17" x14ac:dyDescent="0.2">
      <c r="A84" s="130" t="str">
        <f t="shared" si="49"/>
        <v>FEVRIER</v>
      </c>
      <c r="B84" s="135" t="s">
        <v>30</v>
      </c>
      <c r="C84" s="33">
        <f t="shared" si="51"/>
        <v>30550</v>
      </c>
      <c r="D84" s="32"/>
      <c r="E84" s="33">
        <f t="shared" si="52"/>
        <v>1493000</v>
      </c>
      <c r="F84" s="33"/>
      <c r="G84" s="110"/>
      <c r="H84" s="57">
        <f t="shared" si="53"/>
        <v>270000</v>
      </c>
      <c r="I84" s="33">
        <f t="shared" si="54"/>
        <v>1238000</v>
      </c>
      <c r="J84" s="31">
        <f t="shared" si="50"/>
        <v>15550</v>
      </c>
      <c r="K84" s="156" t="b">
        <f t="shared" si="48"/>
        <v>1</v>
      </c>
      <c r="Q84" s="5"/>
    </row>
    <row r="85" spans="1:17" x14ac:dyDescent="0.2">
      <c r="A85" s="130" t="str">
        <f>+A83</f>
        <v>FEVRIER</v>
      </c>
      <c r="B85" s="135" t="s">
        <v>94</v>
      </c>
      <c r="C85" s="33">
        <f t="shared" si="51"/>
        <v>13000</v>
      </c>
      <c r="D85" s="32"/>
      <c r="E85" s="33">
        <f t="shared" si="52"/>
        <v>50000</v>
      </c>
      <c r="F85" s="33"/>
      <c r="G85" s="110"/>
      <c r="H85" s="57">
        <f t="shared" si="53"/>
        <v>0</v>
      </c>
      <c r="I85" s="33">
        <f t="shared" si="54"/>
        <v>58200</v>
      </c>
      <c r="J85" s="31">
        <f t="shared" si="50"/>
        <v>4800</v>
      </c>
      <c r="K85" s="156" t="b">
        <f t="shared" si="48"/>
        <v>1</v>
      </c>
      <c r="Q85" s="5"/>
    </row>
    <row r="86" spans="1:17" x14ac:dyDescent="0.2">
      <c r="A86" s="130" t="str">
        <f>+A84</f>
        <v>FEVRIER</v>
      </c>
      <c r="B86" s="135" t="s">
        <v>29</v>
      </c>
      <c r="C86" s="33">
        <f t="shared" si="51"/>
        <v>55700</v>
      </c>
      <c r="D86" s="32"/>
      <c r="E86" s="33">
        <f t="shared" si="52"/>
        <v>1029000</v>
      </c>
      <c r="F86" s="33"/>
      <c r="G86" s="110"/>
      <c r="H86" s="57">
        <f t="shared" si="53"/>
        <v>300000</v>
      </c>
      <c r="I86" s="33">
        <f t="shared" si="54"/>
        <v>648500</v>
      </c>
      <c r="J86" s="31">
        <f t="shared" si="50"/>
        <v>136200</v>
      </c>
      <c r="K86" s="156" t="b">
        <f t="shared" si="48"/>
        <v>1</v>
      </c>
      <c r="Q86" s="5"/>
    </row>
    <row r="87" spans="1:17" x14ac:dyDescent="0.2">
      <c r="A87" s="130" t="str">
        <f t="shared" si="49"/>
        <v>FEVRIER</v>
      </c>
      <c r="B87" s="136" t="s">
        <v>114</v>
      </c>
      <c r="C87" s="33">
        <f t="shared" si="51"/>
        <v>-36237</v>
      </c>
      <c r="D87" s="127"/>
      <c r="E87" s="33">
        <f t="shared" si="52"/>
        <v>210000</v>
      </c>
      <c r="F87" s="53"/>
      <c r="G87" s="147"/>
      <c r="H87" s="57">
        <f t="shared" si="53"/>
        <v>0</v>
      </c>
      <c r="I87" s="33">
        <f t="shared" si="54"/>
        <v>210500</v>
      </c>
      <c r="J87" s="31">
        <f t="shared" si="50"/>
        <v>-36737</v>
      </c>
      <c r="K87" s="156" t="b">
        <f t="shared" si="48"/>
        <v>1</v>
      </c>
      <c r="Q87" s="5"/>
    </row>
    <row r="88" spans="1:17" x14ac:dyDescent="0.2">
      <c r="A88" s="35" t="s">
        <v>61</v>
      </c>
      <c r="B88" s="36"/>
      <c r="C88" s="36"/>
      <c r="D88" s="36"/>
      <c r="E88" s="36"/>
      <c r="F88" s="36"/>
      <c r="G88" s="36"/>
      <c r="H88" s="36"/>
      <c r="I88" s="36"/>
      <c r="J88" s="37"/>
      <c r="K88" s="155"/>
      <c r="Q88" s="5"/>
    </row>
    <row r="89" spans="1:17" x14ac:dyDescent="0.2">
      <c r="A89" s="130" t="str">
        <f>+A87</f>
        <v>FEVRIER</v>
      </c>
      <c r="B89" s="38" t="s">
        <v>62</v>
      </c>
      <c r="C89" s="39">
        <f>+C55</f>
        <v>580885</v>
      </c>
      <c r="D89" s="51"/>
      <c r="E89" s="51">
        <f>D55</f>
        <v>10511000</v>
      </c>
      <c r="F89" s="51"/>
      <c r="G89" s="133"/>
      <c r="H89" s="53">
        <f>+F55</f>
        <v>7774000</v>
      </c>
      <c r="I89" s="134">
        <f>+E55</f>
        <v>2520779</v>
      </c>
      <c r="J89" s="46">
        <f>+SUM(C89:G89)-(H89+I89)</f>
        <v>797106</v>
      </c>
      <c r="K89" s="156" t="b">
        <f>J89=I55</f>
        <v>1</v>
      </c>
      <c r="Q89" s="5"/>
    </row>
    <row r="90" spans="1:17" x14ac:dyDescent="0.2">
      <c r="A90" s="44" t="s">
        <v>63</v>
      </c>
      <c r="B90" s="25"/>
      <c r="C90" s="36"/>
      <c r="D90" s="25"/>
      <c r="E90" s="25"/>
      <c r="F90" s="25"/>
      <c r="G90" s="25"/>
      <c r="H90" s="25"/>
      <c r="I90" s="25"/>
      <c r="J90" s="37"/>
      <c r="K90" s="155"/>
      <c r="Q90" s="5"/>
    </row>
    <row r="91" spans="1:17" x14ac:dyDescent="0.2">
      <c r="A91" s="130" t="str">
        <f>+A89</f>
        <v>FEVRIER</v>
      </c>
      <c r="B91" s="38" t="s">
        <v>167</v>
      </c>
      <c r="C91" s="133">
        <f>+C53</f>
        <v>2172028</v>
      </c>
      <c r="D91" s="140">
        <f>+G53</f>
        <v>0</v>
      </c>
      <c r="E91" s="51"/>
      <c r="F91" s="51"/>
      <c r="G91" s="51"/>
      <c r="H91" s="53">
        <f>+F53</f>
        <v>1000000</v>
      </c>
      <c r="I91" s="55">
        <f>+E53</f>
        <v>283345</v>
      </c>
      <c r="J91" s="46">
        <f>+SUM(C91:G91)-(H91+I91)</f>
        <v>888683</v>
      </c>
      <c r="K91" s="156" t="b">
        <f>+J91=I53</f>
        <v>1</v>
      </c>
      <c r="Q91" s="5"/>
    </row>
    <row r="92" spans="1:17" x14ac:dyDescent="0.2">
      <c r="A92" s="130" t="str">
        <f t="shared" ref="A92" si="55">+A91</f>
        <v>FEVRIER</v>
      </c>
      <c r="B92" s="38" t="s">
        <v>65</v>
      </c>
      <c r="C92" s="133">
        <f>+C54</f>
        <v>14143094</v>
      </c>
      <c r="D92" s="51">
        <f>+G54</f>
        <v>0</v>
      </c>
      <c r="E92" s="50"/>
      <c r="F92" s="50"/>
      <c r="G92" s="50"/>
      <c r="H92" s="33">
        <f>+F54</f>
        <v>9000000</v>
      </c>
      <c r="I92" s="52">
        <f>+E54</f>
        <v>4260592</v>
      </c>
      <c r="J92" s="46">
        <f>SUM(C92:G92)-(H92+I92)</f>
        <v>882502</v>
      </c>
      <c r="K92" s="156" t="b">
        <f>+J92=I54</f>
        <v>1</v>
      </c>
      <c r="Q92" s="5"/>
    </row>
    <row r="93" spans="1:17" ht="15.75" x14ac:dyDescent="0.25">
      <c r="C93" s="151">
        <f>SUM(C77:C92)</f>
        <v>17560283</v>
      </c>
      <c r="I93" s="149">
        <f>SUM(I77:I92)</f>
        <v>14177366</v>
      </c>
      <c r="J93" s="111">
        <f>+SUM(J77:J92)</f>
        <v>3382917</v>
      </c>
      <c r="K93" s="5" t="b">
        <f>J93=I66</f>
        <v>1</v>
      </c>
      <c r="Q93" s="5"/>
    </row>
    <row r="94" spans="1:17" ht="15.75" x14ac:dyDescent="0.25">
      <c r="A94" s="272"/>
      <c r="B94" s="272"/>
      <c r="C94" s="273"/>
      <c r="D94" s="272"/>
      <c r="E94" s="272"/>
      <c r="F94" s="272"/>
      <c r="G94" s="272"/>
      <c r="H94" s="272"/>
      <c r="I94" s="274"/>
      <c r="J94" s="275"/>
      <c r="K94" s="272"/>
      <c r="L94" s="276"/>
      <c r="M94" s="276"/>
      <c r="N94" s="276"/>
      <c r="O94" s="276"/>
      <c r="P94" s="272"/>
      <c r="Q94" s="5"/>
    </row>
    <row r="95" spans="1:17" ht="15.75" x14ac:dyDescent="0.25">
      <c r="A95" s="272"/>
      <c r="B95" s="272"/>
      <c r="C95" s="273"/>
      <c r="D95" s="272"/>
      <c r="E95" s="272"/>
      <c r="F95" s="272"/>
      <c r="G95" s="272"/>
      <c r="H95" s="272"/>
      <c r="I95" s="274"/>
      <c r="J95" s="275"/>
      <c r="K95" s="272"/>
      <c r="L95" s="276"/>
      <c r="M95" s="276"/>
      <c r="N95" s="276"/>
      <c r="O95" s="276"/>
      <c r="P95" s="272"/>
      <c r="Q95" s="5"/>
    </row>
    <row r="97" spans="1:17" ht="15.75" x14ac:dyDescent="0.25">
      <c r="A97" s="6" t="s">
        <v>37</v>
      </c>
      <c r="B97" s="6" t="s">
        <v>1</v>
      </c>
      <c r="C97" s="6">
        <v>44562</v>
      </c>
      <c r="D97" s="7" t="s">
        <v>38</v>
      </c>
      <c r="E97" s="7" t="s">
        <v>39</v>
      </c>
      <c r="F97" s="7" t="s">
        <v>40</v>
      </c>
      <c r="G97" s="7" t="s">
        <v>41</v>
      </c>
      <c r="H97" s="6">
        <v>44592</v>
      </c>
      <c r="I97" s="7" t="s">
        <v>42</v>
      </c>
      <c r="K97" s="47"/>
      <c r="L97" s="47" t="s">
        <v>43</v>
      </c>
      <c r="M97" s="47" t="s">
        <v>44</v>
      </c>
      <c r="N97" s="47" t="s">
        <v>45</v>
      </c>
      <c r="O97" s="47" t="s">
        <v>46</v>
      </c>
      <c r="Q97" s="5"/>
    </row>
    <row r="98" spans="1:17" ht="16.5" x14ac:dyDescent="0.3">
      <c r="A98" s="60" t="str">
        <f>+K98</f>
        <v>B52</v>
      </c>
      <c r="B98" s="61" t="s">
        <v>4</v>
      </c>
      <c r="C98" s="62">
        <v>9500</v>
      </c>
      <c r="D98" s="63">
        <f t="shared" ref="D98:D111" si="56">+L98</f>
        <v>567000</v>
      </c>
      <c r="E98" s="63">
        <f>+N98</f>
        <v>576000</v>
      </c>
      <c r="F98" s="63">
        <f>+M98</f>
        <v>0</v>
      </c>
      <c r="G98" s="63">
        <f t="shared" ref="G98:G109" si="57">+O98</f>
        <v>0</v>
      </c>
      <c r="H98" s="63">
        <v>500</v>
      </c>
      <c r="I98" s="63">
        <f>+C98+D98-E98-F98+G98</f>
        <v>500</v>
      </c>
      <c r="J98" s="9">
        <f>I98-H98</f>
        <v>0</v>
      </c>
      <c r="K98" s="47" t="s">
        <v>173</v>
      </c>
      <c r="L98" s="49">
        <v>567000</v>
      </c>
      <c r="M98" s="49">
        <v>0</v>
      </c>
      <c r="N98" s="49">
        <v>576000</v>
      </c>
      <c r="O98" s="49">
        <v>0</v>
      </c>
      <c r="Q98" s="5"/>
    </row>
    <row r="99" spans="1:17" ht="16.5" x14ac:dyDescent="0.3">
      <c r="A99" s="60" t="str">
        <f>+K99</f>
        <v>BCI</v>
      </c>
      <c r="B99" s="61" t="s">
        <v>47</v>
      </c>
      <c r="C99" s="62">
        <v>3455373</v>
      </c>
      <c r="D99" s="63">
        <f t="shared" si="56"/>
        <v>0</v>
      </c>
      <c r="E99" s="63">
        <f>+N99</f>
        <v>283345</v>
      </c>
      <c r="F99" s="63">
        <f>+M99</f>
        <v>1000000</v>
      </c>
      <c r="G99" s="63">
        <f t="shared" si="57"/>
        <v>0</v>
      </c>
      <c r="H99" s="63">
        <v>2172028</v>
      </c>
      <c r="I99" s="63">
        <f>+C99+D99-E99-F99+G99</f>
        <v>2172028</v>
      </c>
      <c r="J99" s="9">
        <f t="shared" ref="J99:J106" si="58">I99-H99</f>
        <v>0</v>
      </c>
      <c r="K99" s="47" t="s">
        <v>24</v>
      </c>
      <c r="L99" s="49">
        <v>0</v>
      </c>
      <c r="M99" s="49">
        <v>1000000</v>
      </c>
      <c r="N99" s="49">
        <v>283345</v>
      </c>
      <c r="O99" s="49">
        <v>0</v>
      </c>
      <c r="Q99" s="5"/>
    </row>
    <row r="100" spans="1:17" ht="16.5" x14ac:dyDescent="0.3">
      <c r="A100" s="60" t="str">
        <f t="shared" ref="A100:A102" si="59">+K100</f>
        <v>BCI-Sous Compte</v>
      </c>
      <c r="B100" s="61" t="s">
        <v>47</v>
      </c>
      <c r="C100" s="62">
        <v>4841615</v>
      </c>
      <c r="D100" s="63">
        <f t="shared" si="56"/>
        <v>0</v>
      </c>
      <c r="E100" s="63">
        <f>+N100</f>
        <v>6223724</v>
      </c>
      <c r="F100" s="63">
        <f>+M100</f>
        <v>2000000</v>
      </c>
      <c r="G100" s="63">
        <f t="shared" si="57"/>
        <v>17525203</v>
      </c>
      <c r="H100" s="63">
        <v>14143094</v>
      </c>
      <c r="I100" s="63">
        <f>+C100+D100-E100-F100+G100</f>
        <v>14143094</v>
      </c>
      <c r="J100" s="108">
        <f t="shared" si="58"/>
        <v>0</v>
      </c>
      <c r="K100" s="47" t="s">
        <v>158</v>
      </c>
      <c r="L100" s="49">
        <v>0</v>
      </c>
      <c r="M100" s="49">
        <v>2000000</v>
      </c>
      <c r="N100" s="49">
        <v>6223724</v>
      </c>
      <c r="O100" s="49">
        <v>17525203</v>
      </c>
      <c r="Q100" s="5"/>
    </row>
    <row r="101" spans="1:17" ht="16.5" x14ac:dyDescent="0.3">
      <c r="A101" s="60" t="str">
        <f t="shared" si="59"/>
        <v>Caisse</v>
      </c>
      <c r="B101" s="61" t="s">
        <v>25</v>
      </c>
      <c r="C101" s="62">
        <v>1042520</v>
      </c>
      <c r="D101" s="63">
        <f t="shared" si="56"/>
        <v>3035000</v>
      </c>
      <c r="E101" s="63">
        <f t="shared" ref="E101" si="60">+N101</f>
        <v>966635</v>
      </c>
      <c r="F101" s="63">
        <f t="shared" ref="F101:F109" si="61">+M101</f>
        <v>2530000</v>
      </c>
      <c r="G101" s="63">
        <f t="shared" si="57"/>
        <v>0</v>
      </c>
      <c r="H101" s="63">
        <v>580885</v>
      </c>
      <c r="I101" s="63">
        <f>+C101+D101-E101-F101+G101</f>
        <v>580885</v>
      </c>
      <c r="J101" s="9">
        <f t="shared" si="58"/>
        <v>0</v>
      </c>
      <c r="K101" s="47" t="s">
        <v>25</v>
      </c>
      <c r="L101" s="49">
        <v>3035000</v>
      </c>
      <c r="M101" s="49">
        <v>2530000</v>
      </c>
      <c r="N101" s="49">
        <v>966635</v>
      </c>
      <c r="O101" s="49">
        <v>0</v>
      </c>
      <c r="Q101" s="5"/>
    </row>
    <row r="102" spans="1:17" ht="16.5" x14ac:dyDescent="0.3">
      <c r="A102" s="60" t="str">
        <f t="shared" si="59"/>
        <v>Crépin</v>
      </c>
      <c r="B102" s="61" t="s">
        <v>164</v>
      </c>
      <c r="C102" s="62">
        <v>-37100</v>
      </c>
      <c r="D102" s="63">
        <f t="shared" si="56"/>
        <v>256000</v>
      </c>
      <c r="E102" s="63">
        <f>+N102</f>
        <v>189900</v>
      </c>
      <c r="F102" s="63">
        <f t="shared" si="61"/>
        <v>20000</v>
      </c>
      <c r="G102" s="63">
        <f t="shared" si="57"/>
        <v>0</v>
      </c>
      <c r="H102" s="63">
        <v>9000</v>
      </c>
      <c r="I102" s="63">
        <f t="shared" ref="I102" si="62">+C102+D102-E102-F102+G102</f>
        <v>9000</v>
      </c>
      <c r="J102" s="9">
        <f t="shared" si="58"/>
        <v>0</v>
      </c>
      <c r="K102" s="47" t="s">
        <v>48</v>
      </c>
      <c r="L102" s="49">
        <v>256000</v>
      </c>
      <c r="M102" s="49">
        <v>20000</v>
      </c>
      <c r="N102" s="49">
        <v>189900</v>
      </c>
      <c r="O102" s="49">
        <v>0</v>
      </c>
      <c r="Q102" s="5"/>
    </row>
    <row r="103" spans="1:17" ht="16.5" x14ac:dyDescent="0.3">
      <c r="A103" s="60" t="str">
        <f>K103</f>
        <v>Evariste</v>
      </c>
      <c r="B103" s="61" t="s">
        <v>165</v>
      </c>
      <c r="C103" s="62">
        <v>8645</v>
      </c>
      <c r="D103" s="63">
        <f t="shared" si="56"/>
        <v>0</v>
      </c>
      <c r="E103" s="63">
        <f t="shared" ref="E103" si="63">+N103</f>
        <v>0</v>
      </c>
      <c r="F103" s="63">
        <f t="shared" si="61"/>
        <v>0</v>
      </c>
      <c r="G103" s="63">
        <f t="shared" si="57"/>
        <v>0</v>
      </c>
      <c r="H103" s="63">
        <v>8645</v>
      </c>
      <c r="I103" s="63">
        <f>+C103+D103-E103-F103+G103</f>
        <v>8645</v>
      </c>
      <c r="J103" s="9">
        <f t="shared" si="58"/>
        <v>0</v>
      </c>
      <c r="K103" s="47" t="s">
        <v>31</v>
      </c>
      <c r="L103" s="49">
        <v>0</v>
      </c>
      <c r="M103" s="49">
        <v>0</v>
      </c>
      <c r="N103" s="49">
        <v>0</v>
      </c>
      <c r="O103" s="49">
        <v>0</v>
      </c>
      <c r="Q103" s="5"/>
    </row>
    <row r="104" spans="1:17" ht="16.5" x14ac:dyDescent="0.3">
      <c r="A104" s="123" t="str">
        <f t="shared" ref="A104:A111" si="64">+K104</f>
        <v>I55S</v>
      </c>
      <c r="B104" s="124" t="s">
        <v>4</v>
      </c>
      <c r="C104" s="125">
        <v>233614</v>
      </c>
      <c r="D104" s="126">
        <f t="shared" si="56"/>
        <v>0</v>
      </c>
      <c r="E104" s="126">
        <f>+N104</f>
        <v>0</v>
      </c>
      <c r="F104" s="126">
        <f t="shared" si="61"/>
        <v>0</v>
      </c>
      <c r="G104" s="126">
        <f t="shared" si="57"/>
        <v>0</v>
      </c>
      <c r="H104" s="126">
        <v>233614</v>
      </c>
      <c r="I104" s="126">
        <f>+C104+D104-E104-F104+G104</f>
        <v>233614</v>
      </c>
      <c r="J104" s="9">
        <f t="shared" si="58"/>
        <v>0</v>
      </c>
      <c r="K104" s="47" t="s">
        <v>85</v>
      </c>
      <c r="L104" s="49">
        <v>0</v>
      </c>
      <c r="M104" s="49">
        <v>0</v>
      </c>
      <c r="N104" s="49">
        <v>0</v>
      </c>
      <c r="O104" s="49">
        <v>0</v>
      </c>
      <c r="Q104" s="5"/>
    </row>
    <row r="105" spans="1:17" ht="16.5" x14ac:dyDescent="0.3">
      <c r="A105" s="123" t="str">
        <f t="shared" si="64"/>
        <v>I73X</v>
      </c>
      <c r="B105" s="124" t="s">
        <v>4</v>
      </c>
      <c r="C105" s="125">
        <v>249769</v>
      </c>
      <c r="D105" s="126">
        <f t="shared" si="56"/>
        <v>0</v>
      </c>
      <c r="E105" s="126">
        <f>+N105</f>
        <v>0</v>
      </c>
      <c r="F105" s="126">
        <f t="shared" si="61"/>
        <v>0</v>
      </c>
      <c r="G105" s="126">
        <f t="shared" si="57"/>
        <v>0</v>
      </c>
      <c r="H105" s="126">
        <v>249769</v>
      </c>
      <c r="I105" s="126">
        <f t="shared" ref="I105:I108" si="65">+C105+D105-E105-F105+G105</f>
        <v>249769</v>
      </c>
      <c r="J105" s="9">
        <f t="shared" si="58"/>
        <v>0</v>
      </c>
      <c r="K105" s="47" t="s">
        <v>84</v>
      </c>
      <c r="L105" s="49">
        <v>0</v>
      </c>
      <c r="M105" s="49">
        <v>0</v>
      </c>
      <c r="N105" s="49">
        <v>0</v>
      </c>
      <c r="O105" s="49">
        <v>0</v>
      </c>
      <c r="Q105" s="5"/>
    </row>
    <row r="106" spans="1:17" ht="16.5" x14ac:dyDescent="0.3">
      <c r="A106" s="60" t="str">
        <f t="shared" si="64"/>
        <v>Godfré</v>
      </c>
      <c r="B106" s="104" t="s">
        <v>164</v>
      </c>
      <c r="C106" s="62">
        <v>34935</v>
      </c>
      <c r="D106" s="63">
        <f t="shared" si="56"/>
        <v>365000</v>
      </c>
      <c r="E106" s="179">
        <f t="shared" ref="E106" si="66">+N106</f>
        <v>320000</v>
      </c>
      <c r="F106" s="63">
        <f t="shared" si="61"/>
        <v>0</v>
      </c>
      <c r="G106" s="63">
        <f t="shared" si="57"/>
        <v>0</v>
      </c>
      <c r="H106" s="63">
        <v>79935</v>
      </c>
      <c r="I106" s="63">
        <f t="shared" si="65"/>
        <v>79935</v>
      </c>
      <c r="J106" s="9">
        <f t="shared" si="58"/>
        <v>0</v>
      </c>
      <c r="K106" s="47" t="s">
        <v>153</v>
      </c>
      <c r="L106" s="49">
        <v>365000</v>
      </c>
      <c r="M106" s="49"/>
      <c r="N106" s="49">
        <v>320000</v>
      </c>
      <c r="O106" s="49">
        <v>0</v>
      </c>
      <c r="Q106" s="5"/>
    </row>
    <row r="107" spans="1:17" ht="16.5" x14ac:dyDescent="0.3">
      <c r="A107" s="60" t="str">
        <f t="shared" si="64"/>
        <v>Grace</v>
      </c>
      <c r="B107" s="61" t="s">
        <v>2</v>
      </c>
      <c r="C107" s="62">
        <v>44200</v>
      </c>
      <c r="D107" s="63">
        <f t="shared" si="56"/>
        <v>0</v>
      </c>
      <c r="E107" s="179">
        <f>+N107</f>
        <v>9400</v>
      </c>
      <c r="F107" s="63">
        <f t="shared" si="61"/>
        <v>15000</v>
      </c>
      <c r="G107" s="63">
        <f t="shared" si="57"/>
        <v>0</v>
      </c>
      <c r="H107" s="63">
        <v>19800</v>
      </c>
      <c r="I107" s="63">
        <f t="shared" si="65"/>
        <v>19800</v>
      </c>
      <c r="J107" s="9">
        <f>I107-H107</f>
        <v>0</v>
      </c>
      <c r="K107" s="47" t="s">
        <v>152</v>
      </c>
      <c r="L107" s="49">
        <v>0</v>
      </c>
      <c r="M107" s="49">
        <v>15000</v>
      </c>
      <c r="N107" s="49">
        <v>9400</v>
      </c>
      <c r="O107" s="49">
        <v>0</v>
      </c>
      <c r="Q107" s="5"/>
    </row>
    <row r="108" spans="1:17" ht="16.5" x14ac:dyDescent="0.3">
      <c r="A108" s="60" t="str">
        <f t="shared" si="64"/>
        <v>I23C</v>
      </c>
      <c r="B108" s="104" t="s">
        <v>4</v>
      </c>
      <c r="C108" s="62">
        <v>12050</v>
      </c>
      <c r="D108" s="63">
        <f t="shared" si="56"/>
        <v>492000</v>
      </c>
      <c r="E108" s="179">
        <f t="shared" ref="E108:E111" si="67">+N108</f>
        <v>473500</v>
      </c>
      <c r="F108" s="63">
        <f t="shared" si="61"/>
        <v>0</v>
      </c>
      <c r="G108" s="63">
        <f t="shared" si="57"/>
        <v>0</v>
      </c>
      <c r="H108" s="63">
        <v>30550</v>
      </c>
      <c r="I108" s="63">
        <f t="shared" si="65"/>
        <v>30550</v>
      </c>
      <c r="J108" s="9">
        <f t="shared" ref="J108:J109" si="68">I108-H108</f>
        <v>0</v>
      </c>
      <c r="K108" s="47" t="s">
        <v>30</v>
      </c>
      <c r="L108" s="49">
        <v>492000</v>
      </c>
      <c r="M108" s="49">
        <v>0</v>
      </c>
      <c r="N108" s="49">
        <v>473500</v>
      </c>
      <c r="O108" s="49">
        <v>0</v>
      </c>
      <c r="Q108" s="5"/>
    </row>
    <row r="109" spans="1:17" ht="16.5" x14ac:dyDescent="0.3">
      <c r="A109" s="60" t="str">
        <f t="shared" si="64"/>
        <v>Merveille</v>
      </c>
      <c r="B109" s="61" t="s">
        <v>2</v>
      </c>
      <c r="C109" s="62">
        <v>5500</v>
      </c>
      <c r="D109" s="63">
        <f t="shared" si="56"/>
        <v>20000</v>
      </c>
      <c r="E109" s="179">
        <f t="shared" si="67"/>
        <v>12500</v>
      </c>
      <c r="F109" s="63">
        <f t="shared" si="61"/>
        <v>0</v>
      </c>
      <c r="G109" s="63">
        <f t="shared" si="57"/>
        <v>0</v>
      </c>
      <c r="H109" s="63">
        <v>13000</v>
      </c>
      <c r="I109" s="63">
        <f>+C109+D109-E109-F109+G109</f>
        <v>13000</v>
      </c>
      <c r="J109" s="9">
        <f t="shared" si="68"/>
        <v>0</v>
      </c>
      <c r="K109" s="47" t="s">
        <v>94</v>
      </c>
      <c r="L109" s="49">
        <v>20000</v>
      </c>
      <c r="M109" s="49">
        <v>0</v>
      </c>
      <c r="N109" s="49">
        <v>12500</v>
      </c>
      <c r="O109" s="49"/>
      <c r="Q109" s="5"/>
    </row>
    <row r="110" spans="1:17" ht="16.5" x14ac:dyDescent="0.3">
      <c r="A110" s="60" t="str">
        <f t="shared" si="64"/>
        <v>P29</v>
      </c>
      <c r="B110" s="61" t="s">
        <v>4</v>
      </c>
      <c r="C110" s="62">
        <v>58200</v>
      </c>
      <c r="D110" s="63">
        <f t="shared" si="56"/>
        <v>530000</v>
      </c>
      <c r="E110" s="179">
        <f t="shared" si="67"/>
        <v>532500</v>
      </c>
      <c r="F110" s="63">
        <f>+M110</f>
        <v>0</v>
      </c>
      <c r="G110" s="63">
        <f>+O110</f>
        <v>0</v>
      </c>
      <c r="H110" s="63">
        <v>55700</v>
      </c>
      <c r="I110" s="63">
        <f>+C110+D110-E110-F110+G110</f>
        <v>55700</v>
      </c>
      <c r="J110" s="9">
        <f>I110-H110</f>
        <v>0</v>
      </c>
      <c r="K110" s="47" t="s">
        <v>29</v>
      </c>
      <c r="L110" s="49">
        <v>530000</v>
      </c>
      <c r="M110" s="49">
        <v>0</v>
      </c>
      <c r="N110" s="49">
        <v>532500</v>
      </c>
      <c r="O110" s="49">
        <v>0</v>
      </c>
      <c r="Q110" s="5"/>
    </row>
    <row r="111" spans="1:17" ht="16.5" x14ac:dyDescent="0.3">
      <c r="A111" s="60" t="str">
        <f t="shared" si="64"/>
        <v>Tiffany</v>
      </c>
      <c r="B111" s="61" t="s">
        <v>2</v>
      </c>
      <c r="C111" s="62">
        <v>263673</v>
      </c>
      <c r="D111" s="63">
        <f t="shared" si="56"/>
        <v>300000</v>
      </c>
      <c r="E111" s="179">
        <f t="shared" si="67"/>
        <v>599910</v>
      </c>
      <c r="F111" s="63">
        <f t="shared" ref="F111" si="69">+M111</f>
        <v>0</v>
      </c>
      <c r="G111" s="63">
        <f t="shared" ref="G111" si="70">+O111</f>
        <v>0</v>
      </c>
      <c r="H111" s="63">
        <v>-36237</v>
      </c>
      <c r="I111" s="63">
        <f t="shared" ref="I111" si="71">+C111+D111-E111-F111+G111</f>
        <v>-36237</v>
      </c>
      <c r="J111" s="9">
        <f t="shared" ref="J111" si="72">I111-H111</f>
        <v>0</v>
      </c>
      <c r="K111" s="47" t="s">
        <v>114</v>
      </c>
      <c r="L111" s="49">
        <v>300000</v>
      </c>
      <c r="M111" s="49">
        <v>0</v>
      </c>
      <c r="N111" s="49">
        <v>599910</v>
      </c>
      <c r="O111" s="49">
        <v>0</v>
      </c>
      <c r="Q111" s="5"/>
    </row>
    <row r="112" spans="1:17" ht="16.5" x14ac:dyDescent="0.3">
      <c r="A112" s="10" t="s">
        <v>51</v>
      </c>
      <c r="B112" s="11"/>
      <c r="C112" s="12">
        <f t="shared" ref="C112:I112" si="73">SUM(C98:C111)</f>
        <v>10222494</v>
      </c>
      <c r="D112" s="59">
        <f t="shared" si="73"/>
        <v>5565000</v>
      </c>
      <c r="E112" s="59">
        <f t="shared" si="73"/>
        <v>10187414</v>
      </c>
      <c r="F112" s="59">
        <f t="shared" si="73"/>
        <v>5565000</v>
      </c>
      <c r="G112" s="59">
        <f t="shared" si="73"/>
        <v>17525203</v>
      </c>
      <c r="H112" s="59">
        <f t="shared" si="73"/>
        <v>17560283</v>
      </c>
      <c r="I112" s="59">
        <f t="shared" si="73"/>
        <v>17560283</v>
      </c>
      <c r="J112" s="9">
        <f>I112-H112</f>
        <v>0</v>
      </c>
      <c r="K112" s="3"/>
      <c r="L112" s="49">
        <f>+SUM(L98:L111)</f>
        <v>5565000</v>
      </c>
      <c r="M112" s="49">
        <f>+SUM(M98:M111)</f>
        <v>5565000</v>
      </c>
      <c r="N112" s="49">
        <f>+SUM(N98:N111)</f>
        <v>10187414</v>
      </c>
      <c r="O112" s="49">
        <f>+SUM(O98:O111)</f>
        <v>17525203</v>
      </c>
      <c r="Q112" s="5"/>
    </row>
    <row r="113" spans="1:17" ht="16.5" x14ac:dyDescent="0.3">
      <c r="A113" s="10"/>
      <c r="B113" s="11"/>
      <c r="C113" s="12"/>
      <c r="D113" s="13"/>
      <c r="E113" s="12"/>
      <c r="F113" s="13"/>
      <c r="G113" s="12"/>
      <c r="H113" s="12"/>
      <c r="I113" s="143" t="b">
        <f>I112=D115</f>
        <v>1</v>
      </c>
      <c r="L113" s="5"/>
      <c r="M113" s="5"/>
      <c r="N113" s="5"/>
      <c r="O113" s="5"/>
      <c r="Q113" s="5"/>
    </row>
    <row r="114" spans="1:17" ht="16.5" x14ac:dyDescent="0.3">
      <c r="A114" s="10" t="s">
        <v>190</v>
      </c>
      <c r="B114" s="11" t="s">
        <v>192</v>
      </c>
      <c r="C114" s="12" t="s">
        <v>191</v>
      </c>
      <c r="D114" s="12" t="s">
        <v>193</v>
      </c>
      <c r="E114" s="12" t="s">
        <v>52</v>
      </c>
      <c r="F114" s="12"/>
      <c r="G114" s="12">
        <f>+D112-F112</f>
        <v>0</v>
      </c>
      <c r="H114" s="12"/>
      <c r="I114" s="12"/>
      <c r="L114" s="5"/>
      <c r="M114" s="5"/>
      <c r="N114" s="5"/>
      <c r="O114" s="5"/>
      <c r="Q114" s="5"/>
    </row>
    <row r="115" spans="1:17" ht="16.5" x14ac:dyDescent="0.3">
      <c r="A115" s="14">
        <f>C112</f>
        <v>10222494</v>
      </c>
      <c r="B115" s="15">
        <f>G112</f>
        <v>17525203</v>
      </c>
      <c r="C115" s="12">
        <f>E112</f>
        <v>10187414</v>
      </c>
      <c r="D115" s="12">
        <f>A115+B115-C115</f>
        <v>17560283</v>
      </c>
      <c r="E115" s="13">
        <f>I112-D115</f>
        <v>0</v>
      </c>
      <c r="F115" s="12"/>
      <c r="G115" s="12"/>
      <c r="H115" s="12"/>
      <c r="I115" s="12"/>
      <c r="L115" s="5"/>
      <c r="M115" s="5"/>
      <c r="N115" s="5"/>
      <c r="O115" s="5"/>
      <c r="Q115" s="5"/>
    </row>
    <row r="116" spans="1:17" ht="16.5" x14ac:dyDescent="0.3">
      <c r="A116" s="14"/>
      <c r="B116" s="15"/>
      <c r="C116" s="12"/>
      <c r="D116" s="12"/>
      <c r="E116" s="13"/>
      <c r="F116" s="12"/>
      <c r="G116" s="12"/>
      <c r="H116" s="12"/>
      <c r="I116" s="12"/>
      <c r="L116" s="5"/>
      <c r="M116" s="5"/>
      <c r="N116" s="5"/>
      <c r="O116" s="5"/>
      <c r="Q116" s="5"/>
    </row>
    <row r="117" spans="1:17" x14ac:dyDescent="0.2">
      <c r="A117" s="16" t="s">
        <v>53</v>
      </c>
      <c r="B117" s="16"/>
      <c r="C117" s="16"/>
      <c r="D117" s="17"/>
      <c r="E117" s="17"/>
      <c r="F117" s="17"/>
      <c r="G117" s="17"/>
      <c r="H117" s="17"/>
      <c r="I117" s="17"/>
      <c r="L117" s="5"/>
      <c r="M117" s="5"/>
      <c r="N117" s="5"/>
      <c r="O117" s="5"/>
      <c r="Q117" s="5"/>
    </row>
    <row r="118" spans="1:17" x14ac:dyDescent="0.2">
      <c r="A118" s="18" t="s">
        <v>194</v>
      </c>
      <c r="B118" s="18"/>
      <c r="C118" s="18"/>
      <c r="D118" s="18"/>
      <c r="E118" s="18"/>
      <c r="F118" s="18"/>
      <c r="G118" s="18"/>
      <c r="H118" s="18"/>
      <c r="I118" s="18"/>
      <c r="J118" s="18"/>
      <c r="L118" s="5"/>
      <c r="M118" s="5"/>
      <c r="N118" s="5"/>
      <c r="O118" s="5"/>
      <c r="Q118" s="5"/>
    </row>
    <row r="119" spans="1:17" x14ac:dyDescent="0.2">
      <c r="A119" s="19"/>
      <c r="B119" s="20"/>
      <c r="C119" s="21"/>
      <c r="D119" s="21"/>
      <c r="E119" s="21"/>
      <c r="F119" s="21"/>
      <c r="G119" s="21"/>
      <c r="H119" s="20"/>
      <c r="I119" s="20"/>
      <c r="L119" s="5"/>
      <c r="M119" s="5"/>
      <c r="N119" s="5"/>
      <c r="O119" s="5"/>
      <c r="Q119" s="5"/>
    </row>
    <row r="120" spans="1:17" x14ac:dyDescent="0.2">
      <c r="A120" s="386" t="s">
        <v>54</v>
      </c>
      <c r="B120" s="388" t="s">
        <v>55</v>
      </c>
      <c r="C120" s="390" t="s">
        <v>196</v>
      </c>
      <c r="D120" s="392" t="s">
        <v>56</v>
      </c>
      <c r="E120" s="393"/>
      <c r="F120" s="393"/>
      <c r="G120" s="394"/>
      <c r="H120" s="395" t="s">
        <v>57</v>
      </c>
      <c r="I120" s="382" t="s">
        <v>58</v>
      </c>
      <c r="J120" s="20"/>
      <c r="L120" s="5"/>
      <c r="M120" s="5"/>
      <c r="N120" s="5"/>
      <c r="O120" s="5"/>
      <c r="Q120" s="5"/>
    </row>
    <row r="121" spans="1:17" ht="28.5" customHeight="1" x14ac:dyDescent="0.25">
      <c r="A121" s="387"/>
      <c r="B121" s="389"/>
      <c r="C121" s="391"/>
      <c r="D121" s="22" t="s">
        <v>24</v>
      </c>
      <c r="E121" s="22" t="s">
        <v>25</v>
      </c>
      <c r="F121" s="249" t="s">
        <v>124</v>
      </c>
      <c r="G121" s="22" t="s">
        <v>59</v>
      </c>
      <c r="H121" s="396"/>
      <c r="I121" s="383"/>
      <c r="J121" s="384" t="s">
        <v>195</v>
      </c>
      <c r="K121" s="155"/>
      <c r="L121" s="5"/>
      <c r="M121" s="5"/>
      <c r="N121" s="5"/>
      <c r="O121" s="5"/>
      <c r="Q121" s="5"/>
    </row>
    <row r="122" spans="1:17" x14ac:dyDescent="0.2">
      <c r="A122" s="24"/>
      <c r="B122" s="25" t="s">
        <v>60</v>
      </c>
      <c r="C122" s="26"/>
      <c r="D122" s="26"/>
      <c r="E122" s="26"/>
      <c r="F122" s="26"/>
      <c r="G122" s="26"/>
      <c r="H122" s="26"/>
      <c r="I122" s="27"/>
      <c r="J122" s="385"/>
      <c r="K122" s="155"/>
      <c r="L122" s="5"/>
      <c r="M122" s="5"/>
      <c r="N122" s="5"/>
      <c r="O122" s="5"/>
      <c r="Q122" s="5"/>
    </row>
    <row r="123" spans="1:17" x14ac:dyDescent="0.2">
      <c r="A123" s="130" t="s">
        <v>109</v>
      </c>
      <c r="B123" s="135" t="s">
        <v>173</v>
      </c>
      <c r="C123" s="33">
        <f>+C98</f>
        <v>9500</v>
      </c>
      <c r="D123" s="32"/>
      <c r="E123" s="33">
        <f>+D98</f>
        <v>567000</v>
      </c>
      <c r="F123" s="33"/>
      <c r="G123" s="33"/>
      <c r="H123" s="57">
        <f>+F98</f>
        <v>0</v>
      </c>
      <c r="I123" s="33">
        <f>+E98</f>
        <v>576000</v>
      </c>
      <c r="J123" s="31">
        <f t="shared" ref="J123:J124" si="74">+SUM(C123:G123)-(H123+I123)</f>
        <v>500</v>
      </c>
      <c r="K123" s="156" t="b">
        <f>J123=I98</f>
        <v>1</v>
      </c>
      <c r="L123" s="5"/>
      <c r="M123" s="5"/>
      <c r="N123" s="5"/>
      <c r="O123" s="5"/>
      <c r="Q123" s="5"/>
    </row>
    <row r="124" spans="1:17" x14ac:dyDescent="0.2">
      <c r="A124" s="130" t="str">
        <f>+A123</f>
        <v>JANVIER</v>
      </c>
      <c r="B124" s="135" t="s">
        <v>48</v>
      </c>
      <c r="C124" s="33">
        <f>+C102</f>
        <v>-37100</v>
      </c>
      <c r="D124" s="32"/>
      <c r="E124" s="33">
        <f>+D102</f>
        <v>256000</v>
      </c>
      <c r="F124" s="33"/>
      <c r="G124" s="33"/>
      <c r="H124" s="57">
        <f>+F102</f>
        <v>20000</v>
      </c>
      <c r="I124" s="33">
        <f>+E102</f>
        <v>189900</v>
      </c>
      <c r="J124" s="107">
        <f t="shared" si="74"/>
        <v>9000</v>
      </c>
      <c r="K124" s="156" t="b">
        <f t="shared" ref="K124:K133" si="75">J124=I102</f>
        <v>1</v>
      </c>
      <c r="L124" s="5"/>
      <c r="M124" s="5"/>
      <c r="N124" s="5"/>
      <c r="O124" s="5"/>
      <c r="Q124" s="5"/>
    </row>
    <row r="125" spans="1:17" x14ac:dyDescent="0.2">
      <c r="A125" s="130" t="str">
        <f t="shared" ref="A125:A133" si="76">+A124</f>
        <v>JANVIER</v>
      </c>
      <c r="B125" s="136" t="s">
        <v>31</v>
      </c>
      <c r="C125" s="33">
        <f>+C103</f>
        <v>8645</v>
      </c>
      <c r="D125" s="127"/>
      <c r="E125" s="33">
        <f>+D103</f>
        <v>0</v>
      </c>
      <c r="F125" s="53"/>
      <c r="G125" s="53"/>
      <c r="H125" s="57">
        <f>+F103</f>
        <v>0</v>
      </c>
      <c r="I125" s="33">
        <f>+E103</f>
        <v>0</v>
      </c>
      <c r="J125" s="132">
        <f>+SUM(C125:G125)-(H125+I125)</f>
        <v>8645</v>
      </c>
      <c r="K125" s="156" t="b">
        <f t="shared" si="75"/>
        <v>1</v>
      </c>
      <c r="L125" s="5"/>
      <c r="M125" s="5"/>
      <c r="N125" s="5"/>
      <c r="O125" s="5"/>
      <c r="Q125" s="5"/>
    </row>
    <row r="126" spans="1:17" x14ac:dyDescent="0.2">
      <c r="A126" s="130" t="str">
        <f t="shared" si="76"/>
        <v>JANVIER</v>
      </c>
      <c r="B126" s="137" t="s">
        <v>85</v>
      </c>
      <c r="C126" s="128">
        <f>+C104</f>
        <v>233614</v>
      </c>
      <c r="D126" s="131"/>
      <c r="E126" s="128">
        <f>+D104</f>
        <v>0</v>
      </c>
      <c r="F126" s="146"/>
      <c r="G126" s="146"/>
      <c r="H126" s="180">
        <f>+F104</f>
        <v>0</v>
      </c>
      <c r="I126" s="128">
        <f>+E104</f>
        <v>0</v>
      </c>
      <c r="J126" s="129">
        <f>+SUM(C126:G126)-(H126+I126)</f>
        <v>233614</v>
      </c>
      <c r="K126" s="156" t="b">
        <f t="shared" si="75"/>
        <v>1</v>
      </c>
      <c r="L126" s="5"/>
      <c r="M126" s="5"/>
      <c r="N126" s="5"/>
      <c r="O126" s="5"/>
      <c r="Q126" s="5"/>
    </row>
    <row r="127" spans="1:17" x14ac:dyDescent="0.2">
      <c r="A127" s="130" t="str">
        <f t="shared" si="76"/>
        <v>JANVIER</v>
      </c>
      <c r="B127" s="137" t="s">
        <v>84</v>
      </c>
      <c r="C127" s="128">
        <f>+C105</f>
        <v>249769</v>
      </c>
      <c r="D127" s="131"/>
      <c r="E127" s="128">
        <f>+D105</f>
        <v>0</v>
      </c>
      <c r="F127" s="146"/>
      <c r="G127" s="146"/>
      <c r="H127" s="180">
        <f>+F105</f>
        <v>0</v>
      </c>
      <c r="I127" s="128">
        <f>+E105</f>
        <v>0</v>
      </c>
      <c r="J127" s="129">
        <f t="shared" ref="J127:J133" si="77">+SUM(C127:G127)-(H127+I127)</f>
        <v>249769</v>
      </c>
      <c r="K127" s="156" t="b">
        <f t="shared" si="75"/>
        <v>1</v>
      </c>
      <c r="L127" s="5"/>
      <c r="M127" s="5"/>
      <c r="N127" s="5"/>
      <c r="O127" s="5"/>
      <c r="Q127" s="5"/>
    </row>
    <row r="128" spans="1:17" x14ac:dyDescent="0.2">
      <c r="A128" s="130" t="str">
        <f t="shared" si="76"/>
        <v>JANVIER</v>
      </c>
      <c r="B128" s="135" t="s">
        <v>153</v>
      </c>
      <c r="C128" s="33">
        <f>+C106</f>
        <v>34935</v>
      </c>
      <c r="D128" s="32"/>
      <c r="E128" s="33">
        <f>+D106</f>
        <v>365000</v>
      </c>
      <c r="F128" s="33"/>
      <c r="G128" s="110"/>
      <c r="H128" s="57">
        <f>+F106</f>
        <v>0</v>
      </c>
      <c r="I128" s="33">
        <f>+E106</f>
        <v>320000</v>
      </c>
      <c r="J128" s="31">
        <f t="shared" si="77"/>
        <v>79935</v>
      </c>
      <c r="K128" s="156" t="b">
        <f t="shared" si="75"/>
        <v>1</v>
      </c>
      <c r="L128" s="5"/>
      <c r="M128" s="5"/>
      <c r="N128" s="5"/>
      <c r="O128" s="5"/>
      <c r="Q128" s="5"/>
    </row>
    <row r="129" spans="1:17" x14ac:dyDescent="0.2">
      <c r="A129" s="130" t="str">
        <f t="shared" si="76"/>
        <v>JANVIER</v>
      </c>
      <c r="B129" s="135" t="s">
        <v>152</v>
      </c>
      <c r="C129" s="33">
        <f t="shared" ref="C129:C133" si="78">+C107</f>
        <v>44200</v>
      </c>
      <c r="D129" s="32"/>
      <c r="E129" s="33">
        <f t="shared" ref="E129:E133" si="79">+D107</f>
        <v>0</v>
      </c>
      <c r="F129" s="33"/>
      <c r="G129" s="110"/>
      <c r="H129" s="57">
        <f t="shared" ref="H129:H133" si="80">+F107</f>
        <v>15000</v>
      </c>
      <c r="I129" s="33">
        <f t="shared" ref="I129:I133" si="81">+E107</f>
        <v>9400</v>
      </c>
      <c r="J129" s="31">
        <f t="shared" si="77"/>
        <v>19800</v>
      </c>
      <c r="K129" s="156" t="b">
        <f t="shared" si="75"/>
        <v>1</v>
      </c>
      <c r="L129" s="5"/>
      <c r="M129" s="5"/>
      <c r="N129" s="5"/>
      <c r="O129" s="5"/>
      <c r="Q129" s="5"/>
    </row>
    <row r="130" spans="1:17" x14ac:dyDescent="0.2">
      <c r="A130" s="130" t="str">
        <f t="shared" si="76"/>
        <v>JANVIER</v>
      </c>
      <c r="B130" s="135" t="s">
        <v>30</v>
      </c>
      <c r="C130" s="33">
        <f t="shared" si="78"/>
        <v>12050</v>
      </c>
      <c r="D130" s="32"/>
      <c r="E130" s="33">
        <f t="shared" si="79"/>
        <v>492000</v>
      </c>
      <c r="F130" s="33"/>
      <c r="G130" s="110"/>
      <c r="H130" s="57">
        <f t="shared" si="80"/>
        <v>0</v>
      </c>
      <c r="I130" s="33">
        <f t="shared" si="81"/>
        <v>473500</v>
      </c>
      <c r="J130" s="31">
        <f t="shared" si="77"/>
        <v>30550</v>
      </c>
      <c r="K130" s="156" t="b">
        <f t="shared" si="75"/>
        <v>1</v>
      </c>
      <c r="Q130" s="5"/>
    </row>
    <row r="131" spans="1:17" x14ac:dyDescent="0.2">
      <c r="A131" s="130" t="str">
        <f>+A129</f>
        <v>JANVIER</v>
      </c>
      <c r="B131" s="135" t="s">
        <v>94</v>
      </c>
      <c r="C131" s="33">
        <f t="shared" si="78"/>
        <v>5500</v>
      </c>
      <c r="D131" s="32"/>
      <c r="E131" s="33">
        <f t="shared" si="79"/>
        <v>20000</v>
      </c>
      <c r="F131" s="33"/>
      <c r="G131" s="110"/>
      <c r="H131" s="57">
        <f t="shared" si="80"/>
        <v>0</v>
      </c>
      <c r="I131" s="33">
        <f t="shared" si="81"/>
        <v>12500</v>
      </c>
      <c r="J131" s="31">
        <f t="shared" si="77"/>
        <v>13000</v>
      </c>
      <c r="K131" s="156" t="b">
        <f t="shared" si="75"/>
        <v>1</v>
      </c>
      <c r="Q131" s="5"/>
    </row>
    <row r="132" spans="1:17" x14ac:dyDescent="0.2">
      <c r="A132" s="130" t="str">
        <f>+A130</f>
        <v>JANVIER</v>
      </c>
      <c r="B132" s="135" t="s">
        <v>29</v>
      </c>
      <c r="C132" s="33">
        <f t="shared" si="78"/>
        <v>58200</v>
      </c>
      <c r="D132" s="32"/>
      <c r="E132" s="33">
        <f t="shared" si="79"/>
        <v>530000</v>
      </c>
      <c r="F132" s="33"/>
      <c r="G132" s="110"/>
      <c r="H132" s="57">
        <f t="shared" si="80"/>
        <v>0</v>
      </c>
      <c r="I132" s="33">
        <f t="shared" si="81"/>
        <v>532500</v>
      </c>
      <c r="J132" s="31">
        <f t="shared" si="77"/>
        <v>55700</v>
      </c>
      <c r="K132" s="156" t="b">
        <f t="shared" si="75"/>
        <v>1</v>
      </c>
      <c r="Q132" s="5"/>
    </row>
    <row r="133" spans="1:17" x14ac:dyDescent="0.2">
      <c r="A133" s="130" t="str">
        <f t="shared" si="76"/>
        <v>JANVIER</v>
      </c>
      <c r="B133" s="136" t="s">
        <v>114</v>
      </c>
      <c r="C133" s="33">
        <f t="shared" si="78"/>
        <v>263673</v>
      </c>
      <c r="D133" s="127"/>
      <c r="E133" s="33">
        <f t="shared" si="79"/>
        <v>300000</v>
      </c>
      <c r="F133" s="53"/>
      <c r="G133" s="147"/>
      <c r="H133" s="57">
        <f t="shared" si="80"/>
        <v>0</v>
      </c>
      <c r="I133" s="33">
        <f t="shared" si="81"/>
        <v>599910</v>
      </c>
      <c r="J133" s="31">
        <f t="shared" si="77"/>
        <v>-36237</v>
      </c>
      <c r="K133" s="156" t="b">
        <f t="shared" si="75"/>
        <v>1</v>
      </c>
      <c r="Q133" s="5"/>
    </row>
    <row r="134" spans="1:17" x14ac:dyDescent="0.2">
      <c r="A134" s="35" t="s">
        <v>61</v>
      </c>
      <c r="B134" s="36"/>
      <c r="C134" s="36"/>
      <c r="D134" s="36"/>
      <c r="E134" s="36"/>
      <c r="F134" s="36"/>
      <c r="G134" s="36"/>
      <c r="H134" s="36"/>
      <c r="I134" s="36"/>
      <c r="J134" s="37"/>
      <c r="K134" s="155"/>
      <c r="Q134" s="5"/>
    </row>
    <row r="135" spans="1:17" x14ac:dyDescent="0.2">
      <c r="A135" s="130" t="str">
        <f>+A133</f>
        <v>JANVIER</v>
      </c>
      <c r="B135" s="38" t="s">
        <v>62</v>
      </c>
      <c r="C135" s="39">
        <f>+C101</f>
        <v>1042520</v>
      </c>
      <c r="D135" s="51"/>
      <c r="E135" s="51">
        <f>D101</f>
        <v>3035000</v>
      </c>
      <c r="F135" s="51"/>
      <c r="G135" s="133"/>
      <c r="H135" s="53">
        <f>+F101</f>
        <v>2530000</v>
      </c>
      <c r="I135" s="134">
        <f>+E101</f>
        <v>966635</v>
      </c>
      <c r="J135" s="46">
        <f>+SUM(C135:G135)-(H135+I135)</f>
        <v>580885</v>
      </c>
      <c r="K135" s="156" t="b">
        <f>J135=I101</f>
        <v>1</v>
      </c>
      <c r="Q135" s="5"/>
    </row>
    <row r="136" spans="1:17" x14ac:dyDescent="0.2">
      <c r="A136" s="44" t="s">
        <v>63</v>
      </c>
      <c r="B136" s="25"/>
      <c r="C136" s="36"/>
      <c r="D136" s="25"/>
      <c r="E136" s="25"/>
      <c r="F136" s="25"/>
      <c r="G136" s="25"/>
      <c r="H136" s="25"/>
      <c r="I136" s="25"/>
      <c r="J136" s="37"/>
      <c r="K136" s="155"/>
      <c r="Q136" s="5"/>
    </row>
    <row r="137" spans="1:17" x14ac:dyDescent="0.2">
      <c r="A137" s="130" t="str">
        <f>+A135</f>
        <v>JANVIER</v>
      </c>
      <c r="B137" s="38" t="s">
        <v>167</v>
      </c>
      <c r="C137" s="133">
        <f>+C99</f>
        <v>3455373</v>
      </c>
      <c r="D137" s="140">
        <f>+G99</f>
        <v>0</v>
      </c>
      <c r="E137" s="51"/>
      <c r="F137" s="51"/>
      <c r="G137" s="51"/>
      <c r="H137" s="53">
        <f>+F99</f>
        <v>1000000</v>
      </c>
      <c r="I137" s="55">
        <f>+E99</f>
        <v>283345</v>
      </c>
      <c r="J137" s="46">
        <f>+SUM(C137:G137)-(H137+I137)</f>
        <v>2172028</v>
      </c>
      <c r="K137" s="156" t="b">
        <f>+J137=I99</f>
        <v>1</v>
      </c>
      <c r="Q137" s="5"/>
    </row>
    <row r="138" spans="1:17" x14ac:dyDescent="0.2">
      <c r="A138" s="130" t="str">
        <f t="shared" ref="A138" si="82">+A137</f>
        <v>JANVIER</v>
      </c>
      <c r="B138" s="38" t="s">
        <v>65</v>
      </c>
      <c r="C138" s="133">
        <f>+C100</f>
        <v>4841615</v>
      </c>
      <c r="D138" s="51">
        <f>+G100</f>
        <v>17525203</v>
      </c>
      <c r="E138" s="50"/>
      <c r="F138" s="50"/>
      <c r="G138" s="50"/>
      <c r="H138" s="33">
        <f>+F100</f>
        <v>2000000</v>
      </c>
      <c r="I138" s="52">
        <f>+E100</f>
        <v>6223724</v>
      </c>
      <c r="J138" s="46">
        <f>SUM(C138:G138)-(H138+I138)</f>
        <v>14143094</v>
      </c>
      <c r="K138" s="156" t="b">
        <f>+J138=I100</f>
        <v>1</v>
      </c>
      <c r="Q138" s="5"/>
    </row>
    <row r="139" spans="1:17" ht="15.75" x14ac:dyDescent="0.25">
      <c r="C139" s="151">
        <f>SUM(C123:C138)</f>
        <v>10222494</v>
      </c>
      <c r="I139" s="149">
        <f>SUM(I123:I138)</f>
        <v>10187414</v>
      </c>
      <c r="J139" s="111">
        <f>+SUM(J123:J138)</f>
        <v>17560283</v>
      </c>
      <c r="K139" s="5" t="b">
        <f>J139=I112</f>
        <v>1</v>
      </c>
      <c r="Q139" s="5"/>
    </row>
    <row r="140" spans="1:17" ht="15.75" x14ac:dyDescent="0.25">
      <c r="C140" s="151"/>
      <c r="I140" s="149"/>
      <c r="J140" s="111"/>
      <c r="Q140" s="5"/>
    </row>
    <row r="141" spans="1:17" ht="15.75" x14ac:dyDescent="0.25">
      <c r="A141" s="272"/>
      <c r="B141" s="272"/>
      <c r="C141" s="273"/>
      <c r="D141" s="272"/>
      <c r="E141" s="272"/>
      <c r="F141" s="272"/>
      <c r="G141" s="272"/>
      <c r="H141" s="272"/>
      <c r="I141" s="274"/>
      <c r="J141" s="275"/>
      <c r="K141" s="272"/>
      <c r="L141" s="276"/>
      <c r="M141" s="276"/>
      <c r="N141" s="276"/>
      <c r="O141" s="276"/>
      <c r="P141" s="272"/>
      <c r="Q141" s="5"/>
    </row>
    <row r="143" spans="1:17" ht="15.75" x14ac:dyDescent="0.25">
      <c r="A143" s="6" t="s">
        <v>37</v>
      </c>
      <c r="B143" s="6" t="s">
        <v>1</v>
      </c>
      <c r="C143" s="6">
        <v>44531</v>
      </c>
      <c r="D143" s="7" t="s">
        <v>38</v>
      </c>
      <c r="E143" s="7" t="s">
        <v>39</v>
      </c>
      <c r="F143" s="7" t="s">
        <v>40</v>
      </c>
      <c r="G143" s="7" t="s">
        <v>41</v>
      </c>
      <c r="H143" s="6">
        <v>44561</v>
      </c>
      <c r="I143" s="7" t="s">
        <v>42</v>
      </c>
      <c r="K143" s="47"/>
      <c r="L143" s="47" t="s">
        <v>43</v>
      </c>
      <c r="M143" s="47" t="s">
        <v>44</v>
      </c>
      <c r="N143" s="47" t="s">
        <v>45</v>
      </c>
      <c r="O143" s="47" t="s">
        <v>46</v>
      </c>
      <c r="Q143" s="5"/>
    </row>
    <row r="144" spans="1:17" s="185" customFormat="1" ht="16.5" x14ac:dyDescent="0.3">
      <c r="A144" s="60" t="str">
        <f>+K144</f>
        <v>Axel</v>
      </c>
      <c r="B144" s="187" t="s">
        <v>164</v>
      </c>
      <c r="C144" s="62">
        <v>29107</v>
      </c>
      <c r="D144" s="63">
        <f t="shared" ref="D144:D158" si="83">+L144</f>
        <v>1125000</v>
      </c>
      <c r="E144" s="63">
        <f>+N144</f>
        <v>1008750</v>
      </c>
      <c r="F144" s="63">
        <f>+M144</f>
        <v>145357</v>
      </c>
      <c r="G144" s="63">
        <f t="shared" ref="G144:G156" si="84">+O144</f>
        <v>0</v>
      </c>
      <c r="H144" s="63">
        <v>0</v>
      </c>
      <c r="I144" s="63">
        <f>+C144+D144-E144-F144+G144</f>
        <v>0</v>
      </c>
      <c r="J144" s="9">
        <f>I144-H144</f>
        <v>0</v>
      </c>
      <c r="K144" s="186" t="s">
        <v>163</v>
      </c>
      <c r="L144" s="186">
        <v>1125000</v>
      </c>
      <c r="M144" s="186">
        <v>145357</v>
      </c>
      <c r="N144" s="186">
        <v>1008750</v>
      </c>
      <c r="O144" s="186">
        <v>0</v>
      </c>
    </row>
    <row r="145" spans="1:17" ht="16.5" x14ac:dyDescent="0.3">
      <c r="A145" s="60" t="str">
        <f>+K145</f>
        <v>B52</v>
      </c>
      <c r="B145" s="61" t="s">
        <v>4</v>
      </c>
      <c r="C145" s="62">
        <v>4000</v>
      </c>
      <c r="D145" s="63">
        <f t="shared" si="83"/>
        <v>426000</v>
      </c>
      <c r="E145" s="63">
        <f>+N145</f>
        <v>420500</v>
      </c>
      <c r="F145" s="63">
        <f>+M145</f>
        <v>0</v>
      </c>
      <c r="G145" s="63">
        <f t="shared" si="84"/>
        <v>0</v>
      </c>
      <c r="H145" s="63">
        <v>9500</v>
      </c>
      <c r="I145" s="63">
        <f>+C145+D145-E145-F145+G145</f>
        <v>9500</v>
      </c>
      <c r="J145" s="9">
        <f>I145-H145</f>
        <v>0</v>
      </c>
      <c r="K145" s="47" t="s">
        <v>173</v>
      </c>
      <c r="L145" s="49">
        <v>426000</v>
      </c>
      <c r="M145" s="49">
        <v>0</v>
      </c>
      <c r="N145" s="49">
        <v>420500</v>
      </c>
      <c r="O145" s="49">
        <v>0</v>
      </c>
      <c r="Q145" s="5"/>
    </row>
    <row r="146" spans="1:17" ht="16.5" x14ac:dyDescent="0.3">
      <c r="A146" s="60" t="str">
        <f>+K146</f>
        <v>BCI</v>
      </c>
      <c r="B146" s="61" t="s">
        <v>47</v>
      </c>
      <c r="C146" s="62">
        <v>5738718</v>
      </c>
      <c r="D146" s="63">
        <f t="shared" si="83"/>
        <v>0</v>
      </c>
      <c r="E146" s="63">
        <f>+N146</f>
        <v>283345</v>
      </c>
      <c r="F146" s="63">
        <f>+M146</f>
        <v>2000000</v>
      </c>
      <c r="G146" s="63">
        <f t="shared" si="84"/>
        <v>0</v>
      </c>
      <c r="H146" s="63">
        <v>3455373</v>
      </c>
      <c r="I146" s="63">
        <f>+C146+D146-E146-F146+G146</f>
        <v>3455373</v>
      </c>
      <c r="J146" s="9">
        <f t="shared" ref="J146:J153" si="85">I146-H146</f>
        <v>0</v>
      </c>
      <c r="K146" s="47" t="s">
        <v>24</v>
      </c>
      <c r="L146" s="49">
        <v>0</v>
      </c>
      <c r="M146" s="49">
        <v>2000000</v>
      </c>
      <c r="N146" s="49">
        <v>283345</v>
      </c>
      <c r="O146" s="49">
        <v>0</v>
      </c>
      <c r="Q146" s="5"/>
    </row>
    <row r="147" spans="1:17" ht="16.5" x14ac:dyDescent="0.3">
      <c r="A147" s="60" t="str">
        <f t="shared" ref="A147:A149" si="86">+K147</f>
        <v>BCI-Sous Compte</v>
      </c>
      <c r="B147" s="61" t="s">
        <v>47</v>
      </c>
      <c r="C147" s="62">
        <v>16087207</v>
      </c>
      <c r="D147" s="63">
        <f t="shared" si="83"/>
        <v>0</v>
      </c>
      <c r="E147" s="63">
        <f>+N147</f>
        <v>3245592</v>
      </c>
      <c r="F147" s="63">
        <f>+M147</f>
        <v>8000000</v>
      </c>
      <c r="G147" s="63">
        <f t="shared" si="84"/>
        <v>0</v>
      </c>
      <c r="H147" s="63">
        <v>4841615</v>
      </c>
      <c r="I147" s="63">
        <f>+C147+D147-E147-F147+G147</f>
        <v>4841615</v>
      </c>
      <c r="J147" s="108">
        <f t="shared" si="85"/>
        <v>0</v>
      </c>
      <c r="K147" s="47" t="s">
        <v>158</v>
      </c>
      <c r="L147" s="49">
        <v>0</v>
      </c>
      <c r="M147" s="49">
        <v>8000000</v>
      </c>
      <c r="N147" s="49">
        <v>3245592</v>
      </c>
      <c r="O147" s="49">
        <v>0</v>
      </c>
      <c r="Q147" s="5"/>
    </row>
    <row r="148" spans="1:17" ht="16.5" x14ac:dyDescent="0.3">
      <c r="A148" s="60" t="str">
        <f t="shared" si="86"/>
        <v>Caisse</v>
      </c>
      <c r="B148" s="61" t="s">
        <v>25</v>
      </c>
      <c r="C148" s="62">
        <v>926369</v>
      </c>
      <c r="D148" s="63">
        <f t="shared" si="83"/>
        <v>10580357</v>
      </c>
      <c r="E148" s="63">
        <f t="shared" ref="E148" si="87">+N148</f>
        <v>3713706</v>
      </c>
      <c r="F148" s="63">
        <f t="shared" ref="F148:F156" si="88">+M148</f>
        <v>6750500</v>
      </c>
      <c r="G148" s="63">
        <f t="shared" si="84"/>
        <v>0</v>
      </c>
      <c r="H148" s="63">
        <v>1042520</v>
      </c>
      <c r="I148" s="63">
        <f>+C148+D148-E148-F148+G148</f>
        <v>1042520</v>
      </c>
      <c r="J148" s="9">
        <f t="shared" si="85"/>
        <v>0</v>
      </c>
      <c r="K148" s="47" t="s">
        <v>25</v>
      </c>
      <c r="L148" s="49">
        <v>10580357</v>
      </c>
      <c r="M148" s="49">
        <v>6750500</v>
      </c>
      <c r="N148" s="49">
        <v>3713706</v>
      </c>
      <c r="O148" s="49">
        <v>0</v>
      </c>
      <c r="Q148" s="5"/>
    </row>
    <row r="149" spans="1:17" ht="16.5" x14ac:dyDescent="0.3">
      <c r="A149" s="60" t="str">
        <f t="shared" si="86"/>
        <v>Crépin</v>
      </c>
      <c r="B149" s="61" t="s">
        <v>164</v>
      </c>
      <c r="C149" s="62">
        <v>-3675</v>
      </c>
      <c r="D149" s="63">
        <f t="shared" si="83"/>
        <v>1778500</v>
      </c>
      <c r="E149" s="63">
        <f>+N149</f>
        <v>1666925</v>
      </c>
      <c r="F149" s="63">
        <f t="shared" si="88"/>
        <v>145000</v>
      </c>
      <c r="G149" s="63">
        <f t="shared" si="84"/>
        <v>0</v>
      </c>
      <c r="H149" s="63">
        <v>-37100</v>
      </c>
      <c r="I149" s="63">
        <f t="shared" ref="I149" si="89">+C149+D149-E149-F149+G149</f>
        <v>-37100</v>
      </c>
      <c r="J149" s="9">
        <f t="shared" si="85"/>
        <v>0</v>
      </c>
      <c r="K149" s="47" t="s">
        <v>48</v>
      </c>
      <c r="L149" s="49">
        <v>1778500</v>
      </c>
      <c r="M149" s="49">
        <v>145000</v>
      </c>
      <c r="N149" s="49">
        <v>1666925</v>
      </c>
      <c r="O149" s="49">
        <v>0</v>
      </c>
      <c r="Q149" s="5"/>
    </row>
    <row r="150" spans="1:17" ht="16.5" x14ac:dyDescent="0.3">
      <c r="A150" s="60" t="str">
        <f>K150</f>
        <v>Evariste</v>
      </c>
      <c r="B150" s="61" t="s">
        <v>165</v>
      </c>
      <c r="C150" s="62">
        <v>7595</v>
      </c>
      <c r="D150" s="63">
        <f t="shared" si="83"/>
        <v>286000</v>
      </c>
      <c r="E150" s="63">
        <f t="shared" ref="E150" si="90">+N150</f>
        <v>284950</v>
      </c>
      <c r="F150" s="63">
        <f t="shared" si="88"/>
        <v>0</v>
      </c>
      <c r="G150" s="63">
        <f t="shared" si="84"/>
        <v>0</v>
      </c>
      <c r="H150" s="63">
        <v>8645</v>
      </c>
      <c r="I150" s="63">
        <f>+C150+D150-E150-F150+G150</f>
        <v>8645</v>
      </c>
      <c r="J150" s="9">
        <f t="shared" si="85"/>
        <v>0</v>
      </c>
      <c r="K150" s="47" t="s">
        <v>31</v>
      </c>
      <c r="L150" s="49">
        <v>286000</v>
      </c>
      <c r="M150" s="49">
        <v>0</v>
      </c>
      <c r="N150" s="49">
        <v>284950</v>
      </c>
      <c r="O150" s="49">
        <v>0</v>
      </c>
      <c r="Q150" s="5"/>
    </row>
    <row r="151" spans="1:17" ht="16.5" x14ac:dyDescent="0.3">
      <c r="A151" s="123" t="str">
        <f t="shared" ref="A151:A158" si="91">+K151</f>
        <v>I55S</v>
      </c>
      <c r="B151" s="124" t="s">
        <v>4</v>
      </c>
      <c r="C151" s="125">
        <v>233614</v>
      </c>
      <c r="D151" s="126">
        <f t="shared" si="83"/>
        <v>0</v>
      </c>
      <c r="E151" s="126">
        <f>+N151</f>
        <v>0</v>
      </c>
      <c r="F151" s="126">
        <f t="shared" si="88"/>
        <v>0</v>
      </c>
      <c r="G151" s="126">
        <f t="shared" si="84"/>
        <v>0</v>
      </c>
      <c r="H151" s="126">
        <v>233614</v>
      </c>
      <c r="I151" s="126">
        <f>+C151+D151-E151-F151+G151</f>
        <v>233614</v>
      </c>
      <c r="J151" s="9">
        <f t="shared" si="85"/>
        <v>0</v>
      </c>
      <c r="K151" s="47" t="s">
        <v>85</v>
      </c>
      <c r="L151" s="49">
        <v>0</v>
      </c>
      <c r="M151" s="49">
        <v>0</v>
      </c>
      <c r="N151" s="49">
        <v>0</v>
      </c>
      <c r="O151" s="49">
        <v>0</v>
      </c>
      <c r="Q151" s="5"/>
    </row>
    <row r="152" spans="1:17" ht="16.5" x14ac:dyDescent="0.3">
      <c r="A152" s="123" t="str">
        <f t="shared" si="91"/>
        <v>I73X</v>
      </c>
      <c r="B152" s="124" t="s">
        <v>4</v>
      </c>
      <c r="C152" s="125">
        <v>249769</v>
      </c>
      <c r="D152" s="126">
        <f t="shared" si="83"/>
        <v>0</v>
      </c>
      <c r="E152" s="126">
        <f>+N152</f>
        <v>0</v>
      </c>
      <c r="F152" s="126">
        <f t="shared" si="88"/>
        <v>0</v>
      </c>
      <c r="G152" s="126">
        <f t="shared" si="84"/>
        <v>0</v>
      </c>
      <c r="H152" s="126">
        <v>249769</v>
      </c>
      <c r="I152" s="126">
        <f t="shared" ref="I152:I155" si="92">+C152+D152-E152-F152+G152</f>
        <v>249769</v>
      </c>
      <c r="J152" s="9">
        <f t="shared" si="85"/>
        <v>0</v>
      </c>
      <c r="K152" s="47" t="s">
        <v>84</v>
      </c>
      <c r="L152" s="49">
        <v>0</v>
      </c>
      <c r="M152" s="49">
        <v>0</v>
      </c>
      <c r="N152" s="49">
        <v>0</v>
      </c>
      <c r="O152" s="49">
        <v>0</v>
      </c>
      <c r="Q152" s="5"/>
    </row>
    <row r="153" spans="1:17" ht="16.5" x14ac:dyDescent="0.3">
      <c r="A153" s="60" t="str">
        <f t="shared" si="91"/>
        <v>Godfré</v>
      </c>
      <c r="B153" s="104" t="s">
        <v>164</v>
      </c>
      <c r="C153" s="62">
        <v>-6000</v>
      </c>
      <c r="D153" s="63">
        <f t="shared" si="83"/>
        <v>797000</v>
      </c>
      <c r="E153" s="179">
        <f t="shared" ref="E153:E158" si="93">+N153</f>
        <v>578885</v>
      </c>
      <c r="F153" s="63">
        <f t="shared" si="88"/>
        <v>177180</v>
      </c>
      <c r="G153" s="63">
        <f t="shared" si="84"/>
        <v>0</v>
      </c>
      <c r="H153" s="63">
        <v>34935</v>
      </c>
      <c r="I153" s="63">
        <f t="shared" si="92"/>
        <v>34935</v>
      </c>
      <c r="J153" s="9">
        <f t="shared" si="85"/>
        <v>0</v>
      </c>
      <c r="K153" s="47" t="s">
        <v>153</v>
      </c>
      <c r="L153" s="49">
        <v>797000</v>
      </c>
      <c r="M153" s="49">
        <v>177180</v>
      </c>
      <c r="N153" s="49">
        <v>578885</v>
      </c>
      <c r="O153" s="49">
        <v>0</v>
      </c>
      <c r="Q153" s="5"/>
    </row>
    <row r="154" spans="1:17" ht="16.5" x14ac:dyDescent="0.3">
      <c r="A154" s="60" t="str">
        <f t="shared" si="91"/>
        <v>Grace</v>
      </c>
      <c r="B154" s="61" t="s">
        <v>2</v>
      </c>
      <c r="C154" s="62">
        <v>48400</v>
      </c>
      <c r="D154" s="63">
        <f t="shared" si="83"/>
        <v>847000</v>
      </c>
      <c r="E154" s="179">
        <f>+N154</f>
        <v>193200</v>
      </c>
      <c r="F154" s="63">
        <f t="shared" si="88"/>
        <v>658000</v>
      </c>
      <c r="G154" s="63">
        <f t="shared" si="84"/>
        <v>0</v>
      </c>
      <c r="H154" s="63">
        <v>44200</v>
      </c>
      <c r="I154" s="63">
        <f t="shared" si="92"/>
        <v>44200</v>
      </c>
      <c r="J154" s="9">
        <f>I154-H154</f>
        <v>0</v>
      </c>
      <c r="K154" s="47" t="s">
        <v>152</v>
      </c>
      <c r="L154" s="49">
        <v>847000</v>
      </c>
      <c r="M154" s="49">
        <v>658000</v>
      </c>
      <c r="N154" s="49">
        <v>193200</v>
      </c>
      <c r="O154" s="49">
        <v>0</v>
      </c>
      <c r="Q154" s="5"/>
    </row>
    <row r="155" spans="1:17" ht="16.5" x14ac:dyDescent="0.3">
      <c r="A155" s="60" t="str">
        <f t="shared" si="91"/>
        <v>I23C</v>
      </c>
      <c r="B155" s="104" t="s">
        <v>4</v>
      </c>
      <c r="C155" s="62">
        <v>6800</v>
      </c>
      <c r="D155" s="63">
        <f t="shared" si="83"/>
        <v>861000</v>
      </c>
      <c r="E155" s="179">
        <f t="shared" si="93"/>
        <v>855750</v>
      </c>
      <c r="F155" s="63">
        <f t="shared" si="88"/>
        <v>0</v>
      </c>
      <c r="G155" s="63">
        <f t="shared" si="84"/>
        <v>0</v>
      </c>
      <c r="H155" s="63">
        <v>12050</v>
      </c>
      <c r="I155" s="63">
        <f t="shared" si="92"/>
        <v>12050</v>
      </c>
      <c r="J155" s="9">
        <f t="shared" ref="J155:J156" si="94">I155-H155</f>
        <v>0</v>
      </c>
      <c r="K155" s="47" t="s">
        <v>30</v>
      </c>
      <c r="L155" s="49">
        <v>861000</v>
      </c>
      <c r="M155" s="49">
        <v>0</v>
      </c>
      <c r="N155" s="49">
        <v>855750</v>
      </c>
      <c r="O155" s="49">
        <v>0</v>
      </c>
      <c r="Q155" s="5"/>
    </row>
    <row r="156" spans="1:17" ht="16.5" x14ac:dyDescent="0.3">
      <c r="A156" s="60" t="str">
        <f t="shared" si="91"/>
        <v>Merveille</v>
      </c>
      <c r="B156" s="61" t="s">
        <v>2</v>
      </c>
      <c r="C156" s="62">
        <v>5500</v>
      </c>
      <c r="D156" s="63">
        <f t="shared" si="83"/>
        <v>0</v>
      </c>
      <c r="E156" s="179">
        <f t="shared" si="93"/>
        <v>0</v>
      </c>
      <c r="F156" s="63">
        <f t="shared" si="88"/>
        <v>0</v>
      </c>
      <c r="G156" s="63">
        <f t="shared" si="84"/>
        <v>0</v>
      </c>
      <c r="H156" s="63">
        <v>5500</v>
      </c>
      <c r="I156" s="63">
        <f>+C156+D156-E156-F156+G156</f>
        <v>5500</v>
      </c>
      <c r="J156" s="9">
        <f t="shared" si="94"/>
        <v>0</v>
      </c>
      <c r="K156" s="47" t="s">
        <v>94</v>
      </c>
      <c r="L156" s="49">
        <v>0</v>
      </c>
      <c r="M156" s="49">
        <v>0</v>
      </c>
      <c r="N156" s="49">
        <v>0</v>
      </c>
      <c r="O156" s="49"/>
      <c r="Q156" s="5"/>
    </row>
    <row r="157" spans="1:17" ht="16.5" x14ac:dyDescent="0.3">
      <c r="A157" s="60" t="str">
        <f t="shared" si="91"/>
        <v>P29</v>
      </c>
      <c r="B157" s="61" t="s">
        <v>4</v>
      </c>
      <c r="C157" s="62">
        <v>30700</v>
      </c>
      <c r="D157" s="63">
        <f t="shared" si="83"/>
        <v>1215000</v>
      </c>
      <c r="E157" s="179">
        <f t="shared" si="93"/>
        <v>697500</v>
      </c>
      <c r="F157" s="63">
        <f>+M157</f>
        <v>490000</v>
      </c>
      <c r="G157" s="63">
        <f>+O157</f>
        <v>0</v>
      </c>
      <c r="H157" s="63">
        <v>58200</v>
      </c>
      <c r="I157" s="63">
        <f>+C157+D157-E157-F157+G157</f>
        <v>58200</v>
      </c>
      <c r="J157" s="9">
        <f>I157-H157</f>
        <v>0</v>
      </c>
      <c r="K157" s="47" t="s">
        <v>29</v>
      </c>
      <c r="L157" s="49">
        <v>1215000</v>
      </c>
      <c r="M157" s="49">
        <v>490000</v>
      </c>
      <c r="N157" s="49">
        <v>697500</v>
      </c>
      <c r="O157" s="49">
        <v>0</v>
      </c>
      <c r="Q157" s="5"/>
    </row>
    <row r="158" spans="1:17" ht="16.5" x14ac:dyDescent="0.3">
      <c r="A158" s="60" t="str">
        <f t="shared" si="91"/>
        <v>Tiffany</v>
      </c>
      <c r="B158" s="61" t="s">
        <v>2</v>
      </c>
      <c r="C158" s="62">
        <v>9193</v>
      </c>
      <c r="D158" s="63">
        <f t="shared" si="83"/>
        <v>1100180</v>
      </c>
      <c r="E158" s="179">
        <f t="shared" si="93"/>
        <v>195700</v>
      </c>
      <c r="F158" s="63">
        <f t="shared" ref="F158" si="95">+M158</f>
        <v>650000</v>
      </c>
      <c r="G158" s="63">
        <f t="shared" ref="G158" si="96">+O158</f>
        <v>0</v>
      </c>
      <c r="H158" s="63">
        <v>263673</v>
      </c>
      <c r="I158" s="63">
        <f t="shared" ref="I158" si="97">+C158+D158-E158-F158+G158</f>
        <v>263673</v>
      </c>
      <c r="J158" s="9">
        <f t="shared" ref="J158" si="98">I158-H158</f>
        <v>0</v>
      </c>
      <c r="K158" s="47" t="s">
        <v>114</v>
      </c>
      <c r="L158" s="49">
        <v>1100180</v>
      </c>
      <c r="M158" s="49">
        <v>650000</v>
      </c>
      <c r="N158" s="49">
        <v>195700</v>
      </c>
      <c r="O158" s="49">
        <v>0</v>
      </c>
      <c r="Q158" s="5"/>
    </row>
    <row r="159" spans="1:17" ht="16.5" x14ac:dyDescent="0.3">
      <c r="A159" s="10" t="s">
        <v>51</v>
      </c>
      <c r="B159" s="11"/>
      <c r="C159" s="12">
        <f>SUM(C144:C158)</f>
        <v>23367297</v>
      </c>
      <c r="D159" s="59">
        <f t="shared" ref="D159:G159" si="99">SUM(D144:D158)</f>
        <v>19016037</v>
      </c>
      <c r="E159" s="59">
        <f t="shared" si="99"/>
        <v>13144803</v>
      </c>
      <c r="F159" s="59">
        <f t="shared" si="99"/>
        <v>19016037</v>
      </c>
      <c r="G159" s="59">
        <f t="shared" si="99"/>
        <v>0</v>
      </c>
      <c r="H159" s="59">
        <f>SUM(H144:H158)</f>
        <v>10222494</v>
      </c>
      <c r="I159" s="59">
        <f>SUM(I144:I158)</f>
        <v>10222494</v>
      </c>
      <c r="J159" s="9">
        <f>I159-H159</f>
        <v>0</v>
      </c>
      <c r="K159" s="3"/>
      <c r="L159" s="49">
        <f>+SUM(L144:L158)</f>
        <v>19016037</v>
      </c>
      <c r="M159" s="49">
        <f t="shared" ref="M159:O159" si="100">+SUM(M144:M158)</f>
        <v>19016037</v>
      </c>
      <c r="N159" s="49">
        <f>+SUM(N144:N158)</f>
        <v>13144803</v>
      </c>
      <c r="O159" s="49">
        <f t="shared" si="100"/>
        <v>0</v>
      </c>
      <c r="Q159" s="5"/>
    </row>
    <row r="160" spans="1:17" ht="16.5" x14ac:dyDescent="0.3">
      <c r="A160" s="10"/>
      <c r="B160" s="11"/>
      <c r="C160" s="12"/>
      <c r="D160" s="13"/>
      <c r="E160" s="12"/>
      <c r="F160" s="13"/>
      <c r="G160" s="12"/>
      <c r="H160" s="12"/>
      <c r="I160" s="143" t="b">
        <f>I159=D162</f>
        <v>1</v>
      </c>
      <c r="L160" s="5"/>
      <c r="M160" s="5"/>
      <c r="N160" s="5"/>
      <c r="O160" s="5"/>
      <c r="Q160" s="5"/>
    </row>
    <row r="161" spans="1:17" ht="16.5" x14ac:dyDescent="0.3">
      <c r="A161" s="10" t="s">
        <v>177</v>
      </c>
      <c r="B161" s="11" t="s">
        <v>178</v>
      </c>
      <c r="C161" s="12" t="s">
        <v>179</v>
      </c>
      <c r="D161" s="12" t="s">
        <v>188</v>
      </c>
      <c r="E161" s="12" t="s">
        <v>52</v>
      </c>
      <c r="F161" s="12"/>
      <c r="G161" s="12">
        <f>+D159-F159</f>
        <v>0</v>
      </c>
      <c r="H161" s="12"/>
      <c r="I161" s="12"/>
      <c r="Q161" s="5"/>
    </row>
    <row r="162" spans="1:17" ht="16.5" x14ac:dyDescent="0.3">
      <c r="A162" s="14">
        <f>C159</f>
        <v>23367297</v>
      </c>
      <c r="B162" s="15">
        <f>G159</f>
        <v>0</v>
      </c>
      <c r="C162" s="12">
        <f>E159</f>
        <v>13144803</v>
      </c>
      <c r="D162" s="12">
        <f>A162+B162-C162</f>
        <v>10222494</v>
      </c>
      <c r="E162" s="13">
        <f>I159-D162</f>
        <v>0</v>
      </c>
      <c r="F162" s="12"/>
      <c r="G162" s="12"/>
      <c r="H162" s="12"/>
      <c r="I162" s="12"/>
      <c r="L162" s="5"/>
      <c r="M162" s="5"/>
      <c r="N162" s="5"/>
      <c r="O162" s="5"/>
      <c r="Q162" s="5"/>
    </row>
    <row r="163" spans="1:17" ht="16.5" x14ac:dyDescent="0.3">
      <c r="A163" s="14"/>
      <c r="B163" s="15"/>
      <c r="C163" s="12"/>
      <c r="D163" s="12"/>
      <c r="E163" s="13"/>
      <c r="F163" s="12"/>
      <c r="G163" s="12"/>
      <c r="H163" s="12"/>
      <c r="I163" s="12"/>
      <c r="L163" s="5"/>
      <c r="M163" s="5"/>
      <c r="N163" s="5"/>
      <c r="O163" s="5"/>
      <c r="Q163" s="5"/>
    </row>
    <row r="164" spans="1:17" x14ac:dyDescent="0.2">
      <c r="A164" s="16" t="s">
        <v>53</v>
      </c>
      <c r="B164" s="16"/>
      <c r="C164" s="16"/>
      <c r="D164" s="17"/>
      <c r="E164" s="17"/>
      <c r="F164" s="17"/>
      <c r="G164" s="17"/>
      <c r="H164" s="17"/>
      <c r="I164" s="17"/>
      <c r="L164" s="5"/>
      <c r="M164" s="5"/>
      <c r="N164" s="5"/>
      <c r="O164" s="5"/>
      <c r="Q164" s="5"/>
    </row>
    <row r="165" spans="1:17" x14ac:dyDescent="0.2">
      <c r="A165" s="18" t="s">
        <v>187</v>
      </c>
      <c r="B165" s="18"/>
      <c r="C165" s="18"/>
      <c r="D165" s="18"/>
      <c r="E165" s="18"/>
      <c r="F165" s="18"/>
      <c r="G165" s="18"/>
      <c r="H165" s="18"/>
      <c r="I165" s="18"/>
      <c r="J165" s="18"/>
      <c r="L165" s="5"/>
      <c r="M165" s="5"/>
      <c r="N165" s="5"/>
      <c r="O165" s="5"/>
      <c r="Q165" s="5"/>
    </row>
    <row r="166" spans="1:17" x14ac:dyDescent="0.2">
      <c r="A166" s="19"/>
      <c r="B166" s="20"/>
      <c r="C166" s="21"/>
      <c r="D166" s="21"/>
      <c r="E166" s="21"/>
      <c r="F166" s="21"/>
      <c r="G166" s="21"/>
      <c r="H166" s="20"/>
      <c r="I166" s="20"/>
      <c r="L166" s="5"/>
      <c r="M166" s="5"/>
      <c r="N166" s="5"/>
      <c r="O166" s="5"/>
      <c r="Q166" s="5"/>
    </row>
    <row r="167" spans="1:17" x14ac:dyDescent="0.2">
      <c r="A167" s="386" t="s">
        <v>54</v>
      </c>
      <c r="B167" s="388" t="s">
        <v>55</v>
      </c>
      <c r="C167" s="390" t="s">
        <v>180</v>
      </c>
      <c r="D167" s="392" t="s">
        <v>56</v>
      </c>
      <c r="E167" s="393"/>
      <c r="F167" s="393"/>
      <c r="G167" s="394"/>
      <c r="H167" s="395" t="s">
        <v>57</v>
      </c>
      <c r="I167" s="382" t="s">
        <v>58</v>
      </c>
      <c r="J167" s="20"/>
      <c r="L167" s="5"/>
      <c r="M167" s="5"/>
      <c r="N167" s="5"/>
      <c r="O167" s="5"/>
      <c r="Q167" s="5"/>
    </row>
    <row r="168" spans="1:17" ht="28.5" customHeight="1" x14ac:dyDescent="0.25">
      <c r="A168" s="387"/>
      <c r="B168" s="389"/>
      <c r="C168" s="391"/>
      <c r="D168" s="22" t="s">
        <v>24</v>
      </c>
      <c r="E168" s="22" t="s">
        <v>25</v>
      </c>
      <c r="F168" s="217" t="s">
        <v>124</v>
      </c>
      <c r="G168" s="22" t="s">
        <v>59</v>
      </c>
      <c r="H168" s="396"/>
      <c r="I168" s="383"/>
      <c r="J168" s="384" t="s">
        <v>181</v>
      </c>
      <c r="K168" s="155"/>
      <c r="L168" s="5"/>
      <c r="M168" s="5"/>
      <c r="N168" s="5"/>
      <c r="O168" s="5"/>
      <c r="Q168" s="5"/>
    </row>
    <row r="169" spans="1:17" x14ac:dyDescent="0.2">
      <c r="A169" s="24"/>
      <c r="B169" s="25" t="s">
        <v>60</v>
      </c>
      <c r="C169" s="26"/>
      <c r="D169" s="26"/>
      <c r="E169" s="26"/>
      <c r="F169" s="26"/>
      <c r="G169" s="26"/>
      <c r="H169" s="26"/>
      <c r="I169" s="27"/>
      <c r="J169" s="385"/>
      <c r="K169" s="155"/>
      <c r="L169" s="5"/>
      <c r="M169" s="5"/>
      <c r="N169" s="5"/>
      <c r="O169" s="5"/>
      <c r="Q169" s="5"/>
    </row>
    <row r="170" spans="1:17" x14ac:dyDescent="0.2">
      <c r="A170" s="130" t="s">
        <v>104</v>
      </c>
      <c r="B170" s="135" t="s">
        <v>163</v>
      </c>
      <c r="C170" s="33">
        <f>+C144</f>
        <v>29107</v>
      </c>
      <c r="D170" s="32"/>
      <c r="E170" s="33">
        <f>D144</f>
        <v>1125000</v>
      </c>
      <c r="F170" s="33"/>
      <c r="G170" s="33"/>
      <c r="H170" s="57">
        <f>+F144</f>
        <v>145357</v>
      </c>
      <c r="I170" s="33">
        <f>+E144</f>
        <v>1008750</v>
      </c>
      <c r="J170" s="31">
        <f>+SUM(C170:G170)-(H170+I170)</f>
        <v>0</v>
      </c>
      <c r="K170" s="156" t="b">
        <f>J170=I144</f>
        <v>1</v>
      </c>
      <c r="L170" s="5"/>
      <c r="M170" s="5"/>
      <c r="N170" s="5"/>
      <c r="O170" s="5"/>
      <c r="Q170" s="5"/>
    </row>
    <row r="171" spans="1:17" x14ac:dyDescent="0.2">
      <c r="A171" s="130" t="str">
        <f>A170</f>
        <v>DECEMBRE</v>
      </c>
      <c r="B171" s="135" t="s">
        <v>173</v>
      </c>
      <c r="C171" s="33">
        <f>+C145</f>
        <v>4000</v>
      </c>
      <c r="D171" s="32"/>
      <c r="E171" s="33">
        <f>+D145</f>
        <v>426000</v>
      </c>
      <c r="F171" s="33"/>
      <c r="G171" s="33"/>
      <c r="H171" s="57">
        <f>+F145</f>
        <v>0</v>
      </c>
      <c r="I171" s="33">
        <f>+E145</f>
        <v>420500</v>
      </c>
      <c r="J171" s="31">
        <f t="shared" ref="J171:J172" si="101">+SUM(C171:G171)-(H171+I171)</f>
        <v>9500</v>
      </c>
      <c r="K171" s="156" t="b">
        <f>J171=I145</f>
        <v>1</v>
      </c>
      <c r="L171" s="5"/>
      <c r="M171" s="5"/>
      <c r="N171" s="5"/>
      <c r="O171" s="5"/>
      <c r="Q171" s="5"/>
    </row>
    <row r="172" spans="1:17" x14ac:dyDescent="0.2">
      <c r="A172" s="130" t="str">
        <f>+A171</f>
        <v>DECEMBRE</v>
      </c>
      <c r="B172" s="135" t="s">
        <v>48</v>
      </c>
      <c r="C172" s="33">
        <f>+C149</f>
        <v>-3675</v>
      </c>
      <c r="D172" s="32"/>
      <c r="E172" s="33">
        <f>+D149</f>
        <v>1778500</v>
      </c>
      <c r="F172" s="33"/>
      <c r="G172" s="33"/>
      <c r="H172" s="57">
        <f>+F149</f>
        <v>145000</v>
      </c>
      <c r="I172" s="33">
        <f>+E149</f>
        <v>1666925</v>
      </c>
      <c r="J172" s="107">
        <f t="shared" si="101"/>
        <v>-37100</v>
      </c>
      <c r="K172" s="156" t="b">
        <f>J172=I149</f>
        <v>1</v>
      </c>
      <c r="L172" s="5"/>
      <c r="M172" s="5"/>
      <c r="N172" s="5"/>
      <c r="O172" s="5"/>
      <c r="Q172" s="5"/>
    </row>
    <row r="173" spans="1:17" x14ac:dyDescent="0.2">
      <c r="A173" s="130" t="str">
        <f t="shared" ref="A173:A181" si="102">+A172</f>
        <v>DECEMBRE</v>
      </c>
      <c r="B173" s="136" t="s">
        <v>31</v>
      </c>
      <c r="C173" s="33">
        <f>+C150</f>
        <v>7595</v>
      </c>
      <c r="D173" s="127"/>
      <c r="E173" s="33">
        <f>+D150</f>
        <v>286000</v>
      </c>
      <c r="F173" s="53"/>
      <c r="G173" s="53"/>
      <c r="H173" s="57">
        <f>+F150</f>
        <v>0</v>
      </c>
      <c r="I173" s="33">
        <f>+E150</f>
        <v>284950</v>
      </c>
      <c r="J173" s="132">
        <f>+SUM(C173:G173)-(H173+I173)</f>
        <v>8645</v>
      </c>
      <c r="K173" s="156" t="b">
        <f t="shared" ref="K173:K181" si="103">J173=I150</f>
        <v>1</v>
      </c>
      <c r="L173" s="5"/>
      <c r="M173" s="5"/>
      <c r="N173" s="5"/>
      <c r="O173" s="5"/>
      <c r="Q173" s="5"/>
    </row>
    <row r="174" spans="1:17" x14ac:dyDescent="0.2">
      <c r="A174" s="130" t="str">
        <f t="shared" si="102"/>
        <v>DECEMBRE</v>
      </c>
      <c r="B174" s="137" t="s">
        <v>85</v>
      </c>
      <c r="C174" s="128">
        <f>+C151</f>
        <v>233614</v>
      </c>
      <c r="D174" s="131"/>
      <c r="E174" s="128">
        <f>+D151</f>
        <v>0</v>
      </c>
      <c r="F174" s="146"/>
      <c r="G174" s="146"/>
      <c r="H174" s="180">
        <f>+F151</f>
        <v>0</v>
      </c>
      <c r="I174" s="128">
        <f>+E151</f>
        <v>0</v>
      </c>
      <c r="J174" s="129">
        <f>+SUM(C174:G174)-(H174+I174)</f>
        <v>233614</v>
      </c>
      <c r="K174" s="156" t="b">
        <f t="shared" si="103"/>
        <v>1</v>
      </c>
      <c r="L174" s="5"/>
      <c r="M174" s="5"/>
      <c r="N174" s="5"/>
      <c r="O174" s="5"/>
      <c r="Q174" s="5"/>
    </row>
    <row r="175" spans="1:17" x14ac:dyDescent="0.2">
      <c r="A175" s="130" t="str">
        <f t="shared" si="102"/>
        <v>DECEMBRE</v>
      </c>
      <c r="B175" s="137" t="s">
        <v>84</v>
      </c>
      <c r="C175" s="128">
        <f>+C152</f>
        <v>249769</v>
      </c>
      <c r="D175" s="131"/>
      <c r="E175" s="128">
        <f>+D152</f>
        <v>0</v>
      </c>
      <c r="F175" s="146"/>
      <c r="G175" s="146"/>
      <c r="H175" s="180">
        <f>+F152</f>
        <v>0</v>
      </c>
      <c r="I175" s="128">
        <f>+E152</f>
        <v>0</v>
      </c>
      <c r="J175" s="129">
        <f t="shared" ref="J175:J181" si="104">+SUM(C175:G175)-(H175+I175)</f>
        <v>249769</v>
      </c>
      <c r="K175" s="156" t="b">
        <f t="shared" si="103"/>
        <v>1</v>
      </c>
      <c r="L175" s="5"/>
      <c r="M175" s="5"/>
      <c r="N175" s="5"/>
      <c r="O175" s="5"/>
      <c r="Q175" s="5"/>
    </row>
    <row r="176" spans="1:17" x14ac:dyDescent="0.2">
      <c r="A176" s="130" t="str">
        <f t="shared" si="102"/>
        <v>DECEMBRE</v>
      </c>
      <c r="B176" s="135" t="s">
        <v>153</v>
      </c>
      <c r="C176" s="33">
        <f>+C153</f>
        <v>-6000</v>
      </c>
      <c r="D176" s="32"/>
      <c r="E176" s="33">
        <f>+D153</f>
        <v>797000</v>
      </c>
      <c r="F176" s="33"/>
      <c r="G176" s="110"/>
      <c r="H176" s="57">
        <f>+F153</f>
        <v>177180</v>
      </c>
      <c r="I176" s="33">
        <f>+E153</f>
        <v>578885</v>
      </c>
      <c r="J176" s="31">
        <f t="shared" si="104"/>
        <v>34935</v>
      </c>
      <c r="K176" s="156" t="b">
        <f t="shared" si="103"/>
        <v>1</v>
      </c>
      <c r="L176" s="5"/>
      <c r="M176" s="5"/>
      <c r="N176" s="5"/>
      <c r="O176" s="5"/>
      <c r="Q176" s="5"/>
    </row>
    <row r="177" spans="1:17" x14ac:dyDescent="0.2">
      <c r="A177" s="130" t="str">
        <f t="shared" si="102"/>
        <v>DECEMBRE</v>
      </c>
      <c r="B177" s="135" t="s">
        <v>152</v>
      </c>
      <c r="C177" s="33">
        <f t="shared" ref="C177:C181" si="105">+C154</f>
        <v>48400</v>
      </c>
      <c r="D177" s="32"/>
      <c r="E177" s="33">
        <f t="shared" ref="E177:E181" si="106">+D154</f>
        <v>847000</v>
      </c>
      <c r="F177" s="33"/>
      <c r="G177" s="110"/>
      <c r="H177" s="57">
        <f t="shared" ref="H177:H181" si="107">+F154</f>
        <v>658000</v>
      </c>
      <c r="I177" s="33">
        <f t="shared" ref="I177:I181" si="108">+E154</f>
        <v>193200</v>
      </c>
      <c r="J177" s="31">
        <f t="shared" si="104"/>
        <v>44200</v>
      </c>
      <c r="K177" s="156" t="b">
        <f t="shared" si="103"/>
        <v>1</v>
      </c>
      <c r="L177" s="5"/>
      <c r="M177" s="5"/>
      <c r="N177" s="5"/>
      <c r="O177" s="5"/>
      <c r="Q177" s="5"/>
    </row>
    <row r="178" spans="1:17" x14ac:dyDescent="0.2">
      <c r="A178" s="130" t="str">
        <f t="shared" si="102"/>
        <v>DECEMBRE</v>
      </c>
      <c r="B178" s="135" t="s">
        <v>30</v>
      </c>
      <c r="C178" s="33">
        <f t="shared" si="105"/>
        <v>6800</v>
      </c>
      <c r="D178" s="32"/>
      <c r="E178" s="33">
        <f t="shared" si="106"/>
        <v>861000</v>
      </c>
      <c r="F178" s="33"/>
      <c r="G178" s="110"/>
      <c r="H178" s="57">
        <f t="shared" si="107"/>
        <v>0</v>
      </c>
      <c r="I178" s="33">
        <f t="shared" si="108"/>
        <v>855750</v>
      </c>
      <c r="J178" s="31">
        <f t="shared" si="104"/>
        <v>12050</v>
      </c>
      <c r="K178" s="156" t="b">
        <f t="shared" si="103"/>
        <v>1</v>
      </c>
      <c r="Q178" s="5"/>
    </row>
    <row r="179" spans="1:17" x14ac:dyDescent="0.2">
      <c r="A179" s="130" t="str">
        <f>+A177</f>
        <v>DECEMBRE</v>
      </c>
      <c r="B179" s="135" t="s">
        <v>94</v>
      </c>
      <c r="C179" s="33">
        <f t="shared" si="105"/>
        <v>5500</v>
      </c>
      <c r="D179" s="32"/>
      <c r="E179" s="33">
        <f t="shared" si="106"/>
        <v>0</v>
      </c>
      <c r="F179" s="33"/>
      <c r="G179" s="110"/>
      <c r="H179" s="57">
        <f t="shared" si="107"/>
        <v>0</v>
      </c>
      <c r="I179" s="33">
        <f t="shared" si="108"/>
        <v>0</v>
      </c>
      <c r="J179" s="31">
        <f t="shared" si="104"/>
        <v>5500</v>
      </c>
      <c r="K179" s="156" t="b">
        <f t="shared" si="103"/>
        <v>1</v>
      </c>
      <c r="Q179" s="5"/>
    </row>
    <row r="180" spans="1:17" x14ac:dyDescent="0.2">
      <c r="A180" s="130" t="str">
        <f>+A178</f>
        <v>DECEMBRE</v>
      </c>
      <c r="B180" s="135" t="s">
        <v>29</v>
      </c>
      <c r="C180" s="33">
        <f t="shared" si="105"/>
        <v>30700</v>
      </c>
      <c r="D180" s="32"/>
      <c r="E180" s="33">
        <f t="shared" si="106"/>
        <v>1215000</v>
      </c>
      <c r="F180" s="33"/>
      <c r="G180" s="110"/>
      <c r="H180" s="57">
        <f t="shared" si="107"/>
        <v>490000</v>
      </c>
      <c r="I180" s="33">
        <f t="shared" si="108"/>
        <v>697500</v>
      </c>
      <c r="J180" s="31">
        <f t="shared" si="104"/>
        <v>58200</v>
      </c>
      <c r="K180" s="156" t="b">
        <f t="shared" si="103"/>
        <v>1</v>
      </c>
      <c r="Q180" s="5"/>
    </row>
    <row r="181" spans="1:17" x14ac:dyDescent="0.2">
      <c r="A181" s="130" t="str">
        <f t="shared" si="102"/>
        <v>DECEMBRE</v>
      </c>
      <c r="B181" s="136" t="s">
        <v>114</v>
      </c>
      <c r="C181" s="33">
        <f t="shared" si="105"/>
        <v>9193</v>
      </c>
      <c r="D181" s="127"/>
      <c r="E181" s="33">
        <f t="shared" si="106"/>
        <v>1100180</v>
      </c>
      <c r="F181" s="53"/>
      <c r="G181" s="147"/>
      <c r="H181" s="57">
        <f t="shared" si="107"/>
        <v>650000</v>
      </c>
      <c r="I181" s="33">
        <f t="shared" si="108"/>
        <v>195700</v>
      </c>
      <c r="J181" s="31">
        <f t="shared" si="104"/>
        <v>263673</v>
      </c>
      <c r="K181" s="156" t="b">
        <f t="shared" si="103"/>
        <v>1</v>
      </c>
      <c r="Q181" s="5"/>
    </row>
    <row r="182" spans="1:17" x14ac:dyDescent="0.2">
      <c r="A182" s="35" t="s">
        <v>61</v>
      </c>
      <c r="B182" s="36"/>
      <c r="C182" s="36"/>
      <c r="D182" s="36"/>
      <c r="E182" s="36"/>
      <c r="F182" s="36"/>
      <c r="G182" s="36"/>
      <c r="H182" s="36"/>
      <c r="I182" s="36"/>
      <c r="J182" s="37"/>
      <c r="K182" s="155"/>
      <c r="Q182" s="5"/>
    </row>
    <row r="183" spans="1:17" x14ac:dyDescent="0.2">
      <c r="A183" s="130" t="str">
        <f>+A181</f>
        <v>DECEMBRE</v>
      </c>
      <c r="B183" s="38" t="s">
        <v>62</v>
      </c>
      <c r="C183" s="39">
        <f>+C148</f>
        <v>926369</v>
      </c>
      <c r="D183" s="51"/>
      <c r="E183" s="51">
        <f>D148</f>
        <v>10580357</v>
      </c>
      <c r="F183" s="51"/>
      <c r="G183" s="133"/>
      <c r="H183" s="53">
        <f>+F148</f>
        <v>6750500</v>
      </c>
      <c r="I183" s="134">
        <f>+E148</f>
        <v>3713706</v>
      </c>
      <c r="J183" s="46">
        <f>+SUM(C183:G183)-(H183+I183)</f>
        <v>1042520</v>
      </c>
      <c r="K183" s="156" t="b">
        <f>J183=I148</f>
        <v>1</v>
      </c>
      <c r="Q183" s="5"/>
    </row>
    <row r="184" spans="1:17" x14ac:dyDescent="0.2">
      <c r="A184" s="44" t="s">
        <v>63</v>
      </c>
      <c r="B184" s="25"/>
      <c r="C184" s="36"/>
      <c r="D184" s="25"/>
      <c r="E184" s="25"/>
      <c r="F184" s="25"/>
      <c r="G184" s="25"/>
      <c r="H184" s="25"/>
      <c r="I184" s="25"/>
      <c r="J184" s="37"/>
      <c r="K184" s="155"/>
      <c r="Q184" s="5"/>
    </row>
    <row r="185" spans="1:17" x14ac:dyDescent="0.2">
      <c r="A185" s="130" t="str">
        <f>+A183</f>
        <v>DECEMBRE</v>
      </c>
      <c r="B185" s="38" t="s">
        <v>167</v>
      </c>
      <c r="C185" s="133">
        <f>+C146</f>
        <v>5738718</v>
      </c>
      <c r="D185" s="140">
        <f>+G146</f>
        <v>0</v>
      </c>
      <c r="E185" s="51"/>
      <c r="F185" s="51"/>
      <c r="G185" s="51"/>
      <c r="H185" s="53">
        <f>+F146</f>
        <v>2000000</v>
      </c>
      <c r="I185" s="55">
        <f>+E146</f>
        <v>283345</v>
      </c>
      <c r="J185" s="46">
        <f>+SUM(C185:G185)-(H185+I185)</f>
        <v>3455373</v>
      </c>
      <c r="K185" s="156" t="b">
        <f>+J185=I146</f>
        <v>1</v>
      </c>
      <c r="Q185" s="5"/>
    </row>
    <row r="186" spans="1:17" x14ac:dyDescent="0.2">
      <c r="A186" s="130" t="str">
        <f t="shared" ref="A186" si="109">+A185</f>
        <v>DECEMBRE</v>
      </c>
      <c r="B186" s="38" t="s">
        <v>65</v>
      </c>
      <c r="C186" s="133">
        <f>+C147</f>
        <v>16087207</v>
      </c>
      <c r="D186" s="51">
        <f>+G147</f>
        <v>0</v>
      </c>
      <c r="E186" s="50"/>
      <c r="F186" s="50"/>
      <c r="G186" s="50"/>
      <c r="H186" s="33">
        <f>+F147</f>
        <v>8000000</v>
      </c>
      <c r="I186" s="52">
        <f>+E147</f>
        <v>3245592</v>
      </c>
      <c r="J186" s="46">
        <f>SUM(C186:G186)-(H186+I186)</f>
        <v>4841615</v>
      </c>
      <c r="K186" s="156" t="b">
        <f>+J186=I147</f>
        <v>1</v>
      </c>
      <c r="Q186" s="5"/>
    </row>
    <row r="187" spans="1:17" ht="15.75" x14ac:dyDescent="0.25">
      <c r="C187" s="151">
        <f>SUM(C171:C186)</f>
        <v>23338190</v>
      </c>
      <c r="I187" s="149">
        <f>SUM(I171:I186)</f>
        <v>12136053</v>
      </c>
      <c r="J187" s="111">
        <f>+SUM(J170:J186)</f>
        <v>10222494</v>
      </c>
      <c r="K187" s="5" t="b">
        <f>J187=I159</f>
        <v>1</v>
      </c>
      <c r="Q187" s="5"/>
    </row>
    <row r="188" spans="1:17" x14ac:dyDescent="0.25">
      <c r="G188" s="9"/>
      <c r="Q188" s="5"/>
    </row>
    <row r="189" spans="1:17" x14ac:dyDescent="0.2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6"/>
      <c r="M189" s="276"/>
      <c r="N189" s="276"/>
      <c r="O189" s="276"/>
      <c r="P189" s="272"/>
      <c r="Q189" s="5"/>
    </row>
    <row r="190" spans="1:17" x14ac:dyDescent="0.25">
      <c r="A190" s="4">
        <v>44530</v>
      </c>
      <c r="Q190" s="5"/>
    </row>
    <row r="191" spans="1:17" ht="15.75" x14ac:dyDescent="0.25">
      <c r="A191" s="6" t="s">
        <v>37</v>
      </c>
      <c r="B191" s="6" t="s">
        <v>1</v>
      </c>
      <c r="C191" s="6">
        <v>44501</v>
      </c>
      <c r="D191" s="7" t="s">
        <v>38</v>
      </c>
      <c r="E191" s="7" t="s">
        <v>39</v>
      </c>
      <c r="F191" s="7" t="s">
        <v>40</v>
      </c>
      <c r="G191" s="7" t="s">
        <v>41</v>
      </c>
      <c r="H191" s="6">
        <v>44530</v>
      </c>
      <c r="I191" s="7" t="s">
        <v>42</v>
      </c>
      <c r="K191" s="47"/>
      <c r="L191" s="47" t="s">
        <v>43</v>
      </c>
      <c r="M191" s="47" t="s">
        <v>44</v>
      </c>
      <c r="N191" s="47" t="s">
        <v>45</v>
      </c>
      <c r="O191" s="47" t="s">
        <v>46</v>
      </c>
      <c r="Q191" s="5"/>
    </row>
    <row r="192" spans="1:17" s="185" customFormat="1" ht="16.5" x14ac:dyDescent="0.3">
      <c r="A192" s="60" t="str">
        <f>+K192</f>
        <v>Axel</v>
      </c>
      <c r="B192" s="187" t="s">
        <v>164</v>
      </c>
      <c r="C192" s="62">
        <v>6757</v>
      </c>
      <c r="D192" s="63">
        <f t="shared" ref="D192:D205" si="110">+L192</f>
        <v>337000</v>
      </c>
      <c r="E192" s="63">
        <f>+N192</f>
        <v>314650</v>
      </c>
      <c r="F192" s="63">
        <f>+M192</f>
        <v>0</v>
      </c>
      <c r="G192" s="63">
        <f t="shared" ref="G192:G194" si="111">+O192</f>
        <v>0</v>
      </c>
      <c r="H192" s="63">
        <v>29107</v>
      </c>
      <c r="I192" s="63">
        <f>+C192+D192-E192-F192+G192</f>
        <v>29107</v>
      </c>
      <c r="J192" s="9">
        <f>I192-H192</f>
        <v>0</v>
      </c>
      <c r="K192" s="186" t="s">
        <v>163</v>
      </c>
      <c r="L192" s="186">
        <v>337000</v>
      </c>
      <c r="M192" s="186">
        <v>0</v>
      </c>
      <c r="N192" s="186">
        <v>314650</v>
      </c>
      <c r="O192" s="186">
        <v>0</v>
      </c>
    </row>
    <row r="193" spans="1:17" ht="16.5" x14ac:dyDescent="0.3">
      <c r="A193" s="60" t="str">
        <f>+K193</f>
        <v>B52</v>
      </c>
      <c r="B193" s="61" t="s">
        <v>4</v>
      </c>
      <c r="C193" s="62">
        <v>0</v>
      </c>
      <c r="D193" s="63">
        <f t="shared" si="110"/>
        <v>118000</v>
      </c>
      <c r="E193" s="63">
        <f>+N193</f>
        <v>114000</v>
      </c>
      <c r="F193" s="63">
        <f>+M193</f>
        <v>0</v>
      </c>
      <c r="G193" s="63">
        <f t="shared" si="111"/>
        <v>0</v>
      </c>
      <c r="H193" s="63">
        <v>4000</v>
      </c>
      <c r="I193" s="63">
        <f>+C193+D193-E193-F193+G193</f>
        <v>4000</v>
      </c>
      <c r="J193" s="9">
        <f>I193-H193</f>
        <v>0</v>
      </c>
      <c r="K193" s="47" t="s">
        <v>173</v>
      </c>
      <c r="L193" s="49">
        <v>118000</v>
      </c>
      <c r="M193" s="49">
        <v>0</v>
      </c>
      <c r="N193" s="49">
        <v>114000</v>
      </c>
      <c r="O193" s="49">
        <v>0</v>
      </c>
      <c r="Q193" s="5"/>
    </row>
    <row r="194" spans="1:17" ht="16.5" x14ac:dyDescent="0.3">
      <c r="A194" s="60" t="str">
        <f>+K194</f>
        <v>BCI</v>
      </c>
      <c r="B194" s="61" t="s">
        <v>47</v>
      </c>
      <c r="C194" s="62">
        <v>6762063</v>
      </c>
      <c r="D194" s="63">
        <f t="shared" si="110"/>
        <v>0</v>
      </c>
      <c r="E194" s="63">
        <f>+N194</f>
        <v>23345</v>
      </c>
      <c r="F194" s="63">
        <f>+M194</f>
        <v>1000000</v>
      </c>
      <c r="G194" s="63">
        <f t="shared" si="111"/>
        <v>0</v>
      </c>
      <c r="H194" s="63">
        <v>5738718</v>
      </c>
      <c r="I194" s="63">
        <f>+C194+D194-E194-F194+G194</f>
        <v>5738718</v>
      </c>
      <c r="J194" s="9">
        <f t="shared" ref="J194:J201" si="112">I194-H194</f>
        <v>0</v>
      </c>
      <c r="K194" s="47" t="s">
        <v>24</v>
      </c>
      <c r="L194" s="49">
        <v>0</v>
      </c>
      <c r="M194" s="49">
        <v>1000000</v>
      </c>
      <c r="N194" s="49">
        <v>23345</v>
      </c>
      <c r="O194" s="49">
        <v>0</v>
      </c>
      <c r="Q194" s="5"/>
    </row>
    <row r="195" spans="1:17" ht="16.5" x14ac:dyDescent="0.3">
      <c r="A195" s="60" t="str">
        <f t="shared" ref="A195:A197" si="113">+K195</f>
        <v>BCI-Sous Compte</v>
      </c>
      <c r="B195" s="61" t="s">
        <v>47</v>
      </c>
      <c r="C195" s="62">
        <v>23107840</v>
      </c>
      <c r="D195" s="63">
        <f t="shared" si="110"/>
        <v>0</v>
      </c>
      <c r="E195" s="63">
        <f>+N195</f>
        <v>4020633</v>
      </c>
      <c r="F195" s="63">
        <f>+M195</f>
        <v>3000000</v>
      </c>
      <c r="G195" s="63">
        <f t="shared" ref="G195:G206" si="114">+O195</f>
        <v>0</v>
      </c>
      <c r="H195" s="63">
        <v>16087207</v>
      </c>
      <c r="I195" s="63">
        <f>+C195+D195-E195-F195+G195</f>
        <v>16087207</v>
      </c>
      <c r="J195" s="108">
        <f t="shared" si="112"/>
        <v>0</v>
      </c>
      <c r="K195" s="47" t="s">
        <v>158</v>
      </c>
      <c r="L195" s="49">
        <v>0</v>
      </c>
      <c r="M195" s="49">
        <v>3000000</v>
      </c>
      <c r="N195" s="49">
        <v>4020633</v>
      </c>
      <c r="O195" s="49">
        <v>0</v>
      </c>
      <c r="Q195" s="5"/>
    </row>
    <row r="196" spans="1:17" ht="16.5" x14ac:dyDescent="0.3">
      <c r="A196" s="60" t="str">
        <f t="shared" si="113"/>
        <v>Caisse</v>
      </c>
      <c r="B196" s="61" t="s">
        <v>25</v>
      </c>
      <c r="C196" s="62">
        <v>1685107</v>
      </c>
      <c r="D196" s="63">
        <f t="shared" si="110"/>
        <v>4090000</v>
      </c>
      <c r="E196" s="63">
        <f t="shared" ref="E196" si="115">+N196</f>
        <v>2854238</v>
      </c>
      <c r="F196" s="63">
        <f t="shared" ref="F196:F203" si="116">+M196</f>
        <v>1994500</v>
      </c>
      <c r="G196" s="63">
        <f t="shared" si="114"/>
        <v>0</v>
      </c>
      <c r="H196" s="63">
        <v>926369</v>
      </c>
      <c r="I196" s="63">
        <f>+C196+D196-E196-F196+G196</f>
        <v>926369</v>
      </c>
      <c r="J196" s="9">
        <f t="shared" si="112"/>
        <v>0</v>
      </c>
      <c r="K196" s="47" t="s">
        <v>25</v>
      </c>
      <c r="L196" s="49">
        <v>4090000</v>
      </c>
      <c r="M196" s="49">
        <v>1994500</v>
      </c>
      <c r="N196" s="49">
        <v>2854238</v>
      </c>
      <c r="O196" s="49">
        <v>0</v>
      </c>
      <c r="Q196" s="5"/>
    </row>
    <row r="197" spans="1:17" ht="16.5" x14ac:dyDescent="0.3">
      <c r="A197" s="60" t="str">
        <f t="shared" si="113"/>
        <v>Crépin</v>
      </c>
      <c r="B197" s="61" t="s">
        <v>164</v>
      </c>
      <c r="C197" s="62">
        <v>7200</v>
      </c>
      <c r="D197" s="63">
        <f t="shared" si="110"/>
        <v>286000</v>
      </c>
      <c r="E197" s="63">
        <f>+N197</f>
        <v>226875</v>
      </c>
      <c r="F197" s="63">
        <f t="shared" si="116"/>
        <v>70000</v>
      </c>
      <c r="G197" s="63">
        <f t="shared" si="114"/>
        <v>0</v>
      </c>
      <c r="H197" s="63">
        <v>-3675</v>
      </c>
      <c r="I197" s="63">
        <f t="shared" ref="I197" si="117">+C197+D197-E197-F197+G197</f>
        <v>-3675</v>
      </c>
      <c r="J197" s="9">
        <f t="shared" si="112"/>
        <v>0</v>
      </c>
      <c r="K197" s="47" t="s">
        <v>48</v>
      </c>
      <c r="L197" s="49">
        <v>286000</v>
      </c>
      <c r="M197" s="49">
        <v>70000</v>
      </c>
      <c r="N197" s="49">
        <v>226875</v>
      </c>
      <c r="O197" s="49">
        <v>0</v>
      </c>
      <c r="Q197" s="5"/>
    </row>
    <row r="198" spans="1:17" ht="16.5" x14ac:dyDescent="0.3">
      <c r="A198" s="60" t="str">
        <f>K198</f>
        <v>Evariste</v>
      </c>
      <c r="B198" s="61" t="s">
        <v>165</v>
      </c>
      <c r="C198" s="62">
        <v>10095</v>
      </c>
      <c r="D198" s="63">
        <f t="shared" si="110"/>
        <v>70500</v>
      </c>
      <c r="E198" s="63">
        <f t="shared" ref="E198" si="118">+N198</f>
        <v>73000</v>
      </c>
      <c r="F198" s="63">
        <f t="shared" si="116"/>
        <v>0</v>
      </c>
      <c r="G198" s="63">
        <f t="shared" si="114"/>
        <v>0</v>
      </c>
      <c r="H198" s="63">
        <v>7595</v>
      </c>
      <c r="I198" s="63">
        <f>+C198+D198-E198-F198+G198</f>
        <v>7595</v>
      </c>
      <c r="J198" s="9">
        <f t="shared" si="112"/>
        <v>0</v>
      </c>
      <c r="K198" s="47" t="s">
        <v>31</v>
      </c>
      <c r="L198" s="49">
        <v>70500</v>
      </c>
      <c r="M198" s="49">
        <v>0</v>
      </c>
      <c r="N198" s="49">
        <v>73000</v>
      </c>
      <c r="O198" s="49">
        <v>0</v>
      </c>
      <c r="Q198" s="5"/>
    </row>
    <row r="199" spans="1:17" ht="16.5" x14ac:dyDescent="0.3">
      <c r="A199" s="123" t="str">
        <f t="shared" ref="A199:A206" si="119">+K199</f>
        <v>I55S</v>
      </c>
      <c r="B199" s="124" t="s">
        <v>4</v>
      </c>
      <c r="C199" s="125">
        <v>233614</v>
      </c>
      <c r="D199" s="126">
        <f t="shared" si="110"/>
        <v>0</v>
      </c>
      <c r="E199" s="126">
        <f>+N199</f>
        <v>0</v>
      </c>
      <c r="F199" s="126">
        <f t="shared" si="116"/>
        <v>0</v>
      </c>
      <c r="G199" s="126">
        <f t="shared" si="114"/>
        <v>0</v>
      </c>
      <c r="H199" s="126">
        <v>233614</v>
      </c>
      <c r="I199" s="126">
        <f>+C199+D199-E199-F199+G199</f>
        <v>233614</v>
      </c>
      <c r="J199" s="9">
        <f t="shared" si="112"/>
        <v>0</v>
      </c>
      <c r="K199" s="47" t="s">
        <v>85</v>
      </c>
      <c r="L199" s="49">
        <v>0</v>
      </c>
      <c r="M199" s="49">
        <v>0</v>
      </c>
      <c r="N199" s="49">
        <v>0</v>
      </c>
      <c r="O199" s="49">
        <v>0</v>
      </c>
      <c r="Q199" s="5"/>
    </row>
    <row r="200" spans="1:17" ht="16.5" x14ac:dyDescent="0.3">
      <c r="A200" s="123" t="str">
        <f t="shared" si="119"/>
        <v>I73X</v>
      </c>
      <c r="B200" s="124" t="s">
        <v>4</v>
      </c>
      <c r="C200" s="125">
        <v>249769</v>
      </c>
      <c r="D200" s="126">
        <f t="shared" si="110"/>
        <v>0</v>
      </c>
      <c r="E200" s="126">
        <f>+N200</f>
        <v>0</v>
      </c>
      <c r="F200" s="126">
        <f t="shared" si="116"/>
        <v>0</v>
      </c>
      <c r="G200" s="126">
        <f t="shared" si="114"/>
        <v>0</v>
      </c>
      <c r="H200" s="126">
        <v>249769</v>
      </c>
      <c r="I200" s="126">
        <f t="shared" ref="I200:I203" si="120">+C200+D200-E200-F200+G200</f>
        <v>249769</v>
      </c>
      <c r="J200" s="9">
        <f t="shared" si="112"/>
        <v>0</v>
      </c>
      <c r="K200" s="47" t="s">
        <v>84</v>
      </c>
      <c r="L200" s="49">
        <v>0</v>
      </c>
      <c r="M200" s="49">
        <v>0</v>
      </c>
      <c r="N200" s="49">
        <v>0</v>
      </c>
      <c r="O200" s="49">
        <v>0</v>
      </c>
      <c r="Q200" s="5"/>
    </row>
    <row r="201" spans="1:17" ht="16.5" x14ac:dyDescent="0.3">
      <c r="A201" s="60" t="str">
        <f t="shared" si="119"/>
        <v>Godfré</v>
      </c>
      <c r="B201" s="104" t="s">
        <v>164</v>
      </c>
      <c r="C201" s="62">
        <v>3550</v>
      </c>
      <c r="D201" s="63">
        <f t="shared" si="110"/>
        <v>43000</v>
      </c>
      <c r="E201" s="179">
        <f t="shared" ref="E201:E206" si="121">+N201</f>
        <v>52550</v>
      </c>
      <c r="F201" s="63">
        <f t="shared" si="116"/>
        <v>0</v>
      </c>
      <c r="G201" s="63">
        <f t="shared" si="114"/>
        <v>0</v>
      </c>
      <c r="H201" s="63">
        <v>-6000</v>
      </c>
      <c r="I201" s="63">
        <f t="shared" si="120"/>
        <v>-6000</v>
      </c>
      <c r="J201" s="9">
        <f t="shared" si="112"/>
        <v>0</v>
      </c>
      <c r="K201" s="47" t="s">
        <v>153</v>
      </c>
      <c r="L201" s="49">
        <v>43000</v>
      </c>
      <c r="M201" s="49">
        <v>0</v>
      </c>
      <c r="N201" s="49">
        <v>52550</v>
      </c>
      <c r="O201" s="49">
        <v>0</v>
      </c>
      <c r="Q201" s="5"/>
    </row>
    <row r="202" spans="1:17" ht="16.5" x14ac:dyDescent="0.3">
      <c r="A202" s="60" t="str">
        <f t="shared" si="119"/>
        <v>Grace</v>
      </c>
      <c r="B202" s="61" t="s">
        <v>2</v>
      </c>
      <c r="C202" s="62">
        <v>61300</v>
      </c>
      <c r="D202" s="63">
        <f t="shared" si="110"/>
        <v>53000</v>
      </c>
      <c r="E202" s="179">
        <f t="shared" si="121"/>
        <v>45900</v>
      </c>
      <c r="F202" s="63">
        <f t="shared" si="116"/>
        <v>20000</v>
      </c>
      <c r="G202" s="63">
        <f t="shared" si="114"/>
        <v>0</v>
      </c>
      <c r="H202" s="63">
        <v>48400</v>
      </c>
      <c r="I202" s="63">
        <f t="shared" si="120"/>
        <v>48400</v>
      </c>
      <c r="J202" s="9">
        <f>I202-H202</f>
        <v>0</v>
      </c>
      <c r="K202" s="47" t="s">
        <v>152</v>
      </c>
      <c r="L202" s="49">
        <v>53000</v>
      </c>
      <c r="M202" s="49">
        <v>20000</v>
      </c>
      <c r="N202" s="49">
        <v>45900</v>
      </c>
      <c r="O202" s="49">
        <v>0</v>
      </c>
      <c r="Q202" s="5"/>
    </row>
    <row r="203" spans="1:17" ht="16.5" x14ac:dyDescent="0.3">
      <c r="A203" s="60" t="str">
        <f t="shared" si="119"/>
        <v>I23C</v>
      </c>
      <c r="B203" s="104" t="s">
        <v>4</v>
      </c>
      <c r="C203" s="62">
        <v>10800</v>
      </c>
      <c r="D203" s="63">
        <f t="shared" si="110"/>
        <v>488000</v>
      </c>
      <c r="E203" s="179">
        <f t="shared" si="121"/>
        <v>492000</v>
      </c>
      <c r="F203" s="63">
        <f t="shared" si="116"/>
        <v>0</v>
      </c>
      <c r="G203" s="63">
        <f t="shared" si="114"/>
        <v>0</v>
      </c>
      <c r="H203" s="63">
        <v>6800</v>
      </c>
      <c r="I203" s="63">
        <f t="shared" si="120"/>
        <v>6800</v>
      </c>
      <c r="J203" s="9">
        <f t="shared" ref="J203" si="122">I203-H203</f>
        <v>0</v>
      </c>
      <c r="K203" s="47" t="s">
        <v>30</v>
      </c>
      <c r="L203" s="49">
        <v>488000</v>
      </c>
      <c r="M203" s="49">
        <v>0</v>
      </c>
      <c r="N203" s="49">
        <v>492000</v>
      </c>
      <c r="O203" s="49">
        <v>0</v>
      </c>
      <c r="Q203" s="5"/>
    </row>
    <row r="204" spans="1:17" ht="16.5" x14ac:dyDescent="0.3">
      <c r="A204" s="60" t="str">
        <f t="shared" si="119"/>
        <v>Merveille</v>
      </c>
      <c r="B204" s="61" t="s">
        <v>2</v>
      </c>
      <c r="C204" s="62">
        <v>9500</v>
      </c>
      <c r="D204" s="63">
        <f t="shared" si="110"/>
        <v>20000</v>
      </c>
      <c r="E204" s="179">
        <f t="shared" si="121"/>
        <v>24000</v>
      </c>
      <c r="F204" s="63">
        <f t="shared" ref="F204" si="123">+M204</f>
        <v>0</v>
      </c>
      <c r="G204" s="63">
        <f t="shared" ref="G204" si="124">+O204</f>
        <v>0</v>
      </c>
      <c r="H204" s="63">
        <v>5500</v>
      </c>
      <c r="I204" s="63">
        <f t="shared" ref="I204" si="125">+C204+D204-E204-F204+G204</f>
        <v>5500</v>
      </c>
      <c r="J204" s="9">
        <f t="shared" ref="J204" si="126">I204-H204</f>
        <v>0</v>
      </c>
      <c r="K204" s="47" t="s">
        <v>94</v>
      </c>
      <c r="L204" s="49">
        <v>20000</v>
      </c>
      <c r="M204" s="49">
        <v>0</v>
      </c>
      <c r="N204" s="49">
        <v>24000</v>
      </c>
      <c r="O204" s="49"/>
      <c r="Q204" s="5"/>
    </row>
    <row r="205" spans="1:17" ht="16.5" x14ac:dyDescent="0.3">
      <c r="A205" s="60" t="str">
        <f t="shared" si="119"/>
        <v>P29</v>
      </c>
      <c r="B205" s="61" t="s">
        <v>4</v>
      </c>
      <c r="C205" s="62">
        <v>21200</v>
      </c>
      <c r="D205" s="63">
        <f t="shared" si="110"/>
        <v>543000</v>
      </c>
      <c r="E205" s="179">
        <f t="shared" si="121"/>
        <v>533500</v>
      </c>
      <c r="F205" s="63">
        <f>+M205</f>
        <v>0</v>
      </c>
      <c r="G205" s="63">
        <f>+O205</f>
        <v>0</v>
      </c>
      <c r="H205" s="63">
        <v>30700</v>
      </c>
      <c r="I205" s="63">
        <f>+C205+D205-E205-F205+G205</f>
        <v>30700</v>
      </c>
      <c r="J205" s="9">
        <f>I205-H205</f>
        <v>0</v>
      </c>
      <c r="K205" s="47" t="s">
        <v>29</v>
      </c>
      <c r="L205" s="49">
        <v>543000</v>
      </c>
      <c r="M205" s="49">
        <v>0</v>
      </c>
      <c r="N205" s="49">
        <v>533500</v>
      </c>
      <c r="O205" s="49">
        <v>0</v>
      </c>
      <c r="Q205" s="5"/>
    </row>
    <row r="206" spans="1:17" ht="16.5" x14ac:dyDescent="0.3">
      <c r="A206" s="60" t="str">
        <f t="shared" si="119"/>
        <v>Tiffany</v>
      </c>
      <c r="B206" s="61" t="s">
        <v>2</v>
      </c>
      <c r="C206" s="62">
        <v>26193</v>
      </c>
      <c r="D206" s="63">
        <f t="shared" ref="D206" si="127">+L206</f>
        <v>36000</v>
      </c>
      <c r="E206" s="179">
        <f t="shared" si="121"/>
        <v>53000</v>
      </c>
      <c r="F206" s="63">
        <f t="shared" ref="F206" si="128">+M206</f>
        <v>0</v>
      </c>
      <c r="G206" s="63">
        <f t="shared" si="114"/>
        <v>0</v>
      </c>
      <c r="H206" s="63">
        <v>9193</v>
      </c>
      <c r="I206" s="63">
        <f t="shared" ref="I206" si="129">+C206+D206-E206-F206+G206</f>
        <v>9193</v>
      </c>
      <c r="J206" s="9">
        <f t="shared" ref="J206" si="130">I206-H206</f>
        <v>0</v>
      </c>
      <c r="K206" s="47" t="s">
        <v>114</v>
      </c>
      <c r="L206" s="49">
        <v>36000</v>
      </c>
      <c r="M206" s="49">
        <v>0</v>
      </c>
      <c r="N206" s="49">
        <v>53000</v>
      </c>
      <c r="O206" s="49">
        <v>0</v>
      </c>
      <c r="Q206" s="5"/>
    </row>
    <row r="207" spans="1:17" ht="16.5" x14ac:dyDescent="0.3">
      <c r="A207" s="10" t="s">
        <v>51</v>
      </c>
      <c r="B207" s="11"/>
      <c r="C207" s="12">
        <f>SUM(C192:C206)</f>
        <v>32194988</v>
      </c>
      <c r="D207" s="59">
        <f t="shared" ref="D207:G207" si="131">SUM(D192:D206)</f>
        <v>6084500</v>
      </c>
      <c r="E207" s="59">
        <f t="shared" si="131"/>
        <v>8827691</v>
      </c>
      <c r="F207" s="59">
        <f t="shared" si="131"/>
        <v>6084500</v>
      </c>
      <c r="G207" s="59">
        <f t="shared" si="131"/>
        <v>0</v>
      </c>
      <c r="H207" s="59">
        <f>SUM(H192:H206)</f>
        <v>23367297</v>
      </c>
      <c r="I207" s="59">
        <f>SUM(I192:I206)</f>
        <v>23367297</v>
      </c>
      <c r="J207" s="9">
        <f>I207-H207</f>
        <v>0</v>
      </c>
      <c r="K207" s="3"/>
      <c r="L207" s="49">
        <v>6084500</v>
      </c>
      <c r="M207" s="49">
        <v>6084500</v>
      </c>
      <c r="N207" s="49">
        <v>8828291</v>
      </c>
      <c r="O207" s="49">
        <v>0</v>
      </c>
      <c r="Q207" s="5"/>
    </row>
    <row r="208" spans="1:17" ht="16.5" x14ac:dyDescent="0.3">
      <c r="A208" s="10"/>
      <c r="B208" s="11"/>
      <c r="C208" s="12"/>
      <c r="D208" s="13"/>
      <c r="E208" s="12"/>
      <c r="F208" s="13"/>
      <c r="G208" s="12"/>
      <c r="H208" s="12"/>
      <c r="I208" s="143" t="b">
        <f>I207=D210</f>
        <v>1</v>
      </c>
      <c r="L208" s="5"/>
      <c r="M208" s="5"/>
      <c r="N208" s="5"/>
      <c r="O208" s="5"/>
      <c r="Q208" s="5"/>
    </row>
    <row r="209" spans="1:17" ht="16.5" x14ac:dyDescent="0.3">
      <c r="A209" s="10" t="s">
        <v>169</v>
      </c>
      <c r="B209" s="11" t="s">
        <v>171</v>
      </c>
      <c r="C209" s="12" t="s">
        <v>175</v>
      </c>
      <c r="D209" s="12" t="s">
        <v>168</v>
      </c>
      <c r="E209" s="12" t="s">
        <v>52</v>
      </c>
      <c r="F209" s="12"/>
      <c r="G209" s="12">
        <f>+D207-F207</f>
        <v>0</v>
      </c>
      <c r="H209" s="12"/>
      <c r="I209" s="12"/>
      <c r="Q209" s="5"/>
    </row>
    <row r="210" spans="1:17" ht="16.5" x14ac:dyDescent="0.3">
      <c r="A210" s="14">
        <f>C207</f>
        <v>32194988</v>
      </c>
      <c r="B210" s="15">
        <f>G207</f>
        <v>0</v>
      </c>
      <c r="C210" s="12">
        <f>E207</f>
        <v>8827691</v>
      </c>
      <c r="D210" s="12">
        <f>A210+B210-C210</f>
        <v>23367297</v>
      </c>
      <c r="E210" s="13">
        <f>I207-D210</f>
        <v>0</v>
      </c>
      <c r="F210" s="12"/>
      <c r="G210" s="12"/>
      <c r="H210" s="12"/>
      <c r="I210" s="12"/>
      <c r="L210" s="5"/>
      <c r="M210" s="5"/>
      <c r="N210" s="5"/>
      <c r="O210" s="5"/>
      <c r="Q210" s="5"/>
    </row>
    <row r="211" spans="1:17" ht="16.5" x14ac:dyDescent="0.3">
      <c r="A211" s="14"/>
      <c r="B211" s="15"/>
      <c r="C211" s="12"/>
      <c r="D211" s="12"/>
      <c r="E211" s="13"/>
      <c r="F211" s="12"/>
      <c r="G211" s="12"/>
      <c r="H211" s="12"/>
      <c r="I211" s="12"/>
      <c r="L211" s="5"/>
      <c r="M211" s="5"/>
      <c r="N211" s="5"/>
      <c r="O211" s="5"/>
      <c r="Q211" s="5"/>
    </row>
    <row r="212" spans="1:17" x14ac:dyDescent="0.2">
      <c r="A212" s="16" t="s">
        <v>53</v>
      </c>
      <c r="B212" s="16"/>
      <c r="C212" s="16"/>
      <c r="D212" s="17"/>
      <c r="E212" s="17"/>
      <c r="F212" s="17"/>
      <c r="G212" s="17"/>
      <c r="H212" s="17"/>
      <c r="I212" s="17"/>
      <c r="L212" s="5"/>
      <c r="M212" s="5"/>
      <c r="N212" s="5"/>
      <c r="O212" s="5"/>
      <c r="Q212" s="5"/>
    </row>
    <row r="213" spans="1:17" x14ac:dyDescent="0.2">
      <c r="A213" s="18" t="s">
        <v>170</v>
      </c>
      <c r="B213" s="18"/>
      <c r="C213" s="18"/>
      <c r="D213" s="18"/>
      <c r="E213" s="18"/>
      <c r="F213" s="18"/>
      <c r="G213" s="18"/>
      <c r="H213" s="18"/>
      <c r="I213" s="18"/>
      <c r="J213" s="18"/>
      <c r="L213" s="5"/>
      <c r="M213" s="5"/>
      <c r="N213" s="5"/>
      <c r="O213" s="5"/>
      <c r="Q213" s="5"/>
    </row>
    <row r="214" spans="1:17" x14ac:dyDescent="0.2">
      <c r="A214" s="19"/>
      <c r="B214" s="20"/>
      <c r="C214" s="21"/>
      <c r="D214" s="21"/>
      <c r="E214" s="21"/>
      <c r="F214" s="21"/>
      <c r="G214" s="21"/>
      <c r="H214" s="20"/>
      <c r="I214" s="20"/>
      <c r="L214" s="5"/>
      <c r="M214" s="5"/>
      <c r="N214" s="5"/>
      <c r="O214" s="5"/>
      <c r="Q214" s="5"/>
    </row>
    <row r="215" spans="1:17" x14ac:dyDescent="0.2">
      <c r="A215" s="386" t="s">
        <v>54</v>
      </c>
      <c r="B215" s="388" t="s">
        <v>55</v>
      </c>
      <c r="C215" s="390" t="s">
        <v>172</v>
      </c>
      <c r="D215" s="392" t="s">
        <v>56</v>
      </c>
      <c r="E215" s="393"/>
      <c r="F215" s="393"/>
      <c r="G215" s="394"/>
      <c r="H215" s="395" t="s">
        <v>57</v>
      </c>
      <c r="I215" s="382" t="s">
        <v>58</v>
      </c>
      <c r="J215" s="20"/>
      <c r="L215" s="5"/>
      <c r="M215" s="5"/>
      <c r="N215" s="5"/>
      <c r="O215" s="5"/>
      <c r="Q215" s="5"/>
    </row>
    <row r="216" spans="1:17" ht="28.5" customHeight="1" x14ac:dyDescent="0.25">
      <c r="A216" s="387"/>
      <c r="B216" s="389"/>
      <c r="C216" s="391"/>
      <c r="D216" s="22" t="s">
        <v>24</v>
      </c>
      <c r="E216" s="22" t="s">
        <v>25</v>
      </c>
      <c r="F216" s="188" t="s">
        <v>124</v>
      </c>
      <c r="G216" s="22" t="s">
        <v>59</v>
      </c>
      <c r="H216" s="396"/>
      <c r="I216" s="383"/>
      <c r="J216" s="384" t="s">
        <v>182</v>
      </c>
      <c r="K216" s="155"/>
      <c r="L216" s="5"/>
      <c r="M216" s="5"/>
      <c r="N216" s="5"/>
      <c r="O216" s="5"/>
      <c r="Q216" s="5"/>
    </row>
    <row r="217" spans="1:17" x14ac:dyDescent="0.2">
      <c r="A217" s="24"/>
      <c r="B217" s="25" t="s">
        <v>60</v>
      </c>
      <c r="C217" s="26"/>
      <c r="D217" s="26"/>
      <c r="E217" s="26"/>
      <c r="F217" s="26"/>
      <c r="G217" s="26"/>
      <c r="H217" s="26"/>
      <c r="I217" s="27"/>
      <c r="J217" s="385"/>
      <c r="K217" s="155"/>
      <c r="L217" s="5"/>
      <c r="M217" s="5"/>
      <c r="N217" s="5"/>
      <c r="O217" s="5"/>
      <c r="Q217" s="5"/>
    </row>
    <row r="218" spans="1:17" x14ac:dyDescent="0.2">
      <c r="A218" s="130" t="s">
        <v>99</v>
      </c>
      <c r="B218" s="135" t="s">
        <v>163</v>
      </c>
      <c r="C218" s="33">
        <f>+C192</f>
        <v>6757</v>
      </c>
      <c r="D218" s="32"/>
      <c r="E218" s="33">
        <f>D192</f>
        <v>337000</v>
      </c>
      <c r="F218" s="33"/>
      <c r="G218" s="33"/>
      <c r="H218" s="57">
        <f>+F192</f>
        <v>0</v>
      </c>
      <c r="I218" s="33">
        <f>+E192</f>
        <v>314650</v>
      </c>
      <c r="J218" s="31">
        <f>+SUM(C218:G218)-(H218+I218)</f>
        <v>29107</v>
      </c>
      <c r="K218" s="156" t="b">
        <f>J218=I192</f>
        <v>1</v>
      </c>
      <c r="L218" s="5"/>
      <c r="M218" s="5"/>
      <c r="N218" s="5"/>
      <c r="O218" s="5"/>
      <c r="Q218" s="5"/>
    </row>
    <row r="219" spans="1:17" x14ac:dyDescent="0.2">
      <c r="A219" s="130" t="str">
        <f>A218</f>
        <v>NOVEMBRE</v>
      </c>
      <c r="B219" s="135" t="s">
        <v>173</v>
      </c>
      <c r="C219" s="33">
        <f>+C193</f>
        <v>0</v>
      </c>
      <c r="D219" s="32"/>
      <c r="E219" s="33">
        <f>+D193</f>
        <v>118000</v>
      </c>
      <c r="F219" s="33"/>
      <c r="G219" s="33"/>
      <c r="H219" s="57">
        <f>+F193</f>
        <v>0</v>
      </c>
      <c r="I219" s="33">
        <f>+E193</f>
        <v>114000</v>
      </c>
      <c r="J219" s="31">
        <f t="shared" ref="J219:J220" si="132">+SUM(C219:G219)-(H219+I219)</f>
        <v>4000</v>
      </c>
      <c r="K219" s="156" t="b">
        <f>J219=I193</f>
        <v>1</v>
      </c>
      <c r="L219" s="5"/>
      <c r="M219" s="5"/>
      <c r="N219" s="5"/>
      <c r="O219" s="5"/>
      <c r="Q219" s="5"/>
    </row>
    <row r="220" spans="1:17" x14ac:dyDescent="0.2">
      <c r="A220" s="130" t="str">
        <f>+A219</f>
        <v>NOVEMBRE</v>
      </c>
      <c r="B220" s="135" t="s">
        <v>48</v>
      </c>
      <c r="C220" s="33">
        <f>+C197</f>
        <v>7200</v>
      </c>
      <c r="D220" s="32"/>
      <c r="E220" s="33">
        <f>+D197</f>
        <v>286000</v>
      </c>
      <c r="F220" s="33"/>
      <c r="G220" s="33"/>
      <c r="H220" s="57">
        <f>+F197</f>
        <v>70000</v>
      </c>
      <c r="I220" s="33">
        <f>+E197</f>
        <v>226875</v>
      </c>
      <c r="J220" s="107">
        <f t="shared" si="132"/>
        <v>-3675</v>
      </c>
      <c r="K220" s="156" t="b">
        <f>J220=I197</f>
        <v>1</v>
      </c>
      <c r="L220" s="5"/>
      <c r="M220" s="5"/>
      <c r="N220" s="5"/>
      <c r="O220" s="5"/>
      <c r="Q220" s="5"/>
    </row>
    <row r="221" spans="1:17" x14ac:dyDescent="0.2">
      <c r="A221" s="130" t="str">
        <f t="shared" ref="A221:A229" si="133">+A220</f>
        <v>NOVEMBRE</v>
      </c>
      <c r="B221" s="136" t="s">
        <v>31</v>
      </c>
      <c r="C221" s="33">
        <f>+C198</f>
        <v>10095</v>
      </c>
      <c r="D221" s="127"/>
      <c r="E221" s="33">
        <f>+D198</f>
        <v>70500</v>
      </c>
      <c r="F221" s="53"/>
      <c r="G221" s="53"/>
      <c r="H221" s="57">
        <f>+F198</f>
        <v>0</v>
      </c>
      <c r="I221" s="33">
        <f>+E198</f>
        <v>73000</v>
      </c>
      <c r="J221" s="132">
        <f>+SUM(C221:G221)-(H221+I221)</f>
        <v>7595</v>
      </c>
      <c r="K221" s="156" t="b">
        <f t="shared" ref="K221:K229" si="134">J221=I198</f>
        <v>1</v>
      </c>
      <c r="L221" s="5"/>
      <c r="M221" s="5"/>
      <c r="N221" s="5"/>
      <c r="O221" s="5"/>
      <c r="Q221" s="5"/>
    </row>
    <row r="222" spans="1:17" x14ac:dyDescent="0.2">
      <c r="A222" s="130" t="str">
        <f t="shared" si="133"/>
        <v>NOVEMBRE</v>
      </c>
      <c r="B222" s="137" t="s">
        <v>85</v>
      </c>
      <c r="C222" s="128">
        <f>+C199</f>
        <v>233614</v>
      </c>
      <c r="D222" s="131"/>
      <c r="E222" s="128">
        <f>+D199</f>
        <v>0</v>
      </c>
      <c r="F222" s="146"/>
      <c r="G222" s="146"/>
      <c r="H222" s="180">
        <f>+F199</f>
        <v>0</v>
      </c>
      <c r="I222" s="128">
        <f>+E199</f>
        <v>0</v>
      </c>
      <c r="J222" s="129">
        <f>+SUM(C222:G222)-(H222+I222)</f>
        <v>233614</v>
      </c>
      <c r="K222" s="156" t="b">
        <f t="shared" si="134"/>
        <v>1</v>
      </c>
      <c r="L222" s="5"/>
      <c r="M222" s="5"/>
      <c r="N222" s="5"/>
      <c r="O222" s="5"/>
      <c r="Q222" s="5"/>
    </row>
    <row r="223" spans="1:17" x14ac:dyDescent="0.2">
      <c r="A223" s="130" t="str">
        <f t="shared" si="133"/>
        <v>NOVEMBRE</v>
      </c>
      <c r="B223" s="137" t="s">
        <v>84</v>
      </c>
      <c r="C223" s="128">
        <f>+C200</f>
        <v>249769</v>
      </c>
      <c r="D223" s="131"/>
      <c r="E223" s="128">
        <f>+D200</f>
        <v>0</v>
      </c>
      <c r="F223" s="146"/>
      <c r="G223" s="146"/>
      <c r="H223" s="180">
        <f>+F200</f>
        <v>0</v>
      </c>
      <c r="I223" s="128">
        <f>+E200</f>
        <v>0</v>
      </c>
      <c r="J223" s="129">
        <f t="shared" ref="J223:J229" si="135">+SUM(C223:G223)-(H223+I223)</f>
        <v>249769</v>
      </c>
      <c r="K223" s="156" t="b">
        <f t="shared" si="134"/>
        <v>1</v>
      </c>
      <c r="L223" s="5"/>
      <c r="M223" s="5"/>
      <c r="N223" s="5"/>
      <c r="O223" s="5"/>
      <c r="Q223" s="5"/>
    </row>
    <row r="224" spans="1:17" x14ac:dyDescent="0.2">
      <c r="A224" s="130" t="str">
        <f t="shared" si="133"/>
        <v>NOVEMBRE</v>
      </c>
      <c r="B224" s="135" t="s">
        <v>153</v>
      </c>
      <c r="C224" s="33">
        <f>+C201</f>
        <v>3550</v>
      </c>
      <c r="D224" s="32"/>
      <c r="E224" s="33">
        <f>+D201</f>
        <v>43000</v>
      </c>
      <c r="F224" s="33"/>
      <c r="G224" s="110"/>
      <c r="H224" s="57">
        <f>+F201</f>
        <v>0</v>
      </c>
      <c r="I224" s="33">
        <f>+E201</f>
        <v>52550</v>
      </c>
      <c r="J224" s="31">
        <f t="shared" si="135"/>
        <v>-6000</v>
      </c>
      <c r="K224" s="156" t="b">
        <f t="shared" si="134"/>
        <v>1</v>
      </c>
      <c r="L224" s="5"/>
      <c r="M224" s="5"/>
      <c r="N224" s="5"/>
      <c r="O224" s="5"/>
      <c r="Q224" s="5"/>
    </row>
    <row r="225" spans="1:17" x14ac:dyDescent="0.2">
      <c r="A225" s="130" t="str">
        <f t="shared" si="133"/>
        <v>NOVEMBRE</v>
      </c>
      <c r="B225" s="135" t="s">
        <v>152</v>
      </c>
      <c r="C225" s="33">
        <f t="shared" ref="C225:C229" si="136">+C202</f>
        <v>61300</v>
      </c>
      <c r="D225" s="32"/>
      <c r="E225" s="33">
        <f t="shared" ref="E225:E229" si="137">+D202</f>
        <v>53000</v>
      </c>
      <c r="F225" s="33"/>
      <c r="G225" s="110"/>
      <c r="H225" s="57">
        <f t="shared" ref="H225:H229" si="138">+F202</f>
        <v>20000</v>
      </c>
      <c r="I225" s="33">
        <f t="shared" ref="I225:I229" si="139">+E202</f>
        <v>45900</v>
      </c>
      <c r="J225" s="31">
        <f t="shared" si="135"/>
        <v>48400</v>
      </c>
      <c r="K225" s="156" t="b">
        <f t="shared" si="134"/>
        <v>1</v>
      </c>
      <c r="L225" s="5"/>
      <c r="M225" s="5"/>
      <c r="N225" s="5"/>
      <c r="O225" s="5"/>
      <c r="Q225" s="5"/>
    </row>
    <row r="226" spans="1:17" x14ac:dyDescent="0.2">
      <c r="A226" s="130" t="str">
        <f t="shared" si="133"/>
        <v>NOVEMBRE</v>
      </c>
      <c r="B226" s="135" t="s">
        <v>30</v>
      </c>
      <c r="C226" s="33">
        <f t="shared" si="136"/>
        <v>10800</v>
      </c>
      <c r="D226" s="32"/>
      <c r="E226" s="33">
        <f t="shared" si="137"/>
        <v>488000</v>
      </c>
      <c r="F226" s="33"/>
      <c r="G226" s="110"/>
      <c r="H226" s="57">
        <f t="shared" si="138"/>
        <v>0</v>
      </c>
      <c r="I226" s="33">
        <f t="shared" si="139"/>
        <v>492000</v>
      </c>
      <c r="J226" s="31">
        <f t="shared" si="135"/>
        <v>6800</v>
      </c>
      <c r="K226" s="156" t="b">
        <f t="shared" si="134"/>
        <v>1</v>
      </c>
      <c r="L226" s="5"/>
      <c r="M226" s="5"/>
      <c r="N226" s="5"/>
      <c r="O226" s="5"/>
      <c r="Q226" s="5"/>
    </row>
    <row r="227" spans="1:17" x14ac:dyDescent="0.2">
      <c r="A227" s="130" t="str">
        <f>+A225</f>
        <v>NOVEMBRE</v>
      </c>
      <c r="B227" s="135" t="s">
        <v>94</v>
      </c>
      <c r="C227" s="33">
        <f t="shared" si="136"/>
        <v>9500</v>
      </c>
      <c r="D227" s="32"/>
      <c r="E227" s="33">
        <f t="shared" si="137"/>
        <v>20000</v>
      </c>
      <c r="F227" s="33"/>
      <c r="G227" s="110"/>
      <c r="H227" s="57">
        <f t="shared" si="138"/>
        <v>0</v>
      </c>
      <c r="I227" s="33">
        <f t="shared" si="139"/>
        <v>24000</v>
      </c>
      <c r="J227" s="31">
        <f t="shared" si="135"/>
        <v>5500</v>
      </c>
      <c r="K227" s="156" t="b">
        <f t="shared" si="134"/>
        <v>1</v>
      </c>
      <c r="L227" s="5"/>
      <c r="M227" s="5"/>
      <c r="N227" s="5"/>
      <c r="O227" s="5"/>
      <c r="Q227" s="5"/>
    </row>
    <row r="228" spans="1:17" x14ac:dyDescent="0.2">
      <c r="A228" s="130" t="str">
        <f>+A226</f>
        <v>NOVEMBRE</v>
      </c>
      <c r="B228" s="135" t="s">
        <v>29</v>
      </c>
      <c r="C228" s="33">
        <f t="shared" si="136"/>
        <v>21200</v>
      </c>
      <c r="D228" s="32"/>
      <c r="E228" s="33">
        <f t="shared" si="137"/>
        <v>543000</v>
      </c>
      <c r="F228" s="33"/>
      <c r="G228" s="110"/>
      <c r="H228" s="57">
        <f t="shared" si="138"/>
        <v>0</v>
      </c>
      <c r="I228" s="33">
        <f t="shared" si="139"/>
        <v>533500</v>
      </c>
      <c r="J228" s="31">
        <f t="shared" si="135"/>
        <v>30700</v>
      </c>
      <c r="K228" s="156" t="b">
        <f t="shared" si="134"/>
        <v>1</v>
      </c>
      <c r="L228" s="5"/>
      <c r="M228" s="5"/>
      <c r="N228" s="5"/>
      <c r="O228" s="5"/>
      <c r="Q228" s="5"/>
    </row>
    <row r="229" spans="1:17" x14ac:dyDescent="0.2">
      <c r="A229" s="130" t="str">
        <f t="shared" si="133"/>
        <v>NOVEMBRE</v>
      </c>
      <c r="B229" s="136" t="s">
        <v>114</v>
      </c>
      <c r="C229" s="33">
        <f t="shared" si="136"/>
        <v>26193</v>
      </c>
      <c r="D229" s="127"/>
      <c r="E229" s="33">
        <f t="shared" si="137"/>
        <v>36000</v>
      </c>
      <c r="F229" s="53"/>
      <c r="G229" s="147"/>
      <c r="H229" s="57">
        <f t="shared" si="138"/>
        <v>0</v>
      </c>
      <c r="I229" s="33">
        <f t="shared" si="139"/>
        <v>53000</v>
      </c>
      <c r="J229" s="31">
        <f t="shared" si="135"/>
        <v>9193</v>
      </c>
      <c r="K229" s="156" t="b">
        <f t="shared" si="134"/>
        <v>1</v>
      </c>
      <c r="L229" s="5"/>
      <c r="M229" s="5"/>
      <c r="N229" s="5"/>
      <c r="O229" s="5"/>
      <c r="Q229" s="5"/>
    </row>
    <row r="230" spans="1:17" x14ac:dyDescent="0.2">
      <c r="A230" s="35" t="s">
        <v>61</v>
      </c>
      <c r="B230" s="36"/>
      <c r="C230" s="36"/>
      <c r="D230" s="36"/>
      <c r="E230" s="36"/>
      <c r="F230" s="36"/>
      <c r="G230" s="36"/>
      <c r="H230" s="36"/>
      <c r="I230" s="36"/>
      <c r="J230" s="37"/>
      <c r="K230" s="155"/>
      <c r="L230" s="5"/>
      <c r="M230" s="5"/>
      <c r="N230" s="5"/>
      <c r="O230" s="5"/>
      <c r="Q230" s="5"/>
    </row>
    <row r="231" spans="1:17" x14ac:dyDescent="0.2">
      <c r="A231" s="130" t="str">
        <f>+A229</f>
        <v>NOVEMBRE</v>
      </c>
      <c r="B231" s="38" t="s">
        <v>62</v>
      </c>
      <c r="C231" s="39">
        <f>+C196</f>
        <v>1685107</v>
      </c>
      <c r="D231" s="51"/>
      <c r="E231" s="51">
        <f>D196</f>
        <v>4090000</v>
      </c>
      <c r="F231" s="51"/>
      <c r="G231" s="133"/>
      <c r="H231" s="53">
        <f>+F196</f>
        <v>1994500</v>
      </c>
      <c r="I231" s="134">
        <f>+E196</f>
        <v>2854238</v>
      </c>
      <c r="J231" s="46">
        <f>+SUM(C231:G231)-(H231+I231)</f>
        <v>926369</v>
      </c>
      <c r="K231" s="156" t="b">
        <f>J231=I196</f>
        <v>1</v>
      </c>
      <c r="L231" s="5"/>
      <c r="M231" s="5"/>
      <c r="N231" s="5"/>
      <c r="O231" s="5"/>
      <c r="Q231" s="5"/>
    </row>
    <row r="232" spans="1:17" x14ac:dyDescent="0.2">
      <c r="A232" s="44" t="s">
        <v>63</v>
      </c>
      <c r="B232" s="25"/>
      <c r="C232" s="36"/>
      <c r="D232" s="25"/>
      <c r="E232" s="25"/>
      <c r="F232" s="25"/>
      <c r="G232" s="25"/>
      <c r="H232" s="25"/>
      <c r="I232" s="25"/>
      <c r="J232" s="37"/>
      <c r="K232" s="155"/>
      <c r="L232" s="5"/>
      <c r="M232" s="5"/>
      <c r="N232" s="5"/>
      <c r="O232" s="5"/>
      <c r="Q232" s="5"/>
    </row>
    <row r="233" spans="1:17" x14ac:dyDescent="0.2">
      <c r="A233" s="130" t="str">
        <f>+A231</f>
        <v>NOVEMBRE</v>
      </c>
      <c r="B233" s="38" t="s">
        <v>167</v>
      </c>
      <c r="C233" s="133">
        <f>+C194</f>
        <v>6762063</v>
      </c>
      <c r="D233" s="140">
        <f>+G194</f>
        <v>0</v>
      </c>
      <c r="E233" s="51"/>
      <c r="F233" s="51"/>
      <c r="G233" s="51"/>
      <c r="H233" s="53">
        <f>+F194</f>
        <v>1000000</v>
      </c>
      <c r="I233" s="55">
        <f>+E194</f>
        <v>23345</v>
      </c>
      <c r="J233" s="46">
        <f>+SUM(C233:G233)-(H233+I233)</f>
        <v>5738718</v>
      </c>
      <c r="K233" s="156" t="b">
        <f>+J233=I194</f>
        <v>1</v>
      </c>
      <c r="L233" s="5"/>
      <c r="M233" s="5"/>
      <c r="N233" s="5"/>
      <c r="O233" s="5"/>
      <c r="Q233" s="5"/>
    </row>
    <row r="234" spans="1:17" x14ac:dyDescent="0.2">
      <c r="A234" s="130" t="str">
        <f t="shared" ref="A234" si="140">+A233</f>
        <v>NOVEMBRE</v>
      </c>
      <c r="B234" s="38" t="s">
        <v>65</v>
      </c>
      <c r="C234" s="133">
        <f>+C195</f>
        <v>23107840</v>
      </c>
      <c r="D234" s="51">
        <f>+G195</f>
        <v>0</v>
      </c>
      <c r="E234" s="50"/>
      <c r="F234" s="50"/>
      <c r="G234" s="50"/>
      <c r="H234" s="33">
        <f>+F195</f>
        <v>3000000</v>
      </c>
      <c r="I234" s="52">
        <f>+E195</f>
        <v>4020633</v>
      </c>
      <c r="J234" s="46">
        <f>SUM(C234:G234)-(H234+I234)</f>
        <v>16087207</v>
      </c>
      <c r="K234" s="156" t="b">
        <f>+J234=I195</f>
        <v>1</v>
      </c>
      <c r="L234" s="5"/>
      <c r="M234" s="5"/>
      <c r="N234" s="5"/>
      <c r="O234" s="5"/>
      <c r="Q234" s="5"/>
    </row>
    <row r="235" spans="1:17" ht="15.75" x14ac:dyDescent="0.25">
      <c r="C235" s="151">
        <f>SUM(C219:C234)</f>
        <v>32188231</v>
      </c>
      <c r="I235" s="149">
        <f>SUM(I219:I234)</f>
        <v>8513041</v>
      </c>
      <c r="J235" s="111">
        <f>+SUM(J218:J234)</f>
        <v>23367297</v>
      </c>
      <c r="K235" s="5" t="b">
        <f>J235=I207</f>
        <v>1</v>
      </c>
      <c r="L235" s="5"/>
      <c r="M235" s="5"/>
      <c r="N235" s="5"/>
      <c r="O235" s="5"/>
      <c r="Q235" s="5"/>
    </row>
    <row r="236" spans="1:17" x14ac:dyDescent="0.25">
      <c r="G236" s="9"/>
      <c r="L236" s="5"/>
      <c r="M236" s="5"/>
      <c r="N236" s="5"/>
      <c r="O236" s="5"/>
      <c r="Q236" s="5"/>
    </row>
    <row r="237" spans="1:17" x14ac:dyDescent="0.2">
      <c r="A237" s="16" t="s">
        <v>53</v>
      </c>
      <c r="B237" s="16"/>
      <c r="C237" s="16"/>
      <c r="D237" s="17"/>
      <c r="E237" s="17"/>
      <c r="F237" s="17"/>
      <c r="G237" s="17"/>
      <c r="H237" s="17"/>
      <c r="I237" s="17"/>
      <c r="L237" s="5"/>
      <c r="M237" s="5"/>
      <c r="N237" s="5"/>
      <c r="O237" s="5"/>
      <c r="Q237" s="5"/>
    </row>
    <row r="238" spans="1:17" x14ac:dyDescent="0.2">
      <c r="A238" s="18" t="s">
        <v>162</v>
      </c>
      <c r="B238" s="18"/>
      <c r="C238" s="18"/>
      <c r="D238" s="18"/>
      <c r="E238" s="18"/>
      <c r="F238" s="18"/>
      <c r="G238" s="18"/>
      <c r="H238" s="18"/>
      <c r="I238" s="18"/>
      <c r="J238" s="18"/>
      <c r="L238" s="5"/>
      <c r="M238" s="5"/>
      <c r="N238" s="5"/>
      <c r="O238" s="5"/>
      <c r="Q238" s="5"/>
    </row>
    <row r="239" spans="1:17" x14ac:dyDescent="0.2">
      <c r="A239" s="19"/>
      <c r="B239" s="20"/>
      <c r="C239" s="21"/>
      <c r="D239" s="21"/>
      <c r="E239" s="21"/>
      <c r="F239" s="21"/>
      <c r="G239" s="21"/>
      <c r="H239" s="20"/>
      <c r="I239" s="20"/>
      <c r="L239" s="5"/>
      <c r="M239" s="5"/>
      <c r="N239" s="5"/>
      <c r="O239" s="5"/>
      <c r="Q239" s="5"/>
    </row>
    <row r="240" spans="1:17" x14ac:dyDescent="0.2">
      <c r="A240" s="386" t="s">
        <v>54</v>
      </c>
      <c r="B240" s="388" t="s">
        <v>55</v>
      </c>
      <c r="C240" s="390" t="s">
        <v>159</v>
      </c>
      <c r="D240" s="392" t="s">
        <v>56</v>
      </c>
      <c r="E240" s="393"/>
      <c r="F240" s="393"/>
      <c r="G240" s="394"/>
      <c r="H240" s="395" t="s">
        <v>57</v>
      </c>
      <c r="I240" s="382" t="s">
        <v>58</v>
      </c>
      <c r="J240" s="20"/>
      <c r="L240" s="5"/>
      <c r="M240" s="5"/>
      <c r="N240" s="5"/>
      <c r="O240" s="5"/>
      <c r="Q240" s="5"/>
    </row>
    <row r="241" spans="1:17" x14ac:dyDescent="0.25">
      <c r="A241" s="387"/>
      <c r="B241" s="389"/>
      <c r="C241" s="391"/>
      <c r="D241" s="22" t="s">
        <v>24</v>
      </c>
      <c r="E241" s="22" t="s">
        <v>25</v>
      </c>
      <c r="F241" s="182" t="s">
        <v>124</v>
      </c>
      <c r="G241" s="22" t="s">
        <v>59</v>
      </c>
      <c r="H241" s="396"/>
      <c r="I241" s="383"/>
      <c r="J241" s="384" t="s">
        <v>160</v>
      </c>
      <c r="K241" s="155"/>
      <c r="L241" s="5"/>
      <c r="M241" s="5"/>
      <c r="N241" s="5"/>
      <c r="O241" s="5"/>
      <c r="Q241" s="5"/>
    </row>
    <row r="242" spans="1:17" x14ac:dyDescent="0.2">
      <c r="A242" s="24"/>
      <c r="B242" s="25" t="s">
        <v>60</v>
      </c>
      <c r="C242" s="26"/>
      <c r="D242" s="26"/>
      <c r="E242" s="26"/>
      <c r="F242" s="26"/>
      <c r="G242" s="26"/>
      <c r="H242" s="26"/>
      <c r="I242" s="27"/>
      <c r="J242" s="385"/>
      <c r="K242" s="155"/>
      <c r="L242" s="5"/>
      <c r="M242" s="5"/>
      <c r="N242" s="5"/>
      <c r="O242" s="5"/>
      <c r="Q242" s="5"/>
    </row>
    <row r="243" spans="1:17" x14ac:dyDescent="0.2">
      <c r="A243" s="130" t="s">
        <v>91</v>
      </c>
      <c r="B243" s="135" t="s">
        <v>163</v>
      </c>
      <c r="C243" s="33">
        <f>+C192</f>
        <v>6757</v>
      </c>
      <c r="D243" s="32"/>
      <c r="E243" s="33">
        <f>+D192</f>
        <v>337000</v>
      </c>
      <c r="F243" s="33"/>
      <c r="G243" s="33"/>
      <c r="H243" s="57">
        <f>+F192</f>
        <v>0</v>
      </c>
      <c r="I243" s="33">
        <f>+E192</f>
        <v>314650</v>
      </c>
      <c r="J243" s="31">
        <f>+SUM(C243:G243)-(H243+I243)</f>
        <v>29107</v>
      </c>
      <c r="K243" s="156" t="b">
        <f>J243=I192</f>
        <v>1</v>
      </c>
      <c r="L243" s="5"/>
      <c r="M243" s="5"/>
      <c r="N243" s="5"/>
      <c r="O243" s="5"/>
      <c r="Q243" s="5"/>
    </row>
    <row r="244" spans="1:17" x14ac:dyDescent="0.2">
      <c r="A244" s="130" t="s">
        <v>91</v>
      </c>
      <c r="B244" s="135" t="s">
        <v>48</v>
      </c>
      <c r="C244" s="33">
        <f t="shared" ref="C244:C253" si="141">C196</f>
        <v>1685107</v>
      </c>
      <c r="D244" s="32"/>
      <c r="E244" s="33">
        <f>+D196</f>
        <v>4090000</v>
      </c>
      <c r="F244" s="33"/>
      <c r="G244" s="33"/>
      <c r="H244" s="57">
        <f t="shared" ref="H244:H253" si="142">+F196</f>
        <v>1994500</v>
      </c>
      <c r="I244" s="33">
        <f t="shared" ref="I244:I253" si="143">+E196</f>
        <v>2854238</v>
      </c>
      <c r="J244" s="31">
        <f t="shared" ref="J244:J245" si="144">+SUM(C244:G244)-(H244+I244)</f>
        <v>926369</v>
      </c>
      <c r="K244" s="156" t="b">
        <f t="shared" ref="K244:K254" si="145">J244=I196</f>
        <v>1</v>
      </c>
      <c r="L244" s="5"/>
      <c r="M244" s="5"/>
      <c r="N244" s="5"/>
      <c r="O244" s="5"/>
      <c r="Q244" s="5"/>
    </row>
    <row r="245" spans="1:17" x14ac:dyDescent="0.2">
      <c r="A245" s="130" t="str">
        <f>+A244</f>
        <v>OCTOBRE</v>
      </c>
      <c r="B245" s="135" t="s">
        <v>31</v>
      </c>
      <c r="C245" s="33">
        <f t="shared" si="141"/>
        <v>7200</v>
      </c>
      <c r="D245" s="32"/>
      <c r="E245" s="33">
        <f>+D197</f>
        <v>286000</v>
      </c>
      <c r="F245" s="33"/>
      <c r="G245" s="33"/>
      <c r="H245" s="57">
        <f t="shared" si="142"/>
        <v>70000</v>
      </c>
      <c r="I245" s="33">
        <f t="shared" si="143"/>
        <v>226875</v>
      </c>
      <c r="J245" s="107">
        <f t="shared" si="144"/>
        <v>-3675</v>
      </c>
      <c r="K245" s="156" t="b">
        <f t="shared" si="145"/>
        <v>1</v>
      </c>
      <c r="L245" s="5"/>
      <c r="M245" s="5"/>
      <c r="N245" s="5"/>
      <c r="O245" s="5"/>
      <c r="Q245" s="5"/>
    </row>
    <row r="246" spans="1:17" x14ac:dyDescent="0.2">
      <c r="A246" s="130" t="str">
        <f t="shared" ref="A246:A254" si="146">+A245</f>
        <v>OCTOBRE</v>
      </c>
      <c r="B246" s="136" t="s">
        <v>153</v>
      </c>
      <c r="C246" s="33">
        <f t="shared" si="141"/>
        <v>10095</v>
      </c>
      <c r="D246" s="127"/>
      <c r="E246" s="33">
        <f>D198</f>
        <v>70500</v>
      </c>
      <c r="F246" s="53"/>
      <c r="G246" s="53"/>
      <c r="H246" s="57">
        <f t="shared" si="142"/>
        <v>0</v>
      </c>
      <c r="I246" s="33">
        <f t="shared" si="143"/>
        <v>73000</v>
      </c>
      <c r="J246" s="132">
        <f>+SUM(C246:G246)-(H246+I246)</f>
        <v>7595</v>
      </c>
      <c r="K246" s="156" t="b">
        <f t="shared" si="145"/>
        <v>1</v>
      </c>
      <c r="L246" s="5"/>
      <c r="M246" s="5"/>
      <c r="N246" s="5"/>
      <c r="O246" s="5"/>
      <c r="Q246" s="5"/>
    </row>
    <row r="247" spans="1:17" x14ac:dyDescent="0.2">
      <c r="A247" s="130" t="str">
        <f t="shared" si="146"/>
        <v>OCTOBRE</v>
      </c>
      <c r="B247" s="137" t="s">
        <v>85</v>
      </c>
      <c r="C247" s="128">
        <f t="shared" si="141"/>
        <v>233614</v>
      </c>
      <c r="D247" s="131"/>
      <c r="E247" s="128">
        <f t="shared" ref="E247:E251" si="147">+D199</f>
        <v>0</v>
      </c>
      <c r="F247" s="146"/>
      <c r="G247" s="146"/>
      <c r="H247" s="180">
        <f t="shared" si="142"/>
        <v>0</v>
      </c>
      <c r="I247" s="128">
        <f t="shared" si="143"/>
        <v>0</v>
      </c>
      <c r="J247" s="129">
        <f>+SUM(C247:G247)-(H247+I247)</f>
        <v>233614</v>
      </c>
      <c r="K247" s="156" t="b">
        <f t="shared" si="145"/>
        <v>1</v>
      </c>
      <c r="L247" s="5"/>
      <c r="M247" s="5"/>
      <c r="N247" s="5"/>
      <c r="O247" s="5"/>
      <c r="Q247" s="5"/>
    </row>
    <row r="248" spans="1:17" x14ac:dyDescent="0.2">
      <c r="A248" s="130" t="str">
        <f t="shared" si="146"/>
        <v>OCTOBRE</v>
      </c>
      <c r="B248" s="137" t="s">
        <v>84</v>
      </c>
      <c r="C248" s="128">
        <f t="shared" si="141"/>
        <v>249769</v>
      </c>
      <c r="D248" s="131"/>
      <c r="E248" s="128">
        <f t="shared" si="147"/>
        <v>0</v>
      </c>
      <c r="F248" s="146"/>
      <c r="G248" s="146"/>
      <c r="H248" s="180">
        <f t="shared" si="142"/>
        <v>0</v>
      </c>
      <c r="I248" s="128">
        <f t="shared" si="143"/>
        <v>0</v>
      </c>
      <c r="J248" s="129">
        <f t="shared" ref="J248:J254" si="148">+SUM(C248:G248)-(H248+I248)</f>
        <v>249769</v>
      </c>
      <c r="K248" s="156" t="b">
        <f t="shared" si="145"/>
        <v>1</v>
      </c>
      <c r="L248" s="5"/>
      <c r="M248" s="5"/>
      <c r="N248" s="5"/>
      <c r="O248" s="5"/>
      <c r="Q248" s="5"/>
    </row>
    <row r="249" spans="1:17" x14ac:dyDescent="0.2">
      <c r="A249" s="130" t="str">
        <f t="shared" si="146"/>
        <v>OCTOBRE</v>
      </c>
      <c r="B249" s="135" t="s">
        <v>152</v>
      </c>
      <c r="C249" s="33">
        <f t="shared" si="141"/>
        <v>3550</v>
      </c>
      <c r="D249" s="32"/>
      <c r="E249" s="33">
        <f t="shared" si="147"/>
        <v>43000</v>
      </c>
      <c r="F249" s="33"/>
      <c r="G249" s="110"/>
      <c r="H249" s="57">
        <f t="shared" si="142"/>
        <v>0</v>
      </c>
      <c r="I249" s="33">
        <f t="shared" si="143"/>
        <v>52550</v>
      </c>
      <c r="J249" s="31">
        <f t="shared" si="148"/>
        <v>-6000</v>
      </c>
      <c r="K249" s="156" t="b">
        <f t="shared" si="145"/>
        <v>1</v>
      </c>
      <c r="L249" s="5"/>
      <c r="M249" s="5"/>
      <c r="N249" s="5"/>
      <c r="O249" s="5"/>
      <c r="Q249" s="5"/>
    </row>
    <row r="250" spans="1:17" x14ac:dyDescent="0.2">
      <c r="A250" s="130" t="str">
        <f t="shared" si="146"/>
        <v>OCTOBRE</v>
      </c>
      <c r="B250" s="135" t="s">
        <v>30</v>
      </c>
      <c r="C250" s="33">
        <f t="shared" si="141"/>
        <v>61300</v>
      </c>
      <c r="D250" s="32"/>
      <c r="E250" s="33">
        <f t="shared" si="147"/>
        <v>53000</v>
      </c>
      <c r="F250" s="33"/>
      <c r="G250" s="110"/>
      <c r="H250" s="57">
        <f t="shared" si="142"/>
        <v>20000</v>
      </c>
      <c r="I250" s="33">
        <f t="shared" si="143"/>
        <v>45900</v>
      </c>
      <c r="J250" s="31">
        <f t="shared" si="148"/>
        <v>48400</v>
      </c>
      <c r="K250" s="156" t="b">
        <f t="shared" si="145"/>
        <v>1</v>
      </c>
      <c r="L250" s="5"/>
      <c r="M250" s="5"/>
      <c r="N250" s="5"/>
      <c r="O250" s="5"/>
      <c r="Q250" s="5"/>
    </row>
    <row r="251" spans="1:17" x14ac:dyDescent="0.2">
      <c r="A251" s="130" t="str">
        <f t="shared" si="146"/>
        <v>OCTOBRE</v>
      </c>
      <c r="B251" s="135" t="s">
        <v>94</v>
      </c>
      <c r="C251" s="33">
        <f t="shared" si="141"/>
        <v>10800</v>
      </c>
      <c r="D251" s="32"/>
      <c r="E251" s="33">
        <f t="shared" si="147"/>
        <v>488000</v>
      </c>
      <c r="F251" s="33"/>
      <c r="G251" s="110"/>
      <c r="H251" s="57">
        <f t="shared" si="142"/>
        <v>0</v>
      </c>
      <c r="I251" s="33">
        <f t="shared" si="143"/>
        <v>492000</v>
      </c>
      <c r="J251" s="31">
        <f t="shared" si="148"/>
        <v>6800</v>
      </c>
      <c r="K251" s="156" t="b">
        <f t="shared" si="145"/>
        <v>1</v>
      </c>
      <c r="L251" s="5"/>
      <c r="M251" s="5"/>
      <c r="N251" s="5"/>
      <c r="O251" s="5"/>
      <c r="Q251" s="5"/>
    </row>
    <row r="252" spans="1:17" x14ac:dyDescent="0.2">
      <c r="A252" s="130" t="str">
        <f>+A250</f>
        <v>OCTOBRE</v>
      </c>
      <c r="B252" s="135" t="s">
        <v>29</v>
      </c>
      <c r="C252" s="33">
        <f t="shared" si="141"/>
        <v>9500</v>
      </c>
      <c r="D252" s="32"/>
      <c r="E252" s="33">
        <f>+D204</f>
        <v>20000</v>
      </c>
      <c r="F252" s="33"/>
      <c r="G252" s="110"/>
      <c r="H252" s="57">
        <f t="shared" si="142"/>
        <v>0</v>
      </c>
      <c r="I252" s="33">
        <f t="shared" si="143"/>
        <v>24000</v>
      </c>
      <c r="J252" s="31">
        <f t="shared" ref="J252" si="149">+SUM(C252:G252)-(H252+I252)</f>
        <v>5500</v>
      </c>
      <c r="K252" s="156" t="b">
        <f t="shared" si="145"/>
        <v>1</v>
      </c>
      <c r="L252" s="5"/>
      <c r="M252" s="5"/>
      <c r="N252" s="5"/>
      <c r="O252" s="5"/>
      <c r="Q252" s="5"/>
    </row>
    <row r="253" spans="1:17" x14ac:dyDescent="0.2">
      <c r="A253" s="130" t="str">
        <f>+A251</f>
        <v>OCTOBRE</v>
      </c>
      <c r="B253" s="135" t="s">
        <v>156</v>
      </c>
      <c r="C253" s="33">
        <f t="shared" si="141"/>
        <v>21200</v>
      </c>
      <c r="D253" s="32"/>
      <c r="E253" s="33">
        <f>+D205</f>
        <v>543000</v>
      </c>
      <c r="F253" s="33"/>
      <c r="G253" s="110"/>
      <c r="H253" s="57">
        <f t="shared" si="142"/>
        <v>0</v>
      </c>
      <c r="I253" s="33">
        <f t="shared" si="143"/>
        <v>533500</v>
      </c>
      <c r="J253" s="31">
        <f t="shared" si="148"/>
        <v>30700</v>
      </c>
      <c r="K253" s="156" t="b">
        <f t="shared" si="145"/>
        <v>1</v>
      </c>
      <c r="L253" s="5"/>
      <c r="M253" s="5"/>
      <c r="N253" s="5"/>
      <c r="O253" s="5"/>
      <c r="Q253" s="5"/>
    </row>
    <row r="254" spans="1:17" x14ac:dyDescent="0.2">
      <c r="A254" s="130" t="str">
        <f t="shared" si="146"/>
        <v>OCTOBRE</v>
      </c>
      <c r="B254" s="136" t="s">
        <v>114</v>
      </c>
      <c r="C254" s="33">
        <f t="shared" ref="C254" si="150">C206</f>
        <v>26193</v>
      </c>
      <c r="D254" s="127"/>
      <c r="E254" s="33">
        <f t="shared" ref="E254" si="151">+D206</f>
        <v>36000</v>
      </c>
      <c r="F254" s="53"/>
      <c r="G254" s="147"/>
      <c r="H254" s="57">
        <f t="shared" ref="H254" si="152">+F206</f>
        <v>0</v>
      </c>
      <c r="I254" s="33">
        <f t="shared" ref="I254" si="153">+E206</f>
        <v>53000</v>
      </c>
      <c r="J254" s="31">
        <f t="shared" si="148"/>
        <v>9193</v>
      </c>
      <c r="K254" s="156" t="b">
        <f t="shared" si="145"/>
        <v>1</v>
      </c>
      <c r="L254" s="5"/>
      <c r="M254" s="5"/>
      <c r="N254" s="5"/>
      <c r="O254" s="5"/>
      <c r="Q254" s="5"/>
    </row>
    <row r="255" spans="1:17" x14ac:dyDescent="0.2">
      <c r="A255" s="35" t="s">
        <v>61</v>
      </c>
      <c r="B255" s="36"/>
      <c r="C255" s="36"/>
      <c r="D255" s="36"/>
      <c r="E255" s="36"/>
      <c r="F255" s="36"/>
      <c r="G255" s="36"/>
      <c r="H255" s="36"/>
      <c r="I255" s="36"/>
      <c r="J255" s="37"/>
      <c r="K255" s="155"/>
      <c r="L255" s="5"/>
      <c r="M255" s="5"/>
      <c r="N255" s="5"/>
      <c r="O255" s="5"/>
      <c r="Q255" s="5"/>
    </row>
    <row r="256" spans="1:17" x14ac:dyDescent="0.2">
      <c r="A256" s="130" t="str">
        <f>+A254</f>
        <v>OCTOBRE</v>
      </c>
      <c r="B256" s="38" t="s">
        <v>62</v>
      </c>
      <c r="C256" s="39">
        <f>C195</f>
        <v>23107840</v>
      </c>
      <c r="D256" s="51"/>
      <c r="E256" s="51">
        <f>D195</f>
        <v>0</v>
      </c>
      <c r="F256" s="51"/>
      <c r="G256" s="133"/>
      <c r="H256" s="53">
        <f>+F195</f>
        <v>3000000</v>
      </c>
      <c r="I256" s="134">
        <f>+E195</f>
        <v>4020633</v>
      </c>
      <c r="J256" s="46">
        <f>+SUM(C256:G256)-(H256+I256)</f>
        <v>16087207</v>
      </c>
      <c r="K256" s="156" t="b">
        <f>J256=I195</f>
        <v>1</v>
      </c>
      <c r="L256" s="5"/>
      <c r="M256" s="5"/>
      <c r="N256" s="5"/>
      <c r="O256" s="5"/>
      <c r="Q256" s="5"/>
    </row>
    <row r="257" spans="1:17" x14ac:dyDescent="0.2">
      <c r="A257" s="44" t="s">
        <v>63</v>
      </c>
      <c r="B257" s="25"/>
      <c r="C257" s="36"/>
      <c r="D257" s="25"/>
      <c r="E257" s="25"/>
      <c r="F257" s="25"/>
      <c r="G257" s="25"/>
      <c r="H257" s="25"/>
      <c r="I257" s="25"/>
      <c r="J257" s="37"/>
      <c r="K257" s="155"/>
      <c r="L257" s="5"/>
      <c r="M257" s="5"/>
      <c r="N257" s="5"/>
      <c r="O257" s="5"/>
      <c r="Q257" s="5"/>
    </row>
    <row r="258" spans="1:17" x14ac:dyDescent="0.2">
      <c r="A258" s="130" t="str">
        <f>+A256</f>
        <v>OCTOBRE</v>
      </c>
      <c r="B258" s="38" t="s">
        <v>167</v>
      </c>
      <c r="C258" s="133">
        <f>C193</f>
        <v>0</v>
      </c>
      <c r="D258" s="140">
        <f>G193</f>
        <v>0</v>
      </c>
      <c r="E258" s="51"/>
      <c r="F258" s="51"/>
      <c r="G258" s="51"/>
      <c r="H258" s="53">
        <f>+F193</f>
        <v>0</v>
      </c>
      <c r="I258" s="55">
        <f>+E193</f>
        <v>114000</v>
      </c>
      <c r="J258" s="46">
        <f>+SUM(C258:G258)-(H258+I258)</f>
        <v>-114000</v>
      </c>
      <c r="K258" s="156" t="b">
        <f>+J258=I193</f>
        <v>0</v>
      </c>
      <c r="L258" s="5"/>
      <c r="M258" s="5"/>
      <c r="N258" s="5"/>
      <c r="O258" s="5"/>
      <c r="Q258" s="5"/>
    </row>
    <row r="259" spans="1:17" x14ac:dyDescent="0.2">
      <c r="A259" s="130" t="str">
        <f t="shared" ref="A259" si="154">+A258</f>
        <v>OCTOBRE</v>
      </c>
      <c r="B259" s="38" t="s">
        <v>65</v>
      </c>
      <c r="C259" s="133">
        <f>C194</f>
        <v>6762063</v>
      </c>
      <c r="D259" s="51">
        <f>G194</f>
        <v>0</v>
      </c>
      <c r="E259" s="50"/>
      <c r="F259" s="50"/>
      <c r="G259" s="50"/>
      <c r="H259" s="33">
        <f>+F194</f>
        <v>1000000</v>
      </c>
      <c r="I259" s="52">
        <f>+E194</f>
        <v>23345</v>
      </c>
      <c r="J259" s="46">
        <f>SUM(C259:G259)-(H259+I259)</f>
        <v>5738718</v>
      </c>
      <c r="K259" s="156" t="b">
        <f>+J259=I194</f>
        <v>1</v>
      </c>
      <c r="L259" s="5"/>
      <c r="M259" s="5"/>
      <c r="N259" s="5"/>
      <c r="O259" s="5"/>
      <c r="Q259" s="5"/>
    </row>
    <row r="260" spans="1:17" ht="15.75" x14ac:dyDescent="0.25">
      <c r="C260" s="151">
        <f>SUM(C244:C259)</f>
        <v>32188231</v>
      </c>
      <c r="I260" s="149">
        <f>SUM(I244:I259)</f>
        <v>8513041</v>
      </c>
      <c r="J260" s="111">
        <f>+SUM(J243:J259)</f>
        <v>23249297</v>
      </c>
      <c r="K260" s="5" t="b">
        <f>J260=I207</f>
        <v>0</v>
      </c>
      <c r="L260" s="5"/>
      <c r="M260" s="5"/>
      <c r="N260" s="5"/>
      <c r="O260" s="5"/>
      <c r="Q260" s="5"/>
    </row>
    <row r="261" spans="1:17" x14ac:dyDescent="0.25">
      <c r="G261" s="9"/>
      <c r="L261" s="5"/>
      <c r="M261" s="5"/>
      <c r="N261" s="5"/>
      <c r="O261" s="5"/>
      <c r="Q261" s="5"/>
    </row>
    <row r="262" spans="1:17" x14ac:dyDescent="0.2">
      <c r="A262" s="16" t="s">
        <v>53</v>
      </c>
      <c r="B262" s="16"/>
      <c r="C262" s="16"/>
      <c r="D262" s="17"/>
      <c r="E262" s="17"/>
      <c r="F262" s="17"/>
      <c r="G262" s="17"/>
      <c r="H262" s="17"/>
      <c r="I262" s="17"/>
      <c r="L262" s="5"/>
      <c r="M262" s="5"/>
      <c r="N262" s="5"/>
      <c r="O262" s="5"/>
      <c r="Q262" s="5"/>
    </row>
    <row r="263" spans="1:17" x14ac:dyDescent="0.2">
      <c r="A263" s="18" t="s">
        <v>154</v>
      </c>
      <c r="B263" s="18"/>
      <c r="C263" s="18"/>
      <c r="D263" s="18"/>
      <c r="E263" s="18"/>
      <c r="F263" s="18"/>
      <c r="G263" s="18"/>
      <c r="H263" s="18"/>
      <c r="I263" s="18"/>
      <c r="J263" s="18"/>
      <c r="L263" s="5"/>
      <c r="M263" s="5"/>
      <c r="N263" s="5"/>
      <c r="O263" s="5"/>
      <c r="Q263" s="5"/>
    </row>
    <row r="264" spans="1:17" x14ac:dyDescent="0.2">
      <c r="A264" s="19"/>
      <c r="B264" s="20"/>
      <c r="C264" s="21"/>
      <c r="D264" s="21"/>
      <c r="E264" s="21"/>
      <c r="F264" s="21"/>
      <c r="G264" s="21"/>
      <c r="H264" s="20"/>
      <c r="I264" s="20"/>
      <c r="L264" s="5"/>
      <c r="M264" s="5"/>
      <c r="N264" s="5"/>
      <c r="O264" s="5"/>
      <c r="Q264" s="5"/>
    </row>
    <row r="265" spans="1:17" x14ac:dyDescent="0.2">
      <c r="A265" s="386" t="s">
        <v>54</v>
      </c>
      <c r="B265" s="388" t="s">
        <v>55</v>
      </c>
      <c r="C265" s="390" t="s">
        <v>155</v>
      </c>
      <c r="D265" s="392" t="s">
        <v>56</v>
      </c>
      <c r="E265" s="393"/>
      <c r="F265" s="393"/>
      <c r="G265" s="394"/>
      <c r="H265" s="395" t="s">
        <v>57</v>
      </c>
      <c r="I265" s="382" t="s">
        <v>58</v>
      </c>
      <c r="J265" s="20"/>
      <c r="L265" s="5"/>
      <c r="M265" s="5"/>
      <c r="N265" s="5"/>
      <c r="O265" s="5"/>
      <c r="Q265" s="5"/>
    </row>
    <row r="266" spans="1:17" x14ac:dyDescent="0.25">
      <c r="A266" s="387"/>
      <c r="B266" s="389"/>
      <c r="C266" s="391"/>
      <c r="D266" s="22" t="s">
        <v>24</v>
      </c>
      <c r="E266" s="22" t="s">
        <v>25</v>
      </c>
      <c r="F266" s="181" t="s">
        <v>124</v>
      </c>
      <c r="G266" s="22" t="s">
        <v>59</v>
      </c>
      <c r="H266" s="396"/>
      <c r="I266" s="383"/>
      <c r="J266" s="384" t="s">
        <v>161</v>
      </c>
      <c r="K266" s="155"/>
      <c r="L266" s="5"/>
      <c r="M266" s="5"/>
      <c r="N266" s="5"/>
      <c r="O266" s="5"/>
      <c r="Q266" s="5"/>
    </row>
    <row r="267" spans="1:17" x14ac:dyDescent="0.2">
      <c r="A267" s="24"/>
      <c r="B267" s="25" t="s">
        <v>60</v>
      </c>
      <c r="C267" s="26"/>
      <c r="D267" s="26"/>
      <c r="E267" s="26"/>
      <c r="F267" s="26"/>
      <c r="G267" s="26"/>
      <c r="H267" s="26"/>
      <c r="I267" s="27"/>
      <c r="J267" s="385"/>
      <c r="K267" s="155"/>
      <c r="L267" s="5"/>
      <c r="M267" s="5"/>
      <c r="N267" s="5"/>
      <c r="O267" s="5"/>
      <c r="Q267" s="5"/>
    </row>
    <row r="268" spans="1:17" x14ac:dyDescent="0.2">
      <c r="A268" s="130" t="s">
        <v>80</v>
      </c>
      <c r="B268" s="135" t="s">
        <v>48</v>
      </c>
      <c r="C268" s="33" t="e">
        <f>#REF!</f>
        <v>#REF!</v>
      </c>
      <c r="D268" s="32"/>
      <c r="E268" s="33" t="e">
        <f>+#REF!</f>
        <v>#REF!</v>
      </c>
      <c r="F268" s="33"/>
      <c r="G268" s="33"/>
      <c r="H268" s="57" t="e">
        <f>+#REF!</f>
        <v>#REF!</v>
      </c>
      <c r="I268" s="33" t="e">
        <f>+#REF!</f>
        <v>#REF!</v>
      </c>
      <c r="J268" s="31" t="e">
        <f t="shared" ref="J268:J269" si="155">+SUM(C268:G268)-(H268+I268)</f>
        <v>#REF!</v>
      </c>
      <c r="K268" s="156" t="e">
        <f>J268=#REF!</f>
        <v>#REF!</v>
      </c>
      <c r="L268" s="5"/>
      <c r="M268" s="5"/>
      <c r="N268" s="5"/>
      <c r="O268" s="5"/>
      <c r="Q268" s="5"/>
    </row>
    <row r="269" spans="1:17" x14ac:dyDescent="0.2">
      <c r="A269" s="130" t="str">
        <f>+A268</f>
        <v>SEPTEMBRE</v>
      </c>
      <c r="B269" s="135" t="s">
        <v>31</v>
      </c>
      <c r="C269" s="33" t="e">
        <f>#REF!</f>
        <v>#REF!</v>
      </c>
      <c r="D269" s="32"/>
      <c r="E269" s="33" t="e">
        <f>+#REF!</f>
        <v>#REF!</v>
      </c>
      <c r="F269" s="33"/>
      <c r="G269" s="33"/>
      <c r="H269" s="57" t="e">
        <f>+#REF!</f>
        <v>#REF!</v>
      </c>
      <c r="I269" s="33" t="e">
        <f>+#REF!</f>
        <v>#REF!</v>
      </c>
      <c r="J269" s="107" t="e">
        <f t="shared" si="155"/>
        <v>#REF!</v>
      </c>
      <c r="K269" s="156" t="e">
        <f>J269=#REF!</f>
        <v>#REF!</v>
      </c>
      <c r="L269" s="5"/>
      <c r="M269" s="5"/>
      <c r="N269" s="5"/>
      <c r="O269" s="5"/>
      <c r="Q269" s="5"/>
    </row>
    <row r="270" spans="1:17" x14ac:dyDescent="0.2">
      <c r="A270" s="130" t="str">
        <f t="shared" ref="A270:A277" si="156">+A269</f>
        <v>SEPTEMBRE</v>
      </c>
      <c r="B270" s="136" t="s">
        <v>153</v>
      </c>
      <c r="C270" s="33" t="e">
        <f>#REF!</f>
        <v>#REF!</v>
      </c>
      <c r="D270" s="127"/>
      <c r="E270" s="33" t="e">
        <f>#REF!</f>
        <v>#REF!</v>
      </c>
      <c r="F270" s="53"/>
      <c r="G270" s="53"/>
      <c r="H270" s="57" t="e">
        <f>+#REF!</f>
        <v>#REF!</v>
      </c>
      <c r="I270" s="33" t="e">
        <f>+#REF!</f>
        <v>#REF!</v>
      </c>
      <c r="J270" s="132" t="e">
        <f>+SUM(C270:G270)-(H270+I270)</f>
        <v>#REF!</v>
      </c>
      <c r="K270" s="156" t="e">
        <f>J270=#REF!</f>
        <v>#REF!</v>
      </c>
      <c r="L270" s="5"/>
      <c r="M270" s="5"/>
      <c r="N270" s="5"/>
      <c r="O270" s="5"/>
      <c r="Q270" s="5"/>
    </row>
    <row r="271" spans="1:17" x14ac:dyDescent="0.2">
      <c r="A271" s="130" t="str">
        <f t="shared" si="156"/>
        <v>SEPTEMBRE</v>
      </c>
      <c r="B271" s="137" t="s">
        <v>85</v>
      </c>
      <c r="C271" s="128" t="e">
        <f>#REF!</f>
        <v>#REF!</v>
      </c>
      <c r="D271" s="131"/>
      <c r="E271" s="128" t="e">
        <f>+#REF!</f>
        <v>#REF!</v>
      </c>
      <c r="F271" s="146"/>
      <c r="G271" s="146"/>
      <c r="H271" s="180" t="e">
        <f>+#REF!</f>
        <v>#REF!</v>
      </c>
      <c r="I271" s="128" t="e">
        <f>+#REF!</f>
        <v>#REF!</v>
      </c>
      <c r="J271" s="129" t="e">
        <f>+SUM(C271:G271)-(H271+I271)</f>
        <v>#REF!</v>
      </c>
      <c r="K271" s="156" t="e">
        <f>J271=#REF!</f>
        <v>#REF!</v>
      </c>
      <c r="L271" s="5"/>
      <c r="M271" s="5"/>
      <c r="N271" s="5"/>
      <c r="O271" s="5"/>
      <c r="Q271" s="5"/>
    </row>
    <row r="272" spans="1:17" x14ac:dyDescent="0.2">
      <c r="A272" s="130" t="str">
        <f t="shared" si="156"/>
        <v>SEPTEMBRE</v>
      </c>
      <c r="B272" s="137" t="s">
        <v>84</v>
      </c>
      <c r="C272" s="128" t="e">
        <f>#REF!</f>
        <v>#REF!</v>
      </c>
      <c r="D272" s="131"/>
      <c r="E272" s="128" t="e">
        <f>+#REF!</f>
        <v>#REF!</v>
      </c>
      <c r="F272" s="146"/>
      <c r="G272" s="146"/>
      <c r="H272" s="180" t="e">
        <f>+#REF!</f>
        <v>#REF!</v>
      </c>
      <c r="I272" s="128" t="e">
        <f>+#REF!</f>
        <v>#REF!</v>
      </c>
      <c r="J272" s="129" t="e">
        <f t="shared" ref="J272:J277" si="157">+SUM(C272:G272)-(H272+I272)</f>
        <v>#REF!</v>
      </c>
      <c r="K272" s="156" t="e">
        <f>J272=#REF!</f>
        <v>#REF!</v>
      </c>
      <c r="L272" s="5"/>
      <c r="M272" s="5"/>
      <c r="N272" s="5"/>
      <c r="O272" s="5"/>
      <c r="Q272" s="5"/>
    </row>
    <row r="273" spans="1:17" x14ac:dyDescent="0.2">
      <c r="A273" s="130" t="str">
        <f t="shared" si="156"/>
        <v>SEPTEMBRE</v>
      </c>
      <c r="B273" s="135" t="s">
        <v>152</v>
      </c>
      <c r="C273" s="33" t="e">
        <f>#REF!</f>
        <v>#REF!</v>
      </c>
      <c r="D273" s="32"/>
      <c r="E273" s="33" t="e">
        <f>+#REF!</f>
        <v>#REF!</v>
      </c>
      <c r="F273" s="33"/>
      <c r="G273" s="110"/>
      <c r="H273" s="57" t="e">
        <f>+#REF!</f>
        <v>#REF!</v>
      </c>
      <c r="I273" s="33" t="e">
        <f>+#REF!</f>
        <v>#REF!</v>
      </c>
      <c r="J273" s="31" t="e">
        <f t="shared" si="157"/>
        <v>#REF!</v>
      </c>
      <c r="K273" s="156" t="e">
        <f>J273=#REF!</f>
        <v>#REF!</v>
      </c>
      <c r="L273" s="5"/>
      <c r="M273" s="5"/>
      <c r="N273" s="5"/>
      <c r="O273" s="5"/>
      <c r="Q273" s="5"/>
    </row>
    <row r="274" spans="1:17" x14ac:dyDescent="0.2">
      <c r="A274" s="130" t="str">
        <f t="shared" si="156"/>
        <v>SEPTEMBRE</v>
      </c>
      <c r="B274" s="135" t="s">
        <v>30</v>
      </c>
      <c r="C274" s="33" t="e">
        <f>#REF!</f>
        <v>#REF!</v>
      </c>
      <c r="D274" s="32"/>
      <c r="E274" s="33" t="e">
        <f>+#REF!</f>
        <v>#REF!</v>
      </c>
      <c r="F274" s="33"/>
      <c r="G274" s="110"/>
      <c r="H274" s="57" t="e">
        <f>+#REF!</f>
        <v>#REF!</v>
      </c>
      <c r="I274" s="33" t="e">
        <f>+#REF!</f>
        <v>#REF!</v>
      </c>
      <c r="J274" s="31" t="e">
        <f t="shared" si="157"/>
        <v>#REF!</v>
      </c>
      <c r="K274" s="156" t="e">
        <f>J274=#REF!</f>
        <v>#REF!</v>
      </c>
      <c r="L274" s="5"/>
      <c r="M274" s="5"/>
      <c r="N274" s="5"/>
      <c r="O274" s="5"/>
      <c r="Q274" s="5"/>
    </row>
    <row r="275" spans="1:17" x14ac:dyDescent="0.2">
      <c r="A275" s="130" t="str">
        <f t="shared" si="156"/>
        <v>SEPTEMBRE</v>
      </c>
      <c r="B275" s="135" t="s">
        <v>94</v>
      </c>
      <c r="C275" s="33" t="e">
        <f>#REF!</f>
        <v>#REF!</v>
      </c>
      <c r="D275" s="32"/>
      <c r="E275" s="33" t="e">
        <f>+#REF!</f>
        <v>#REF!</v>
      </c>
      <c r="F275" s="33"/>
      <c r="G275" s="110"/>
      <c r="H275" s="57" t="e">
        <f>+#REF!</f>
        <v>#REF!</v>
      </c>
      <c r="I275" s="33" t="e">
        <f>+#REF!</f>
        <v>#REF!</v>
      </c>
      <c r="J275" s="31" t="e">
        <f t="shared" si="157"/>
        <v>#REF!</v>
      </c>
      <c r="K275" s="156" t="e">
        <f>J275=#REF!</f>
        <v>#REF!</v>
      </c>
      <c r="L275" s="5"/>
      <c r="M275" s="5"/>
      <c r="N275" s="5"/>
      <c r="O275" s="5"/>
      <c r="Q275" s="5"/>
    </row>
    <row r="276" spans="1:17" x14ac:dyDescent="0.2">
      <c r="A276" s="130" t="str">
        <f t="shared" si="156"/>
        <v>SEPTEMBRE</v>
      </c>
      <c r="B276" s="135" t="s">
        <v>156</v>
      </c>
      <c r="C276" s="33" t="e">
        <f>#REF!</f>
        <v>#REF!</v>
      </c>
      <c r="D276" s="32"/>
      <c r="E276" s="33" t="e">
        <f>+#REF!</f>
        <v>#REF!</v>
      </c>
      <c r="F276" s="33"/>
      <c r="G276" s="110"/>
      <c r="H276" s="57" t="e">
        <f>+#REF!</f>
        <v>#REF!</v>
      </c>
      <c r="I276" s="33" t="e">
        <f>+#REF!</f>
        <v>#REF!</v>
      </c>
      <c r="J276" s="31" t="e">
        <f t="shared" si="157"/>
        <v>#REF!</v>
      </c>
      <c r="K276" s="156" t="e">
        <f>J276=#REF!</f>
        <v>#REF!</v>
      </c>
      <c r="L276" s="5"/>
      <c r="M276" s="5"/>
      <c r="N276" s="5"/>
      <c r="O276" s="5"/>
      <c r="Q276" s="5"/>
    </row>
    <row r="277" spans="1:17" x14ac:dyDescent="0.2">
      <c r="A277" s="130" t="str">
        <f t="shared" si="156"/>
        <v>SEPTEMBRE</v>
      </c>
      <c r="B277" s="136" t="s">
        <v>114</v>
      </c>
      <c r="C277" s="33" t="e">
        <f>#REF!</f>
        <v>#REF!</v>
      </c>
      <c r="D277" s="127"/>
      <c r="E277" s="33" t="e">
        <f>+#REF!</f>
        <v>#REF!</v>
      </c>
      <c r="F277" s="53"/>
      <c r="G277" s="147"/>
      <c r="H277" s="57" t="e">
        <f>+#REF!</f>
        <v>#REF!</v>
      </c>
      <c r="I277" s="33" t="e">
        <f>+#REF!</f>
        <v>#REF!</v>
      </c>
      <c r="J277" s="31" t="e">
        <f t="shared" si="157"/>
        <v>#REF!</v>
      </c>
      <c r="K277" s="156" t="e">
        <f>J277=#REF!</f>
        <v>#REF!</v>
      </c>
      <c r="L277" s="5"/>
      <c r="M277" s="5"/>
      <c r="N277" s="5"/>
      <c r="O277" s="5"/>
      <c r="Q277" s="5"/>
    </row>
    <row r="278" spans="1:17" x14ac:dyDescent="0.2">
      <c r="A278" s="35" t="s">
        <v>61</v>
      </c>
      <c r="B278" s="36"/>
      <c r="C278" s="36"/>
      <c r="D278" s="36"/>
      <c r="E278" s="36"/>
      <c r="F278" s="36"/>
      <c r="G278" s="36"/>
      <c r="H278" s="36"/>
      <c r="I278" s="36"/>
      <c r="J278" s="37"/>
      <c r="K278" s="155"/>
      <c r="L278" s="5"/>
      <c r="M278" s="5"/>
      <c r="N278" s="5"/>
      <c r="O278" s="5"/>
      <c r="Q278" s="5"/>
    </row>
    <row r="279" spans="1:17" x14ac:dyDescent="0.2">
      <c r="A279" s="130" t="str">
        <f>+A277</f>
        <v>SEPTEMBRE</v>
      </c>
      <c r="B279" s="38" t="s">
        <v>62</v>
      </c>
      <c r="C279" s="39" t="e">
        <f>#REF!</f>
        <v>#REF!</v>
      </c>
      <c r="D279" s="51"/>
      <c r="E279" s="51" t="e">
        <f>#REF!</f>
        <v>#REF!</v>
      </c>
      <c r="F279" s="51"/>
      <c r="G279" s="133"/>
      <c r="H279" s="53" t="e">
        <f>+#REF!</f>
        <v>#REF!</v>
      </c>
      <c r="I279" s="134" t="e">
        <f>+#REF!</f>
        <v>#REF!</v>
      </c>
      <c r="J279" s="46" t="e">
        <f>+SUM(C279:G279)-(H279+I279)</f>
        <v>#REF!</v>
      </c>
      <c r="K279" s="156" t="e">
        <f>J279=#REF!</f>
        <v>#REF!</v>
      </c>
      <c r="L279" s="5"/>
      <c r="M279" s="5"/>
      <c r="N279" s="5"/>
      <c r="O279" s="5"/>
      <c r="Q279" s="5"/>
    </row>
    <row r="280" spans="1:17" x14ac:dyDescent="0.2">
      <c r="A280" s="44" t="s">
        <v>63</v>
      </c>
      <c r="B280" s="25"/>
      <c r="C280" s="36"/>
      <c r="D280" s="25"/>
      <c r="E280" s="25"/>
      <c r="F280" s="25"/>
      <c r="G280" s="25"/>
      <c r="H280" s="25"/>
      <c r="I280" s="25"/>
      <c r="J280" s="37"/>
      <c r="K280" s="155"/>
      <c r="L280" s="5"/>
      <c r="M280" s="5"/>
      <c r="N280" s="5"/>
      <c r="O280" s="5"/>
      <c r="Q280" s="5"/>
    </row>
    <row r="281" spans="1:17" x14ac:dyDescent="0.2">
      <c r="A281" s="130" t="str">
        <f>+A279</f>
        <v>SEPTEMBRE</v>
      </c>
      <c r="B281" s="38" t="s">
        <v>64</v>
      </c>
      <c r="C281" s="133" t="e">
        <f>#REF!</f>
        <v>#REF!</v>
      </c>
      <c r="D281" s="140"/>
      <c r="E281" s="51"/>
      <c r="F281" s="51"/>
      <c r="G281" s="51"/>
      <c r="H281" s="53" t="e">
        <f>+#REF!</f>
        <v>#REF!</v>
      </c>
      <c r="I281" s="55" t="e">
        <f>+#REF!</f>
        <v>#REF!</v>
      </c>
      <c r="J281" s="46" t="e">
        <f>+SUM(C281:G281)-(H281+I281)</f>
        <v>#REF!</v>
      </c>
      <c r="K281" s="156" t="e">
        <f>+J281=#REF!</f>
        <v>#REF!</v>
      </c>
      <c r="L281" s="5"/>
      <c r="M281" s="5"/>
      <c r="N281" s="5"/>
      <c r="O281" s="5"/>
      <c r="Q281" s="5"/>
    </row>
    <row r="282" spans="1:17" x14ac:dyDescent="0.2">
      <c r="A282" s="130" t="str">
        <f t="shared" ref="A282" si="158">+A281</f>
        <v>SEPTEMBRE</v>
      </c>
      <c r="B282" s="38" t="s">
        <v>65</v>
      </c>
      <c r="C282" s="133" t="e">
        <f>#REF!</f>
        <v>#REF!</v>
      </c>
      <c r="D282" s="51"/>
      <c r="E282" s="50"/>
      <c r="F282" s="50"/>
      <c r="G282" s="50"/>
      <c r="H282" s="33" t="e">
        <f>+#REF!</f>
        <v>#REF!</v>
      </c>
      <c r="I282" s="52" t="e">
        <f>+#REF!</f>
        <v>#REF!</v>
      </c>
      <c r="J282" s="46" t="e">
        <f>SUM(C282:G282)-(H282+I282)</f>
        <v>#REF!</v>
      </c>
      <c r="K282" s="156" t="e">
        <f>+J282=#REF!</f>
        <v>#REF!</v>
      </c>
      <c r="L282" s="5"/>
      <c r="M282" s="5"/>
      <c r="N282" s="5"/>
      <c r="O282" s="5"/>
      <c r="Q282" s="5"/>
    </row>
    <row r="283" spans="1:17" ht="15.75" x14ac:dyDescent="0.25">
      <c r="C283" s="151" t="e">
        <f>SUM(C268:C282)</f>
        <v>#REF!</v>
      </c>
      <c r="I283" s="149" t="e">
        <f>SUM(I268:I282)</f>
        <v>#REF!</v>
      </c>
      <c r="J283" s="111" t="e">
        <f>+SUM(J268:J282)</f>
        <v>#REF!</v>
      </c>
      <c r="K283" s="5" t="e">
        <f>J283=#REF!</f>
        <v>#REF!</v>
      </c>
      <c r="L283" s="5"/>
      <c r="M283" s="5"/>
      <c r="N283" s="5"/>
      <c r="O283" s="5"/>
      <c r="Q283" s="5"/>
    </row>
    <row r="284" spans="1:17" x14ac:dyDescent="0.25">
      <c r="G284" s="9"/>
      <c r="L284" s="5"/>
      <c r="M284" s="5"/>
      <c r="N284" s="5"/>
      <c r="O284" s="5"/>
      <c r="Q284" s="5"/>
    </row>
    <row r="285" spans="1:17" x14ac:dyDescent="0.2">
      <c r="A285" s="16" t="s">
        <v>53</v>
      </c>
      <c r="B285" s="16"/>
      <c r="C285" s="16"/>
      <c r="D285" s="17"/>
      <c r="E285" s="17"/>
      <c r="F285" s="17"/>
      <c r="G285" s="17"/>
      <c r="H285" s="17"/>
      <c r="I285" s="17"/>
      <c r="L285" s="5"/>
      <c r="M285" s="5"/>
      <c r="N285" s="5"/>
      <c r="O285" s="5"/>
      <c r="Q285" s="5"/>
    </row>
    <row r="286" spans="1:17" x14ac:dyDescent="0.2">
      <c r="A286" s="18" t="s">
        <v>150</v>
      </c>
      <c r="B286" s="18"/>
      <c r="C286" s="18"/>
      <c r="D286" s="18"/>
      <c r="E286" s="18"/>
      <c r="F286" s="18"/>
      <c r="G286" s="18"/>
      <c r="H286" s="18"/>
      <c r="I286" s="18"/>
      <c r="J286" s="17"/>
      <c r="L286" s="5"/>
      <c r="M286" s="5"/>
      <c r="N286" s="5"/>
      <c r="O286" s="5"/>
      <c r="Q286" s="5"/>
    </row>
    <row r="287" spans="1:17" x14ac:dyDescent="0.2">
      <c r="A287" s="19"/>
      <c r="B287" s="20"/>
      <c r="C287" s="21"/>
      <c r="D287" s="21"/>
      <c r="E287" s="21"/>
      <c r="F287" s="21"/>
      <c r="G287" s="21"/>
      <c r="H287" s="20"/>
      <c r="I287" s="20"/>
      <c r="J287" s="18"/>
      <c r="L287" s="5"/>
      <c r="M287" s="5"/>
      <c r="N287" s="5"/>
      <c r="O287" s="5"/>
      <c r="Q287" s="5"/>
    </row>
    <row r="288" spans="1:17" x14ac:dyDescent="0.2">
      <c r="A288" s="386" t="s">
        <v>54</v>
      </c>
      <c r="B288" s="388" t="s">
        <v>55</v>
      </c>
      <c r="C288" s="390" t="s">
        <v>149</v>
      </c>
      <c r="D288" s="392" t="s">
        <v>56</v>
      </c>
      <c r="E288" s="393"/>
      <c r="F288" s="393"/>
      <c r="G288" s="394"/>
      <c r="H288" s="395" t="s">
        <v>57</v>
      </c>
      <c r="I288" s="382" t="s">
        <v>58</v>
      </c>
      <c r="J288" s="20"/>
      <c r="L288" s="5"/>
      <c r="M288" s="5"/>
      <c r="N288" s="5"/>
      <c r="O288" s="5"/>
      <c r="Q288" s="5"/>
    </row>
    <row r="289" spans="1:17" x14ac:dyDescent="0.25">
      <c r="A289" s="387"/>
      <c r="B289" s="389"/>
      <c r="C289" s="391"/>
      <c r="D289" s="22" t="s">
        <v>24</v>
      </c>
      <c r="E289" s="22" t="s">
        <v>25</v>
      </c>
      <c r="F289" s="176" t="s">
        <v>124</v>
      </c>
      <c r="G289" s="22" t="s">
        <v>59</v>
      </c>
      <c r="H289" s="396"/>
      <c r="I289" s="383"/>
      <c r="J289" s="384" t="s">
        <v>151</v>
      </c>
      <c r="K289" s="155"/>
      <c r="L289" s="5"/>
      <c r="M289" s="5"/>
      <c r="N289" s="5"/>
      <c r="O289" s="5"/>
      <c r="Q289" s="5"/>
    </row>
    <row r="290" spans="1:17" x14ac:dyDescent="0.2">
      <c r="A290" s="24"/>
      <c r="B290" s="25" t="s">
        <v>60</v>
      </c>
      <c r="C290" s="26"/>
      <c r="D290" s="26"/>
      <c r="E290" s="26"/>
      <c r="F290" s="26"/>
      <c r="G290" s="26"/>
      <c r="H290" s="26"/>
      <c r="I290" s="27"/>
      <c r="J290" s="385"/>
      <c r="K290" s="155"/>
      <c r="L290" s="5"/>
      <c r="M290" s="5"/>
      <c r="N290" s="5"/>
      <c r="O290" s="5"/>
      <c r="Q290" s="5"/>
    </row>
    <row r="291" spans="1:17" x14ac:dyDescent="0.2">
      <c r="A291" s="130" t="s">
        <v>148</v>
      </c>
      <c r="B291" s="135" t="s">
        <v>48</v>
      </c>
      <c r="C291" s="33" t="e">
        <f>#REF!</f>
        <v>#REF!</v>
      </c>
      <c r="D291" s="32"/>
      <c r="E291" s="33" t="e">
        <f>+#REF!</f>
        <v>#REF!</v>
      </c>
      <c r="F291" s="33"/>
      <c r="G291" s="33"/>
      <c r="H291" s="57" t="e">
        <f>+#REF!</f>
        <v>#REF!</v>
      </c>
      <c r="I291" s="33" t="e">
        <f>+#REF!</f>
        <v>#REF!</v>
      </c>
      <c r="J291" s="31" t="e">
        <f t="shared" ref="J291:J292" si="159">+SUM(C291:G291)-(H291+I291)</f>
        <v>#REF!</v>
      </c>
      <c r="K291" s="156" t="e">
        <f>J291=#REF!</f>
        <v>#REF!</v>
      </c>
      <c r="L291" s="5"/>
      <c r="M291" s="5"/>
      <c r="N291" s="5"/>
      <c r="O291" s="5"/>
      <c r="Q291" s="5"/>
    </row>
    <row r="292" spans="1:17" x14ac:dyDescent="0.2">
      <c r="A292" s="130" t="s">
        <v>148</v>
      </c>
      <c r="B292" s="135" t="s">
        <v>31</v>
      </c>
      <c r="C292" s="33" t="e">
        <f>#REF!</f>
        <v>#REF!</v>
      </c>
      <c r="D292" s="32"/>
      <c r="E292" s="33" t="e">
        <f>+#REF!</f>
        <v>#REF!</v>
      </c>
      <c r="F292" s="33"/>
      <c r="G292" s="33"/>
      <c r="H292" s="57" t="e">
        <f>+#REF!</f>
        <v>#REF!</v>
      </c>
      <c r="I292" s="33" t="e">
        <f>+#REF!</f>
        <v>#REF!</v>
      </c>
      <c r="J292" s="107" t="e">
        <f t="shared" si="159"/>
        <v>#REF!</v>
      </c>
      <c r="K292" s="156" t="e">
        <f>J292=#REF!</f>
        <v>#REF!</v>
      </c>
      <c r="L292" s="5"/>
      <c r="M292" s="5"/>
      <c r="N292" s="5"/>
      <c r="O292" s="5"/>
      <c r="Q292" s="5"/>
    </row>
    <row r="293" spans="1:17" x14ac:dyDescent="0.2">
      <c r="A293" s="130" t="s">
        <v>148</v>
      </c>
      <c r="B293" s="136" t="s">
        <v>153</v>
      </c>
      <c r="C293" s="33" t="e">
        <f>#REF!</f>
        <v>#REF!</v>
      </c>
      <c r="D293" s="127"/>
      <c r="E293" s="33">
        <v>30000</v>
      </c>
      <c r="F293" s="53">
        <v>240000</v>
      </c>
      <c r="G293" s="53"/>
      <c r="H293" s="57" t="e">
        <f>+#REF!</f>
        <v>#REF!</v>
      </c>
      <c r="I293" s="33" t="e">
        <f>+#REF!</f>
        <v>#REF!</v>
      </c>
      <c r="J293" s="132" t="e">
        <f>+SUM(C293:G293)-(H293+I293)</f>
        <v>#REF!</v>
      </c>
      <c r="K293" s="156" t="e">
        <f>J293=#REF!</f>
        <v>#REF!</v>
      </c>
      <c r="L293" s="5"/>
      <c r="M293" s="5"/>
      <c r="N293" s="5"/>
      <c r="O293" s="5"/>
      <c r="Q293" s="5"/>
    </row>
    <row r="294" spans="1:17" x14ac:dyDescent="0.2">
      <c r="A294" s="130" t="s">
        <v>148</v>
      </c>
      <c r="B294" s="137" t="s">
        <v>85</v>
      </c>
      <c r="C294" s="128" t="e">
        <f>#REF!</f>
        <v>#REF!</v>
      </c>
      <c r="D294" s="131"/>
      <c r="E294" s="128" t="e">
        <f>+#REF!</f>
        <v>#REF!</v>
      </c>
      <c r="F294" s="146"/>
      <c r="G294" s="146"/>
      <c r="H294" s="180" t="e">
        <f>+#REF!</f>
        <v>#REF!</v>
      </c>
      <c r="I294" s="128" t="e">
        <f>+#REF!</f>
        <v>#REF!</v>
      </c>
      <c r="J294" s="129" t="e">
        <f>+SUM(C294:G294)-(H294+I294)</f>
        <v>#REF!</v>
      </c>
      <c r="K294" s="156" t="e">
        <f>J294=#REF!</f>
        <v>#REF!</v>
      </c>
      <c r="L294" s="5"/>
      <c r="M294" s="5"/>
      <c r="N294" s="5"/>
      <c r="O294" s="5"/>
      <c r="Q294" s="5"/>
    </row>
    <row r="295" spans="1:17" x14ac:dyDescent="0.2">
      <c r="A295" s="130" t="s">
        <v>148</v>
      </c>
      <c r="B295" s="137" t="s">
        <v>84</v>
      </c>
      <c r="C295" s="128" t="e">
        <f>#REF!</f>
        <v>#REF!</v>
      </c>
      <c r="D295" s="131"/>
      <c r="E295" s="128" t="e">
        <f>+#REF!</f>
        <v>#REF!</v>
      </c>
      <c r="F295" s="146"/>
      <c r="G295" s="146"/>
      <c r="H295" s="180" t="e">
        <f>+#REF!</f>
        <v>#REF!</v>
      </c>
      <c r="I295" s="128" t="e">
        <f>+#REF!</f>
        <v>#REF!</v>
      </c>
      <c r="J295" s="129" t="e">
        <f t="shared" ref="J295:J301" si="160">+SUM(C295:G295)-(H295+I295)</f>
        <v>#REF!</v>
      </c>
      <c r="K295" s="156" t="e">
        <f>J295=#REF!</f>
        <v>#REF!</v>
      </c>
      <c r="L295" s="5"/>
      <c r="M295" s="5"/>
      <c r="N295" s="5"/>
      <c r="O295" s="5"/>
      <c r="Q295" s="5"/>
    </row>
    <row r="296" spans="1:17" x14ac:dyDescent="0.2">
      <c r="A296" s="130" t="s">
        <v>148</v>
      </c>
      <c r="B296" s="135" t="s">
        <v>152</v>
      </c>
      <c r="C296" s="33" t="e">
        <f>#REF!</f>
        <v>#REF!</v>
      </c>
      <c r="D296" s="32"/>
      <c r="E296" s="33" t="e">
        <f>+#REF!</f>
        <v>#REF!</v>
      </c>
      <c r="F296" s="33"/>
      <c r="G296" s="110"/>
      <c r="H296" s="57" t="e">
        <f>+#REF!</f>
        <v>#REF!</v>
      </c>
      <c r="I296" s="33" t="e">
        <f>+#REF!</f>
        <v>#REF!</v>
      </c>
      <c r="J296" s="31" t="e">
        <f t="shared" si="160"/>
        <v>#REF!</v>
      </c>
      <c r="K296" s="156" t="e">
        <f>J296=#REF!</f>
        <v>#REF!</v>
      </c>
      <c r="L296" s="5"/>
      <c r="M296" s="5"/>
      <c r="N296" s="5"/>
      <c r="O296" s="5"/>
      <c r="Q296" s="5"/>
    </row>
    <row r="297" spans="1:17" x14ac:dyDescent="0.2">
      <c r="A297" s="130" t="s">
        <v>148</v>
      </c>
      <c r="B297" s="135" t="s">
        <v>30</v>
      </c>
      <c r="C297" s="33" t="e">
        <f>#REF!</f>
        <v>#REF!</v>
      </c>
      <c r="D297" s="32"/>
      <c r="E297" s="33" t="e">
        <f>+#REF!</f>
        <v>#REF!</v>
      </c>
      <c r="F297" s="33"/>
      <c r="G297" s="110"/>
      <c r="H297" s="57" t="e">
        <f>+#REF!</f>
        <v>#REF!</v>
      </c>
      <c r="I297" s="33" t="e">
        <f>+#REF!</f>
        <v>#REF!</v>
      </c>
      <c r="J297" s="31" t="e">
        <f t="shared" si="160"/>
        <v>#REF!</v>
      </c>
      <c r="K297" s="156" t="e">
        <f>J297=#REF!</f>
        <v>#REF!</v>
      </c>
      <c r="L297" s="5"/>
      <c r="M297" s="5"/>
      <c r="N297" s="5"/>
      <c r="O297" s="5"/>
      <c r="Q297" s="5"/>
    </row>
    <row r="298" spans="1:17" x14ac:dyDescent="0.2">
      <c r="A298" s="130" t="s">
        <v>148</v>
      </c>
      <c r="B298" s="135" t="s">
        <v>36</v>
      </c>
      <c r="C298" s="33" t="e">
        <f>#REF!</f>
        <v>#REF!</v>
      </c>
      <c r="D298" s="32"/>
      <c r="E298" s="33">
        <v>15000</v>
      </c>
      <c r="F298" s="33">
        <v>496625</v>
      </c>
      <c r="G298" s="110"/>
      <c r="H298" s="57" t="e">
        <f>+#REF!</f>
        <v>#REF!</v>
      </c>
      <c r="I298" s="33" t="e">
        <f>+#REF!</f>
        <v>#REF!</v>
      </c>
      <c r="J298" s="31" t="e">
        <f t="shared" si="160"/>
        <v>#REF!</v>
      </c>
      <c r="K298" s="156" t="e">
        <f>J298=#REF!</f>
        <v>#REF!</v>
      </c>
      <c r="L298" s="5"/>
      <c r="M298" s="5"/>
      <c r="N298" s="5"/>
      <c r="O298" s="5"/>
      <c r="Q298" s="5"/>
    </row>
    <row r="299" spans="1:17" x14ac:dyDescent="0.2">
      <c r="A299" s="130" t="s">
        <v>148</v>
      </c>
      <c r="B299" s="135" t="s">
        <v>94</v>
      </c>
      <c r="C299" s="33" t="e">
        <f>#REF!</f>
        <v>#REF!</v>
      </c>
      <c r="D299" s="32"/>
      <c r="E299" s="33" t="e">
        <f>+#REF!</f>
        <v>#REF!</v>
      </c>
      <c r="F299" s="33"/>
      <c r="G299" s="110"/>
      <c r="H299" s="57" t="e">
        <f>+#REF!</f>
        <v>#REF!</v>
      </c>
      <c r="I299" s="33" t="e">
        <f>+#REF!</f>
        <v>#REF!</v>
      </c>
      <c r="J299" s="31" t="e">
        <f t="shared" si="160"/>
        <v>#REF!</v>
      </c>
      <c r="K299" s="156" t="e">
        <f>J299=#REF!</f>
        <v>#REF!</v>
      </c>
      <c r="L299" s="5"/>
      <c r="M299" s="5"/>
      <c r="N299" s="5"/>
      <c r="O299" s="5"/>
      <c r="Q299" s="5"/>
    </row>
    <row r="300" spans="1:17" x14ac:dyDescent="0.2">
      <c r="A300" s="130" t="s">
        <v>148</v>
      </c>
      <c r="B300" s="135" t="s">
        <v>29</v>
      </c>
      <c r="C300" s="33" t="e">
        <f>#REF!</f>
        <v>#REF!</v>
      </c>
      <c r="D300" s="32"/>
      <c r="E300" s="33" t="e">
        <f>+#REF!</f>
        <v>#REF!</v>
      </c>
      <c r="F300" s="33"/>
      <c r="G300" s="110"/>
      <c r="H300" s="57" t="e">
        <f>+#REF!</f>
        <v>#REF!</v>
      </c>
      <c r="I300" s="33" t="e">
        <f>+#REF!</f>
        <v>#REF!</v>
      </c>
      <c r="J300" s="31" t="e">
        <f t="shared" ref="J300" si="161">+SUM(C300:G300)-(H300+I300)</f>
        <v>#REF!</v>
      </c>
      <c r="K300" s="156" t="e">
        <f>J300=#REF!</f>
        <v>#REF!</v>
      </c>
      <c r="L300" s="5"/>
      <c r="M300" s="5"/>
      <c r="N300" s="5"/>
      <c r="O300" s="5"/>
      <c r="Q300" s="5"/>
    </row>
    <row r="301" spans="1:17" x14ac:dyDescent="0.2">
      <c r="A301" s="130" t="s">
        <v>148</v>
      </c>
      <c r="B301" s="136" t="s">
        <v>114</v>
      </c>
      <c r="C301" s="33" t="e">
        <f>#REF!</f>
        <v>#REF!</v>
      </c>
      <c r="D301" s="127"/>
      <c r="E301" s="33" t="e">
        <f>+#REF!</f>
        <v>#REF!</v>
      </c>
      <c r="F301" s="53"/>
      <c r="G301" s="147"/>
      <c r="H301" s="57" t="e">
        <f>+#REF!</f>
        <v>#REF!</v>
      </c>
      <c r="I301" s="33" t="e">
        <f>+#REF!</f>
        <v>#REF!</v>
      </c>
      <c r="J301" s="31" t="e">
        <f t="shared" si="160"/>
        <v>#REF!</v>
      </c>
      <c r="K301" s="156" t="e">
        <f>J301=#REF!</f>
        <v>#REF!</v>
      </c>
      <c r="L301" s="5"/>
      <c r="M301" s="5"/>
      <c r="N301" s="5"/>
      <c r="O301" s="5"/>
      <c r="Q301" s="5"/>
    </row>
    <row r="302" spans="1:17" x14ac:dyDescent="0.2">
      <c r="A302" s="35" t="s">
        <v>61</v>
      </c>
      <c r="B302" s="36"/>
      <c r="C302" s="36"/>
      <c r="D302" s="36"/>
      <c r="E302" s="36"/>
      <c r="F302" s="36"/>
      <c r="G302" s="36"/>
      <c r="H302" s="36"/>
      <c r="I302" s="36"/>
      <c r="J302" s="37"/>
      <c r="K302" s="155"/>
      <c r="L302" s="5"/>
      <c r="M302" s="5"/>
      <c r="N302" s="5"/>
      <c r="O302" s="5"/>
      <c r="Q302" s="5"/>
    </row>
    <row r="303" spans="1:17" x14ac:dyDescent="0.2">
      <c r="A303" s="130" t="s">
        <v>148</v>
      </c>
      <c r="B303" s="38" t="s">
        <v>62</v>
      </c>
      <c r="C303" s="39" t="e">
        <f>#REF!</f>
        <v>#REF!</v>
      </c>
      <c r="D303" s="51">
        <v>4000000</v>
      </c>
      <c r="E303" s="109"/>
      <c r="F303" s="51"/>
      <c r="G303" s="133">
        <v>15000</v>
      </c>
      <c r="H303" s="53" t="e">
        <f>+#REF!</f>
        <v>#REF!</v>
      </c>
      <c r="I303" s="134" t="e">
        <f>+#REF!</f>
        <v>#REF!</v>
      </c>
      <c r="J303" s="46" t="e">
        <f>+SUM(C303:G303)-(H303+I303)</f>
        <v>#REF!</v>
      </c>
      <c r="K303" s="156" t="e">
        <f>J303=#REF!</f>
        <v>#REF!</v>
      </c>
      <c r="L303" s="5"/>
      <c r="M303" s="5"/>
      <c r="N303" s="5"/>
      <c r="O303" s="5"/>
      <c r="Q303" s="5"/>
    </row>
    <row r="304" spans="1:17" x14ac:dyDescent="0.2">
      <c r="A304" s="44" t="s">
        <v>63</v>
      </c>
      <c r="B304" s="25"/>
      <c r="C304" s="36"/>
      <c r="D304" s="25"/>
      <c r="E304" s="25"/>
      <c r="F304" s="25"/>
      <c r="G304" s="25"/>
      <c r="H304" s="25"/>
      <c r="I304" s="25"/>
      <c r="J304" s="37"/>
      <c r="K304" s="155"/>
      <c r="L304" s="5"/>
      <c r="M304" s="5"/>
      <c r="N304" s="5"/>
      <c r="O304" s="5"/>
      <c r="Q304" s="5"/>
    </row>
    <row r="305" spans="1:17" x14ac:dyDescent="0.2">
      <c r="A305" s="130" t="s">
        <v>148</v>
      </c>
      <c r="B305" s="38" t="s">
        <v>64</v>
      </c>
      <c r="C305" s="133" t="e">
        <f>#REF!</f>
        <v>#REF!</v>
      </c>
      <c r="D305" s="140"/>
      <c r="E305" s="51"/>
      <c r="F305" s="51"/>
      <c r="G305" s="51"/>
      <c r="H305" s="53" t="e">
        <f>+#REF!</f>
        <v>#REF!</v>
      </c>
      <c r="I305" s="55" t="e">
        <f>+#REF!</f>
        <v>#REF!</v>
      </c>
      <c r="J305" s="46" t="e">
        <f>+SUM(C305:G305)-(H305+I305)</f>
        <v>#REF!</v>
      </c>
      <c r="K305" s="156" t="e">
        <f>+J305=#REF!</f>
        <v>#REF!</v>
      </c>
      <c r="L305" s="5"/>
      <c r="M305" s="5"/>
      <c r="N305" s="5"/>
      <c r="O305" s="5"/>
      <c r="Q305" s="5"/>
    </row>
    <row r="306" spans="1:17" x14ac:dyDescent="0.2">
      <c r="A306" s="130" t="s">
        <v>148</v>
      </c>
      <c r="B306" s="38" t="s">
        <v>65</v>
      </c>
      <c r="C306" s="133" t="e">
        <f>#REF!</f>
        <v>#REF!</v>
      </c>
      <c r="D306" s="51"/>
      <c r="E306" s="50"/>
      <c r="F306" s="50"/>
      <c r="G306" s="50"/>
      <c r="H306" s="33" t="e">
        <f>+#REF!</f>
        <v>#REF!</v>
      </c>
      <c r="I306" s="52" t="e">
        <f>+#REF!</f>
        <v>#REF!</v>
      </c>
      <c r="J306" s="46" t="e">
        <f>SUM(C306:G306)-(H306+I306)</f>
        <v>#REF!</v>
      </c>
      <c r="K306" s="156" t="e">
        <f>+J306=#REF!</f>
        <v>#REF!</v>
      </c>
      <c r="Q306" s="5"/>
    </row>
    <row r="307" spans="1:17" ht="15.75" x14ac:dyDescent="0.25">
      <c r="C307" s="151" t="e">
        <f>SUM(C291:C306)</f>
        <v>#REF!</v>
      </c>
      <c r="I307" s="149" t="e">
        <f>SUM(I291:I306)</f>
        <v>#REF!</v>
      </c>
      <c r="J307" s="111" t="e">
        <f>+SUM(J291:J306)</f>
        <v>#REF!</v>
      </c>
      <c r="K307" s="5" t="e">
        <f>J307=#REF!</f>
        <v>#REF!</v>
      </c>
      <c r="Q307" s="5"/>
    </row>
    <row r="308" spans="1:17" s="171" customFormat="1" ht="16.5" x14ac:dyDescent="0.3">
      <c r="A308" s="14"/>
      <c r="B308" s="175"/>
      <c r="C308" s="174"/>
      <c r="D308" s="174"/>
      <c r="E308" s="173"/>
      <c r="F308" s="174"/>
      <c r="G308" s="174" t="e">
        <f>+#REF!-J307</f>
        <v>#REF!</v>
      </c>
      <c r="H308" s="174"/>
      <c r="I308" s="174"/>
      <c r="L308" s="172"/>
      <c r="M308" s="172"/>
      <c r="N308" s="172"/>
      <c r="O308" s="172"/>
    </row>
    <row r="309" spans="1:17" x14ac:dyDescent="0.2">
      <c r="A309" s="16" t="s">
        <v>53</v>
      </c>
      <c r="B309" s="16"/>
      <c r="C309" s="16"/>
      <c r="D309" s="17"/>
      <c r="E309" s="17"/>
      <c r="F309" s="17"/>
      <c r="G309" s="17"/>
      <c r="H309" s="17"/>
      <c r="I309" s="17"/>
      <c r="Q309" s="5"/>
    </row>
    <row r="310" spans="1:17" x14ac:dyDescent="0.2">
      <c r="A310" s="18" t="s">
        <v>145</v>
      </c>
      <c r="B310" s="18"/>
      <c r="C310" s="18"/>
      <c r="D310" s="18"/>
      <c r="E310" s="18"/>
      <c r="F310" s="18"/>
      <c r="G310" s="18"/>
      <c r="H310" s="18"/>
      <c r="I310" s="18"/>
      <c r="J310" s="17"/>
      <c r="Q310" s="5"/>
    </row>
    <row r="311" spans="1:17" x14ac:dyDescent="0.2">
      <c r="A311" s="19"/>
      <c r="B311" s="20"/>
      <c r="C311" s="21"/>
      <c r="D311" s="21"/>
      <c r="E311" s="21"/>
      <c r="F311" s="21"/>
      <c r="G311" s="21"/>
      <c r="H311" s="20"/>
      <c r="I311" s="20"/>
      <c r="J311" s="18"/>
      <c r="Q311" s="5"/>
    </row>
    <row r="312" spans="1:17" x14ac:dyDescent="0.2">
      <c r="A312" s="386" t="s">
        <v>54</v>
      </c>
      <c r="B312" s="388" t="s">
        <v>55</v>
      </c>
      <c r="C312" s="390" t="s">
        <v>146</v>
      </c>
      <c r="D312" s="392" t="s">
        <v>56</v>
      </c>
      <c r="E312" s="393"/>
      <c r="F312" s="393"/>
      <c r="G312" s="394"/>
      <c r="H312" s="395" t="s">
        <v>57</v>
      </c>
      <c r="I312" s="382" t="s">
        <v>58</v>
      </c>
      <c r="J312" s="20"/>
      <c r="Q312" s="5"/>
    </row>
    <row r="313" spans="1:17" x14ac:dyDescent="0.25">
      <c r="A313" s="387"/>
      <c r="B313" s="389"/>
      <c r="C313" s="391"/>
      <c r="D313" s="22" t="s">
        <v>24</v>
      </c>
      <c r="E313" s="22" t="s">
        <v>25</v>
      </c>
      <c r="F313" s="170" t="s">
        <v>124</v>
      </c>
      <c r="G313" s="22" t="s">
        <v>59</v>
      </c>
      <c r="H313" s="396"/>
      <c r="I313" s="383"/>
      <c r="J313" s="384" t="s">
        <v>147</v>
      </c>
      <c r="K313" s="155"/>
      <c r="Q313" s="5"/>
    </row>
    <row r="314" spans="1:17" x14ac:dyDescent="0.2">
      <c r="A314" s="24"/>
      <c r="B314" s="25" t="s">
        <v>60</v>
      </c>
      <c r="C314" s="26"/>
      <c r="D314" s="26"/>
      <c r="E314" s="26"/>
      <c r="F314" s="26"/>
      <c r="G314" s="26"/>
      <c r="H314" s="26"/>
      <c r="I314" s="27"/>
      <c r="J314" s="385"/>
      <c r="K314" s="155"/>
      <c r="Q314" s="5"/>
    </row>
    <row r="315" spans="1:17" x14ac:dyDescent="0.2">
      <c r="A315" s="130" t="s">
        <v>73</v>
      </c>
      <c r="B315" s="135" t="s">
        <v>48</v>
      </c>
      <c r="C315" s="33" t="e">
        <f>#REF!</f>
        <v>#REF!</v>
      </c>
      <c r="D315" s="32"/>
      <c r="E315" s="33">
        <v>970765</v>
      </c>
      <c r="F315" s="33"/>
      <c r="G315" s="33"/>
      <c r="H315" s="57">
        <v>0</v>
      </c>
      <c r="I315" s="33">
        <v>980165</v>
      </c>
      <c r="J315" s="31" t="e">
        <f t="shared" ref="J315:J316" si="162">+SUM(C315:G315)-(H315+I315)</f>
        <v>#REF!</v>
      </c>
      <c r="K315" s="156" t="e">
        <f>J315=#REF!</f>
        <v>#REF!</v>
      </c>
      <c r="Q315" s="5"/>
    </row>
    <row r="316" spans="1:17" x14ac:dyDescent="0.2">
      <c r="A316" s="130" t="s">
        <v>73</v>
      </c>
      <c r="B316" s="135" t="s">
        <v>31</v>
      </c>
      <c r="C316" s="33" t="e">
        <f>#REF!</f>
        <v>#REF!</v>
      </c>
      <c r="D316" s="32"/>
      <c r="E316" s="33">
        <v>58000</v>
      </c>
      <c r="F316" s="33"/>
      <c r="G316" s="33"/>
      <c r="H316" s="33">
        <v>0</v>
      </c>
      <c r="I316" s="33">
        <v>59500</v>
      </c>
      <c r="J316" s="107" t="e">
        <f t="shared" si="162"/>
        <v>#REF!</v>
      </c>
      <c r="K316" s="156" t="e">
        <f>J316=#REF!</f>
        <v>#REF!</v>
      </c>
      <c r="Q316" s="5"/>
    </row>
    <row r="317" spans="1:17" x14ac:dyDescent="0.2">
      <c r="A317" s="130" t="s">
        <v>73</v>
      </c>
      <c r="B317" s="136" t="s">
        <v>30</v>
      </c>
      <c r="C317" s="33" t="e">
        <f>#REF!</f>
        <v>#REF!</v>
      </c>
      <c r="D317" s="127"/>
      <c r="E317" s="53">
        <v>557150</v>
      </c>
      <c r="F317" s="53"/>
      <c r="G317" s="53"/>
      <c r="H317" s="53">
        <v>0</v>
      </c>
      <c r="I317" s="53">
        <v>556650</v>
      </c>
      <c r="J317" s="132" t="e">
        <f>+SUM(C317:G317)-(H317+I317)</f>
        <v>#REF!</v>
      </c>
      <c r="K317" s="156" t="e">
        <f>J317=#REF!</f>
        <v>#REF!</v>
      </c>
      <c r="Q317" s="5"/>
    </row>
    <row r="318" spans="1:17" x14ac:dyDescent="0.2">
      <c r="A318" s="130" t="s">
        <v>73</v>
      </c>
      <c r="B318" s="137" t="s">
        <v>85</v>
      </c>
      <c r="C318" s="128" t="e">
        <f>#REF!</f>
        <v>#REF!</v>
      </c>
      <c r="D318" s="131"/>
      <c r="E318" s="146"/>
      <c r="F318" s="146"/>
      <c r="G318" s="146"/>
      <c r="H318" s="146">
        <v>0</v>
      </c>
      <c r="I318" s="146">
        <v>0</v>
      </c>
      <c r="J318" s="129" t="e">
        <f>+SUM(C318:G318)-(H318+I318)</f>
        <v>#REF!</v>
      </c>
      <c r="K318" s="156" t="e">
        <f>J318=#REF!</f>
        <v>#REF!</v>
      </c>
      <c r="Q318" s="5"/>
    </row>
    <row r="319" spans="1:17" x14ac:dyDescent="0.2">
      <c r="A319" s="130" t="s">
        <v>73</v>
      </c>
      <c r="B319" s="137" t="s">
        <v>84</v>
      </c>
      <c r="C319" s="128" t="e">
        <f>#REF!</f>
        <v>#REF!</v>
      </c>
      <c r="D319" s="131"/>
      <c r="E319" s="146"/>
      <c r="F319" s="146"/>
      <c r="G319" s="146"/>
      <c r="H319" s="146">
        <v>0</v>
      </c>
      <c r="I319" s="146">
        <v>0</v>
      </c>
      <c r="J319" s="129" t="e">
        <f t="shared" ref="J319:J324" si="163">+SUM(C319:G319)-(H319+I319)</f>
        <v>#REF!</v>
      </c>
      <c r="K319" s="156" t="e">
        <f>J319=#REF!</f>
        <v>#REF!</v>
      </c>
      <c r="Q319" s="5"/>
    </row>
    <row r="320" spans="1:17" x14ac:dyDescent="0.2">
      <c r="A320" s="130" t="s">
        <v>73</v>
      </c>
      <c r="B320" s="135" t="s">
        <v>36</v>
      </c>
      <c r="C320" s="33" t="e">
        <f>#REF!</f>
        <v>#REF!</v>
      </c>
      <c r="D320" s="32"/>
      <c r="E320" s="33">
        <v>941000</v>
      </c>
      <c r="F320" s="33"/>
      <c r="G320" s="110"/>
      <c r="H320" s="110">
        <v>0</v>
      </c>
      <c r="I320" s="33">
        <v>1084725</v>
      </c>
      <c r="J320" s="31" t="e">
        <f t="shared" si="163"/>
        <v>#REF!</v>
      </c>
      <c r="K320" s="156" t="e">
        <f>J320=#REF!</f>
        <v>#REF!</v>
      </c>
      <c r="Q320" s="5"/>
    </row>
    <row r="321" spans="1:17" x14ac:dyDescent="0.2">
      <c r="A321" s="130" t="s">
        <v>73</v>
      </c>
      <c r="B321" s="135" t="s">
        <v>94</v>
      </c>
      <c r="C321" s="33" t="e">
        <f>#REF!</f>
        <v>#REF!</v>
      </c>
      <c r="D321" s="32"/>
      <c r="E321" s="33">
        <v>52000</v>
      </c>
      <c r="F321" s="110"/>
      <c r="G321" s="110"/>
      <c r="H321" s="110">
        <v>0</v>
      </c>
      <c r="I321" s="33">
        <v>67000</v>
      </c>
      <c r="J321" s="31" t="e">
        <f t="shared" si="163"/>
        <v>#REF!</v>
      </c>
      <c r="K321" s="156" t="e">
        <f>J321=#REF!</f>
        <v>#REF!</v>
      </c>
      <c r="Q321" s="5"/>
    </row>
    <row r="322" spans="1:17" x14ac:dyDescent="0.2">
      <c r="A322" s="130" t="s">
        <v>73</v>
      </c>
      <c r="B322" s="135" t="s">
        <v>29</v>
      </c>
      <c r="C322" s="33" t="e">
        <f>#REF!</f>
        <v>#REF!</v>
      </c>
      <c r="D322" s="32"/>
      <c r="E322" s="33">
        <v>515000</v>
      </c>
      <c r="F322" s="110"/>
      <c r="G322" s="110"/>
      <c r="H322" s="110">
        <v>0</v>
      </c>
      <c r="I322" s="33">
        <v>655500</v>
      </c>
      <c r="J322" s="31" t="e">
        <f t="shared" si="163"/>
        <v>#REF!</v>
      </c>
      <c r="K322" s="156" t="e">
        <f>J322=#REF!</f>
        <v>#REF!</v>
      </c>
      <c r="Q322" s="5"/>
    </row>
    <row r="323" spans="1:17" x14ac:dyDescent="0.2">
      <c r="A323" s="130" t="s">
        <v>73</v>
      </c>
      <c r="B323" s="135" t="s">
        <v>32</v>
      </c>
      <c r="C323" s="33" t="e">
        <f>#REF!</f>
        <v>#REF!</v>
      </c>
      <c r="D323" s="32"/>
      <c r="E323" s="33">
        <v>10000</v>
      </c>
      <c r="F323" s="110"/>
      <c r="G323" s="110"/>
      <c r="H323" s="33">
        <v>500</v>
      </c>
      <c r="I323" s="33">
        <v>15300</v>
      </c>
      <c r="J323" s="31" t="e">
        <f t="shared" si="163"/>
        <v>#REF!</v>
      </c>
      <c r="K323" s="156" t="e">
        <f>J323=#REF!</f>
        <v>#REF!</v>
      </c>
      <c r="Q323" s="5"/>
    </row>
    <row r="324" spans="1:17" x14ac:dyDescent="0.2">
      <c r="A324" s="130" t="s">
        <v>73</v>
      </c>
      <c r="B324" s="136" t="s">
        <v>114</v>
      </c>
      <c r="C324" s="33" t="e">
        <f>#REF!</f>
        <v>#REF!</v>
      </c>
      <c r="D324" s="127"/>
      <c r="E324" s="53">
        <v>20000</v>
      </c>
      <c r="F324" s="53"/>
      <c r="G324" s="147"/>
      <c r="H324" s="53">
        <v>0</v>
      </c>
      <c r="I324" s="53">
        <v>28000</v>
      </c>
      <c r="J324" s="31" t="e">
        <f t="shared" si="163"/>
        <v>#REF!</v>
      </c>
      <c r="K324" s="156" t="e">
        <f>J324=#REF!</f>
        <v>#REF!</v>
      </c>
      <c r="Q324" s="5"/>
    </row>
    <row r="325" spans="1:17" x14ac:dyDescent="0.2">
      <c r="A325" s="35" t="s">
        <v>61</v>
      </c>
      <c r="B325" s="36"/>
      <c r="C325" s="36"/>
      <c r="D325" s="36"/>
      <c r="E325" s="36"/>
      <c r="F325" s="36"/>
      <c r="G325" s="36"/>
      <c r="H325" s="36"/>
      <c r="I325" s="36"/>
      <c r="J325" s="37"/>
      <c r="K325" s="155"/>
      <c r="Q325" s="5"/>
    </row>
    <row r="326" spans="1:17" x14ac:dyDescent="0.2">
      <c r="A326" s="130" t="s">
        <v>73</v>
      </c>
      <c r="B326" s="38" t="s">
        <v>62</v>
      </c>
      <c r="C326" s="39" t="e">
        <f>#REF!</f>
        <v>#REF!</v>
      </c>
      <c r="D326" s="51">
        <v>6000500</v>
      </c>
      <c r="E326" s="109"/>
      <c r="F326" s="51"/>
      <c r="G326" s="148"/>
      <c r="H326" s="53">
        <v>3123915</v>
      </c>
      <c r="I326" s="134">
        <v>3367697</v>
      </c>
      <c r="J326" s="46" t="e">
        <f>+SUM(C326:G326)-(H326+I326)</f>
        <v>#REF!</v>
      </c>
      <c r="K326" s="156" t="e">
        <f>J326=#REF!</f>
        <v>#REF!</v>
      </c>
      <c r="Q326" s="5"/>
    </row>
    <row r="327" spans="1:17" x14ac:dyDescent="0.2">
      <c r="A327" s="44" t="s">
        <v>63</v>
      </c>
      <c r="B327" s="25"/>
      <c r="C327" s="36"/>
      <c r="D327" s="25"/>
      <c r="E327" s="25"/>
      <c r="F327" s="25"/>
      <c r="G327" s="25"/>
      <c r="H327" s="25"/>
      <c r="I327" s="25"/>
      <c r="J327" s="37"/>
      <c r="K327" s="155"/>
      <c r="Q327" s="5"/>
    </row>
    <row r="328" spans="1:17" x14ac:dyDescent="0.2">
      <c r="A328" s="130" t="s">
        <v>73</v>
      </c>
      <c r="B328" s="38" t="s">
        <v>64</v>
      </c>
      <c r="C328" s="133" t="e">
        <f>#REF!</f>
        <v>#REF!</v>
      </c>
      <c r="D328" s="140"/>
      <c r="E328" s="51"/>
      <c r="F328" s="51"/>
      <c r="G328" s="51"/>
      <c r="H328" s="53">
        <v>2000000</v>
      </c>
      <c r="I328" s="55">
        <v>271244</v>
      </c>
      <c r="J328" s="46" t="e">
        <f>+SUM(C328:G328)-(H328+I328)</f>
        <v>#REF!</v>
      </c>
      <c r="K328" s="156" t="e">
        <f>+J328=#REF!</f>
        <v>#REF!</v>
      </c>
      <c r="Q328" s="5"/>
    </row>
    <row r="329" spans="1:17" x14ac:dyDescent="0.2">
      <c r="A329" s="130" t="s">
        <v>73</v>
      </c>
      <c r="B329" s="38" t="s">
        <v>65</v>
      </c>
      <c r="C329" s="133" t="e">
        <f>#REF!</f>
        <v>#REF!</v>
      </c>
      <c r="D329" s="51">
        <v>31201251</v>
      </c>
      <c r="E329" s="50"/>
      <c r="F329" s="50"/>
      <c r="G329" s="50"/>
      <c r="H329" s="33">
        <v>4000000</v>
      </c>
      <c r="I329" s="52">
        <v>6204544</v>
      </c>
      <c r="J329" s="46" t="e">
        <f>SUM(C329:G329)-(H329+I329)</f>
        <v>#REF!</v>
      </c>
      <c r="K329" s="156" t="e">
        <f>+J329=#REF!</f>
        <v>#REF!</v>
      </c>
      <c r="Q329" s="5"/>
    </row>
    <row r="330" spans="1:17" ht="15.75" x14ac:dyDescent="0.25">
      <c r="C330" s="151" t="e">
        <f>SUM(C315:C329)</f>
        <v>#REF!</v>
      </c>
      <c r="I330" s="149">
        <f>SUM(I315:I329)</f>
        <v>13290325</v>
      </c>
      <c r="J330" s="111" t="e">
        <f>+SUM(J315:J329)</f>
        <v>#REF!</v>
      </c>
      <c r="K330" s="5" t="e">
        <f>J330=#REF!</f>
        <v>#REF!</v>
      </c>
      <c r="Q330" s="5"/>
    </row>
    <row r="331" spans="1:17" s="171" customFormat="1" ht="16.5" x14ac:dyDescent="0.3">
      <c r="A331" s="14"/>
      <c r="B331" s="175"/>
      <c r="C331" s="174"/>
      <c r="D331" s="174"/>
      <c r="E331" s="173"/>
      <c r="F331" s="174"/>
      <c r="G331" s="174" t="e">
        <f>+#REF!-J330</f>
        <v>#REF!</v>
      </c>
      <c r="H331" s="174"/>
      <c r="I331" s="174"/>
      <c r="L331" s="172"/>
      <c r="M331" s="172"/>
      <c r="N331" s="172"/>
      <c r="O331" s="172"/>
    </row>
    <row r="332" spans="1:17" ht="16.5" x14ac:dyDescent="0.3">
      <c r="A332" s="14"/>
      <c r="B332" s="15"/>
      <c r="C332" s="12"/>
      <c r="D332" s="12"/>
      <c r="E332" s="13"/>
      <c r="F332" s="12"/>
      <c r="G332" s="12"/>
      <c r="H332" s="12"/>
      <c r="I332" s="12"/>
      <c r="Q332" s="5"/>
    </row>
    <row r="333" spans="1:17" x14ac:dyDescent="0.2">
      <c r="A333" s="16" t="s">
        <v>53</v>
      </c>
      <c r="B333" s="16"/>
      <c r="C333" s="16"/>
      <c r="D333" s="17"/>
      <c r="E333" s="17"/>
      <c r="F333" s="17"/>
      <c r="G333" s="17"/>
      <c r="H333" s="17"/>
      <c r="I333" s="17"/>
      <c r="Q333" s="5"/>
    </row>
    <row r="334" spans="1:17" x14ac:dyDescent="0.2">
      <c r="A334" s="18" t="s">
        <v>141</v>
      </c>
      <c r="B334" s="18"/>
      <c r="C334" s="18"/>
      <c r="D334" s="18"/>
      <c r="E334" s="18"/>
      <c r="F334" s="18"/>
      <c r="G334" s="18"/>
      <c r="H334" s="18"/>
      <c r="I334" s="18"/>
      <c r="J334" s="17"/>
      <c r="Q334" s="5"/>
    </row>
    <row r="335" spans="1:17" x14ac:dyDescent="0.2">
      <c r="A335" s="19"/>
      <c r="B335" s="20"/>
      <c r="C335" s="21"/>
      <c r="D335" s="21"/>
      <c r="E335" s="21"/>
      <c r="F335" s="21"/>
      <c r="G335" s="21"/>
      <c r="H335" s="20"/>
      <c r="I335" s="20"/>
      <c r="J335" s="18"/>
      <c r="Q335" s="5"/>
    </row>
    <row r="336" spans="1:17" x14ac:dyDescent="0.2">
      <c r="A336" s="386" t="s">
        <v>54</v>
      </c>
      <c r="B336" s="388" t="s">
        <v>55</v>
      </c>
      <c r="C336" s="390" t="s">
        <v>143</v>
      </c>
      <c r="D336" s="392" t="s">
        <v>56</v>
      </c>
      <c r="E336" s="393"/>
      <c r="F336" s="393"/>
      <c r="G336" s="394"/>
      <c r="H336" s="395" t="s">
        <v>57</v>
      </c>
      <c r="I336" s="382" t="s">
        <v>58</v>
      </c>
      <c r="J336" s="20"/>
      <c r="Q336" s="5"/>
    </row>
    <row r="337" spans="1:17" x14ac:dyDescent="0.25">
      <c r="A337" s="387"/>
      <c r="B337" s="389"/>
      <c r="C337" s="391"/>
      <c r="D337" s="22" t="s">
        <v>24</v>
      </c>
      <c r="E337" s="22" t="s">
        <v>25</v>
      </c>
      <c r="F337" s="168" t="s">
        <v>124</v>
      </c>
      <c r="G337" s="22" t="s">
        <v>59</v>
      </c>
      <c r="H337" s="396"/>
      <c r="I337" s="383"/>
      <c r="J337" s="384" t="s">
        <v>142</v>
      </c>
      <c r="K337" s="155"/>
      <c r="Q337" s="5"/>
    </row>
    <row r="338" spans="1:17" x14ac:dyDescent="0.2">
      <c r="A338" s="24"/>
      <c r="B338" s="25" t="s">
        <v>60</v>
      </c>
      <c r="C338" s="26"/>
      <c r="D338" s="26"/>
      <c r="E338" s="26"/>
      <c r="F338" s="26"/>
      <c r="G338" s="26"/>
      <c r="H338" s="26"/>
      <c r="I338" s="27"/>
      <c r="J338" s="385"/>
      <c r="K338" s="155"/>
      <c r="L338" s="5"/>
      <c r="M338" s="5"/>
      <c r="N338" s="5"/>
      <c r="O338" s="5"/>
      <c r="Q338" s="5"/>
    </row>
    <row r="339" spans="1:17" x14ac:dyDescent="0.2">
      <c r="A339" s="130" t="s">
        <v>144</v>
      </c>
      <c r="B339" s="135" t="s">
        <v>77</v>
      </c>
      <c r="C339" s="33" t="e">
        <f>+#REF!</f>
        <v>#REF!</v>
      </c>
      <c r="D339" s="32"/>
      <c r="E339" s="33">
        <v>114000</v>
      </c>
      <c r="F339" s="33"/>
      <c r="G339" s="33"/>
      <c r="H339" s="57">
        <v>11050</v>
      </c>
      <c r="I339" s="33">
        <v>112000</v>
      </c>
      <c r="J339" s="31" t="e">
        <f>+SUM(C339:G339)-(H339+I339)</f>
        <v>#REF!</v>
      </c>
      <c r="K339" s="156" t="e">
        <f>J339=#REF!</f>
        <v>#REF!</v>
      </c>
      <c r="L339" s="5"/>
      <c r="M339" s="5"/>
      <c r="N339" s="5"/>
      <c r="O339" s="5"/>
      <c r="Q339" s="5"/>
    </row>
    <row r="340" spans="1:17" x14ac:dyDescent="0.2">
      <c r="A340" s="130" t="s">
        <v>144</v>
      </c>
      <c r="B340" s="135" t="s">
        <v>48</v>
      </c>
      <c r="C340" s="33" t="e">
        <f t="shared" ref="C340:C350" si="164">+C317</f>
        <v>#REF!</v>
      </c>
      <c r="D340" s="32"/>
      <c r="E340" s="33">
        <v>87350</v>
      </c>
      <c r="F340" s="33">
        <f>60000+62000</f>
        <v>122000</v>
      </c>
      <c r="G340" s="33"/>
      <c r="H340" s="57">
        <v>161395</v>
      </c>
      <c r="I340" s="33">
        <v>281200</v>
      </c>
      <c r="J340" s="31" t="e">
        <f t="shared" ref="J340:J341" si="165">+SUM(C340:G340)-(H340+I340)</f>
        <v>#REF!</v>
      </c>
      <c r="K340" s="156" t="e">
        <f t="shared" ref="K340:K350" si="166">J340=I317</f>
        <v>#REF!</v>
      </c>
      <c r="L340" s="5"/>
      <c r="M340" s="5"/>
      <c r="N340" s="5"/>
      <c r="O340" s="5"/>
      <c r="Q340" s="5"/>
    </row>
    <row r="341" spans="1:17" x14ac:dyDescent="0.2">
      <c r="A341" s="130" t="s">
        <v>144</v>
      </c>
      <c r="B341" s="135" t="s">
        <v>31</v>
      </c>
      <c r="C341" s="33" t="e">
        <f t="shared" si="164"/>
        <v>#REF!</v>
      </c>
      <c r="D341" s="32"/>
      <c r="E341" s="33">
        <v>371500</v>
      </c>
      <c r="F341" s="33"/>
      <c r="G341" s="33"/>
      <c r="H341" s="33">
        <f>62000+81500+137000</f>
        <v>280500</v>
      </c>
      <c r="I341" s="33">
        <v>177000</v>
      </c>
      <c r="J341" s="107" t="e">
        <f t="shared" si="165"/>
        <v>#REF!</v>
      </c>
      <c r="K341" s="156" t="e">
        <f t="shared" si="166"/>
        <v>#REF!</v>
      </c>
      <c r="L341" s="5"/>
      <c r="M341" s="5"/>
      <c r="N341" s="5"/>
      <c r="O341" s="5"/>
      <c r="Q341" s="5"/>
    </row>
    <row r="342" spans="1:17" x14ac:dyDescent="0.2">
      <c r="A342" s="130" t="s">
        <v>144</v>
      </c>
      <c r="B342" s="135" t="s">
        <v>78</v>
      </c>
      <c r="C342" s="33" t="e">
        <f t="shared" si="164"/>
        <v>#REF!</v>
      </c>
      <c r="D342" s="110"/>
      <c r="E342" s="33">
        <v>35560</v>
      </c>
      <c r="F342" s="33">
        <f>10000+81500</f>
        <v>91500</v>
      </c>
      <c r="G342" s="33"/>
      <c r="H342" s="33">
        <v>35000</v>
      </c>
      <c r="I342" s="33">
        <v>159750</v>
      </c>
      <c r="J342" s="107" t="e">
        <f>+SUM(C342:G342)-(H342+I342)</f>
        <v>#REF!</v>
      </c>
      <c r="K342" s="156" t="e">
        <f t="shared" si="166"/>
        <v>#REF!</v>
      </c>
      <c r="L342" s="5"/>
      <c r="M342" s="5"/>
      <c r="N342" s="5"/>
      <c r="O342" s="5"/>
      <c r="Q342" s="5"/>
    </row>
    <row r="343" spans="1:17" x14ac:dyDescent="0.2">
      <c r="A343" s="130" t="s">
        <v>144</v>
      </c>
      <c r="B343" s="136" t="s">
        <v>30</v>
      </c>
      <c r="C343" s="33" t="e">
        <f t="shared" si="164"/>
        <v>#REF!</v>
      </c>
      <c r="D343" s="127"/>
      <c r="E343" s="53">
        <v>372085</v>
      </c>
      <c r="F343" s="53"/>
      <c r="G343" s="53"/>
      <c r="H343" s="53"/>
      <c r="I343" s="53">
        <v>336400</v>
      </c>
      <c r="J343" s="132" t="e">
        <f>+SUM(C343:G343)-(H343+I343)</f>
        <v>#REF!</v>
      </c>
      <c r="K343" s="156" t="e">
        <f t="shared" si="166"/>
        <v>#REF!</v>
      </c>
      <c r="L343" s="5"/>
      <c r="M343" s="5"/>
      <c r="N343" s="5"/>
      <c r="O343" s="5"/>
      <c r="Q343" s="5"/>
    </row>
    <row r="344" spans="1:17" x14ac:dyDescent="0.2">
      <c r="A344" s="130" t="s">
        <v>144</v>
      </c>
      <c r="B344" s="137" t="s">
        <v>85</v>
      </c>
      <c r="C344" s="128" t="e">
        <f t="shared" si="164"/>
        <v>#REF!</v>
      </c>
      <c r="D344" s="131"/>
      <c r="E344" s="146"/>
      <c r="F344" s="146"/>
      <c r="G344" s="146"/>
      <c r="H344" s="146"/>
      <c r="I344" s="146"/>
      <c r="J344" s="129" t="e">
        <f>+SUM(C344:G344)-(H344+I344)</f>
        <v>#REF!</v>
      </c>
      <c r="K344" s="156" t="e">
        <f t="shared" si="166"/>
        <v>#REF!</v>
      </c>
      <c r="L344" s="5"/>
      <c r="M344" s="5"/>
      <c r="N344" s="5"/>
      <c r="O344" s="5"/>
      <c r="Q344" s="5"/>
    </row>
    <row r="345" spans="1:17" x14ac:dyDescent="0.2">
      <c r="A345" s="130" t="s">
        <v>144</v>
      </c>
      <c r="B345" s="137" t="s">
        <v>84</v>
      </c>
      <c r="C345" s="128" t="e">
        <f t="shared" si="164"/>
        <v>#REF!</v>
      </c>
      <c r="D345" s="131"/>
      <c r="E345" s="146"/>
      <c r="F345" s="146"/>
      <c r="G345" s="146"/>
      <c r="H345" s="146"/>
      <c r="I345" s="146"/>
      <c r="J345" s="129" t="e">
        <f t="shared" ref="J345:J350" si="167">+SUM(C345:G345)-(H345+I345)</f>
        <v>#REF!</v>
      </c>
      <c r="K345" s="156" t="e">
        <f t="shared" si="166"/>
        <v>#REF!</v>
      </c>
      <c r="L345" s="5"/>
      <c r="M345" s="5"/>
      <c r="N345" s="5"/>
      <c r="O345" s="5"/>
      <c r="Q345" s="5"/>
    </row>
    <row r="346" spans="1:17" x14ac:dyDescent="0.2">
      <c r="A346" s="130" t="s">
        <v>144</v>
      </c>
      <c r="B346" s="135" t="s">
        <v>36</v>
      </c>
      <c r="C346" s="33" t="e">
        <f t="shared" si="164"/>
        <v>#REF!</v>
      </c>
      <c r="D346" s="32"/>
      <c r="E346" s="33">
        <v>400000</v>
      </c>
      <c r="F346" s="33">
        <v>137000</v>
      </c>
      <c r="G346" s="110"/>
      <c r="H346" s="110"/>
      <c r="I346" s="33">
        <v>563500</v>
      </c>
      <c r="J346" s="31" t="e">
        <f t="shared" si="167"/>
        <v>#REF!</v>
      </c>
      <c r="K346" s="156" t="e">
        <f t="shared" si="166"/>
        <v>#REF!</v>
      </c>
      <c r="L346" s="5"/>
      <c r="M346" s="5"/>
      <c r="N346" s="5"/>
      <c r="O346" s="5"/>
      <c r="Q346" s="5"/>
    </row>
    <row r="347" spans="1:17" x14ac:dyDescent="0.2">
      <c r="A347" s="130" t="s">
        <v>144</v>
      </c>
      <c r="B347" s="135" t="s">
        <v>94</v>
      </c>
      <c r="C347" s="33" t="e">
        <f t="shared" si="164"/>
        <v>#REF!</v>
      </c>
      <c r="D347" s="32"/>
      <c r="E347" s="33">
        <v>35000</v>
      </c>
      <c r="F347" s="110"/>
      <c r="G347" s="110"/>
      <c r="H347" s="110"/>
      <c r="I347" s="33">
        <v>23500</v>
      </c>
      <c r="J347" s="31" t="e">
        <f t="shared" si="167"/>
        <v>#REF!</v>
      </c>
      <c r="K347" s="156" t="e">
        <f t="shared" si="166"/>
        <v>#REF!</v>
      </c>
      <c r="L347" s="5"/>
      <c r="M347" s="5"/>
      <c r="N347" s="5"/>
      <c r="O347" s="5"/>
      <c r="Q347" s="5"/>
    </row>
    <row r="348" spans="1:17" x14ac:dyDescent="0.2">
      <c r="A348" s="130" t="s">
        <v>144</v>
      </c>
      <c r="B348" s="135" t="s">
        <v>29</v>
      </c>
      <c r="C348" s="33">
        <f t="shared" si="164"/>
        <v>0</v>
      </c>
      <c r="D348" s="32"/>
      <c r="E348" s="33">
        <v>454000</v>
      </c>
      <c r="F348" s="110"/>
      <c r="G348" s="110"/>
      <c r="H348" s="110"/>
      <c r="I348" s="33">
        <v>329100</v>
      </c>
      <c r="J348" s="31">
        <f t="shared" si="167"/>
        <v>124900</v>
      </c>
      <c r="K348" s="156" t="b">
        <f t="shared" si="166"/>
        <v>0</v>
      </c>
      <c r="L348" s="5"/>
      <c r="M348" s="5"/>
      <c r="N348" s="5"/>
      <c r="O348" s="5"/>
      <c r="Q348" s="5"/>
    </row>
    <row r="349" spans="1:17" x14ac:dyDescent="0.2">
      <c r="A349" s="130" t="s">
        <v>144</v>
      </c>
      <c r="B349" s="135" t="s">
        <v>32</v>
      </c>
      <c r="C349" s="33" t="e">
        <f t="shared" si="164"/>
        <v>#REF!</v>
      </c>
      <c r="D349" s="32"/>
      <c r="E349" s="33"/>
      <c r="F349" s="110"/>
      <c r="G349" s="110"/>
      <c r="H349" s="33">
        <v>20000</v>
      </c>
      <c r="I349" s="33">
        <v>5000</v>
      </c>
      <c r="J349" s="31" t="e">
        <f t="shared" si="167"/>
        <v>#REF!</v>
      </c>
      <c r="K349" s="156" t="e">
        <f t="shared" si="166"/>
        <v>#REF!</v>
      </c>
      <c r="L349" s="5"/>
      <c r="M349" s="5"/>
      <c r="N349" s="5"/>
      <c r="O349" s="5"/>
      <c r="Q349" s="5"/>
    </row>
    <row r="350" spans="1:17" x14ac:dyDescent="0.2">
      <c r="A350" s="130" t="s">
        <v>144</v>
      </c>
      <c r="B350" s="136" t="s">
        <v>114</v>
      </c>
      <c r="C350" s="33">
        <f t="shared" si="164"/>
        <v>0</v>
      </c>
      <c r="D350" s="127"/>
      <c r="E350" s="53">
        <v>231000</v>
      </c>
      <c r="F350" s="53"/>
      <c r="G350" s="147"/>
      <c r="H350" s="53">
        <v>90000</v>
      </c>
      <c r="I350" s="53">
        <v>180000</v>
      </c>
      <c r="J350" s="31">
        <f t="shared" si="167"/>
        <v>-39000</v>
      </c>
      <c r="K350" s="156" t="b">
        <f t="shared" si="166"/>
        <v>0</v>
      </c>
      <c r="L350" s="5"/>
      <c r="M350" s="5"/>
      <c r="N350" s="5"/>
      <c r="O350" s="5"/>
      <c r="Q350" s="5"/>
    </row>
    <row r="351" spans="1:17" x14ac:dyDescent="0.2">
      <c r="A351" s="35" t="s">
        <v>61</v>
      </c>
      <c r="B351" s="36"/>
      <c r="C351" s="36"/>
      <c r="D351" s="36"/>
      <c r="E351" s="36"/>
      <c r="F351" s="36"/>
      <c r="G351" s="36"/>
      <c r="H351" s="36"/>
      <c r="I351" s="36"/>
      <c r="J351" s="37"/>
      <c r="K351" s="155"/>
      <c r="L351" s="5"/>
      <c r="M351" s="5"/>
      <c r="N351" s="5"/>
      <c r="O351" s="5"/>
      <c r="Q351" s="5"/>
    </row>
    <row r="352" spans="1:17" x14ac:dyDescent="0.2">
      <c r="A352" s="130" t="s">
        <v>144</v>
      </c>
      <c r="B352" s="38" t="s">
        <v>62</v>
      </c>
      <c r="C352" s="39" t="e">
        <f>+C316</f>
        <v>#REF!</v>
      </c>
      <c r="D352" s="51">
        <v>5000000</v>
      </c>
      <c r="E352" s="109"/>
      <c r="F352" s="51">
        <v>217445</v>
      </c>
      <c r="G352" s="148"/>
      <c r="H352" s="139">
        <v>2070495</v>
      </c>
      <c r="I352" s="134">
        <v>3286349</v>
      </c>
      <c r="J352" s="46" t="e">
        <f>+SUM(C352:G352)-(H352+I352)</f>
        <v>#REF!</v>
      </c>
      <c r="K352" s="156" t="e">
        <f>J352=I316</f>
        <v>#REF!</v>
      </c>
      <c r="L352" s="5"/>
      <c r="M352" s="5"/>
      <c r="N352" s="5"/>
      <c r="O352" s="5"/>
      <c r="Q352" s="5"/>
    </row>
    <row r="353" spans="1:17" x14ac:dyDescent="0.2">
      <c r="A353" s="44" t="s">
        <v>63</v>
      </c>
      <c r="B353" s="25"/>
      <c r="C353" s="36"/>
      <c r="D353" s="25"/>
      <c r="E353" s="25"/>
      <c r="F353" s="25"/>
      <c r="G353" s="25"/>
      <c r="H353" s="25"/>
      <c r="I353" s="25"/>
      <c r="J353" s="37"/>
      <c r="K353" s="155"/>
      <c r="L353" s="5"/>
      <c r="M353" s="5"/>
      <c r="N353" s="5"/>
      <c r="O353" s="5"/>
      <c r="Q353" s="5"/>
    </row>
    <row r="354" spans="1:17" x14ac:dyDescent="0.2">
      <c r="A354" s="130" t="s">
        <v>144</v>
      </c>
      <c r="B354" s="38" t="s">
        <v>64</v>
      </c>
      <c r="C354" s="133" t="e">
        <f>+#REF!</f>
        <v>#REF!</v>
      </c>
      <c r="D354" s="140">
        <v>7900099</v>
      </c>
      <c r="E354" s="51"/>
      <c r="F354" s="51"/>
      <c r="G354" s="51"/>
      <c r="H354" s="53">
        <v>3000000</v>
      </c>
      <c r="I354" s="55">
        <v>379529</v>
      </c>
      <c r="J354" s="46" t="e">
        <f>+SUM(C354:G354)-(H354+I354)</f>
        <v>#REF!</v>
      </c>
      <c r="K354" s="156" t="e">
        <f>+J354=#REF!</f>
        <v>#REF!</v>
      </c>
      <c r="L354" s="5"/>
      <c r="M354" s="5"/>
      <c r="N354" s="5"/>
      <c r="O354" s="5"/>
      <c r="Q354" s="5"/>
    </row>
    <row r="355" spans="1:17" x14ac:dyDescent="0.2">
      <c r="A355" s="130" t="s">
        <v>144</v>
      </c>
      <c r="B355" s="38" t="s">
        <v>65</v>
      </c>
      <c r="C355" s="133" t="e">
        <f>+C315</f>
        <v>#REF!</v>
      </c>
      <c r="D355" s="51"/>
      <c r="E355" s="50"/>
      <c r="F355" s="50"/>
      <c r="G355" s="50"/>
      <c r="H355" s="33">
        <v>2000000</v>
      </c>
      <c r="I355" s="52">
        <v>5392233</v>
      </c>
      <c r="J355" s="46" t="e">
        <f>SUM(C355:G355)-(H355+I355)</f>
        <v>#REF!</v>
      </c>
      <c r="K355" s="156" t="e">
        <f>+J355=I315</f>
        <v>#REF!</v>
      </c>
      <c r="L355" s="5"/>
      <c r="M355" s="5"/>
      <c r="N355" s="5"/>
      <c r="O355" s="5"/>
      <c r="Q355" s="5"/>
    </row>
    <row r="356" spans="1:17" ht="15.75" x14ac:dyDescent="0.25">
      <c r="C356" s="151" t="e">
        <f>SUM(C339:C355)</f>
        <v>#REF!</v>
      </c>
      <c r="I356" s="149">
        <f>SUM(I339:I355)</f>
        <v>11225561</v>
      </c>
      <c r="J356" s="111" t="e">
        <f>+SUM(J339:J355)</f>
        <v>#REF!</v>
      </c>
      <c r="K356" s="5" t="e">
        <f>J356=I328</f>
        <v>#REF!</v>
      </c>
      <c r="L356" s="5"/>
      <c r="M356" s="5"/>
      <c r="N356" s="5"/>
      <c r="O356" s="5"/>
      <c r="Q356" s="5"/>
    </row>
    <row r="357" spans="1:17" ht="16.5" x14ac:dyDescent="0.3">
      <c r="A357" s="14"/>
      <c r="B357" s="15"/>
      <c r="C357" s="12"/>
      <c r="D357" s="12"/>
      <c r="E357" s="13"/>
      <c r="F357" s="12"/>
      <c r="G357" s="12"/>
      <c r="H357" s="12"/>
      <c r="I357" s="12"/>
      <c r="L357" s="5"/>
      <c r="M357" s="5"/>
      <c r="N357" s="5"/>
      <c r="O357" s="5"/>
      <c r="Q357" s="5"/>
    </row>
    <row r="358" spans="1:17" x14ac:dyDescent="0.2">
      <c r="A358" s="16" t="s">
        <v>53</v>
      </c>
      <c r="B358" s="16"/>
      <c r="C358" s="16"/>
      <c r="D358" s="17"/>
      <c r="E358" s="17"/>
      <c r="F358" s="17"/>
      <c r="G358" s="17"/>
      <c r="H358" s="17"/>
      <c r="I358" s="17"/>
      <c r="L358" s="5"/>
      <c r="M358" s="5"/>
      <c r="N358" s="5"/>
      <c r="O358" s="5"/>
      <c r="Q358" s="5"/>
    </row>
    <row r="359" spans="1:17" x14ac:dyDescent="0.2">
      <c r="A359" s="18" t="s">
        <v>132</v>
      </c>
      <c r="B359" s="18"/>
      <c r="C359" s="18"/>
      <c r="D359" s="18"/>
      <c r="E359" s="18"/>
      <c r="F359" s="18"/>
      <c r="G359" s="18"/>
      <c r="H359" s="18"/>
      <c r="I359" s="18"/>
      <c r="J359" s="17"/>
      <c r="L359" s="5"/>
      <c r="M359" s="5"/>
      <c r="N359" s="5"/>
      <c r="O359" s="5"/>
      <c r="Q359" s="5"/>
    </row>
    <row r="360" spans="1:17" x14ac:dyDescent="0.2">
      <c r="A360" s="19"/>
      <c r="B360" s="20"/>
      <c r="C360" s="21"/>
      <c r="D360" s="21"/>
      <c r="E360" s="21"/>
      <c r="F360" s="21"/>
      <c r="G360" s="21"/>
      <c r="H360" s="20"/>
      <c r="I360" s="20"/>
      <c r="J360" s="18"/>
      <c r="L360" s="5"/>
      <c r="M360" s="5"/>
      <c r="N360" s="5"/>
      <c r="O360" s="5"/>
      <c r="Q360" s="5"/>
    </row>
    <row r="361" spans="1:17" x14ac:dyDescent="0.2">
      <c r="A361" s="386" t="s">
        <v>54</v>
      </c>
      <c r="B361" s="388" t="s">
        <v>55</v>
      </c>
      <c r="C361" s="390" t="s">
        <v>133</v>
      </c>
      <c r="D361" s="392" t="s">
        <v>56</v>
      </c>
      <c r="E361" s="393"/>
      <c r="F361" s="393"/>
      <c r="G361" s="394"/>
      <c r="H361" s="395" t="s">
        <v>57</v>
      </c>
      <c r="I361" s="382" t="s">
        <v>58</v>
      </c>
      <c r="J361" s="20"/>
      <c r="L361" s="5"/>
      <c r="M361" s="5"/>
      <c r="N361" s="5"/>
      <c r="O361" s="5"/>
      <c r="Q361" s="5"/>
    </row>
    <row r="362" spans="1:17" x14ac:dyDescent="0.25">
      <c r="A362" s="387"/>
      <c r="B362" s="389"/>
      <c r="C362" s="391"/>
      <c r="D362" s="22" t="s">
        <v>24</v>
      </c>
      <c r="E362" s="22" t="s">
        <v>25</v>
      </c>
      <c r="F362" s="167" t="s">
        <v>124</v>
      </c>
      <c r="G362" s="22" t="s">
        <v>59</v>
      </c>
      <c r="H362" s="396"/>
      <c r="I362" s="383"/>
      <c r="J362" s="384" t="s">
        <v>134</v>
      </c>
      <c r="K362" s="155"/>
      <c r="L362" s="5"/>
      <c r="M362" s="5"/>
      <c r="N362" s="5"/>
      <c r="O362" s="5"/>
      <c r="Q362" s="5"/>
    </row>
    <row r="363" spans="1:17" x14ac:dyDescent="0.2">
      <c r="A363" s="24"/>
      <c r="B363" s="25" t="s">
        <v>60</v>
      </c>
      <c r="C363" s="26"/>
      <c r="D363" s="26"/>
      <c r="E363" s="26"/>
      <c r="F363" s="26"/>
      <c r="G363" s="26"/>
      <c r="H363" s="26"/>
      <c r="I363" s="27"/>
      <c r="J363" s="385"/>
      <c r="K363" s="155"/>
      <c r="L363" s="5"/>
      <c r="M363" s="5"/>
      <c r="N363" s="5"/>
      <c r="O363" s="5"/>
      <c r="Q363" s="5"/>
    </row>
    <row r="364" spans="1:17" x14ac:dyDescent="0.2">
      <c r="A364" s="130" t="s">
        <v>135</v>
      </c>
      <c r="B364" s="135" t="s">
        <v>77</v>
      </c>
      <c r="C364" s="33">
        <v>40050</v>
      </c>
      <c r="D364" s="32"/>
      <c r="E364" s="33">
        <v>104000</v>
      </c>
      <c r="F364" s="33"/>
      <c r="G364" s="33"/>
      <c r="H364" s="57">
        <v>54000</v>
      </c>
      <c r="I364" s="33">
        <v>81000</v>
      </c>
      <c r="J364" s="31">
        <f>+SUM(C364:G364)-(H364+I364)</f>
        <v>9050</v>
      </c>
      <c r="K364" s="156" t="e">
        <f>J364=#REF!</f>
        <v>#REF!</v>
      </c>
      <c r="L364" s="5"/>
      <c r="M364" s="5"/>
      <c r="N364" s="5"/>
      <c r="O364" s="5"/>
      <c r="Q364" s="5"/>
    </row>
    <row r="365" spans="1:17" x14ac:dyDescent="0.2">
      <c r="A365" s="130" t="s">
        <v>135</v>
      </c>
      <c r="B365" s="135" t="s">
        <v>48</v>
      </c>
      <c r="C365" s="33">
        <v>38845</v>
      </c>
      <c r="D365" s="32"/>
      <c r="E365" s="33">
        <v>1550000</v>
      </c>
      <c r="F365" s="33"/>
      <c r="G365" s="33"/>
      <c r="H365" s="57">
        <v>311000</v>
      </c>
      <c r="I365" s="33">
        <v>1017400</v>
      </c>
      <c r="J365" s="31">
        <f t="shared" ref="J365:J366" si="168">+SUM(C365:G365)-(H365+I365)</f>
        <v>260445</v>
      </c>
      <c r="K365" s="156" t="b">
        <f>J365=I317</f>
        <v>0</v>
      </c>
      <c r="L365" s="5"/>
      <c r="M365" s="5"/>
      <c r="N365" s="5"/>
      <c r="O365" s="5"/>
      <c r="Q365" s="5"/>
    </row>
    <row r="366" spans="1:17" x14ac:dyDescent="0.2">
      <c r="A366" s="130" t="s">
        <v>135</v>
      </c>
      <c r="B366" s="135" t="s">
        <v>31</v>
      </c>
      <c r="C366" s="33">
        <v>6895</v>
      </c>
      <c r="D366" s="32"/>
      <c r="E366" s="33">
        <v>581000</v>
      </c>
      <c r="F366" s="33"/>
      <c r="G366" s="33"/>
      <c r="H366" s="33"/>
      <c r="I366" s="33">
        <v>498900</v>
      </c>
      <c r="J366" s="107">
        <f t="shared" si="168"/>
        <v>88995</v>
      </c>
      <c r="K366" s="156" t="b">
        <f>J366=I318</f>
        <v>0</v>
      </c>
      <c r="L366" s="5"/>
      <c r="M366" s="5"/>
      <c r="N366" s="5"/>
      <c r="O366" s="5"/>
      <c r="Q366" s="5"/>
    </row>
    <row r="367" spans="1:17" x14ac:dyDescent="0.2">
      <c r="A367" s="130" t="s">
        <v>135</v>
      </c>
      <c r="B367" s="135" t="s">
        <v>78</v>
      </c>
      <c r="C367" s="33">
        <v>28540</v>
      </c>
      <c r="D367" s="110"/>
      <c r="E367" s="33">
        <v>332000</v>
      </c>
      <c r="F367" s="33">
        <v>10000</v>
      </c>
      <c r="G367" s="33"/>
      <c r="H367" s="33"/>
      <c r="I367" s="33">
        <v>302850</v>
      </c>
      <c r="J367" s="107">
        <f>+SUM(C367:G367)-(H367+I367)</f>
        <v>67690</v>
      </c>
      <c r="K367" s="156" t="b">
        <f>J367=I319</f>
        <v>0</v>
      </c>
      <c r="L367" s="5"/>
      <c r="M367" s="5"/>
      <c r="N367" s="5"/>
      <c r="O367" s="5"/>
      <c r="Q367" s="5"/>
    </row>
    <row r="368" spans="1:17" x14ac:dyDescent="0.2">
      <c r="A368" s="130" t="s">
        <v>135</v>
      </c>
      <c r="B368" s="135" t="s">
        <v>70</v>
      </c>
      <c r="C368" s="33">
        <v>184</v>
      </c>
      <c r="D368" s="110"/>
      <c r="E368" s="33"/>
      <c r="F368" s="33"/>
      <c r="G368" s="33"/>
      <c r="H368" s="33">
        <v>184</v>
      </c>
      <c r="I368" s="33"/>
      <c r="J368" s="107">
        <f t="shared" ref="J368" si="169">+SUM(C368:G368)-(H368+I368)</f>
        <v>0</v>
      </c>
      <c r="K368" s="156" t="e">
        <f>J368=#REF!</f>
        <v>#REF!</v>
      </c>
      <c r="L368" s="5"/>
      <c r="M368" s="5"/>
      <c r="N368" s="5"/>
      <c r="O368" s="5"/>
      <c r="Q368" s="5"/>
    </row>
    <row r="369" spans="1:17" x14ac:dyDescent="0.2">
      <c r="A369" s="130" t="s">
        <v>135</v>
      </c>
      <c r="B369" s="136" t="s">
        <v>30</v>
      </c>
      <c r="C369" s="33">
        <v>68200</v>
      </c>
      <c r="D369" s="127"/>
      <c r="E369" s="53">
        <v>638000</v>
      </c>
      <c r="F369" s="53">
        <v>45000</v>
      </c>
      <c r="G369" s="53"/>
      <c r="H369" s="53"/>
      <c r="I369" s="53">
        <v>787385</v>
      </c>
      <c r="J369" s="132">
        <f>+SUM(C369:G369)-(H369+I369)</f>
        <v>-36185</v>
      </c>
      <c r="K369" s="156" t="b">
        <f t="shared" ref="K369:K376" si="170">J369=I320</f>
        <v>0</v>
      </c>
      <c r="L369" s="5"/>
      <c r="M369" s="5"/>
      <c r="N369" s="5"/>
      <c r="O369" s="5"/>
      <c r="Q369" s="5"/>
    </row>
    <row r="370" spans="1:17" x14ac:dyDescent="0.2">
      <c r="A370" s="130" t="s">
        <v>135</v>
      </c>
      <c r="B370" s="137" t="s">
        <v>85</v>
      </c>
      <c r="C370" s="128">
        <v>233614</v>
      </c>
      <c r="D370" s="131"/>
      <c r="E370" s="146"/>
      <c r="F370" s="146"/>
      <c r="G370" s="146"/>
      <c r="H370" s="146"/>
      <c r="I370" s="146"/>
      <c r="J370" s="129">
        <f>+SUM(C370:G370)-(H370+I370)</f>
        <v>233614</v>
      </c>
      <c r="K370" s="156" t="b">
        <f t="shared" si="170"/>
        <v>0</v>
      </c>
      <c r="L370" s="5"/>
      <c r="M370" s="5"/>
      <c r="N370" s="5"/>
      <c r="O370" s="5"/>
      <c r="Q370" s="5"/>
    </row>
    <row r="371" spans="1:17" x14ac:dyDescent="0.2">
      <c r="A371" s="130" t="s">
        <v>135</v>
      </c>
      <c r="B371" s="137" t="s">
        <v>84</v>
      </c>
      <c r="C371" s="128">
        <v>249769</v>
      </c>
      <c r="D371" s="131"/>
      <c r="E371" s="146"/>
      <c r="F371" s="146"/>
      <c r="G371" s="146"/>
      <c r="H371" s="146"/>
      <c r="I371" s="146"/>
      <c r="J371" s="129">
        <f t="shared" ref="J371:J376" si="171">+SUM(C371:G371)-(H371+I371)</f>
        <v>249769</v>
      </c>
      <c r="K371" s="156" t="b">
        <f t="shared" si="170"/>
        <v>0</v>
      </c>
      <c r="L371" s="5"/>
      <c r="M371" s="5"/>
      <c r="N371" s="5"/>
      <c r="O371" s="5"/>
      <c r="Q371" s="5"/>
    </row>
    <row r="372" spans="1:17" x14ac:dyDescent="0.2">
      <c r="A372" s="130" t="s">
        <v>135</v>
      </c>
      <c r="B372" s="135" t="s">
        <v>36</v>
      </c>
      <c r="C372" s="33">
        <v>-4675</v>
      </c>
      <c r="D372" s="32"/>
      <c r="E372" s="33">
        <v>494000</v>
      </c>
      <c r="F372" s="33">
        <v>256000</v>
      </c>
      <c r="G372" s="110"/>
      <c r="H372" s="110">
        <v>6500</v>
      </c>
      <c r="I372" s="33">
        <v>607250</v>
      </c>
      <c r="J372" s="31">
        <f t="shared" si="171"/>
        <v>131575</v>
      </c>
      <c r="K372" s="156" t="b">
        <f t="shared" si="170"/>
        <v>0</v>
      </c>
      <c r="L372" s="5"/>
      <c r="M372" s="5"/>
      <c r="N372" s="5"/>
      <c r="O372" s="5"/>
      <c r="Q372" s="5"/>
    </row>
    <row r="373" spans="1:17" x14ac:dyDescent="0.2">
      <c r="A373" s="130" t="s">
        <v>135</v>
      </c>
      <c r="B373" s="135" t="s">
        <v>94</v>
      </c>
      <c r="C373" s="33">
        <v>5000</v>
      </c>
      <c r="D373" s="32"/>
      <c r="E373" s="33">
        <v>30000</v>
      </c>
      <c r="F373" s="110"/>
      <c r="G373" s="110"/>
      <c r="H373" s="110"/>
      <c r="I373" s="33">
        <v>29500</v>
      </c>
      <c r="J373" s="31">
        <f t="shared" si="171"/>
        <v>5500</v>
      </c>
      <c r="K373" s="156" t="b">
        <f t="shared" si="170"/>
        <v>0</v>
      </c>
      <c r="L373" s="5"/>
      <c r="M373" s="5"/>
      <c r="N373" s="5"/>
      <c r="O373" s="5"/>
      <c r="Q373" s="5"/>
    </row>
    <row r="374" spans="1:17" x14ac:dyDescent="0.2">
      <c r="A374" s="130" t="s">
        <v>135</v>
      </c>
      <c r="B374" s="135" t="s">
        <v>29</v>
      </c>
      <c r="C374" s="33">
        <v>72800</v>
      </c>
      <c r="D374" s="32"/>
      <c r="E374" s="33">
        <v>446000</v>
      </c>
      <c r="F374" s="110"/>
      <c r="G374" s="110"/>
      <c r="H374" s="110"/>
      <c r="I374" s="33">
        <v>512600</v>
      </c>
      <c r="J374" s="31">
        <f t="shared" si="171"/>
        <v>6200</v>
      </c>
      <c r="K374" s="156" t="b">
        <f t="shared" si="170"/>
        <v>0</v>
      </c>
      <c r="L374" s="5"/>
      <c r="M374" s="5"/>
      <c r="N374" s="5"/>
      <c r="O374" s="5"/>
      <c r="Q374" s="5"/>
    </row>
    <row r="375" spans="1:17" x14ac:dyDescent="0.2">
      <c r="A375" s="130" t="s">
        <v>135</v>
      </c>
      <c r="B375" s="135" t="s">
        <v>32</v>
      </c>
      <c r="C375" s="33">
        <v>47300</v>
      </c>
      <c r="D375" s="32"/>
      <c r="E375" s="33">
        <v>5000</v>
      </c>
      <c r="F375" s="110">
        <v>6500</v>
      </c>
      <c r="G375" s="110"/>
      <c r="H375" s="33">
        <v>20000</v>
      </c>
      <c r="I375" s="33">
        <v>8000</v>
      </c>
      <c r="J375" s="31">
        <f t="shared" si="171"/>
        <v>30800</v>
      </c>
      <c r="K375" s="156" t="b">
        <f t="shared" si="170"/>
        <v>0</v>
      </c>
      <c r="L375" s="5"/>
      <c r="M375" s="5"/>
      <c r="N375" s="5"/>
      <c r="O375" s="5"/>
      <c r="Q375" s="5"/>
    </row>
    <row r="376" spans="1:17" x14ac:dyDescent="0.2">
      <c r="A376" s="130" t="s">
        <v>135</v>
      </c>
      <c r="B376" s="136" t="s">
        <v>114</v>
      </c>
      <c r="C376" s="33">
        <v>79600</v>
      </c>
      <c r="D376" s="127"/>
      <c r="E376" s="53"/>
      <c r="F376" s="53"/>
      <c r="G376" s="147"/>
      <c r="H376" s="53"/>
      <c r="I376" s="53">
        <v>37707</v>
      </c>
      <c r="J376" s="31">
        <f t="shared" si="171"/>
        <v>41893</v>
      </c>
      <c r="K376" s="156" t="b">
        <f t="shared" si="170"/>
        <v>0</v>
      </c>
      <c r="L376" s="5"/>
      <c r="M376" s="5"/>
      <c r="N376" s="5"/>
      <c r="O376" s="5"/>
      <c r="Q376" s="5"/>
    </row>
    <row r="377" spans="1:17" x14ac:dyDescent="0.2">
      <c r="A377" s="35" t="s">
        <v>61</v>
      </c>
      <c r="B377" s="36"/>
      <c r="C377" s="36"/>
      <c r="D377" s="36"/>
      <c r="E377" s="36"/>
      <c r="F377" s="36"/>
      <c r="G377" s="36"/>
      <c r="H377" s="36"/>
      <c r="I377" s="36"/>
      <c r="J377" s="37"/>
      <c r="K377" s="155"/>
      <c r="L377" s="5"/>
      <c r="M377" s="5"/>
      <c r="N377" s="5"/>
      <c r="O377" s="5"/>
      <c r="Q377" s="5"/>
    </row>
    <row r="378" spans="1:17" x14ac:dyDescent="0.2">
      <c r="A378" s="130" t="s">
        <v>135</v>
      </c>
      <c r="B378" s="38" t="s">
        <v>62</v>
      </c>
      <c r="C378" s="39">
        <v>467929</v>
      </c>
      <c r="D378" s="51">
        <v>6310000</v>
      </c>
      <c r="E378" s="109"/>
      <c r="F378" s="51">
        <v>74184</v>
      </c>
      <c r="G378" s="148"/>
      <c r="H378" s="139">
        <v>4180000</v>
      </c>
      <c r="I378" s="134">
        <v>1710965</v>
      </c>
      <c r="J378" s="46">
        <f>+SUM(C378:G378)-(H378+I378)</f>
        <v>961148</v>
      </c>
      <c r="K378" s="156" t="b">
        <f>J378=I316</f>
        <v>0</v>
      </c>
      <c r="L378" s="5"/>
      <c r="M378" s="5"/>
      <c r="N378" s="5"/>
      <c r="O378" s="5"/>
      <c r="Q378" s="5"/>
    </row>
    <row r="379" spans="1:17" x14ac:dyDescent="0.2">
      <c r="A379" s="44" t="s">
        <v>63</v>
      </c>
      <c r="B379" s="25"/>
      <c r="C379" s="36"/>
      <c r="D379" s="25"/>
      <c r="E379" s="25"/>
      <c r="F379" s="25"/>
      <c r="G379" s="25"/>
      <c r="H379" s="25"/>
      <c r="I379" s="25"/>
      <c r="J379" s="37"/>
      <c r="K379" s="155"/>
      <c r="L379" s="5"/>
      <c r="M379" s="5"/>
      <c r="N379" s="5"/>
      <c r="O379" s="5"/>
      <c r="Q379" s="5"/>
    </row>
    <row r="380" spans="1:17" x14ac:dyDescent="0.2">
      <c r="A380" s="130" t="s">
        <v>135</v>
      </c>
      <c r="B380" s="38" t="s">
        <v>64</v>
      </c>
      <c r="C380" s="133">
        <v>7405927</v>
      </c>
      <c r="D380" s="140"/>
      <c r="E380" s="51"/>
      <c r="F380" s="51"/>
      <c r="G380" s="51"/>
      <c r="H380" s="53">
        <v>2000000</v>
      </c>
      <c r="I380" s="55">
        <v>1710232</v>
      </c>
      <c r="J380" s="46">
        <f>+SUM(C380:G380)-(H380+I380)</f>
        <v>3695695</v>
      </c>
      <c r="K380" s="156" t="e">
        <f>+J380=#REF!</f>
        <v>#REF!</v>
      </c>
      <c r="L380" s="5"/>
      <c r="M380" s="5"/>
      <c r="N380" s="5"/>
      <c r="O380" s="5"/>
      <c r="Q380" s="5"/>
    </row>
    <row r="381" spans="1:17" x14ac:dyDescent="0.2">
      <c r="A381" s="130" t="s">
        <v>135</v>
      </c>
      <c r="B381" s="38" t="s">
        <v>65</v>
      </c>
      <c r="C381" s="133">
        <v>22972065</v>
      </c>
      <c r="D381" s="51"/>
      <c r="E381" s="50"/>
      <c r="F381" s="50"/>
      <c r="G381" s="50"/>
      <c r="H381" s="33">
        <v>4310000</v>
      </c>
      <c r="I381" s="52">
        <v>3055511</v>
      </c>
      <c r="J381" s="46">
        <f>SUM(C381:G381)-(H381+I381)</f>
        <v>15606554</v>
      </c>
      <c r="K381" s="156" t="b">
        <f>+J381=I315</f>
        <v>0</v>
      </c>
      <c r="L381" s="5"/>
      <c r="M381" s="5"/>
      <c r="N381" s="5"/>
      <c r="O381" s="5"/>
      <c r="Q381" s="5"/>
    </row>
    <row r="382" spans="1:17" ht="15.75" x14ac:dyDescent="0.25">
      <c r="C382" s="151">
        <f>SUM(C364:C381)</f>
        <v>31712043</v>
      </c>
      <c r="I382" s="149">
        <f>SUM(I364:I381)</f>
        <v>10359300</v>
      </c>
      <c r="J382" s="111">
        <f>+SUM(J364:J381)</f>
        <v>21352743</v>
      </c>
      <c r="K382" s="5" t="b">
        <f>J382=I328</f>
        <v>0</v>
      </c>
      <c r="L382" s="5"/>
      <c r="M382" s="5"/>
      <c r="N382" s="5"/>
      <c r="O382" s="5"/>
      <c r="Q382" s="5"/>
    </row>
    <row r="383" spans="1:17" ht="16.5" x14ac:dyDescent="0.3">
      <c r="A383" s="14"/>
      <c r="B383" s="15"/>
      <c r="C383" s="12"/>
      <c r="D383" s="12"/>
      <c r="E383" s="13"/>
      <c r="F383" s="12"/>
      <c r="G383" s="12"/>
      <c r="H383" s="12"/>
      <c r="I383" s="12"/>
      <c r="L383" s="5"/>
      <c r="M383" s="5"/>
      <c r="N383" s="5"/>
      <c r="O383" s="5"/>
      <c r="Q383" s="5"/>
    </row>
    <row r="384" spans="1:17" x14ac:dyDescent="0.2">
      <c r="A384" s="16" t="s">
        <v>53</v>
      </c>
      <c r="B384" s="16"/>
      <c r="C384" s="16"/>
      <c r="D384" s="17"/>
      <c r="E384" s="17"/>
      <c r="F384" s="17"/>
      <c r="G384" s="17"/>
      <c r="H384" s="17"/>
      <c r="I384" s="17"/>
      <c r="L384" s="5"/>
      <c r="M384" s="5"/>
      <c r="N384" s="5"/>
      <c r="O384" s="5"/>
      <c r="Q384" s="5"/>
    </row>
    <row r="385" spans="1:17" x14ac:dyDescent="0.2">
      <c r="A385" s="18" t="s">
        <v>125</v>
      </c>
      <c r="B385" s="18"/>
      <c r="C385" s="18"/>
      <c r="D385" s="18"/>
      <c r="E385" s="18"/>
      <c r="F385" s="18"/>
      <c r="G385" s="18"/>
      <c r="H385" s="18"/>
      <c r="I385" s="18"/>
      <c r="J385" s="17"/>
      <c r="L385" s="5"/>
      <c r="M385" s="5"/>
      <c r="N385" s="5"/>
      <c r="O385" s="5"/>
      <c r="Q385" s="5"/>
    </row>
    <row r="386" spans="1:17" x14ac:dyDescent="0.2">
      <c r="A386" s="19"/>
      <c r="B386" s="20"/>
      <c r="C386" s="21"/>
      <c r="D386" s="21"/>
      <c r="E386" s="21"/>
      <c r="F386" s="21"/>
      <c r="G386" s="21"/>
      <c r="H386" s="20"/>
      <c r="I386" s="20"/>
      <c r="J386" s="18"/>
      <c r="L386" s="5"/>
      <c r="M386" s="5"/>
      <c r="N386" s="5"/>
      <c r="O386" s="5"/>
      <c r="Q386" s="5"/>
    </row>
    <row r="387" spans="1:17" x14ac:dyDescent="0.2">
      <c r="A387" s="386" t="s">
        <v>54</v>
      </c>
      <c r="B387" s="388" t="s">
        <v>55</v>
      </c>
      <c r="C387" s="390" t="s">
        <v>126</v>
      </c>
      <c r="D387" s="392" t="s">
        <v>56</v>
      </c>
      <c r="E387" s="393"/>
      <c r="F387" s="393"/>
      <c r="G387" s="394"/>
      <c r="H387" s="395" t="s">
        <v>57</v>
      </c>
      <c r="I387" s="382" t="s">
        <v>58</v>
      </c>
      <c r="J387" s="20"/>
      <c r="L387" s="5"/>
      <c r="M387" s="5"/>
      <c r="N387" s="5"/>
      <c r="O387" s="5"/>
      <c r="Q387" s="5"/>
    </row>
    <row r="388" spans="1:17" x14ac:dyDescent="0.25">
      <c r="A388" s="387"/>
      <c r="B388" s="389"/>
      <c r="C388" s="391"/>
      <c r="D388" s="22" t="s">
        <v>24</v>
      </c>
      <c r="E388" s="22" t="s">
        <v>25</v>
      </c>
      <c r="F388" s="166" t="s">
        <v>124</v>
      </c>
      <c r="G388" s="22" t="s">
        <v>59</v>
      </c>
      <c r="H388" s="396"/>
      <c r="I388" s="383"/>
      <c r="J388" s="384" t="s">
        <v>127</v>
      </c>
      <c r="K388" s="155"/>
      <c r="L388" s="5"/>
      <c r="M388" s="5"/>
      <c r="N388" s="5"/>
      <c r="O388" s="5"/>
      <c r="Q388" s="5"/>
    </row>
    <row r="389" spans="1:17" x14ac:dyDescent="0.2">
      <c r="A389" s="24"/>
      <c r="B389" s="25" t="s">
        <v>60</v>
      </c>
      <c r="C389" s="26"/>
      <c r="D389" s="26"/>
      <c r="E389" s="26"/>
      <c r="F389" s="26"/>
      <c r="G389" s="26"/>
      <c r="H389" s="26"/>
      <c r="I389" s="27"/>
      <c r="J389" s="385"/>
      <c r="K389" s="155"/>
      <c r="L389" s="5"/>
      <c r="M389" s="5"/>
      <c r="N389" s="5"/>
      <c r="O389" s="5"/>
      <c r="Q389" s="5"/>
    </row>
    <row r="390" spans="1:17" x14ac:dyDescent="0.2">
      <c r="A390" s="130" t="s">
        <v>128</v>
      </c>
      <c r="B390" s="135" t="s">
        <v>77</v>
      </c>
      <c r="C390" s="33">
        <v>-450</v>
      </c>
      <c r="D390" s="32"/>
      <c r="E390" s="33">
        <v>168000</v>
      </c>
      <c r="F390" s="33">
        <v>55000</v>
      </c>
      <c r="G390" s="33"/>
      <c r="H390" s="57"/>
      <c r="I390" s="33">
        <v>182500</v>
      </c>
      <c r="J390" s="31">
        <f>+SUM(C390:G390)-(H390+I390)</f>
        <v>40050</v>
      </c>
      <c r="K390" s="156"/>
      <c r="L390" s="5"/>
      <c r="M390" s="5"/>
      <c r="N390" s="5"/>
      <c r="O390" s="5"/>
      <c r="Q390" s="5"/>
    </row>
    <row r="391" spans="1:17" x14ac:dyDescent="0.2">
      <c r="A391" s="130" t="s">
        <v>128</v>
      </c>
      <c r="B391" s="135" t="s">
        <v>48</v>
      </c>
      <c r="C391" s="33">
        <v>12510</v>
      </c>
      <c r="D391" s="32"/>
      <c r="E391" s="33">
        <v>303000</v>
      </c>
      <c r="F391" s="33"/>
      <c r="G391" s="33"/>
      <c r="H391" s="57"/>
      <c r="I391" s="33">
        <v>276665</v>
      </c>
      <c r="J391" s="31">
        <f t="shared" ref="J391:J392" si="172">+SUM(C391:G391)-(H391+I391)</f>
        <v>38845</v>
      </c>
      <c r="K391" s="156"/>
      <c r="L391" s="5"/>
      <c r="M391" s="5"/>
      <c r="N391" s="5"/>
      <c r="O391" s="5"/>
      <c r="Q391" s="5"/>
    </row>
    <row r="392" spans="1:17" x14ac:dyDescent="0.2">
      <c r="A392" s="130" t="s">
        <v>128</v>
      </c>
      <c r="B392" s="135" t="s">
        <v>31</v>
      </c>
      <c r="C392" s="33">
        <v>2895</v>
      </c>
      <c r="D392" s="32"/>
      <c r="E392" s="33">
        <v>40000</v>
      </c>
      <c r="F392" s="33"/>
      <c r="G392" s="33"/>
      <c r="H392" s="33"/>
      <c r="I392" s="33">
        <v>36000</v>
      </c>
      <c r="J392" s="107">
        <f t="shared" si="172"/>
        <v>6895</v>
      </c>
      <c r="K392" s="156"/>
      <c r="L392" s="5"/>
      <c r="M392" s="5"/>
      <c r="N392" s="5"/>
      <c r="O392" s="5"/>
      <c r="Q392" s="5"/>
    </row>
    <row r="393" spans="1:17" x14ac:dyDescent="0.2">
      <c r="A393" s="130" t="s">
        <v>128</v>
      </c>
      <c r="B393" s="135" t="s">
        <v>78</v>
      </c>
      <c r="C393" s="33">
        <v>62040</v>
      </c>
      <c r="D393" s="110"/>
      <c r="E393" s="33"/>
      <c r="F393" s="33"/>
      <c r="G393" s="33"/>
      <c r="H393" s="33">
        <v>25000</v>
      </c>
      <c r="I393" s="33">
        <v>8500</v>
      </c>
      <c r="J393" s="107">
        <f>+SUM(C393:G393)-(H393+I393)</f>
        <v>28540</v>
      </c>
      <c r="K393" s="156"/>
      <c r="L393" s="5"/>
      <c r="M393" s="5"/>
      <c r="N393" s="5"/>
      <c r="O393" s="5"/>
      <c r="Q393" s="5"/>
    </row>
    <row r="394" spans="1:17" x14ac:dyDescent="0.2">
      <c r="A394" s="130" t="s">
        <v>128</v>
      </c>
      <c r="B394" s="135" t="s">
        <v>70</v>
      </c>
      <c r="C394" s="33">
        <v>184</v>
      </c>
      <c r="D394" s="110"/>
      <c r="E394" s="33">
        <v>0</v>
      </c>
      <c r="F394" s="33"/>
      <c r="G394" s="33"/>
      <c r="H394" s="33"/>
      <c r="I394" s="33">
        <v>0</v>
      </c>
      <c r="J394" s="107">
        <f t="shared" ref="J394" si="173">+SUM(C394:G394)-(H394+I394)</f>
        <v>184</v>
      </c>
      <c r="K394" s="156"/>
      <c r="L394" s="5"/>
      <c r="M394" s="5"/>
      <c r="N394" s="5"/>
      <c r="O394" s="5"/>
      <c r="Q394" s="5"/>
    </row>
    <row r="395" spans="1:17" x14ac:dyDescent="0.2">
      <c r="A395" s="130" t="s">
        <v>128</v>
      </c>
      <c r="B395" s="136" t="s">
        <v>30</v>
      </c>
      <c r="C395" s="33">
        <v>-36500</v>
      </c>
      <c r="D395" s="127"/>
      <c r="E395" s="53">
        <v>523500</v>
      </c>
      <c r="F395" s="53"/>
      <c r="G395" s="53"/>
      <c r="H395" s="53"/>
      <c r="I395" s="53">
        <v>418800</v>
      </c>
      <c r="J395" s="132">
        <f>+SUM(C395:G395)-(H395+I395)</f>
        <v>68200</v>
      </c>
      <c r="K395" s="156"/>
      <c r="L395" s="5"/>
      <c r="M395" s="5"/>
      <c r="N395" s="5"/>
      <c r="O395" s="5"/>
      <c r="Q395" s="5"/>
    </row>
    <row r="396" spans="1:17" x14ac:dyDescent="0.2">
      <c r="A396" s="130" t="s">
        <v>128</v>
      </c>
      <c r="B396" s="137" t="s">
        <v>85</v>
      </c>
      <c r="C396" s="128">
        <v>233614</v>
      </c>
      <c r="D396" s="131"/>
      <c r="E396" s="146"/>
      <c r="F396" s="146"/>
      <c r="G396" s="146"/>
      <c r="H396" s="146"/>
      <c r="I396" s="146"/>
      <c r="J396" s="129">
        <f>+SUM(C396:G396)-(H396+I396)</f>
        <v>233614</v>
      </c>
      <c r="K396" s="156"/>
      <c r="L396" s="5"/>
      <c r="M396" s="5"/>
      <c r="N396" s="5"/>
      <c r="O396" s="5"/>
      <c r="Q396" s="5"/>
    </row>
    <row r="397" spans="1:17" x14ac:dyDescent="0.2">
      <c r="A397" s="130" t="s">
        <v>128</v>
      </c>
      <c r="B397" s="137" t="s">
        <v>84</v>
      </c>
      <c r="C397" s="128">
        <v>249769</v>
      </c>
      <c r="D397" s="131"/>
      <c r="E397" s="146"/>
      <c r="F397" s="146"/>
      <c r="G397" s="146"/>
      <c r="H397" s="146"/>
      <c r="I397" s="146"/>
      <c r="J397" s="129">
        <f t="shared" ref="J397:J402" si="174">+SUM(C397:G397)-(H397+I397)</f>
        <v>249769</v>
      </c>
      <c r="K397" s="156"/>
      <c r="L397" s="5"/>
      <c r="M397" s="5"/>
      <c r="N397" s="5"/>
      <c r="O397" s="5"/>
      <c r="Q397" s="5"/>
    </row>
    <row r="398" spans="1:17" x14ac:dyDescent="0.2">
      <c r="A398" s="130" t="s">
        <v>128</v>
      </c>
      <c r="B398" s="135" t="s">
        <v>36</v>
      </c>
      <c r="C398" s="33">
        <v>71200</v>
      </c>
      <c r="D398" s="32"/>
      <c r="E398" s="33">
        <v>1056000</v>
      </c>
      <c r="F398" s="33"/>
      <c r="G398" s="110"/>
      <c r="H398" s="110">
        <v>55000</v>
      </c>
      <c r="I398" s="33">
        <v>1076875</v>
      </c>
      <c r="J398" s="31">
        <f t="shared" si="174"/>
        <v>-4675</v>
      </c>
      <c r="K398" s="156"/>
      <c r="L398" s="5"/>
      <c r="M398" s="5"/>
      <c r="N398" s="5"/>
      <c r="O398" s="5"/>
      <c r="Q398" s="5"/>
    </row>
    <row r="399" spans="1:17" x14ac:dyDescent="0.2">
      <c r="A399" s="130" t="s">
        <v>128</v>
      </c>
      <c r="B399" s="135" t="s">
        <v>94</v>
      </c>
      <c r="C399" s="33">
        <v>6000</v>
      </c>
      <c r="D399" s="32"/>
      <c r="E399" s="33">
        <v>20000</v>
      </c>
      <c r="F399" s="110"/>
      <c r="G399" s="110"/>
      <c r="H399" s="110"/>
      <c r="I399" s="33">
        <v>21000</v>
      </c>
      <c r="J399" s="31">
        <f t="shared" si="174"/>
        <v>5000</v>
      </c>
      <c r="K399" s="156"/>
      <c r="L399" s="5"/>
      <c r="M399" s="5"/>
      <c r="N399" s="5"/>
      <c r="O399" s="5"/>
      <c r="Q399" s="5"/>
    </row>
    <row r="400" spans="1:17" x14ac:dyDescent="0.2">
      <c r="A400" s="130" t="s">
        <v>128</v>
      </c>
      <c r="B400" s="135" t="s">
        <v>29</v>
      </c>
      <c r="C400" s="33">
        <v>167700</v>
      </c>
      <c r="D400" s="32"/>
      <c r="E400" s="33">
        <v>473000</v>
      </c>
      <c r="F400" s="110"/>
      <c r="G400" s="110"/>
      <c r="H400" s="110"/>
      <c r="I400" s="33">
        <v>567900</v>
      </c>
      <c r="J400" s="31">
        <f t="shared" si="174"/>
        <v>72800</v>
      </c>
      <c r="K400" s="156"/>
      <c r="L400" s="5"/>
      <c r="M400" s="5"/>
      <c r="N400" s="5"/>
      <c r="O400" s="5"/>
      <c r="Q400" s="5"/>
    </row>
    <row r="401" spans="1:17" x14ac:dyDescent="0.2">
      <c r="A401" s="130" t="s">
        <v>128</v>
      </c>
      <c r="B401" s="135" t="s">
        <v>32</v>
      </c>
      <c r="C401" s="33">
        <v>65300</v>
      </c>
      <c r="D401" s="32"/>
      <c r="E401" s="33">
        <v>10000</v>
      </c>
      <c r="F401" s="110"/>
      <c r="G401" s="110"/>
      <c r="H401" s="110">
        <v>20000</v>
      </c>
      <c r="I401" s="33">
        <v>8000</v>
      </c>
      <c r="J401" s="31">
        <f t="shared" si="174"/>
        <v>47300</v>
      </c>
      <c r="K401" s="156"/>
      <c r="L401" s="5"/>
      <c r="M401" s="5"/>
      <c r="N401" s="5"/>
      <c r="O401" s="5"/>
      <c r="Q401" s="5"/>
    </row>
    <row r="402" spans="1:17" x14ac:dyDescent="0.2">
      <c r="A402" s="130" t="s">
        <v>128</v>
      </c>
      <c r="B402" s="136" t="s">
        <v>114</v>
      </c>
      <c r="C402" s="33">
        <v>-11700</v>
      </c>
      <c r="D402" s="127"/>
      <c r="E402" s="53">
        <v>385800</v>
      </c>
      <c r="F402" s="53"/>
      <c r="G402" s="147"/>
      <c r="H402" s="53"/>
      <c r="I402" s="53">
        <v>294500</v>
      </c>
      <c r="J402" s="31">
        <f t="shared" si="174"/>
        <v>79600</v>
      </c>
      <c r="K402" s="156"/>
      <c r="L402" s="5"/>
      <c r="M402" s="5"/>
      <c r="N402" s="5"/>
      <c r="O402" s="5"/>
      <c r="Q402" s="5"/>
    </row>
    <row r="403" spans="1:17" x14ac:dyDescent="0.2">
      <c r="A403" s="35" t="s">
        <v>61</v>
      </c>
      <c r="B403" s="36"/>
      <c r="C403" s="36"/>
      <c r="D403" s="36"/>
      <c r="E403" s="36"/>
      <c r="F403" s="36"/>
      <c r="G403" s="36"/>
      <c r="H403" s="36"/>
      <c r="I403" s="36"/>
      <c r="J403" s="37"/>
      <c r="K403" s="155"/>
      <c r="L403" s="5"/>
      <c r="M403" s="5"/>
      <c r="N403" s="5"/>
      <c r="O403" s="5"/>
      <c r="Q403" s="5"/>
    </row>
    <row r="404" spans="1:17" x14ac:dyDescent="0.2">
      <c r="A404" s="130" t="s">
        <v>128</v>
      </c>
      <c r="B404" s="38" t="s">
        <v>62</v>
      </c>
      <c r="C404" s="39">
        <v>1672959</v>
      </c>
      <c r="D404" s="51">
        <v>3341000</v>
      </c>
      <c r="E404" s="109"/>
      <c r="F404" s="109">
        <v>45000</v>
      </c>
      <c r="G404" s="148"/>
      <c r="H404" s="139">
        <v>2979300</v>
      </c>
      <c r="I404" s="134">
        <v>1611730</v>
      </c>
      <c r="J404" s="46">
        <f>+SUM(C404:G404)-(H404+I404)</f>
        <v>467929</v>
      </c>
      <c r="K404" s="156"/>
      <c r="L404" s="5"/>
      <c r="M404" s="5"/>
      <c r="N404" s="5"/>
      <c r="O404" s="5"/>
      <c r="Q404" s="5"/>
    </row>
    <row r="405" spans="1:17" x14ac:dyDescent="0.2">
      <c r="A405" s="44" t="s">
        <v>63</v>
      </c>
      <c r="B405" s="25"/>
      <c r="C405" s="36"/>
      <c r="D405" s="25"/>
      <c r="E405" s="25"/>
      <c r="F405" s="25"/>
      <c r="G405" s="25"/>
      <c r="H405" s="25"/>
      <c r="I405" s="25"/>
      <c r="J405" s="37"/>
      <c r="K405" s="155"/>
      <c r="L405" s="5"/>
      <c r="M405" s="5"/>
      <c r="N405" s="5"/>
      <c r="O405" s="5"/>
      <c r="Q405" s="5"/>
    </row>
    <row r="406" spans="1:17" x14ac:dyDescent="0.2">
      <c r="A406" s="130" t="s">
        <v>128</v>
      </c>
      <c r="B406" s="38" t="s">
        <v>64</v>
      </c>
      <c r="C406" s="133">
        <v>2957378</v>
      </c>
      <c r="D406" s="140">
        <v>7828953</v>
      </c>
      <c r="E406" s="51"/>
      <c r="F406" s="51"/>
      <c r="G406" s="51"/>
      <c r="H406" s="53">
        <v>3000000</v>
      </c>
      <c r="I406" s="55">
        <v>380404</v>
      </c>
      <c r="J406" s="46">
        <f>+SUM(C406:G406)-(H406+I406)</f>
        <v>7405927</v>
      </c>
      <c r="K406" s="156"/>
      <c r="L406" s="5"/>
      <c r="M406" s="5"/>
      <c r="N406" s="5"/>
      <c r="O406" s="5"/>
      <c r="Q406" s="5"/>
    </row>
    <row r="407" spans="1:17" x14ac:dyDescent="0.2">
      <c r="A407" s="130" t="s">
        <v>128</v>
      </c>
      <c r="B407" s="38" t="s">
        <v>65</v>
      </c>
      <c r="C407" s="133">
        <v>28018504</v>
      </c>
      <c r="D407" s="51"/>
      <c r="E407" s="50"/>
      <c r="F407" s="50"/>
      <c r="G407" s="50"/>
      <c r="H407" s="33">
        <v>341000</v>
      </c>
      <c r="I407" s="52">
        <v>4705439</v>
      </c>
      <c r="J407" s="46">
        <f>SUM(C407:G407)-(H407+I407)</f>
        <v>22972065</v>
      </c>
      <c r="K407" s="156"/>
      <c r="L407" s="5"/>
      <c r="M407" s="5"/>
      <c r="N407" s="5"/>
      <c r="O407" s="5"/>
      <c r="Q407" s="5"/>
    </row>
    <row r="408" spans="1:17" ht="15.75" x14ac:dyDescent="0.25">
      <c r="C408" s="151">
        <f>SUM(C390:C407)</f>
        <v>33471403</v>
      </c>
      <c r="I408" s="149">
        <f>SUM(I390:I407)</f>
        <v>9588313</v>
      </c>
      <c r="J408" s="111">
        <f>+SUM(J390:J407)</f>
        <v>31712043</v>
      </c>
      <c r="L408" s="5"/>
      <c r="M408" s="5"/>
      <c r="N408" s="5"/>
      <c r="O408" s="5"/>
      <c r="Q408" s="5"/>
    </row>
    <row r="409" spans="1:17" ht="16.5" x14ac:dyDescent="0.3">
      <c r="A409" s="14"/>
      <c r="B409" s="15"/>
      <c r="C409" s="12" t="e">
        <f>C408=C328</f>
        <v>#REF!</v>
      </c>
      <c r="D409" s="12"/>
      <c r="E409" s="13"/>
      <c r="F409" s="12"/>
      <c r="G409" s="12"/>
      <c r="H409" s="12"/>
      <c r="I409" s="12"/>
      <c r="L409" s="5"/>
      <c r="M409" s="5"/>
      <c r="N409" s="5"/>
      <c r="O409" s="5"/>
      <c r="Q409" s="5"/>
    </row>
    <row r="410" spans="1:17" x14ac:dyDescent="0.2">
      <c r="A410" s="16" t="s">
        <v>53</v>
      </c>
      <c r="B410" s="16"/>
      <c r="C410" s="16"/>
      <c r="D410" s="17"/>
      <c r="E410" s="17"/>
      <c r="F410" s="17"/>
      <c r="G410" s="17"/>
      <c r="H410" s="17"/>
      <c r="I410" s="17"/>
      <c r="L410" s="5"/>
      <c r="M410" s="5"/>
      <c r="N410" s="5"/>
      <c r="O410" s="5"/>
      <c r="Q410" s="5"/>
    </row>
    <row r="411" spans="1:17" x14ac:dyDescent="0.2">
      <c r="A411" s="18" t="s">
        <v>120</v>
      </c>
      <c r="B411" s="18"/>
      <c r="C411" s="18"/>
      <c r="D411" s="18"/>
      <c r="E411" s="18"/>
      <c r="F411" s="18"/>
      <c r="G411" s="18"/>
      <c r="H411" s="18"/>
      <c r="I411" s="18"/>
      <c r="J411" s="17"/>
      <c r="L411" s="5"/>
      <c r="M411" s="5"/>
      <c r="N411" s="5"/>
      <c r="O411" s="5"/>
      <c r="Q411" s="5"/>
    </row>
    <row r="412" spans="1:17" x14ac:dyDescent="0.2">
      <c r="A412" s="19"/>
      <c r="B412" s="20"/>
      <c r="C412" s="21"/>
      <c r="D412" s="21"/>
      <c r="E412" s="21"/>
      <c r="F412" s="21"/>
      <c r="G412" s="21"/>
      <c r="H412" s="20"/>
      <c r="I412" s="20"/>
      <c r="J412" s="18"/>
      <c r="L412" s="5"/>
      <c r="M412" s="5"/>
      <c r="N412" s="5"/>
      <c r="O412" s="5"/>
      <c r="Q412" s="5"/>
    </row>
    <row r="413" spans="1:17" x14ac:dyDescent="0.2">
      <c r="A413" s="386" t="s">
        <v>54</v>
      </c>
      <c r="B413" s="388" t="s">
        <v>55</v>
      </c>
      <c r="C413" s="390" t="s">
        <v>122</v>
      </c>
      <c r="D413" s="392" t="s">
        <v>56</v>
      </c>
      <c r="E413" s="393"/>
      <c r="F413" s="393"/>
      <c r="G413" s="394"/>
      <c r="H413" s="395" t="s">
        <v>57</v>
      </c>
      <c r="I413" s="382" t="s">
        <v>58</v>
      </c>
      <c r="J413" s="20"/>
      <c r="L413" s="5"/>
      <c r="M413" s="5"/>
      <c r="N413" s="5"/>
      <c r="O413" s="5"/>
      <c r="Q413" s="5"/>
    </row>
    <row r="414" spans="1:17" x14ac:dyDescent="0.25">
      <c r="A414" s="387"/>
      <c r="B414" s="389"/>
      <c r="C414" s="391"/>
      <c r="D414" s="22" t="s">
        <v>24</v>
      </c>
      <c r="E414" s="22" t="s">
        <v>25</v>
      </c>
      <c r="F414" s="154" t="s">
        <v>124</v>
      </c>
      <c r="G414" s="22" t="s">
        <v>59</v>
      </c>
      <c r="H414" s="396"/>
      <c r="I414" s="383"/>
      <c r="J414" s="384" t="s">
        <v>123</v>
      </c>
      <c r="K414" s="155"/>
      <c r="L414" s="5"/>
      <c r="M414" s="5"/>
      <c r="N414" s="5"/>
      <c r="O414" s="5"/>
      <c r="Q414" s="5"/>
    </row>
    <row r="415" spans="1:17" x14ac:dyDescent="0.2">
      <c r="A415" s="24"/>
      <c r="B415" s="25" t="s">
        <v>60</v>
      </c>
      <c r="C415" s="26"/>
      <c r="D415" s="26"/>
      <c r="E415" s="26"/>
      <c r="F415" s="26"/>
      <c r="G415" s="26"/>
      <c r="H415" s="26"/>
      <c r="I415" s="27"/>
      <c r="J415" s="385"/>
      <c r="K415" s="155"/>
      <c r="L415" s="5"/>
      <c r="M415" s="5"/>
      <c r="N415" s="5"/>
      <c r="O415" s="5"/>
      <c r="Q415" s="5"/>
    </row>
    <row r="416" spans="1:17" x14ac:dyDescent="0.2">
      <c r="A416" s="130" t="s">
        <v>121</v>
      </c>
      <c r="B416" s="135" t="s">
        <v>77</v>
      </c>
      <c r="C416" s="33">
        <v>7670</v>
      </c>
      <c r="D416" s="32"/>
      <c r="E416" s="33">
        <v>438000</v>
      </c>
      <c r="F416" s="33"/>
      <c r="G416" s="33"/>
      <c r="H416" s="57">
        <v>40000</v>
      </c>
      <c r="I416" s="33">
        <v>406120</v>
      </c>
      <c r="J416" s="31">
        <f>+SUM(C416:G416)-(H416+I416)</f>
        <v>-450</v>
      </c>
      <c r="K416" s="156" t="e">
        <f>J416=#REF!</f>
        <v>#REF!</v>
      </c>
      <c r="L416" s="5"/>
      <c r="M416" s="5"/>
      <c r="N416" s="5"/>
      <c r="O416" s="5"/>
      <c r="Q416" s="5"/>
    </row>
    <row r="417" spans="1:17" x14ac:dyDescent="0.2">
      <c r="A417" s="130" t="s">
        <v>121</v>
      </c>
      <c r="B417" s="135" t="s">
        <v>48</v>
      </c>
      <c r="C417" s="33">
        <v>4710</v>
      </c>
      <c r="D417" s="32"/>
      <c r="E417" s="33">
        <v>303000</v>
      </c>
      <c r="F417" s="33">
        <f>25000+91000+62000</f>
        <v>178000</v>
      </c>
      <c r="G417" s="33"/>
      <c r="H417" s="57">
        <v>29000</v>
      </c>
      <c r="I417" s="33">
        <v>444200</v>
      </c>
      <c r="J417" s="31">
        <f t="shared" ref="J417:J418" si="175">+SUM(C417:G417)-(H417+I417)</f>
        <v>12510</v>
      </c>
      <c r="K417" s="156" t="b">
        <f>J417=I317</f>
        <v>0</v>
      </c>
      <c r="L417" s="5"/>
      <c r="M417" s="5"/>
      <c r="N417" s="5"/>
      <c r="O417" s="5"/>
      <c r="Q417" s="5"/>
    </row>
    <row r="418" spans="1:17" x14ac:dyDescent="0.2">
      <c r="A418" s="130" t="s">
        <v>121</v>
      </c>
      <c r="B418" s="135" t="s">
        <v>31</v>
      </c>
      <c r="C418" s="33">
        <v>9295</v>
      </c>
      <c r="D418" s="32"/>
      <c r="E418" s="33">
        <v>743000</v>
      </c>
      <c r="F418" s="33">
        <v>2000</v>
      </c>
      <c r="G418" s="33"/>
      <c r="H418" s="33">
        <f>103000+91000+137000+101000+91000</f>
        <v>523000</v>
      </c>
      <c r="I418" s="33">
        <v>228400</v>
      </c>
      <c r="J418" s="107">
        <f t="shared" si="175"/>
        <v>2895</v>
      </c>
      <c r="K418" s="156" t="b">
        <f>J418=I318</f>
        <v>0</v>
      </c>
      <c r="L418" s="5"/>
      <c r="M418" s="5"/>
      <c r="N418" s="5"/>
      <c r="O418" s="5"/>
      <c r="Q418" s="5"/>
    </row>
    <row r="419" spans="1:17" x14ac:dyDescent="0.2">
      <c r="A419" s="130" t="s">
        <v>121</v>
      </c>
      <c r="B419" s="135" t="s">
        <v>78</v>
      </c>
      <c r="C419" s="33">
        <v>-25100</v>
      </c>
      <c r="D419" s="110"/>
      <c r="E419" s="33">
        <v>121100</v>
      </c>
      <c r="F419" s="33">
        <f>103000+1000+28000+137000</f>
        <v>269000</v>
      </c>
      <c r="G419" s="33"/>
      <c r="H419" s="33"/>
      <c r="I419" s="33">
        <v>302960</v>
      </c>
      <c r="J419" s="107">
        <f>+SUM(C419:G419)-(H419+I419)</f>
        <v>62040</v>
      </c>
      <c r="K419" s="156" t="b">
        <f>J419=I319</f>
        <v>0</v>
      </c>
      <c r="L419" s="5"/>
      <c r="M419" s="5"/>
      <c r="N419" s="5"/>
      <c r="O419" s="5"/>
      <c r="Q419" s="5"/>
    </row>
    <row r="420" spans="1:17" x14ac:dyDescent="0.2">
      <c r="A420" s="130" t="s">
        <v>121</v>
      </c>
      <c r="B420" s="135" t="s">
        <v>70</v>
      </c>
      <c r="C420" s="33">
        <v>7384</v>
      </c>
      <c r="D420" s="110"/>
      <c r="E420" s="33">
        <v>319000</v>
      </c>
      <c r="F420" s="33">
        <v>101000</v>
      </c>
      <c r="G420" s="33"/>
      <c r="H420" s="33">
        <v>62000</v>
      </c>
      <c r="I420" s="33">
        <v>365200</v>
      </c>
      <c r="J420" s="107">
        <f t="shared" ref="J420" si="176">+SUM(C420:G420)-(H420+I420)</f>
        <v>184</v>
      </c>
      <c r="K420" s="156" t="e">
        <f>J420=#REF!</f>
        <v>#REF!</v>
      </c>
      <c r="L420" s="5"/>
      <c r="M420" s="5"/>
      <c r="N420" s="5"/>
      <c r="O420" s="5"/>
      <c r="Q420" s="5"/>
    </row>
    <row r="421" spans="1:17" x14ac:dyDescent="0.2">
      <c r="A421" s="130" t="s">
        <v>121</v>
      </c>
      <c r="B421" s="136" t="s">
        <v>30</v>
      </c>
      <c r="C421" s="33">
        <v>61300</v>
      </c>
      <c r="D421" s="127"/>
      <c r="E421" s="53">
        <v>931200</v>
      </c>
      <c r="F421" s="53"/>
      <c r="G421" s="53"/>
      <c r="H421" s="53">
        <v>28000</v>
      </c>
      <c r="I421" s="53">
        <v>1001000</v>
      </c>
      <c r="J421" s="132">
        <f>+SUM(C421:G421)-(H421+I421)</f>
        <v>-36500</v>
      </c>
      <c r="K421" s="156" t="b">
        <f t="shared" ref="K421:K428" si="177">J421=I320</f>
        <v>0</v>
      </c>
      <c r="L421" s="5"/>
      <c r="M421" s="5"/>
      <c r="N421" s="5"/>
      <c r="O421" s="5"/>
      <c r="Q421" s="5"/>
    </row>
    <row r="422" spans="1:17" x14ac:dyDescent="0.2">
      <c r="A422" s="130" t="s">
        <v>121</v>
      </c>
      <c r="B422" s="137" t="s">
        <v>85</v>
      </c>
      <c r="C422" s="128">
        <v>233614</v>
      </c>
      <c r="D422" s="131"/>
      <c r="E422" s="146"/>
      <c r="F422" s="146"/>
      <c r="G422" s="146"/>
      <c r="H422" s="146"/>
      <c r="I422" s="146"/>
      <c r="J422" s="129">
        <f>+SUM(C422:G422)-(H422+I422)</f>
        <v>233614</v>
      </c>
      <c r="K422" s="156" t="b">
        <f t="shared" si="177"/>
        <v>0</v>
      </c>
      <c r="L422" s="5"/>
      <c r="M422" s="5"/>
      <c r="N422" s="5"/>
      <c r="O422" s="5"/>
      <c r="Q422" s="5"/>
    </row>
    <row r="423" spans="1:17" x14ac:dyDescent="0.2">
      <c r="A423" s="130" t="s">
        <v>121</v>
      </c>
      <c r="B423" s="137" t="s">
        <v>84</v>
      </c>
      <c r="C423" s="128">
        <v>249769</v>
      </c>
      <c r="D423" s="131"/>
      <c r="E423" s="146"/>
      <c r="F423" s="146"/>
      <c r="G423" s="146"/>
      <c r="H423" s="146"/>
      <c r="I423" s="146"/>
      <c r="J423" s="129">
        <f t="shared" ref="J423:J426" si="178">+SUM(C423:G423)-(H423+I423)</f>
        <v>249769</v>
      </c>
      <c r="K423" s="156" t="b">
        <f t="shared" si="177"/>
        <v>0</v>
      </c>
      <c r="L423" s="5"/>
      <c r="M423" s="5"/>
      <c r="N423" s="5"/>
      <c r="O423" s="5"/>
      <c r="Q423" s="5"/>
    </row>
    <row r="424" spans="1:17" x14ac:dyDescent="0.2">
      <c r="A424" s="130" t="s">
        <v>121</v>
      </c>
      <c r="B424" s="135" t="s">
        <v>36</v>
      </c>
      <c r="C424" s="33">
        <v>4500</v>
      </c>
      <c r="D424" s="32"/>
      <c r="E424" s="33">
        <v>234000</v>
      </c>
      <c r="F424" s="33">
        <v>40000</v>
      </c>
      <c r="G424" s="110"/>
      <c r="H424" s="110"/>
      <c r="I424" s="33">
        <v>207300</v>
      </c>
      <c r="J424" s="31">
        <f t="shared" si="178"/>
        <v>71200</v>
      </c>
      <c r="K424" s="156" t="b">
        <f t="shared" si="177"/>
        <v>0</v>
      </c>
      <c r="L424" s="5"/>
      <c r="M424" s="5"/>
      <c r="N424" s="5"/>
      <c r="O424" s="5"/>
      <c r="Q424" s="5"/>
    </row>
    <row r="425" spans="1:17" x14ac:dyDescent="0.2">
      <c r="A425" s="130" t="s">
        <v>121</v>
      </c>
      <c r="B425" s="135" t="s">
        <v>94</v>
      </c>
      <c r="C425" s="33">
        <v>-6000</v>
      </c>
      <c r="D425" s="32"/>
      <c r="E425" s="33">
        <v>61000</v>
      </c>
      <c r="F425" s="110"/>
      <c r="G425" s="110"/>
      <c r="H425" s="110"/>
      <c r="I425" s="33">
        <v>49000</v>
      </c>
      <c r="J425" s="31">
        <f t="shared" si="178"/>
        <v>6000</v>
      </c>
      <c r="K425" s="156" t="b">
        <f t="shared" si="177"/>
        <v>0</v>
      </c>
      <c r="L425" s="5"/>
      <c r="M425" s="5"/>
      <c r="N425" s="5"/>
      <c r="O425" s="5"/>
      <c r="Q425" s="5"/>
    </row>
    <row r="426" spans="1:17" x14ac:dyDescent="0.2">
      <c r="A426" s="130" t="s">
        <v>121</v>
      </c>
      <c r="B426" s="135" t="s">
        <v>29</v>
      </c>
      <c r="C426" s="33">
        <v>72200</v>
      </c>
      <c r="D426" s="32"/>
      <c r="E426" s="33">
        <v>722000</v>
      </c>
      <c r="F426" s="110"/>
      <c r="G426" s="110"/>
      <c r="H426" s="110"/>
      <c r="I426" s="33">
        <v>626500</v>
      </c>
      <c r="J426" s="31">
        <f t="shared" si="178"/>
        <v>167700</v>
      </c>
      <c r="K426" s="156" t="b">
        <f t="shared" si="177"/>
        <v>0</v>
      </c>
      <c r="L426" s="5"/>
      <c r="M426" s="5"/>
      <c r="N426" s="5"/>
      <c r="O426" s="5"/>
      <c r="Q426" s="5"/>
    </row>
    <row r="427" spans="1:17" x14ac:dyDescent="0.2">
      <c r="A427" s="130" t="s">
        <v>121</v>
      </c>
      <c r="B427" s="135" t="s">
        <v>32</v>
      </c>
      <c r="C427" s="33">
        <v>9300</v>
      </c>
      <c r="D427" s="32"/>
      <c r="E427" s="33">
        <v>60000</v>
      </c>
      <c r="F427" s="110"/>
      <c r="G427" s="110"/>
      <c r="H427" s="110"/>
      <c r="I427" s="33">
        <v>4000</v>
      </c>
      <c r="J427" s="31">
        <f t="shared" ref="J427:J428" si="179">+SUM(C427:G427)-(H427+I427)</f>
        <v>65300</v>
      </c>
      <c r="K427" s="156" t="b">
        <f t="shared" si="177"/>
        <v>0</v>
      </c>
      <c r="L427" s="5"/>
      <c r="M427" s="5"/>
      <c r="N427" s="5"/>
      <c r="O427" s="5"/>
      <c r="Q427" s="5"/>
    </row>
    <row r="428" spans="1:17" x14ac:dyDescent="0.2">
      <c r="A428" s="130" t="s">
        <v>121</v>
      </c>
      <c r="B428" s="136" t="s">
        <v>114</v>
      </c>
      <c r="C428" s="33">
        <v>-14000</v>
      </c>
      <c r="D428" s="127"/>
      <c r="E428" s="53">
        <v>378000</v>
      </c>
      <c r="F428" s="53">
        <f>29000+91000</f>
        <v>120000</v>
      </c>
      <c r="G428" s="147"/>
      <c r="H428" s="53">
        <f>2000+1000+25000</f>
        <v>28000</v>
      </c>
      <c r="I428" s="53">
        <v>467700</v>
      </c>
      <c r="J428" s="31">
        <f t="shared" si="179"/>
        <v>-11700</v>
      </c>
      <c r="K428" s="156" t="b">
        <f t="shared" si="177"/>
        <v>0</v>
      </c>
      <c r="L428" s="5"/>
      <c r="M428" s="5"/>
      <c r="N428" s="5"/>
      <c r="O428" s="5"/>
      <c r="Q428" s="5"/>
    </row>
    <row r="429" spans="1:17" x14ac:dyDescent="0.2">
      <c r="A429" s="35" t="s">
        <v>61</v>
      </c>
      <c r="B429" s="36"/>
      <c r="C429" s="36"/>
      <c r="D429" s="36"/>
      <c r="E429" s="36"/>
      <c r="F429" s="36"/>
      <c r="G429" s="36"/>
      <c r="H429" s="36"/>
      <c r="I429" s="36"/>
      <c r="J429" s="37"/>
      <c r="K429" s="155"/>
      <c r="L429" s="5"/>
      <c r="M429" s="5"/>
      <c r="N429" s="5"/>
      <c r="O429" s="5"/>
      <c r="Q429" s="5"/>
    </row>
    <row r="430" spans="1:17" x14ac:dyDescent="0.2">
      <c r="A430" s="130" t="s">
        <v>121</v>
      </c>
      <c r="B430" s="38" t="s">
        <v>62</v>
      </c>
      <c r="C430" s="39">
        <v>1148337</v>
      </c>
      <c r="D430" s="51">
        <v>7000000</v>
      </c>
      <c r="E430" s="109"/>
      <c r="F430" s="109"/>
      <c r="G430" s="148"/>
      <c r="H430" s="139">
        <v>4310300</v>
      </c>
      <c r="I430" s="134">
        <v>2165078</v>
      </c>
      <c r="J430" s="46">
        <f>+SUM(C430:G430)-(H430+I430)</f>
        <v>1672959</v>
      </c>
      <c r="K430" s="156" t="b">
        <f>J430=I316</f>
        <v>0</v>
      </c>
      <c r="L430" s="5"/>
      <c r="M430" s="5"/>
      <c r="N430" s="5"/>
      <c r="O430" s="5"/>
      <c r="Q430" s="5"/>
    </row>
    <row r="431" spans="1:17" x14ac:dyDescent="0.2">
      <c r="A431" s="44" t="s">
        <v>63</v>
      </c>
      <c r="B431" s="25"/>
      <c r="C431" s="36"/>
      <c r="D431" s="25"/>
      <c r="E431" s="25"/>
      <c r="F431" s="25"/>
      <c r="G431" s="25"/>
      <c r="H431" s="25"/>
      <c r="I431" s="25"/>
      <c r="J431" s="37"/>
      <c r="K431" s="155"/>
      <c r="L431" s="5"/>
      <c r="M431" s="5"/>
      <c r="N431" s="5"/>
      <c r="O431" s="5"/>
      <c r="Q431" s="5"/>
    </row>
    <row r="432" spans="1:17" x14ac:dyDescent="0.2">
      <c r="A432" s="130" t="s">
        <v>121</v>
      </c>
      <c r="B432" s="38" t="s">
        <v>64</v>
      </c>
      <c r="C432" s="133">
        <v>10113263</v>
      </c>
      <c r="D432" s="140">
        <v>0</v>
      </c>
      <c r="E432" s="51"/>
      <c r="F432" s="51"/>
      <c r="G432" s="51"/>
      <c r="H432" s="53">
        <v>7000000</v>
      </c>
      <c r="I432" s="55">
        <v>155885</v>
      </c>
      <c r="J432" s="46">
        <f>+SUM(C432:G432)-(H432+I432)</f>
        <v>2957378</v>
      </c>
      <c r="K432" s="156" t="e">
        <f>+J432=#REF!</f>
        <v>#REF!</v>
      </c>
      <c r="L432" s="5"/>
      <c r="M432" s="5"/>
      <c r="N432" s="5"/>
      <c r="O432" s="5"/>
      <c r="Q432" s="5"/>
    </row>
    <row r="433" spans="1:17" x14ac:dyDescent="0.2">
      <c r="A433" s="130" t="s">
        <v>121</v>
      </c>
      <c r="B433" s="38" t="s">
        <v>65</v>
      </c>
      <c r="C433" s="133">
        <v>6219904</v>
      </c>
      <c r="D433" s="51">
        <v>28506579</v>
      </c>
      <c r="E433" s="50"/>
      <c r="F433" s="50"/>
      <c r="G433" s="50"/>
      <c r="H433" s="33"/>
      <c r="I433" s="52">
        <v>6707979</v>
      </c>
      <c r="J433" s="46">
        <f>SUM(C433:G433)-(H433+I433)</f>
        <v>28018504</v>
      </c>
      <c r="K433" s="156" t="b">
        <f>+J433=I315</f>
        <v>0</v>
      </c>
      <c r="L433" s="5"/>
      <c r="M433" s="5"/>
      <c r="N433" s="5"/>
      <c r="O433" s="5"/>
      <c r="Q433" s="5"/>
    </row>
    <row r="434" spans="1:17" ht="15.75" x14ac:dyDescent="0.25">
      <c r="C434" s="151">
        <f>SUM(C416:C433)</f>
        <v>18096146</v>
      </c>
      <c r="I434" s="149">
        <f>SUM(I416:I433)</f>
        <v>13131322</v>
      </c>
      <c r="J434" s="111">
        <f>+SUM(J416:J433)</f>
        <v>33471403</v>
      </c>
      <c r="K434" s="5" t="b">
        <f>J434=I328</f>
        <v>0</v>
      </c>
      <c r="L434" s="5"/>
      <c r="M434" s="5"/>
      <c r="N434" s="5"/>
      <c r="O434" s="5"/>
      <c r="Q434" s="5"/>
    </row>
    <row r="435" spans="1:17" ht="16.5" x14ac:dyDescent="0.3">
      <c r="A435" s="14"/>
      <c r="B435" s="15"/>
      <c r="C435" s="12" t="e">
        <f>C434=C328</f>
        <v>#REF!</v>
      </c>
      <c r="D435" s="12"/>
      <c r="E435" s="13"/>
      <c r="F435" s="12"/>
      <c r="G435" s="12"/>
      <c r="H435" s="12"/>
      <c r="I435" s="12"/>
      <c r="L435" s="5"/>
      <c r="M435" s="5"/>
      <c r="N435" s="5"/>
      <c r="O435" s="5"/>
      <c r="Q435" s="5"/>
    </row>
    <row r="436" spans="1:17" ht="16.5" x14ac:dyDescent="0.3">
      <c r="A436" s="14"/>
      <c r="B436" s="15"/>
      <c r="C436" s="12"/>
      <c r="D436" s="12"/>
      <c r="E436" s="13"/>
      <c r="F436" s="12"/>
      <c r="G436" s="12"/>
      <c r="H436" s="12"/>
      <c r="I436" s="12"/>
      <c r="L436" s="5"/>
      <c r="M436" s="5"/>
      <c r="N436" s="5"/>
      <c r="O436" s="5"/>
      <c r="Q436" s="5"/>
    </row>
    <row r="437" spans="1:17" x14ac:dyDescent="0.2">
      <c r="A437" s="16" t="s">
        <v>53</v>
      </c>
      <c r="B437" s="16"/>
      <c r="C437" s="16"/>
      <c r="D437" s="17"/>
      <c r="E437" s="17"/>
      <c r="F437" s="17"/>
      <c r="G437" s="17"/>
      <c r="H437" s="17"/>
      <c r="I437" s="17"/>
      <c r="L437" s="5"/>
      <c r="M437" s="5"/>
      <c r="N437" s="5"/>
      <c r="O437" s="5"/>
      <c r="Q437" s="5"/>
    </row>
    <row r="438" spans="1:17" x14ac:dyDescent="0.2">
      <c r="A438" s="18" t="s">
        <v>115</v>
      </c>
      <c r="B438" s="18"/>
      <c r="C438" s="18"/>
      <c r="D438" s="18"/>
      <c r="E438" s="18"/>
      <c r="F438" s="18"/>
      <c r="G438" s="18"/>
      <c r="H438" s="18"/>
      <c r="I438" s="18"/>
      <c r="J438" s="17"/>
      <c r="L438" s="5"/>
      <c r="M438" s="5"/>
      <c r="N438" s="5"/>
      <c r="O438" s="5"/>
      <c r="Q438" s="5"/>
    </row>
    <row r="439" spans="1:17" x14ac:dyDescent="0.2">
      <c r="A439" s="19"/>
      <c r="B439" s="20"/>
      <c r="C439" s="21"/>
      <c r="D439" s="21"/>
      <c r="E439" s="21"/>
      <c r="F439" s="21"/>
      <c r="G439" s="21"/>
      <c r="H439" s="20"/>
      <c r="I439" s="20"/>
      <c r="J439" s="18"/>
      <c r="L439" s="5"/>
      <c r="M439" s="5"/>
      <c r="N439" s="5"/>
      <c r="O439" s="5"/>
      <c r="Q439" s="5"/>
    </row>
    <row r="440" spans="1:17" x14ac:dyDescent="0.2">
      <c r="A440" s="386" t="s">
        <v>54</v>
      </c>
      <c r="B440" s="388" t="s">
        <v>55</v>
      </c>
      <c r="C440" s="390" t="s">
        <v>117</v>
      </c>
      <c r="D440" s="392" t="s">
        <v>56</v>
      </c>
      <c r="E440" s="393"/>
      <c r="F440" s="393"/>
      <c r="G440" s="394"/>
      <c r="H440" s="395" t="s">
        <v>57</v>
      </c>
      <c r="I440" s="382" t="s">
        <v>58</v>
      </c>
      <c r="J440" s="20"/>
      <c r="L440" s="5"/>
      <c r="M440" s="5"/>
      <c r="N440" s="5"/>
      <c r="O440" s="5"/>
      <c r="Q440" s="5"/>
    </row>
    <row r="441" spans="1:17" x14ac:dyDescent="0.25">
      <c r="A441" s="387"/>
      <c r="B441" s="389"/>
      <c r="C441" s="391"/>
      <c r="D441" s="22" t="s">
        <v>24</v>
      </c>
      <c r="E441" s="22" t="s">
        <v>25</v>
      </c>
      <c r="F441" s="152" t="s">
        <v>119</v>
      </c>
      <c r="G441" s="22" t="s">
        <v>59</v>
      </c>
      <c r="H441" s="396"/>
      <c r="I441" s="383"/>
      <c r="J441" s="384" t="s">
        <v>118</v>
      </c>
      <c r="L441" s="5"/>
      <c r="M441" s="5"/>
      <c r="N441" s="5"/>
      <c r="O441" s="5"/>
      <c r="Q441" s="5"/>
    </row>
    <row r="442" spans="1:17" x14ac:dyDescent="0.2">
      <c r="A442" s="24"/>
      <c r="B442" s="25" t="s">
        <v>60</v>
      </c>
      <c r="C442" s="26"/>
      <c r="D442" s="26"/>
      <c r="E442" s="26"/>
      <c r="F442" s="26"/>
      <c r="G442" s="26"/>
      <c r="H442" s="26"/>
      <c r="I442" s="27"/>
      <c r="J442" s="385"/>
      <c r="L442" s="5"/>
      <c r="M442" s="5"/>
      <c r="N442" s="5"/>
      <c r="O442" s="5"/>
      <c r="Q442" s="5"/>
    </row>
    <row r="443" spans="1:17" x14ac:dyDescent="0.2">
      <c r="A443" s="130" t="s">
        <v>116</v>
      </c>
      <c r="B443" s="135" t="s">
        <v>77</v>
      </c>
      <c r="C443" s="33">
        <v>3670</v>
      </c>
      <c r="D443" s="32"/>
      <c r="E443" s="33">
        <v>118000</v>
      </c>
      <c r="F443" s="33">
        <v>4000</v>
      </c>
      <c r="G443" s="33"/>
      <c r="H443" s="57"/>
      <c r="I443" s="33">
        <v>118000</v>
      </c>
      <c r="J443" s="31">
        <f>+SUM(C443:G443)-(H443+I443)</f>
        <v>7670</v>
      </c>
      <c r="K443" s="153"/>
      <c r="L443" s="5"/>
      <c r="M443" s="5"/>
      <c r="N443" s="5"/>
      <c r="O443" s="5"/>
      <c r="Q443" s="5"/>
    </row>
    <row r="444" spans="1:17" x14ac:dyDescent="0.2">
      <c r="A444" s="130" t="s">
        <v>116</v>
      </c>
      <c r="B444" s="135" t="s">
        <v>48</v>
      </c>
      <c r="C444" s="33">
        <v>-540</v>
      </c>
      <c r="D444" s="32"/>
      <c r="E444" s="33">
        <v>209750</v>
      </c>
      <c r="F444" s="33">
        <v>5000</v>
      </c>
      <c r="G444" s="33"/>
      <c r="H444" s="57"/>
      <c r="I444" s="33">
        <v>209500</v>
      </c>
      <c r="J444" s="31">
        <f t="shared" ref="J444:J445" si="180">+SUM(C444:G444)-(H444+I444)</f>
        <v>4710</v>
      </c>
      <c r="K444" s="153"/>
      <c r="L444" s="5"/>
      <c r="M444" s="5"/>
      <c r="N444" s="5"/>
      <c r="O444" s="5"/>
      <c r="Q444" s="5"/>
    </row>
    <row r="445" spans="1:17" x14ac:dyDescent="0.2">
      <c r="A445" s="130" t="s">
        <v>116</v>
      </c>
      <c r="B445" s="135" t="s">
        <v>31</v>
      </c>
      <c r="C445" s="33">
        <v>2395</v>
      </c>
      <c r="D445" s="32"/>
      <c r="E445" s="33">
        <v>70000</v>
      </c>
      <c r="F445" s="33">
        <v>4000</v>
      </c>
      <c r="G445" s="33"/>
      <c r="H445" s="33"/>
      <c r="I445" s="33">
        <v>67100</v>
      </c>
      <c r="J445" s="107">
        <f t="shared" si="180"/>
        <v>9295</v>
      </c>
      <c r="K445" s="153"/>
      <c r="L445" s="5"/>
      <c r="M445" s="5"/>
      <c r="N445" s="5"/>
      <c r="O445" s="5"/>
      <c r="Q445" s="5"/>
    </row>
    <row r="446" spans="1:17" x14ac:dyDescent="0.2">
      <c r="A446" s="130" t="s">
        <v>116</v>
      </c>
      <c r="B446" s="135" t="s">
        <v>78</v>
      </c>
      <c r="C446" s="33">
        <v>96100</v>
      </c>
      <c r="D446" s="110"/>
      <c r="E446" s="33">
        <v>488100</v>
      </c>
      <c r="F446" s="33">
        <v>4000</v>
      </c>
      <c r="G446" s="33"/>
      <c r="H446" s="33">
        <v>61600</v>
      </c>
      <c r="I446" s="33">
        <v>551700</v>
      </c>
      <c r="J446" s="107">
        <f>+SUM(C446:G446)-(H446+I446)</f>
        <v>-25100</v>
      </c>
      <c r="K446" s="153"/>
      <c r="L446" s="5"/>
      <c r="M446" s="5"/>
      <c r="N446" s="5"/>
      <c r="O446" s="5"/>
      <c r="Q446" s="5"/>
    </row>
    <row r="447" spans="1:17" x14ac:dyDescent="0.2">
      <c r="A447" s="130" t="s">
        <v>116</v>
      </c>
      <c r="B447" s="135" t="s">
        <v>70</v>
      </c>
      <c r="C447" s="33">
        <v>13884</v>
      </c>
      <c r="D447" s="110"/>
      <c r="E447" s="33">
        <v>194000</v>
      </c>
      <c r="F447" s="33"/>
      <c r="G447" s="33"/>
      <c r="H447" s="33">
        <v>17000</v>
      </c>
      <c r="I447" s="33">
        <v>183500</v>
      </c>
      <c r="J447" s="107">
        <f t="shared" ref="J447" si="181">+SUM(C447:G447)-(H447+I447)</f>
        <v>7384</v>
      </c>
      <c r="K447" s="153"/>
      <c r="L447" s="5"/>
      <c r="M447" s="5"/>
      <c r="N447" s="5"/>
      <c r="O447" s="5"/>
      <c r="Q447" s="5"/>
    </row>
    <row r="448" spans="1:17" x14ac:dyDescent="0.2">
      <c r="A448" s="130" t="s">
        <v>116</v>
      </c>
      <c r="B448" s="136" t="s">
        <v>30</v>
      </c>
      <c r="C448" s="33">
        <v>72400</v>
      </c>
      <c r="D448" s="127"/>
      <c r="E448" s="53">
        <v>599900</v>
      </c>
      <c r="F448" s="53"/>
      <c r="G448" s="53"/>
      <c r="H448" s="53"/>
      <c r="I448" s="53">
        <v>611000</v>
      </c>
      <c r="J448" s="132">
        <f>+SUM(C448:G448)-(H448+I448)</f>
        <v>61300</v>
      </c>
      <c r="K448" s="153"/>
      <c r="L448" s="5"/>
      <c r="M448" s="5"/>
      <c r="N448" s="5"/>
      <c r="O448" s="5"/>
      <c r="Q448" s="5"/>
    </row>
    <row r="449" spans="1:17" x14ac:dyDescent="0.2">
      <c r="A449" s="130" t="s">
        <v>116</v>
      </c>
      <c r="B449" s="137" t="s">
        <v>85</v>
      </c>
      <c r="C449" s="128">
        <v>233614</v>
      </c>
      <c r="D449" s="131"/>
      <c r="E449" s="146"/>
      <c r="F449" s="146"/>
      <c r="G449" s="146"/>
      <c r="H449" s="146"/>
      <c r="I449" s="146"/>
      <c r="J449" s="129">
        <f>+SUM(C449:G449)-(H449+I449)</f>
        <v>233614</v>
      </c>
      <c r="K449" s="153"/>
      <c r="L449" s="5"/>
      <c r="M449" s="5"/>
      <c r="N449" s="5"/>
      <c r="O449" s="5"/>
      <c r="Q449" s="5"/>
    </row>
    <row r="450" spans="1:17" x14ac:dyDescent="0.2">
      <c r="A450" s="130" t="s">
        <v>116</v>
      </c>
      <c r="B450" s="137" t="s">
        <v>84</v>
      </c>
      <c r="C450" s="128">
        <v>249769</v>
      </c>
      <c r="D450" s="131"/>
      <c r="E450" s="146"/>
      <c r="F450" s="146"/>
      <c r="G450" s="146"/>
      <c r="H450" s="146"/>
      <c r="I450" s="146"/>
      <c r="J450" s="129">
        <f t="shared" ref="J450:J457" si="182">+SUM(C450:G450)-(H450+I450)</f>
        <v>249769</v>
      </c>
      <c r="K450" s="153"/>
      <c r="L450" s="5"/>
      <c r="M450" s="5"/>
      <c r="N450" s="5"/>
      <c r="O450" s="5"/>
      <c r="Q450" s="5"/>
    </row>
    <row r="451" spans="1:17" x14ac:dyDescent="0.2">
      <c r="A451" s="130" t="s">
        <v>116</v>
      </c>
      <c r="B451" s="135" t="s">
        <v>36</v>
      </c>
      <c r="C451" s="33">
        <v>18490</v>
      </c>
      <c r="D451" s="32"/>
      <c r="E451" s="33">
        <v>796460</v>
      </c>
      <c r="F451" s="33">
        <v>61600</v>
      </c>
      <c r="G451" s="110"/>
      <c r="H451" s="110"/>
      <c r="I451" s="33">
        <v>872050</v>
      </c>
      <c r="J451" s="31">
        <f t="shared" si="182"/>
        <v>4500</v>
      </c>
      <c r="K451" s="153"/>
      <c r="L451" s="5"/>
      <c r="M451" s="5"/>
      <c r="N451" s="5"/>
      <c r="O451" s="5"/>
      <c r="Q451" s="5"/>
    </row>
    <row r="452" spans="1:17" x14ac:dyDescent="0.2">
      <c r="A452" s="130" t="s">
        <v>116</v>
      </c>
      <c r="B452" s="135" t="s">
        <v>94</v>
      </c>
      <c r="C452" s="33">
        <v>4500</v>
      </c>
      <c r="D452" s="32"/>
      <c r="E452" s="33">
        <v>40000</v>
      </c>
      <c r="F452" s="110"/>
      <c r="G452" s="110"/>
      <c r="H452" s="110"/>
      <c r="I452" s="33">
        <v>50500</v>
      </c>
      <c r="J452" s="31">
        <f t="shared" si="182"/>
        <v>-6000</v>
      </c>
      <c r="K452" s="153"/>
      <c r="L452" s="5"/>
      <c r="M452" s="5"/>
      <c r="N452" s="5"/>
      <c r="O452" s="5"/>
      <c r="Q452" s="5"/>
    </row>
    <row r="453" spans="1:17" x14ac:dyDescent="0.2">
      <c r="A453" s="130" t="s">
        <v>116</v>
      </c>
      <c r="B453" s="135" t="s">
        <v>29</v>
      </c>
      <c r="C453" s="33">
        <v>44200</v>
      </c>
      <c r="D453" s="32"/>
      <c r="E453" s="33">
        <v>60000</v>
      </c>
      <c r="F453" s="110"/>
      <c r="G453" s="110"/>
      <c r="H453" s="110"/>
      <c r="I453" s="33">
        <v>32000</v>
      </c>
      <c r="J453" s="31">
        <f t="shared" si="182"/>
        <v>72200</v>
      </c>
      <c r="K453" s="153"/>
      <c r="L453" s="5"/>
      <c r="M453" s="5"/>
      <c r="N453" s="5"/>
      <c r="O453" s="5"/>
      <c r="Q453" s="5"/>
    </row>
    <row r="454" spans="1:17" x14ac:dyDescent="0.2">
      <c r="A454" s="130" t="s">
        <v>116</v>
      </c>
      <c r="B454" s="135" t="s">
        <v>95</v>
      </c>
      <c r="C454" s="33">
        <v>-851709</v>
      </c>
      <c r="D454" s="32"/>
      <c r="E454" s="33">
        <v>851709</v>
      </c>
      <c r="F454" s="110"/>
      <c r="G454" s="110"/>
      <c r="H454" s="110"/>
      <c r="I454" s="33"/>
      <c r="J454" s="31">
        <f>+SUM(C454:G454)-(H454+I454)</f>
        <v>0</v>
      </c>
      <c r="K454" s="153"/>
      <c r="L454" s="5"/>
      <c r="M454" s="5"/>
      <c r="N454" s="5"/>
      <c r="O454" s="5"/>
      <c r="Q454" s="5"/>
    </row>
    <row r="455" spans="1:17" x14ac:dyDescent="0.2">
      <c r="A455" s="130" t="s">
        <v>116</v>
      </c>
      <c r="B455" s="135" t="s">
        <v>102</v>
      </c>
      <c r="C455" s="33">
        <v>90300</v>
      </c>
      <c r="D455" s="32"/>
      <c r="E455" s="33">
        <v>69200</v>
      </c>
      <c r="F455" s="110"/>
      <c r="G455" s="110"/>
      <c r="H455" s="110"/>
      <c r="I455" s="33">
        <v>159500</v>
      </c>
      <c r="J455" s="31">
        <f t="shared" si="182"/>
        <v>0</v>
      </c>
      <c r="K455" s="153"/>
      <c r="L455" s="5"/>
      <c r="M455" s="5"/>
      <c r="N455" s="5"/>
      <c r="O455" s="5"/>
      <c r="Q455" s="5"/>
    </row>
    <row r="456" spans="1:17" x14ac:dyDescent="0.2">
      <c r="A456" s="130" t="s">
        <v>116</v>
      </c>
      <c r="B456" s="135" t="s">
        <v>32</v>
      </c>
      <c r="C456" s="33">
        <v>300</v>
      </c>
      <c r="D456" s="32"/>
      <c r="E456" s="33">
        <v>20000</v>
      </c>
      <c r="F456" s="110"/>
      <c r="G456" s="110"/>
      <c r="H456" s="110"/>
      <c r="I456" s="33">
        <v>11000</v>
      </c>
      <c r="J456" s="31">
        <f t="shared" si="182"/>
        <v>9300</v>
      </c>
      <c r="K456" s="153"/>
      <c r="L456" s="5"/>
      <c r="M456" s="5"/>
      <c r="N456" s="5"/>
      <c r="O456" s="5"/>
      <c r="Q456" s="5"/>
    </row>
    <row r="457" spans="1:17" x14ac:dyDescent="0.2">
      <c r="A457" s="130" t="s">
        <v>116</v>
      </c>
      <c r="B457" s="136" t="s">
        <v>114</v>
      </c>
      <c r="C457" s="33">
        <v>0</v>
      </c>
      <c r="D457" s="127"/>
      <c r="E457" s="145"/>
      <c r="F457" s="145"/>
      <c r="G457" s="147"/>
      <c r="H457" s="145"/>
      <c r="I457" s="53">
        <v>14000</v>
      </c>
      <c r="J457" s="31">
        <f t="shared" si="182"/>
        <v>-14000</v>
      </c>
      <c r="K457" s="153"/>
      <c r="L457" s="5"/>
      <c r="M457" s="5"/>
      <c r="N457" s="5"/>
      <c r="O457" s="5"/>
      <c r="Q457" s="5"/>
    </row>
    <row r="458" spans="1:17" x14ac:dyDescent="0.2">
      <c r="A458" s="35" t="s">
        <v>61</v>
      </c>
      <c r="B458" s="36"/>
      <c r="C458" s="36"/>
      <c r="D458" s="36"/>
      <c r="E458" s="36"/>
      <c r="F458" s="36"/>
      <c r="G458" s="36"/>
      <c r="H458" s="36"/>
      <c r="I458" s="36"/>
      <c r="J458" s="37"/>
      <c r="L458" s="5"/>
      <c r="M458" s="5"/>
      <c r="N458" s="5"/>
      <c r="O458" s="5"/>
      <c r="Q458" s="5"/>
    </row>
    <row r="459" spans="1:17" x14ac:dyDescent="0.2">
      <c r="A459" s="130" t="s">
        <v>116</v>
      </c>
      <c r="B459" s="38" t="s">
        <v>62</v>
      </c>
      <c r="C459" s="39" t="e">
        <f>C316</f>
        <v>#REF!</v>
      </c>
      <c r="D459" s="51">
        <v>5872000</v>
      </c>
      <c r="E459" s="109"/>
      <c r="F459" s="109"/>
      <c r="G459" s="148"/>
      <c r="H459" s="139">
        <v>3517119</v>
      </c>
      <c r="I459" s="134">
        <v>1523260</v>
      </c>
      <c r="J459" s="46" t="e">
        <f>+SUM(C459:G459)-(H459+I459)</f>
        <v>#REF!</v>
      </c>
      <c r="K459" s="153"/>
      <c r="L459" s="5"/>
      <c r="M459" s="5"/>
      <c r="N459" s="5"/>
      <c r="O459" s="5"/>
      <c r="Q459" s="5"/>
    </row>
    <row r="460" spans="1:17" x14ac:dyDescent="0.2">
      <c r="A460" s="44" t="s">
        <v>63</v>
      </c>
      <c r="B460" s="25"/>
      <c r="C460" s="36"/>
      <c r="D460" s="25"/>
      <c r="E460" s="25"/>
      <c r="F460" s="25"/>
      <c r="G460" s="25"/>
      <c r="H460" s="25"/>
      <c r="I460" s="25"/>
      <c r="J460" s="37"/>
      <c r="L460" s="5"/>
      <c r="M460" s="5"/>
      <c r="N460" s="5"/>
      <c r="O460" s="5"/>
      <c r="Q460" s="5"/>
    </row>
    <row r="461" spans="1:17" x14ac:dyDescent="0.2">
      <c r="A461" s="130" t="s">
        <v>116</v>
      </c>
      <c r="B461" s="38" t="s">
        <v>64</v>
      </c>
      <c r="C461" s="133" t="e">
        <f>#REF!</f>
        <v>#REF!</v>
      </c>
      <c r="D461" s="140">
        <v>10380044</v>
      </c>
      <c r="E461" s="51"/>
      <c r="F461" s="51"/>
      <c r="G461" s="51"/>
      <c r="H461" s="53">
        <v>5500000</v>
      </c>
      <c r="I461" s="55">
        <v>277455</v>
      </c>
      <c r="J461" s="46" t="e">
        <f>+SUM(C461:G461)-(H461+I461)</f>
        <v>#REF!</v>
      </c>
      <c r="K461" s="153"/>
      <c r="L461" s="5"/>
      <c r="M461" s="5"/>
      <c r="N461" s="5"/>
      <c r="O461" s="5"/>
      <c r="Q461" s="5"/>
    </row>
    <row r="462" spans="1:17" x14ac:dyDescent="0.2">
      <c r="A462" s="130" t="s">
        <v>116</v>
      </c>
      <c r="B462" s="38" t="s">
        <v>65</v>
      </c>
      <c r="C462" s="133" t="e">
        <f>C315</f>
        <v>#REF!</v>
      </c>
      <c r="D462" s="51"/>
      <c r="E462" s="50"/>
      <c r="F462" s="50"/>
      <c r="G462" s="50"/>
      <c r="H462" s="33">
        <v>372000</v>
      </c>
      <c r="I462" s="52">
        <v>4601760</v>
      </c>
      <c r="J462" s="46" t="e">
        <f>SUM(C462:G462)-(H462+I462)</f>
        <v>#REF!</v>
      </c>
      <c r="K462" s="153"/>
      <c r="L462" s="5"/>
      <c r="M462" s="5"/>
      <c r="N462" s="5"/>
      <c r="O462" s="5"/>
      <c r="Q462" s="5"/>
    </row>
    <row r="463" spans="1:17" ht="15.75" x14ac:dyDescent="0.25">
      <c r="C463" s="151" t="e">
        <f>SUM(C443:C462)</f>
        <v>#REF!</v>
      </c>
      <c r="I463" s="149">
        <f>SUM(I443:I462)</f>
        <v>9282325</v>
      </c>
      <c r="J463" s="111" t="e">
        <f>+SUM(J443:J462)</f>
        <v>#REF!</v>
      </c>
      <c r="L463" s="5"/>
      <c r="M463" s="5"/>
      <c r="N463" s="5"/>
      <c r="O463" s="5"/>
      <c r="Q463" s="5"/>
    </row>
    <row r="464" spans="1:17" ht="16.5" x14ac:dyDescent="0.3">
      <c r="A464" s="14"/>
      <c r="B464" s="15"/>
      <c r="C464" s="12"/>
      <c r="D464" s="12"/>
      <c r="E464" s="13"/>
      <c r="F464" s="12"/>
      <c r="G464" s="12"/>
      <c r="H464" s="12"/>
      <c r="I464" s="12"/>
      <c r="L464" s="5"/>
      <c r="M464" s="5"/>
      <c r="N464" s="5"/>
      <c r="O464" s="5"/>
      <c r="Q464" s="5"/>
    </row>
    <row r="465" spans="1:17" x14ac:dyDescent="0.2">
      <c r="A465" s="16" t="s">
        <v>53</v>
      </c>
      <c r="B465" s="16"/>
      <c r="C465" s="16"/>
      <c r="D465" s="17"/>
      <c r="E465" s="17"/>
      <c r="F465" s="17"/>
      <c r="G465" s="17"/>
      <c r="H465" s="17"/>
      <c r="I465" s="17"/>
      <c r="L465" s="5"/>
      <c r="M465" s="5"/>
      <c r="N465" s="5"/>
      <c r="O465" s="5"/>
      <c r="Q465" s="5"/>
    </row>
    <row r="466" spans="1:17" x14ac:dyDescent="0.2">
      <c r="A466" s="18" t="s">
        <v>110</v>
      </c>
      <c r="B466" s="18"/>
      <c r="C466" s="18"/>
      <c r="D466" s="18"/>
      <c r="E466" s="18"/>
      <c r="F466" s="18"/>
      <c r="G466" s="18"/>
      <c r="H466" s="18"/>
      <c r="I466" s="18"/>
      <c r="J466" s="17"/>
      <c r="L466" s="5"/>
      <c r="M466" s="5"/>
      <c r="N466" s="5"/>
      <c r="O466" s="5"/>
      <c r="Q466" s="5"/>
    </row>
    <row r="467" spans="1:17" x14ac:dyDescent="0.2">
      <c r="A467" s="19"/>
      <c r="B467" s="20"/>
      <c r="C467" s="21"/>
      <c r="D467" s="21"/>
      <c r="E467" s="21"/>
      <c r="F467" s="21"/>
      <c r="G467" s="21"/>
      <c r="H467" s="20"/>
      <c r="I467" s="20"/>
      <c r="J467" s="18"/>
      <c r="L467" s="5"/>
      <c r="M467" s="5"/>
      <c r="N467" s="5"/>
      <c r="O467" s="5"/>
      <c r="Q467" s="5"/>
    </row>
    <row r="468" spans="1:17" x14ac:dyDescent="0.2">
      <c r="A468" s="386" t="s">
        <v>54</v>
      </c>
      <c r="B468" s="388" t="s">
        <v>55</v>
      </c>
      <c r="C468" s="390" t="s">
        <v>111</v>
      </c>
      <c r="D468" s="392" t="s">
        <v>56</v>
      </c>
      <c r="E468" s="393"/>
      <c r="F468" s="393"/>
      <c r="G468" s="394"/>
      <c r="H468" s="395" t="s">
        <v>57</v>
      </c>
      <c r="I468" s="382" t="s">
        <v>58</v>
      </c>
      <c r="J468" s="20"/>
      <c r="L468" s="5"/>
      <c r="M468" s="5"/>
      <c r="N468" s="5"/>
      <c r="O468" s="5"/>
      <c r="Q468" s="5"/>
    </row>
    <row r="469" spans="1:17" x14ac:dyDescent="0.25">
      <c r="A469" s="387"/>
      <c r="B469" s="389"/>
      <c r="C469" s="391"/>
      <c r="D469" s="22" t="s">
        <v>24</v>
      </c>
      <c r="E469" s="22" t="s">
        <v>25</v>
      </c>
      <c r="F469" s="150" t="s">
        <v>113</v>
      </c>
      <c r="G469" s="22" t="s">
        <v>59</v>
      </c>
      <c r="H469" s="396"/>
      <c r="I469" s="383"/>
      <c r="J469" s="384" t="s">
        <v>112</v>
      </c>
      <c r="L469" s="5"/>
      <c r="M469" s="5"/>
      <c r="N469" s="5"/>
      <c r="O469" s="5"/>
      <c r="Q469" s="5"/>
    </row>
    <row r="470" spans="1:17" x14ac:dyDescent="0.2">
      <c r="A470" s="24"/>
      <c r="B470" s="25" t="s">
        <v>60</v>
      </c>
      <c r="C470" s="26"/>
      <c r="D470" s="26"/>
      <c r="E470" s="26"/>
      <c r="F470" s="26"/>
      <c r="G470" s="26"/>
      <c r="H470" s="26"/>
      <c r="I470" s="27"/>
      <c r="J470" s="385"/>
      <c r="L470" s="5"/>
      <c r="M470" s="5"/>
      <c r="N470" s="5"/>
      <c r="O470" s="5"/>
      <c r="Q470" s="5"/>
    </row>
    <row r="471" spans="1:17" x14ac:dyDescent="0.2">
      <c r="A471" s="130" t="s">
        <v>109</v>
      </c>
      <c r="B471" s="135" t="s">
        <v>77</v>
      </c>
      <c r="C471" s="33">
        <v>-11330</v>
      </c>
      <c r="D471" s="32"/>
      <c r="E471" s="33">
        <v>201400</v>
      </c>
      <c r="F471" s="33">
        <v>184300</v>
      </c>
      <c r="G471" s="33"/>
      <c r="H471" s="57"/>
      <c r="I471" s="33">
        <v>370700</v>
      </c>
      <c r="J471" s="31">
        <f>+SUM(C471:G471)-(H471+I471)</f>
        <v>3670</v>
      </c>
      <c r="K471" s="70"/>
      <c r="L471" s="5"/>
      <c r="M471" s="5"/>
      <c r="N471" s="5"/>
      <c r="O471" s="5"/>
      <c r="Q471" s="5"/>
    </row>
    <row r="472" spans="1:17" x14ac:dyDescent="0.2">
      <c r="A472" s="130" t="s">
        <v>109</v>
      </c>
      <c r="B472" s="135" t="s">
        <v>48</v>
      </c>
      <c r="C472" s="33">
        <v>8260</v>
      </c>
      <c r="D472" s="32"/>
      <c r="E472" s="33">
        <v>357900</v>
      </c>
      <c r="F472" s="33"/>
      <c r="G472" s="33"/>
      <c r="H472" s="57">
        <v>50000</v>
      </c>
      <c r="I472" s="33">
        <v>316700</v>
      </c>
      <c r="J472" s="31">
        <f t="shared" ref="J472:J473" si="183">+SUM(C472:G472)-(H472+I472)</f>
        <v>-540</v>
      </c>
      <c r="K472" s="70"/>
      <c r="L472" s="5"/>
      <c r="M472" s="5"/>
      <c r="N472" s="5"/>
      <c r="O472" s="5"/>
      <c r="Q472" s="5"/>
    </row>
    <row r="473" spans="1:17" x14ac:dyDescent="0.2">
      <c r="A473" s="130" t="s">
        <v>109</v>
      </c>
      <c r="B473" s="135" t="s">
        <v>31</v>
      </c>
      <c r="C473" s="33">
        <v>3795</v>
      </c>
      <c r="D473" s="32"/>
      <c r="E473" s="33">
        <v>20000</v>
      </c>
      <c r="F473" s="33"/>
      <c r="G473" s="33"/>
      <c r="H473" s="33"/>
      <c r="I473" s="33">
        <v>21400</v>
      </c>
      <c r="J473" s="107">
        <f t="shared" si="183"/>
        <v>2395</v>
      </c>
      <c r="K473" s="70"/>
      <c r="L473" s="5"/>
      <c r="M473" s="5"/>
      <c r="N473" s="5"/>
      <c r="O473" s="5"/>
      <c r="Q473" s="5"/>
    </row>
    <row r="474" spans="1:17" x14ac:dyDescent="0.2">
      <c r="A474" s="130" t="s">
        <v>109</v>
      </c>
      <c r="B474" s="135" t="s">
        <v>78</v>
      </c>
      <c r="C474" s="33">
        <v>-83100</v>
      </c>
      <c r="D474" s="110"/>
      <c r="E474" s="33">
        <v>699200</v>
      </c>
      <c r="F474" s="33"/>
      <c r="G474" s="33"/>
      <c r="H474" s="33"/>
      <c r="I474" s="33">
        <v>520000</v>
      </c>
      <c r="J474" s="107">
        <f>+SUM(C474:G474)-(H474+I474)</f>
        <v>96100</v>
      </c>
      <c r="K474" s="70"/>
      <c r="L474" s="5"/>
      <c r="M474" s="5"/>
      <c r="N474" s="5"/>
      <c r="O474" s="5"/>
      <c r="Q474" s="5"/>
    </row>
    <row r="475" spans="1:17" x14ac:dyDescent="0.2">
      <c r="A475" s="130" t="s">
        <v>109</v>
      </c>
      <c r="B475" s="135" t="s">
        <v>70</v>
      </c>
      <c r="C475" s="33">
        <v>1784</v>
      </c>
      <c r="D475" s="110"/>
      <c r="E475" s="33">
        <v>568600</v>
      </c>
      <c r="F475" s="33">
        <v>50000</v>
      </c>
      <c r="G475" s="33"/>
      <c r="H475" s="33">
        <v>184300</v>
      </c>
      <c r="I475" s="33">
        <v>422200</v>
      </c>
      <c r="J475" s="107">
        <f t="shared" ref="J475" si="184">+SUM(C475:G475)-(H475+I475)</f>
        <v>13884</v>
      </c>
      <c r="K475" s="70"/>
      <c r="L475" s="5"/>
      <c r="M475" s="5"/>
      <c r="N475" s="5"/>
      <c r="O475" s="5"/>
      <c r="Q475" s="5"/>
    </row>
    <row r="476" spans="1:17" x14ac:dyDescent="0.2">
      <c r="A476" s="130" t="s">
        <v>109</v>
      </c>
      <c r="B476" s="136" t="s">
        <v>30</v>
      </c>
      <c r="C476" s="33">
        <v>88800</v>
      </c>
      <c r="D476" s="127"/>
      <c r="E476" s="53">
        <v>694600</v>
      </c>
      <c r="F476" s="53"/>
      <c r="G476" s="53"/>
      <c r="H476" s="53"/>
      <c r="I476" s="53">
        <v>711000</v>
      </c>
      <c r="J476" s="132">
        <f>+SUM(C476:G476)-(H476+I476)</f>
        <v>72400</v>
      </c>
      <c r="K476" s="70"/>
      <c r="L476" s="5"/>
      <c r="M476" s="5"/>
      <c r="N476" s="5"/>
      <c r="O476" s="5"/>
      <c r="Q476" s="5"/>
    </row>
    <row r="477" spans="1:17" x14ac:dyDescent="0.2">
      <c r="A477" s="130" t="s">
        <v>109</v>
      </c>
      <c r="B477" s="137" t="s">
        <v>85</v>
      </c>
      <c r="C477" s="128">
        <v>233614</v>
      </c>
      <c r="D477" s="131"/>
      <c r="E477" s="146"/>
      <c r="F477" s="146"/>
      <c r="G477" s="146"/>
      <c r="H477" s="146"/>
      <c r="I477" s="146"/>
      <c r="J477" s="129">
        <f>+SUM(C477:G477)-(H477+I477)</f>
        <v>233614</v>
      </c>
      <c r="K477" s="70"/>
      <c r="L477" s="5"/>
      <c r="M477" s="5"/>
      <c r="N477" s="5"/>
      <c r="O477" s="5"/>
      <c r="Q477" s="5"/>
    </row>
    <row r="478" spans="1:17" x14ac:dyDescent="0.2">
      <c r="A478" s="130" t="s">
        <v>109</v>
      </c>
      <c r="B478" s="137" t="s">
        <v>84</v>
      </c>
      <c r="C478" s="128">
        <v>249769</v>
      </c>
      <c r="D478" s="131"/>
      <c r="E478" s="146"/>
      <c r="F478" s="146"/>
      <c r="G478" s="146"/>
      <c r="H478" s="146"/>
      <c r="I478" s="146"/>
      <c r="J478" s="129">
        <f t="shared" ref="J478:J482" si="185">+SUM(C478:G478)-(H478+I478)</f>
        <v>249769</v>
      </c>
      <c r="K478" s="70"/>
      <c r="L478" s="5"/>
      <c r="M478" s="5"/>
      <c r="N478" s="5"/>
      <c r="O478" s="5"/>
      <c r="Q478" s="5"/>
    </row>
    <row r="479" spans="1:17" x14ac:dyDescent="0.2">
      <c r="A479" s="130" t="s">
        <v>109</v>
      </c>
      <c r="B479" s="135" t="s">
        <v>36</v>
      </c>
      <c r="C479" s="33">
        <v>7890</v>
      </c>
      <c r="D479" s="32"/>
      <c r="E479" s="33">
        <v>135600</v>
      </c>
      <c r="F479" s="110"/>
      <c r="G479" s="110"/>
      <c r="H479" s="110"/>
      <c r="I479" s="33">
        <v>125000</v>
      </c>
      <c r="J479" s="31">
        <f t="shared" si="185"/>
        <v>18490</v>
      </c>
      <c r="K479" s="70"/>
      <c r="L479" s="5"/>
      <c r="M479" s="5"/>
      <c r="N479" s="5"/>
      <c r="O479" s="5"/>
      <c r="Q479" s="5"/>
    </row>
    <row r="480" spans="1:17" x14ac:dyDescent="0.2">
      <c r="A480" s="130" t="s">
        <v>109</v>
      </c>
      <c r="B480" s="135" t="s">
        <v>94</v>
      </c>
      <c r="C480" s="33">
        <v>5000</v>
      </c>
      <c r="D480" s="32"/>
      <c r="E480" s="33">
        <v>30000</v>
      </c>
      <c r="F480" s="110"/>
      <c r="G480" s="110"/>
      <c r="H480" s="110"/>
      <c r="I480" s="33">
        <v>30500</v>
      </c>
      <c r="J480" s="31">
        <f t="shared" si="185"/>
        <v>4500</v>
      </c>
      <c r="K480" s="70"/>
      <c r="L480" s="5"/>
      <c r="M480" s="5"/>
      <c r="N480" s="5"/>
      <c r="O480" s="5"/>
      <c r="Q480" s="5"/>
    </row>
    <row r="481" spans="1:17" x14ac:dyDescent="0.2">
      <c r="A481" s="130" t="s">
        <v>109</v>
      </c>
      <c r="B481" s="135" t="s">
        <v>29</v>
      </c>
      <c r="C481" s="33">
        <v>57700</v>
      </c>
      <c r="D481" s="32"/>
      <c r="E481" s="33">
        <v>639000</v>
      </c>
      <c r="F481" s="110"/>
      <c r="G481" s="110"/>
      <c r="H481" s="110"/>
      <c r="I481" s="33">
        <v>652500</v>
      </c>
      <c r="J481" s="31">
        <f t="shared" si="185"/>
        <v>44200</v>
      </c>
      <c r="K481" s="70"/>
      <c r="L481" s="5"/>
      <c r="M481" s="5"/>
      <c r="N481" s="5"/>
      <c r="O481" s="5"/>
      <c r="Q481" s="5"/>
    </row>
    <row r="482" spans="1:17" x14ac:dyDescent="0.2">
      <c r="A482" s="130" t="s">
        <v>109</v>
      </c>
      <c r="B482" s="135" t="s">
        <v>95</v>
      </c>
      <c r="C482" s="33">
        <v>-32081</v>
      </c>
      <c r="D482" s="32"/>
      <c r="E482" s="110"/>
      <c r="F482" s="110"/>
      <c r="G482" s="110"/>
      <c r="H482" s="110"/>
      <c r="I482" s="33">
        <v>819628</v>
      </c>
      <c r="J482" s="31">
        <f t="shared" si="185"/>
        <v>-851709</v>
      </c>
      <c r="K482" s="70"/>
      <c r="L482" s="5"/>
      <c r="M482" s="5"/>
      <c r="N482" s="5"/>
      <c r="O482" s="5"/>
      <c r="Q482" s="5"/>
    </row>
    <row r="483" spans="1:17" x14ac:dyDescent="0.2">
      <c r="A483" s="130" t="s">
        <v>109</v>
      </c>
      <c r="B483" s="135" t="s">
        <v>102</v>
      </c>
      <c r="C483" s="33">
        <v>62000</v>
      </c>
      <c r="D483" s="32"/>
      <c r="E483" s="33">
        <v>622600</v>
      </c>
      <c r="F483" s="110"/>
      <c r="G483" s="110"/>
      <c r="H483" s="110"/>
      <c r="I483" s="33">
        <v>594300</v>
      </c>
      <c r="J483" s="31">
        <f>+SUM(C483:G483)-(H483+I483)</f>
        <v>90300</v>
      </c>
      <c r="K483" s="70"/>
      <c r="L483" s="5"/>
      <c r="M483" s="5"/>
      <c r="N483" s="5"/>
      <c r="O483" s="5"/>
      <c r="Q483" s="5"/>
    </row>
    <row r="484" spans="1:17" x14ac:dyDescent="0.2">
      <c r="A484" s="130" t="s">
        <v>109</v>
      </c>
      <c r="B484" s="136" t="s">
        <v>32</v>
      </c>
      <c r="C484" s="33">
        <v>4300</v>
      </c>
      <c r="D484" s="127"/>
      <c r="E484" s="145"/>
      <c r="F484" s="145"/>
      <c r="G484" s="147"/>
      <c r="H484" s="145"/>
      <c r="I484" s="53">
        <v>4000</v>
      </c>
      <c r="J484" s="31">
        <f t="shared" ref="J484" si="186">+SUM(C484:G484)-(H484+I484)</f>
        <v>300</v>
      </c>
      <c r="K484" s="70"/>
      <c r="L484" s="5"/>
      <c r="M484" s="5"/>
      <c r="N484" s="5"/>
      <c r="O484" s="5"/>
      <c r="Q484" s="5"/>
    </row>
    <row r="485" spans="1:17" x14ac:dyDescent="0.2">
      <c r="A485" s="35" t="s">
        <v>61</v>
      </c>
      <c r="B485" s="36"/>
      <c r="C485" s="36"/>
      <c r="D485" s="36"/>
      <c r="E485" s="36"/>
      <c r="F485" s="36"/>
      <c r="G485" s="36"/>
      <c r="H485" s="36"/>
      <c r="I485" s="36"/>
      <c r="J485" s="37"/>
      <c r="K485" s="70"/>
      <c r="L485" s="5"/>
      <c r="M485" s="5"/>
      <c r="N485" s="5"/>
      <c r="O485" s="5"/>
      <c r="Q485" s="5"/>
    </row>
    <row r="486" spans="1:17" x14ac:dyDescent="0.2">
      <c r="A486" s="130" t="s">
        <v>109</v>
      </c>
      <c r="B486" s="38" t="s">
        <v>62</v>
      </c>
      <c r="C486" s="39">
        <v>62150</v>
      </c>
      <c r="D486" s="51">
        <v>5500000</v>
      </c>
      <c r="E486" s="109"/>
      <c r="F486" s="109"/>
      <c r="G486" s="148"/>
      <c r="H486" s="139">
        <v>3968900</v>
      </c>
      <c r="I486" s="134">
        <v>1276534</v>
      </c>
      <c r="J486" s="46">
        <f>+SUM(C486:G486)-(H486+I486)</f>
        <v>316716</v>
      </c>
      <c r="K486" s="70"/>
      <c r="L486" s="5"/>
      <c r="M486" s="5"/>
      <c r="N486" s="5"/>
      <c r="O486" s="5"/>
      <c r="Q486" s="5"/>
    </row>
    <row r="487" spans="1:17" x14ac:dyDescent="0.2">
      <c r="A487" s="44" t="s">
        <v>63</v>
      </c>
      <c r="B487" s="25"/>
      <c r="C487" s="36"/>
      <c r="D487" s="25"/>
      <c r="E487" s="25"/>
      <c r="F487" s="25"/>
      <c r="G487" s="25"/>
      <c r="H487" s="25"/>
      <c r="I487" s="25"/>
      <c r="J487" s="37"/>
      <c r="L487" s="5"/>
      <c r="M487" s="5"/>
      <c r="N487" s="5"/>
      <c r="O487" s="5"/>
      <c r="Q487" s="5"/>
    </row>
    <row r="488" spans="1:17" x14ac:dyDescent="0.2">
      <c r="A488" s="130" t="s">
        <v>109</v>
      </c>
      <c r="B488" s="38" t="s">
        <v>64</v>
      </c>
      <c r="C488" s="133">
        <v>11284555</v>
      </c>
      <c r="D488" s="140"/>
      <c r="E488" s="51"/>
      <c r="F488" s="51"/>
      <c r="G488" s="51"/>
      <c r="H488" s="53">
        <v>5500000</v>
      </c>
      <c r="I488" s="55">
        <v>273881</v>
      </c>
      <c r="J488" s="46">
        <f>+SUM(C488:G488)-(H488+I488)</f>
        <v>5510674</v>
      </c>
      <c r="K488" s="70"/>
      <c r="L488" s="5"/>
      <c r="M488" s="5"/>
      <c r="N488" s="5"/>
      <c r="O488" s="5"/>
      <c r="Q488" s="5"/>
    </row>
    <row r="489" spans="1:17" x14ac:dyDescent="0.2">
      <c r="A489" s="130" t="s">
        <v>109</v>
      </c>
      <c r="B489" s="38" t="s">
        <v>65</v>
      </c>
      <c r="C489" s="133">
        <v>2158645</v>
      </c>
      <c r="D489" s="51">
        <v>15435980</v>
      </c>
      <c r="E489" s="50"/>
      <c r="F489" s="50"/>
      <c r="G489" s="50"/>
      <c r="H489" s="33"/>
      <c r="I489" s="52">
        <v>6400961</v>
      </c>
      <c r="J489" s="46">
        <f>SUM(C489:G489)-(H489+I489)</f>
        <v>11193664</v>
      </c>
      <c r="K489" s="70"/>
      <c r="L489" s="5"/>
      <c r="M489" s="5"/>
      <c r="N489" s="5"/>
      <c r="O489" s="5"/>
      <c r="Q489" s="5"/>
    </row>
    <row r="490" spans="1:17" ht="15.75" x14ac:dyDescent="0.25">
      <c r="C490" s="151">
        <f>SUM(C471:C489)</f>
        <v>14101751</v>
      </c>
      <c r="I490" s="149">
        <f>SUM(I471:I489)</f>
        <v>12539304</v>
      </c>
      <c r="J490" s="111">
        <f>+SUM(J471:J489)</f>
        <v>16998427</v>
      </c>
      <c r="L490" s="5"/>
      <c r="M490" s="5"/>
      <c r="N490" s="5"/>
      <c r="O490" s="5"/>
      <c r="Q490" s="5"/>
    </row>
    <row r="491" spans="1:17" ht="16.5" x14ac:dyDescent="0.3">
      <c r="A491" s="10"/>
      <c r="B491" s="11"/>
      <c r="C491" s="12"/>
      <c r="D491" s="12"/>
      <c r="E491" s="12"/>
      <c r="F491" s="12"/>
      <c r="G491" s="12"/>
      <c r="H491" s="12"/>
      <c r="I491" s="12"/>
      <c r="J491" s="141"/>
      <c r="L491" s="5"/>
      <c r="M491" s="5"/>
      <c r="N491" s="5"/>
      <c r="O491" s="5"/>
      <c r="Q491" s="5"/>
    </row>
    <row r="492" spans="1:17" ht="16.5" x14ac:dyDescent="0.3">
      <c r="A492" s="14"/>
      <c r="B492" s="15"/>
      <c r="C492" s="12"/>
      <c r="D492" s="12"/>
      <c r="E492" s="13"/>
      <c r="F492" s="12"/>
      <c r="G492" s="12"/>
      <c r="H492" s="12"/>
      <c r="I492" s="12"/>
      <c r="L492" s="5"/>
      <c r="M492" s="5"/>
      <c r="N492" s="5"/>
      <c r="O492" s="5"/>
      <c r="Q492" s="5"/>
    </row>
    <row r="493" spans="1:17" x14ac:dyDescent="0.2">
      <c r="A493" s="16" t="s">
        <v>53</v>
      </c>
      <c r="B493" s="16"/>
      <c r="C493" s="16"/>
      <c r="D493" s="17"/>
      <c r="E493" s="17"/>
      <c r="F493" s="17"/>
      <c r="G493" s="17"/>
      <c r="H493" s="17"/>
      <c r="I493" s="17"/>
      <c r="L493" s="5"/>
      <c r="M493" s="5"/>
      <c r="N493" s="5"/>
      <c r="O493" s="5"/>
      <c r="Q493" s="5"/>
    </row>
    <row r="494" spans="1:17" x14ac:dyDescent="0.2">
      <c r="A494" s="18" t="s">
        <v>107</v>
      </c>
      <c r="B494" s="18"/>
      <c r="C494" s="18"/>
      <c r="D494" s="18"/>
      <c r="E494" s="18"/>
      <c r="F494" s="18"/>
      <c r="G494" s="18"/>
      <c r="H494" s="18"/>
      <c r="I494" s="18"/>
      <c r="J494" s="17"/>
      <c r="L494" s="5"/>
      <c r="M494" s="5"/>
      <c r="N494" s="5"/>
      <c r="O494" s="5"/>
      <c r="Q494" s="5"/>
    </row>
    <row r="495" spans="1:17" x14ac:dyDescent="0.2">
      <c r="A495" s="19"/>
      <c r="B495" s="20"/>
      <c r="C495" s="21"/>
      <c r="D495" s="21"/>
      <c r="E495" s="21"/>
      <c r="F495" s="21"/>
      <c r="G495" s="21"/>
      <c r="H495" s="20"/>
      <c r="I495" s="20"/>
      <c r="J495" s="18"/>
      <c r="L495" s="5"/>
      <c r="M495" s="5"/>
      <c r="N495" s="5"/>
      <c r="O495" s="5"/>
      <c r="Q495" s="5"/>
    </row>
    <row r="496" spans="1:17" x14ac:dyDescent="0.2">
      <c r="A496" s="386" t="s">
        <v>54</v>
      </c>
      <c r="B496" s="388" t="s">
        <v>55</v>
      </c>
      <c r="C496" s="390" t="s">
        <v>105</v>
      </c>
      <c r="D496" s="392" t="s">
        <v>56</v>
      </c>
      <c r="E496" s="393"/>
      <c r="F496" s="393"/>
      <c r="G496" s="394"/>
      <c r="H496" s="395" t="s">
        <v>57</v>
      </c>
      <c r="I496" s="382" t="s">
        <v>58</v>
      </c>
      <c r="J496" s="20"/>
      <c r="L496" s="5"/>
      <c r="M496" s="5"/>
      <c r="N496" s="5"/>
      <c r="O496" s="5"/>
      <c r="Q496" s="5"/>
    </row>
    <row r="497" spans="1:17" x14ac:dyDescent="0.25">
      <c r="A497" s="387"/>
      <c r="B497" s="389"/>
      <c r="C497" s="391"/>
      <c r="D497" s="22" t="s">
        <v>24</v>
      </c>
      <c r="E497" s="22" t="s">
        <v>25</v>
      </c>
      <c r="F497" s="142" t="s">
        <v>108</v>
      </c>
      <c r="G497" s="22" t="s">
        <v>59</v>
      </c>
      <c r="H497" s="396"/>
      <c r="I497" s="383"/>
      <c r="J497" s="384" t="s">
        <v>106</v>
      </c>
      <c r="L497" s="5"/>
      <c r="M497" s="5"/>
      <c r="N497" s="5"/>
      <c r="O497" s="5"/>
      <c r="Q497" s="5"/>
    </row>
    <row r="498" spans="1:17" x14ac:dyDescent="0.2">
      <c r="A498" s="24"/>
      <c r="B498" s="25" t="s">
        <v>60</v>
      </c>
      <c r="C498" s="26"/>
      <c r="D498" s="26"/>
      <c r="E498" s="26"/>
      <c r="F498" s="26"/>
      <c r="G498" s="26"/>
      <c r="H498" s="26"/>
      <c r="I498" s="27"/>
      <c r="J498" s="385"/>
      <c r="L498" s="5"/>
      <c r="M498" s="5"/>
      <c r="N498" s="5"/>
      <c r="O498" s="5"/>
      <c r="Q498" s="5"/>
    </row>
    <row r="499" spans="1:17" x14ac:dyDescent="0.2">
      <c r="A499" s="130" t="s">
        <v>104</v>
      </c>
      <c r="B499" s="135" t="s">
        <v>77</v>
      </c>
      <c r="C499" s="33">
        <v>22200</v>
      </c>
      <c r="D499" s="32"/>
      <c r="E499" s="33">
        <v>439970</v>
      </c>
      <c r="F499" s="110"/>
      <c r="G499" s="110"/>
      <c r="H499" s="144"/>
      <c r="I499" s="33">
        <v>473500</v>
      </c>
      <c r="J499" s="31">
        <f>+SUM(C499:G499)-(H499+I499)</f>
        <v>-11330</v>
      </c>
      <c r="K499" s="70"/>
      <c r="L499" s="5"/>
      <c r="M499" s="5"/>
      <c r="N499" s="5"/>
      <c r="O499" s="5"/>
      <c r="Q499" s="5"/>
    </row>
    <row r="500" spans="1:17" x14ac:dyDescent="0.2">
      <c r="A500" s="130" t="s">
        <v>104</v>
      </c>
      <c r="B500" s="135" t="s">
        <v>48</v>
      </c>
      <c r="C500" s="33">
        <v>3060</v>
      </c>
      <c r="D500" s="32"/>
      <c r="E500" s="33">
        <v>157200</v>
      </c>
      <c r="F500" s="33"/>
      <c r="G500" s="33"/>
      <c r="H500" s="57"/>
      <c r="I500" s="33">
        <v>152000</v>
      </c>
      <c r="J500" s="31">
        <f t="shared" ref="J500:J501" si="187">+SUM(C500:G500)-(H500+I500)</f>
        <v>8260</v>
      </c>
      <c r="K500" s="70"/>
      <c r="L500" s="5"/>
      <c r="M500" s="5"/>
      <c r="N500" s="5"/>
      <c r="O500" s="5"/>
      <c r="Q500" s="5"/>
    </row>
    <row r="501" spans="1:17" x14ac:dyDescent="0.2">
      <c r="A501" s="130" t="s">
        <v>104</v>
      </c>
      <c r="B501" s="135" t="s">
        <v>31</v>
      </c>
      <c r="C501" s="33">
        <v>3795</v>
      </c>
      <c r="D501" s="32"/>
      <c r="E501" s="33">
        <v>45000</v>
      </c>
      <c r="F501" s="33"/>
      <c r="G501" s="33"/>
      <c r="H501" s="33"/>
      <c r="I501" s="33">
        <v>45000</v>
      </c>
      <c r="J501" s="107">
        <f t="shared" si="187"/>
        <v>3795</v>
      </c>
      <c r="K501" s="70"/>
      <c r="L501" s="5"/>
      <c r="M501" s="5"/>
      <c r="N501" s="5"/>
      <c r="O501" s="5"/>
      <c r="Q501" s="5"/>
    </row>
    <row r="502" spans="1:17" x14ac:dyDescent="0.2">
      <c r="A502" s="130" t="s">
        <v>104</v>
      </c>
      <c r="B502" s="135" t="s">
        <v>78</v>
      </c>
      <c r="C502" s="33">
        <v>2300</v>
      </c>
      <c r="D502" s="110"/>
      <c r="E502" s="33">
        <v>266600</v>
      </c>
      <c r="F502" s="33">
        <v>159900</v>
      </c>
      <c r="G502" s="33"/>
      <c r="H502" s="33">
        <v>25000</v>
      </c>
      <c r="I502" s="33">
        <v>486900</v>
      </c>
      <c r="J502" s="107">
        <f>+SUM(C502:G502)-(H502+I502)</f>
        <v>-83100</v>
      </c>
      <c r="K502" s="70"/>
      <c r="L502" s="5"/>
      <c r="M502" s="5"/>
      <c r="N502" s="5"/>
      <c r="O502" s="5"/>
      <c r="Q502" s="5"/>
    </row>
    <row r="503" spans="1:17" x14ac:dyDescent="0.2">
      <c r="A503" s="130" t="s">
        <v>104</v>
      </c>
      <c r="B503" s="135" t="s">
        <v>70</v>
      </c>
      <c r="C503" s="33">
        <v>-14216</v>
      </c>
      <c r="D503" s="110"/>
      <c r="E503" s="33">
        <v>622600</v>
      </c>
      <c r="F503" s="33">
        <v>25000</v>
      </c>
      <c r="G503" s="33"/>
      <c r="H503" s="33">
        <v>260700</v>
      </c>
      <c r="I503" s="33">
        <v>370900</v>
      </c>
      <c r="J503" s="107">
        <f>+SUM(C503:G503)-(H503+I503)</f>
        <v>1784</v>
      </c>
      <c r="K503" s="70"/>
      <c r="L503" s="5"/>
      <c r="M503" s="5"/>
      <c r="N503" s="5"/>
      <c r="O503" s="5"/>
      <c r="Q503" s="5"/>
    </row>
    <row r="504" spans="1:17" x14ac:dyDescent="0.2">
      <c r="A504" s="130" t="s">
        <v>104</v>
      </c>
      <c r="B504" s="136" t="s">
        <v>30</v>
      </c>
      <c r="C504" s="53">
        <v>143300</v>
      </c>
      <c r="D504" s="127"/>
      <c r="E504" s="53">
        <v>466500</v>
      </c>
      <c r="F504" s="145"/>
      <c r="G504" s="145"/>
      <c r="H504" s="145"/>
      <c r="I504" s="53">
        <v>521000</v>
      </c>
      <c r="J504" s="132">
        <f>+SUM(C504:G504)-(H504+I504)</f>
        <v>88800</v>
      </c>
      <c r="K504" s="70"/>
      <c r="L504" s="5"/>
      <c r="M504" s="5"/>
      <c r="N504" s="5"/>
      <c r="O504" s="5"/>
      <c r="Q504" s="5"/>
    </row>
    <row r="505" spans="1:17" x14ac:dyDescent="0.2">
      <c r="A505" s="130" t="s">
        <v>104</v>
      </c>
      <c r="B505" s="137" t="s">
        <v>85</v>
      </c>
      <c r="C505" s="128">
        <v>233614</v>
      </c>
      <c r="D505" s="131"/>
      <c r="E505" s="146"/>
      <c r="F505" s="146"/>
      <c r="G505" s="146"/>
      <c r="H505" s="146"/>
      <c r="I505" s="146"/>
      <c r="J505" s="129">
        <f>+SUM(C505:G505)-(H505+I505)</f>
        <v>233614</v>
      </c>
      <c r="K505" s="70"/>
      <c r="L505" s="5"/>
      <c r="M505" s="5"/>
      <c r="N505" s="5"/>
      <c r="O505" s="5"/>
      <c r="Q505" s="5"/>
    </row>
    <row r="506" spans="1:17" x14ac:dyDescent="0.2">
      <c r="A506" s="130" t="s">
        <v>104</v>
      </c>
      <c r="B506" s="137" t="s">
        <v>84</v>
      </c>
      <c r="C506" s="128">
        <v>249768</v>
      </c>
      <c r="D506" s="131"/>
      <c r="E506" s="146"/>
      <c r="F506" s="146"/>
      <c r="G506" s="146"/>
      <c r="H506" s="146"/>
      <c r="I506" s="146"/>
      <c r="J506" s="129">
        <f t="shared" ref="J506:J512" si="188">+SUM(C506:G506)-(H506+I506)</f>
        <v>249768</v>
      </c>
      <c r="K506" s="70"/>
      <c r="L506" s="5"/>
      <c r="M506" s="5"/>
      <c r="N506" s="5"/>
      <c r="O506" s="5"/>
      <c r="Q506" s="5"/>
    </row>
    <row r="507" spans="1:17" x14ac:dyDescent="0.2">
      <c r="A507" s="130" t="s">
        <v>104</v>
      </c>
      <c r="B507" s="135" t="s">
        <v>36</v>
      </c>
      <c r="C507" s="33">
        <v>55090</v>
      </c>
      <c r="D507" s="32"/>
      <c r="E507" s="33">
        <v>143000</v>
      </c>
      <c r="F507" s="33">
        <v>70800</v>
      </c>
      <c r="G507" s="110"/>
      <c r="H507" s="110"/>
      <c r="I507" s="33">
        <v>261000</v>
      </c>
      <c r="J507" s="31">
        <f t="shared" si="188"/>
        <v>7890</v>
      </c>
      <c r="K507" s="70"/>
      <c r="L507" s="5"/>
      <c r="M507" s="5"/>
      <c r="N507" s="5"/>
      <c r="O507" s="5"/>
      <c r="Q507" s="5"/>
    </row>
    <row r="508" spans="1:17" x14ac:dyDescent="0.2">
      <c r="A508" s="130" t="s">
        <v>104</v>
      </c>
      <c r="B508" s="135" t="s">
        <v>94</v>
      </c>
      <c r="C508" s="33">
        <v>0</v>
      </c>
      <c r="D508" s="32"/>
      <c r="E508" s="33">
        <v>30000</v>
      </c>
      <c r="F508" s="110"/>
      <c r="G508" s="110"/>
      <c r="H508" s="110"/>
      <c r="I508" s="33">
        <v>25000</v>
      </c>
      <c r="J508" s="31">
        <f t="shared" si="188"/>
        <v>5000</v>
      </c>
      <c r="K508" s="70"/>
      <c r="L508" s="5"/>
      <c r="M508" s="5"/>
      <c r="N508" s="5"/>
      <c r="O508" s="5"/>
      <c r="Q508" s="5"/>
    </row>
    <row r="509" spans="1:17" x14ac:dyDescent="0.2">
      <c r="A509" s="130" t="s">
        <v>104</v>
      </c>
      <c r="B509" s="135" t="s">
        <v>29</v>
      </c>
      <c r="C509" s="33">
        <v>110700</v>
      </c>
      <c r="D509" s="32"/>
      <c r="E509" s="33">
        <v>375000</v>
      </c>
      <c r="F509" s="33">
        <v>30000</v>
      </c>
      <c r="G509" s="110"/>
      <c r="H509" s="110"/>
      <c r="I509" s="33">
        <v>458000</v>
      </c>
      <c r="J509" s="31">
        <f t="shared" si="188"/>
        <v>57700</v>
      </c>
      <c r="K509" s="70"/>
      <c r="L509" s="5"/>
      <c r="M509" s="5"/>
      <c r="N509" s="5"/>
      <c r="O509" s="5"/>
      <c r="Q509" s="5"/>
    </row>
    <row r="510" spans="1:17" x14ac:dyDescent="0.2">
      <c r="A510" s="130" t="s">
        <v>104</v>
      </c>
      <c r="B510" s="135" t="s">
        <v>95</v>
      </c>
      <c r="C510" s="33">
        <v>-32081</v>
      </c>
      <c r="D510" s="32"/>
      <c r="E510" s="110">
        <v>0</v>
      </c>
      <c r="F510" s="110"/>
      <c r="G510" s="110"/>
      <c r="H510" s="110"/>
      <c r="I510" s="110">
        <v>0</v>
      </c>
      <c r="J510" s="31">
        <f t="shared" si="188"/>
        <v>-32081</v>
      </c>
      <c r="K510" s="70"/>
      <c r="L510" s="5"/>
      <c r="M510" s="5"/>
      <c r="N510" s="5"/>
      <c r="O510" s="5"/>
      <c r="Q510" s="5"/>
    </row>
    <row r="511" spans="1:17" x14ac:dyDescent="0.2">
      <c r="A511" s="130" t="s">
        <v>104</v>
      </c>
      <c r="B511" s="135" t="s">
        <v>102</v>
      </c>
      <c r="C511" s="33">
        <v>0</v>
      </c>
      <c r="D511" s="32"/>
      <c r="E511" s="33">
        <v>82000</v>
      </c>
      <c r="F511" s="110"/>
      <c r="G511" s="110"/>
      <c r="H511" s="110"/>
      <c r="I511" s="33">
        <v>20000</v>
      </c>
      <c r="J511" s="31">
        <f>+SUM(C511:G511)-(H511+I511)</f>
        <v>62000</v>
      </c>
      <c r="K511" s="70"/>
      <c r="L511" s="5"/>
      <c r="M511" s="5"/>
      <c r="N511" s="5"/>
      <c r="O511" s="5"/>
      <c r="Q511" s="5"/>
    </row>
    <row r="512" spans="1:17" x14ac:dyDescent="0.2">
      <c r="A512" s="130" t="s">
        <v>104</v>
      </c>
      <c r="B512" s="136" t="s">
        <v>32</v>
      </c>
      <c r="C512" s="53">
        <v>7300</v>
      </c>
      <c r="D512" s="127"/>
      <c r="E512" s="145"/>
      <c r="F512" s="145"/>
      <c r="G512" s="147"/>
      <c r="H512" s="145"/>
      <c r="I512" s="53">
        <v>3000</v>
      </c>
      <c r="J512" s="31">
        <f t="shared" si="188"/>
        <v>4300</v>
      </c>
      <c r="K512" s="70"/>
      <c r="L512" s="5"/>
      <c r="M512" s="5"/>
      <c r="N512" s="5"/>
      <c r="O512" s="5"/>
      <c r="Q512" s="5"/>
    </row>
    <row r="513" spans="1:17" x14ac:dyDescent="0.2">
      <c r="A513" s="35" t="s">
        <v>61</v>
      </c>
      <c r="B513" s="36"/>
      <c r="C513" s="36"/>
      <c r="D513" s="36"/>
      <c r="E513" s="36"/>
      <c r="F513" s="36"/>
      <c r="G513" s="36"/>
      <c r="H513" s="36"/>
      <c r="I513" s="36"/>
      <c r="J513" s="37"/>
      <c r="K513" s="70"/>
      <c r="L513" s="5"/>
      <c r="M513" s="5"/>
      <c r="N513" s="5"/>
      <c r="O513" s="5"/>
      <c r="Q513" s="5"/>
    </row>
    <row r="514" spans="1:17" x14ac:dyDescent="0.2">
      <c r="A514" s="130" t="s">
        <v>104</v>
      </c>
      <c r="B514" s="38" t="s">
        <v>62</v>
      </c>
      <c r="C514" s="39">
        <v>817769</v>
      </c>
      <c r="D514" s="51">
        <v>3000000</v>
      </c>
      <c r="E514" s="109"/>
      <c r="F514" s="109"/>
      <c r="G514" s="148"/>
      <c r="H514" s="139">
        <v>2627870</v>
      </c>
      <c r="I514" s="134">
        <v>1127749</v>
      </c>
      <c r="J514" s="46">
        <f>+SUM(C514:G514)-(H514+I514)</f>
        <v>62150</v>
      </c>
      <c r="K514" s="70"/>
      <c r="L514" s="5"/>
      <c r="M514" s="5"/>
      <c r="N514" s="5"/>
      <c r="O514" s="5"/>
      <c r="Q514" s="5"/>
    </row>
    <row r="515" spans="1:17" x14ac:dyDescent="0.2">
      <c r="A515" s="44" t="s">
        <v>63</v>
      </c>
      <c r="B515" s="25"/>
      <c r="C515" s="36"/>
      <c r="D515" s="25"/>
      <c r="E515" s="25"/>
      <c r="F515" s="25"/>
      <c r="G515" s="25"/>
      <c r="H515" s="25"/>
      <c r="I515" s="25"/>
      <c r="J515" s="37"/>
      <c r="L515" s="5"/>
      <c r="M515" s="5"/>
      <c r="N515" s="5"/>
      <c r="O515" s="5"/>
      <c r="Q515" s="5"/>
    </row>
    <row r="516" spans="1:17" x14ac:dyDescent="0.2">
      <c r="A516" s="130" t="s">
        <v>104</v>
      </c>
      <c r="B516" s="38" t="s">
        <v>64</v>
      </c>
      <c r="C516" s="133">
        <v>14712920</v>
      </c>
      <c r="D516" s="140"/>
      <c r="E516" s="51"/>
      <c r="F516" s="51"/>
      <c r="G516" s="51"/>
      <c r="H516" s="53">
        <v>3000000</v>
      </c>
      <c r="I516" s="55">
        <v>428365</v>
      </c>
      <c r="J516" s="46">
        <f>+SUM(C516:G516)-(H516+I516)</f>
        <v>11284555</v>
      </c>
      <c r="K516" s="70"/>
      <c r="L516" s="5"/>
      <c r="M516" s="5"/>
      <c r="N516" s="5"/>
      <c r="O516" s="5"/>
      <c r="Q516" s="5"/>
    </row>
    <row r="517" spans="1:17" x14ac:dyDescent="0.2">
      <c r="A517" s="130" t="s">
        <v>104</v>
      </c>
      <c r="B517" s="38" t="s">
        <v>65</v>
      </c>
      <c r="C517" s="133">
        <v>8361083</v>
      </c>
      <c r="D517" s="51"/>
      <c r="E517" s="50"/>
      <c r="F517" s="50"/>
      <c r="G517" s="50"/>
      <c r="H517" s="33"/>
      <c r="I517" s="52">
        <v>6202438</v>
      </c>
      <c r="J517" s="46">
        <f>SUM(C517:G517)-(H517+I517)</f>
        <v>2158645</v>
      </c>
      <c r="K517" s="70"/>
      <c r="L517" s="5"/>
      <c r="M517" s="5"/>
      <c r="N517" s="5"/>
      <c r="O517" s="5"/>
      <c r="Q517" s="5"/>
    </row>
    <row r="518" spans="1:17" ht="15.75" x14ac:dyDescent="0.25">
      <c r="C518" s="9"/>
      <c r="I518" s="149">
        <f>SUM(I499:I517)</f>
        <v>10574852</v>
      </c>
      <c r="J518" s="111">
        <f>+SUM(J499:J517)</f>
        <v>14101750</v>
      </c>
      <c r="K518" s="9">
        <f>J518-C490</f>
        <v>-1</v>
      </c>
      <c r="L518" s="5"/>
      <c r="M518" s="5"/>
      <c r="N518" s="5"/>
      <c r="O518" s="5"/>
      <c r="Q518" s="5"/>
    </row>
    <row r="519" spans="1:17" ht="16.5" x14ac:dyDescent="0.3">
      <c r="A519" s="10"/>
      <c r="B519" s="11"/>
      <c r="C519" s="12"/>
      <c r="D519" s="12"/>
      <c r="E519" s="12"/>
      <c r="F519" s="12"/>
      <c r="G519" s="12"/>
      <c r="H519" s="12"/>
      <c r="I519" s="12"/>
      <c r="J519" s="141"/>
      <c r="L519" s="5"/>
      <c r="M519" s="5"/>
      <c r="N519" s="5"/>
      <c r="O519" s="5"/>
      <c r="Q519" s="5"/>
    </row>
    <row r="520" spans="1:17" x14ac:dyDescent="0.2">
      <c r="A520" s="16" t="s">
        <v>53</v>
      </c>
      <c r="B520" s="16"/>
      <c r="C520" s="16"/>
      <c r="D520" s="17"/>
      <c r="E520" s="17"/>
      <c r="F520" s="17"/>
      <c r="G520" s="17"/>
      <c r="H520" s="17"/>
      <c r="I520" s="17"/>
      <c r="L520" s="5"/>
      <c r="M520" s="5"/>
      <c r="N520" s="5"/>
      <c r="O520" s="5"/>
      <c r="Q520" s="5"/>
    </row>
    <row r="521" spans="1:17" x14ac:dyDescent="0.2">
      <c r="A521" s="18" t="s">
        <v>96</v>
      </c>
      <c r="B521" s="18"/>
      <c r="C521" s="18"/>
      <c r="D521" s="18"/>
      <c r="E521" s="18"/>
      <c r="F521" s="18"/>
      <c r="G521" s="18"/>
      <c r="H521" s="18"/>
      <c r="I521" s="18"/>
      <c r="J521" s="17"/>
      <c r="L521" s="5"/>
      <c r="M521" s="5"/>
      <c r="N521" s="5"/>
      <c r="O521" s="5"/>
      <c r="Q521" s="5"/>
    </row>
    <row r="522" spans="1:17" x14ac:dyDescent="0.2">
      <c r="A522" s="19"/>
      <c r="B522" s="20"/>
      <c r="C522" s="21"/>
      <c r="D522" s="21"/>
      <c r="E522" s="21"/>
      <c r="F522" s="21"/>
      <c r="G522" s="21"/>
      <c r="H522" s="20"/>
      <c r="I522" s="20"/>
      <c r="J522" s="18"/>
      <c r="L522" s="5"/>
      <c r="M522" s="5"/>
      <c r="N522" s="5"/>
      <c r="O522" s="5"/>
      <c r="Q522" s="5"/>
    </row>
    <row r="523" spans="1:17" ht="15" customHeight="1" x14ac:dyDescent="0.2">
      <c r="A523" s="386" t="s">
        <v>54</v>
      </c>
      <c r="B523" s="388" t="s">
        <v>55</v>
      </c>
      <c r="C523" s="390" t="s">
        <v>97</v>
      </c>
      <c r="D523" s="392" t="s">
        <v>56</v>
      </c>
      <c r="E523" s="393"/>
      <c r="F523" s="393"/>
      <c r="G523" s="394"/>
      <c r="H523" s="395" t="s">
        <v>57</v>
      </c>
      <c r="I523" s="382" t="s">
        <v>58</v>
      </c>
      <c r="J523" s="20"/>
      <c r="L523" s="5"/>
      <c r="M523" s="5"/>
      <c r="N523" s="5"/>
      <c r="O523" s="5"/>
      <c r="Q523" s="5"/>
    </row>
    <row r="524" spans="1:17" ht="15" customHeight="1" x14ac:dyDescent="0.25">
      <c r="A524" s="387"/>
      <c r="B524" s="389"/>
      <c r="C524" s="391"/>
      <c r="D524" s="22" t="s">
        <v>24</v>
      </c>
      <c r="E524" s="22" t="s">
        <v>25</v>
      </c>
      <c r="F524" s="122" t="s">
        <v>100</v>
      </c>
      <c r="G524" s="22" t="s">
        <v>59</v>
      </c>
      <c r="H524" s="396"/>
      <c r="I524" s="383"/>
      <c r="J524" s="384" t="s">
        <v>98</v>
      </c>
      <c r="L524" s="5"/>
      <c r="M524" s="5"/>
      <c r="N524" s="5"/>
      <c r="O524" s="5"/>
      <c r="Q524" s="5"/>
    </row>
    <row r="525" spans="1:17" x14ac:dyDescent="0.2">
      <c r="A525" s="24"/>
      <c r="B525" s="25" t="s">
        <v>60</v>
      </c>
      <c r="C525" s="26"/>
      <c r="D525" s="26"/>
      <c r="E525" s="26"/>
      <c r="F525" s="26"/>
      <c r="G525" s="26"/>
      <c r="H525" s="26"/>
      <c r="I525" s="27"/>
      <c r="J525" s="385"/>
      <c r="L525" s="5"/>
      <c r="M525" s="5"/>
      <c r="N525" s="5"/>
      <c r="O525" s="5"/>
      <c r="Q525" s="5"/>
    </row>
    <row r="526" spans="1:17" x14ac:dyDescent="0.2">
      <c r="A526" s="130" t="s">
        <v>99</v>
      </c>
      <c r="B526" s="135" t="s">
        <v>77</v>
      </c>
      <c r="C526" s="33">
        <v>-10750</v>
      </c>
      <c r="D526" s="32"/>
      <c r="E526" s="32">
        <v>170625</v>
      </c>
      <c r="F526" s="32">
        <v>301700</v>
      </c>
      <c r="G526" s="32"/>
      <c r="H526" s="57">
        <v>27000</v>
      </c>
      <c r="I526" s="33">
        <v>412375</v>
      </c>
      <c r="J526" s="31">
        <f>+SUM(C526:G526)-(H526+I526)</f>
        <v>22200</v>
      </c>
      <c r="K526" s="70"/>
      <c r="L526" s="5"/>
      <c r="M526" s="5"/>
      <c r="N526" s="5"/>
      <c r="O526" s="5"/>
      <c r="Q526" s="5"/>
    </row>
    <row r="527" spans="1:17" x14ac:dyDescent="0.2">
      <c r="A527" s="130" t="s">
        <v>99</v>
      </c>
      <c r="B527" s="135" t="s">
        <v>48</v>
      </c>
      <c r="C527" s="33">
        <v>9060</v>
      </c>
      <c r="D527" s="32"/>
      <c r="E527" s="32">
        <v>0</v>
      </c>
      <c r="F527" s="32"/>
      <c r="G527" s="32"/>
      <c r="H527" s="57"/>
      <c r="I527" s="33">
        <v>6000</v>
      </c>
      <c r="J527" s="31">
        <f t="shared" ref="J527:J528" si="189">+SUM(C527:G527)-(H527+I527)</f>
        <v>3060</v>
      </c>
      <c r="K527" s="70"/>
      <c r="L527" s="5"/>
      <c r="M527" s="5"/>
      <c r="N527" s="5"/>
      <c r="O527" s="5"/>
      <c r="Q527" s="5"/>
    </row>
    <row r="528" spans="1:17" x14ac:dyDescent="0.2">
      <c r="A528" s="130" t="s">
        <v>99</v>
      </c>
      <c r="B528" s="135" t="s">
        <v>31</v>
      </c>
      <c r="C528" s="33">
        <v>1195</v>
      </c>
      <c r="D528" s="32"/>
      <c r="E528" s="32">
        <v>75000</v>
      </c>
      <c r="F528" s="33"/>
      <c r="G528" s="33"/>
      <c r="H528" s="33"/>
      <c r="I528" s="33">
        <v>72400</v>
      </c>
      <c r="J528" s="107">
        <f t="shared" si="189"/>
        <v>3795</v>
      </c>
      <c r="K528" s="70"/>
      <c r="L528" s="5"/>
      <c r="M528" s="5"/>
      <c r="N528" s="5"/>
      <c r="O528" s="5"/>
      <c r="Q528" s="5"/>
    </row>
    <row r="529" spans="1:17" x14ac:dyDescent="0.2">
      <c r="A529" s="130" t="s">
        <v>99</v>
      </c>
      <c r="B529" s="135" t="s">
        <v>78</v>
      </c>
      <c r="C529" s="33">
        <v>-8600</v>
      </c>
      <c r="D529" s="110"/>
      <c r="E529" s="32">
        <v>596900</v>
      </c>
      <c r="F529" s="33"/>
      <c r="G529" s="33"/>
      <c r="H529" s="33"/>
      <c r="I529" s="33">
        <v>586000</v>
      </c>
      <c r="J529" s="107">
        <f>+SUM(C529:G529)-(H529+I529)</f>
        <v>2300</v>
      </c>
      <c r="K529" s="70"/>
      <c r="L529" s="5"/>
      <c r="M529" s="5"/>
      <c r="N529" s="5"/>
      <c r="O529" s="5"/>
      <c r="Q529" s="5"/>
    </row>
    <row r="530" spans="1:17" x14ac:dyDescent="0.2">
      <c r="A530" s="130" t="s">
        <v>99</v>
      </c>
      <c r="B530" s="135" t="s">
        <v>70</v>
      </c>
      <c r="C530" s="33">
        <v>8884</v>
      </c>
      <c r="D530" s="110"/>
      <c r="E530" s="32">
        <v>618600</v>
      </c>
      <c r="F530" s="33">
        <v>27000</v>
      </c>
      <c r="G530" s="33"/>
      <c r="H530" s="33">
        <v>301700</v>
      </c>
      <c r="I530" s="33">
        <v>367000</v>
      </c>
      <c r="J530" s="107">
        <f t="shared" ref="J530" si="190">+SUM(C530:G530)-(H530+I530)</f>
        <v>-14216</v>
      </c>
      <c r="K530" s="70"/>
      <c r="L530" s="5"/>
      <c r="M530" s="5"/>
      <c r="N530" s="5"/>
      <c r="O530" s="5"/>
      <c r="Q530" s="5"/>
    </row>
    <row r="531" spans="1:17" x14ac:dyDescent="0.2">
      <c r="A531" s="127" t="s">
        <v>99</v>
      </c>
      <c r="B531" s="136" t="s">
        <v>30</v>
      </c>
      <c r="C531" s="53">
        <v>191600</v>
      </c>
      <c r="D531" s="127"/>
      <c r="E531" s="127">
        <v>777000</v>
      </c>
      <c r="F531" s="53"/>
      <c r="G531" s="53"/>
      <c r="H531" s="53"/>
      <c r="I531" s="53">
        <v>825300</v>
      </c>
      <c r="J531" s="132">
        <f>+SUM(C531:G531)-(H531+I531)</f>
        <v>143300</v>
      </c>
      <c r="K531" s="70"/>
      <c r="L531" s="5"/>
      <c r="M531" s="5"/>
      <c r="N531" s="5"/>
      <c r="O531" s="5"/>
      <c r="Q531" s="5"/>
    </row>
    <row r="532" spans="1:17" x14ac:dyDescent="0.2">
      <c r="A532" s="131" t="s">
        <v>99</v>
      </c>
      <c r="B532" s="137" t="s">
        <v>85</v>
      </c>
      <c r="C532" s="128">
        <v>233614</v>
      </c>
      <c r="D532" s="131"/>
      <c r="E532" s="131"/>
      <c r="F532" s="131"/>
      <c r="G532" s="131"/>
      <c r="H532" s="128"/>
      <c r="I532" s="128"/>
      <c r="J532" s="129">
        <f>+SUM(C532:G532)-(H532+I532)</f>
        <v>233614</v>
      </c>
      <c r="K532" s="70"/>
      <c r="L532" s="5"/>
      <c r="M532" s="5"/>
      <c r="N532" s="5"/>
      <c r="O532" s="5"/>
      <c r="Q532" s="5"/>
    </row>
    <row r="533" spans="1:17" x14ac:dyDescent="0.2">
      <c r="A533" s="131" t="s">
        <v>99</v>
      </c>
      <c r="B533" s="137" t="s">
        <v>84</v>
      </c>
      <c r="C533" s="128">
        <v>249769</v>
      </c>
      <c r="D533" s="131"/>
      <c r="E533" s="131"/>
      <c r="F533" s="131"/>
      <c r="G533" s="131"/>
      <c r="H533" s="128"/>
      <c r="I533" s="128"/>
      <c r="J533" s="129">
        <f t="shared" ref="J533:J538" si="191">+SUM(C533:G533)-(H533+I533)</f>
        <v>249769</v>
      </c>
      <c r="K533" s="70"/>
      <c r="L533" s="5"/>
      <c r="M533" s="5"/>
      <c r="N533" s="5"/>
      <c r="O533" s="5"/>
      <c r="Q533" s="5"/>
    </row>
    <row r="534" spans="1:17" x14ac:dyDescent="0.2">
      <c r="A534" s="130" t="s">
        <v>99</v>
      </c>
      <c r="B534" s="135" t="s">
        <v>36</v>
      </c>
      <c r="C534" s="33">
        <v>-3510</v>
      </c>
      <c r="D534" s="32"/>
      <c r="E534" s="32">
        <v>240100</v>
      </c>
      <c r="F534" s="32"/>
      <c r="G534" s="32"/>
      <c r="H534" s="33"/>
      <c r="I534" s="33">
        <v>181500</v>
      </c>
      <c r="J534" s="31">
        <f t="shared" si="191"/>
        <v>55090</v>
      </c>
      <c r="K534" s="70"/>
      <c r="L534" s="5"/>
      <c r="M534" s="5"/>
      <c r="N534" s="5"/>
      <c r="O534" s="5"/>
      <c r="Q534" s="5"/>
    </row>
    <row r="535" spans="1:17" x14ac:dyDescent="0.2">
      <c r="A535" s="130" t="s">
        <v>99</v>
      </c>
      <c r="B535" s="135" t="s">
        <v>94</v>
      </c>
      <c r="C535" s="33">
        <v>0</v>
      </c>
      <c r="D535" s="32"/>
      <c r="E535" s="32">
        <v>5000</v>
      </c>
      <c r="F535" s="32"/>
      <c r="G535" s="32"/>
      <c r="H535" s="33"/>
      <c r="I535" s="33">
        <v>5000</v>
      </c>
      <c r="J535" s="31">
        <f t="shared" si="191"/>
        <v>0</v>
      </c>
      <c r="K535" s="70"/>
      <c r="L535" s="5"/>
      <c r="M535" s="5"/>
      <c r="N535" s="5"/>
      <c r="O535" s="5"/>
      <c r="Q535" s="5"/>
    </row>
    <row r="536" spans="1:17" x14ac:dyDescent="0.2">
      <c r="A536" s="130" t="s">
        <v>99</v>
      </c>
      <c r="B536" s="135" t="s">
        <v>29</v>
      </c>
      <c r="C536" s="33">
        <v>111200</v>
      </c>
      <c r="D536" s="32"/>
      <c r="E536" s="32">
        <v>704000</v>
      </c>
      <c r="F536" s="32"/>
      <c r="G536" s="32"/>
      <c r="H536" s="33"/>
      <c r="I536" s="33">
        <v>704500</v>
      </c>
      <c r="J536" s="31">
        <f t="shared" si="191"/>
        <v>110700</v>
      </c>
      <c r="K536" s="70"/>
      <c r="L536" s="5"/>
      <c r="M536" s="5"/>
      <c r="N536" s="5"/>
      <c r="O536" s="5"/>
      <c r="Q536" s="5"/>
    </row>
    <row r="537" spans="1:17" x14ac:dyDescent="0.2">
      <c r="A537" s="130" t="s">
        <v>99</v>
      </c>
      <c r="B537" s="135" t="s">
        <v>95</v>
      </c>
      <c r="C537" s="33">
        <v>-32081</v>
      </c>
      <c r="D537" s="32"/>
      <c r="E537" s="32">
        <v>0</v>
      </c>
      <c r="F537" s="32"/>
      <c r="G537" s="32"/>
      <c r="H537" s="33"/>
      <c r="I537" s="33">
        <v>0</v>
      </c>
      <c r="J537" s="31">
        <f t="shared" si="191"/>
        <v>-32081</v>
      </c>
      <c r="K537" s="70"/>
      <c r="L537" s="5"/>
      <c r="M537" s="5"/>
      <c r="N537" s="5"/>
      <c r="O537" s="5"/>
      <c r="Q537" s="5"/>
    </row>
    <row r="538" spans="1:17" x14ac:dyDescent="0.2">
      <c r="A538" s="130" t="s">
        <v>99</v>
      </c>
      <c r="B538" s="136" t="s">
        <v>32</v>
      </c>
      <c r="C538" s="53">
        <v>5300</v>
      </c>
      <c r="D538" s="127"/>
      <c r="E538" s="127">
        <v>10000</v>
      </c>
      <c r="F538" s="127"/>
      <c r="G538" s="138"/>
      <c r="H538" s="53"/>
      <c r="I538" s="53">
        <v>8000</v>
      </c>
      <c r="J538" s="31">
        <f t="shared" si="191"/>
        <v>7300</v>
      </c>
      <c r="K538" s="70"/>
      <c r="L538" s="5"/>
      <c r="M538" s="5"/>
      <c r="N538" s="5"/>
      <c r="O538" s="5"/>
      <c r="Q538" s="5"/>
    </row>
    <row r="539" spans="1:17" x14ac:dyDescent="0.2">
      <c r="A539" s="35" t="s">
        <v>61</v>
      </c>
      <c r="B539" s="36"/>
      <c r="C539" s="36"/>
      <c r="D539" s="36"/>
      <c r="E539" s="36"/>
      <c r="F539" s="36"/>
      <c r="G539" s="36"/>
      <c r="H539" s="36"/>
      <c r="I539" s="36"/>
      <c r="J539" s="37"/>
      <c r="K539" s="70"/>
      <c r="L539" s="5"/>
      <c r="M539" s="5"/>
      <c r="N539" s="5"/>
      <c r="O539" s="5"/>
      <c r="Q539" s="5"/>
    </row>
    <row r="540" spans="1:17" x14ac:dyDescent="0.2">
      <c r="A540" s="28" t="s">
        <v>99</v>
      </c>
      <c r="B540" s="38" t="s">
        <v>62</v>
      </c>
      <c r="C540" s="39">
        <v>733034</v>
      </c>
      <c r="D540" s="40">
        <v>4293000</v>
      </c>
      <c r="E540" s="40"/>
      <c r="F540" s="40"/>
      <c r="G540" s="133"/>
      <c r="H540" s="139">
        <v>3197225</v>
      </c>
      <c r="I540" s="134">
        <v>1011040</v>
      </c>
      <c r="J540" s="46">
        <f>+SUM(C540:G540)-(H540+I540)</f>
        <v>817769</v>
      </c>
      <c r="K540" s="70"/>
      <c r="L540" s="5"/>
      <c r="M540" s="5"/>
      <c r="N540" s="5"/>
      <c r="O540" s="5"/>
      <c r="Q540" s="5"/>
    </row>
    <row r="541" spans="1:17" x14ac:dyDescent="0.2">
      <c r="A541" s="44" t="s">
        <v>63</v>
      </c>
      <c r="B541" s="25"/>
      <c r="C541" s="36"/>
      <c r="D541" s="25"/>
      <c r="E541" s="25"/>
      <c r="F541" s="25"/>
      <c r="G541" s="25"/>
      <c r="H541" s="25"/>
      <c r="I541" s="25"/>
      <c r="J541" s="37"/>
      <c r="L541" s="5"/>
      <c r="M541" s="5"/>
      <c r="N541" s="5"/>
      <c r="O541" s="5"/>
      <c r="Q541" s="5"/>
    </row>
    <row r="542" spans="1:17" x14ac:dyDescent="0.2">
      <c r="A542" s="28" t="s">
        <v>99</v>
      </c>
      <c r="B542" s="38" t="s">
        <v>64</v>
      </c>
      <c r="C542" s="133">
        <v>19184971</v>
      </c>
      <c r="D542" s="140"/>
      <c r="E542" s="51"/>
      <c r="F542" s="51"/>
      <c r="G542" s="51"/>
      <c r="H542" s="53">
        <v>4000000</v>
      </c>
      <c r="I542" s="55">
        <v>472051</v>
      </c>
      <c r="J542" s="46">
        <f>+SUM(C542:G542)-(H542+I542)</f>
        <v>14712920</v>
      </c>
      <c r="K542" s="70"/>
      <c r="L542" s="5"/>
      <c r="M542" s="5"/>
      <c r="N542" s="5"/>
      <c r="O542" s="5"/>
      <c r="Q542" s="5"/>
    </row>
    <row r="543" spans="1:17" x14ac:dyDescent="0.2">
      <c r="A543" s="28" t="s">
        <v>99</v>
      </c>
      <c r="B543" s="38" t="s">
        <v>65</v>
      </c>
      <c r="C543" s="133">
        <v>14419055</v>
      </c>
      <c r="D543" s="51"/>
      <c r="E543" s="50"/>
      <c r="F543" s="50"/>
      <c r="G543" s="50"/>
      <c r="H543" s="33">
        <v>293000</v>
      </c>
      <c r="I543" s="52">
        <v>5764972</v>
      </c>
      <c r="J543" s="46">
        <f>SUM(C543:G543)-(H543+I543)</f>
        <v>8361083</v>
      </c>
      <c r="K543" s="70"/>
      <c r="L543" s="5"/>
      <c r="M543" s="5"/>
      <c r="N543" s="5"/>
      <c r="O543" s="5"/>
      <c r="Q543" s="5"/>
    </row>
    <row r="544" spans="1:17" ht="15.75" x14ac:dyDescent="0.25">
      <c r="C544" s="9"/>
      <c r="I544" s="9"/>
      <c r="J544" s="111">
        <f>+SUM(J526:J543)</f>
        <v>24676603</v>
      </c>
      <c r="L544" s="5"/>
      <c r="M544" s="5"/>
      <c r="N544" s="5"/>
      <c r="O544" s="5"/>
      <c r="Q544" s="5"/>
    </row>
    <row r="545" spans="1:17" ht="16.5" x14ac:dyDescent="0.3">
      <c r="A545" s="10"/>
      <c r="B545" s="11"/>
      <c r="C545" s="12"/>
      <c r="D545" s="12"/>
      <c r="E545" s="12"/>
      <c r="F545" s="12"/>
      <c r="G545" s="12"/>
      <c r="H545" s="12"/>
      <c r="I545" s="12"/>
      <c r="J545" s="141"/>
      <c r="L545" s="5"/>
      <c r="M545" s="5"/>
      <c r="N545" s="5"/>
      <c r="O545" s="5"/>
      <c r="Q545" s="5"/>
    </row>
    <row r="546" spans="1:17" x14ac:dyDescent="0.2">
      <c r="A546" s="16" t="s">
        <v>53</v>
      </c>
      <c r="B546" s="16"/>
      <c r="C546" s="16"/>
      <c r="D546" s="17"/>
      <c r="E546" s="17"/>
      <c r="F546" s="17"/>
      <c r="G546" s="17"/>
      <c r="H546" s="17"/>
      <c r="I546" s="17"/>
      <c r="L546" s="5"/>
      <c r="M546" s="5"/>
      <c r="N546" s="5"/>
      <c r="O546" s="5"/>
      <c r="Q546" s="5"/>
    </row>
    <row r="547" spans="1:17" x14ac:dyDescent="0.2">
      <c r="A547" s="18" t="s">
        <v>88</v>
      </c>
      <c r="B547" s="18"/>
      <c r="C547" s="18"/>
      <c r="D547" s="18"/>
      <c r="E547" s="18"/>
      <c r="F547" s="18"/>
      <c r="G547" s="18"/>
      <c r="H547" s="18"/>
      <c r="I547" s="18"/>
      <c r="J547" s="17"/>
      <c r="L547" s="5"/>
      <c r="M547" s="5"/>
      <c r="N547" s="5"/>
      <c r="O547" s="5"/>
      <c r="Q547" s="5"/>
    </row>
    <row r="548" spans="1:17" ht="15" customHeight="1" x14ac:dyDescent="0.2">
      <c r="A548" s="19"/>
      <c r="B548" s="20"/>
      <c r="C548" s="21"/>
      <c r="D548" s="21"/>
      <c r="E548" s="21"/>
      <c r="F548" s="21"/>
      <c r="G548" s="21"/>
      <c r="H548" s="20"/>
      <c r="I548" s="20"/>
      <c r="J548" s="18"/>
      <c r="L548" s="5"/>
      <c r="M548" s="5"/>
      <c r="N548" s="5"/>
      <c r="O548" s="5"/>
      <c r="Q548" s="5"/>
    </row>
    <row r="549" spans="1:17" ht="15" customHeight="1" x14ac:dyDescent="0.2">
      <c r="A549" s="386" t="s">
        <v>54</v>
      </c>
      <c r="B549" s="388" t="s">
        <v>55</v>
      </c>
      <c r="C549" s="390" t="s">
        <v>89</v>
      </c>
      <c r="D549" s="392" t="s">
        <v>56</v>
      </c>
      <c r="E549" s="393"/>
      <c r="F549" s="393"/>
      <c r="G549" s="394"/>
      <c r="H549" s="395" t="s">
        <v>57</v>
      </c>
      <c r="I549" s="382" t="s">
        <v>58</v>
      </c>
      <c r="J549" s="20"/>
      <c r="L549" s="5"/>
      <c r="M549" s="5"/>
      <c r="N549" s="5"/>
      <c r="O549" s="5"/>
      <c r="Q549" s="5"/>
    </row>
    <row r="550" spans="1:17" ht="15" customHeight="1" x14ac:dyDescent="0.25">
      <c r="A550" s="387"/>
      <c r="B550" s="389"/>
      <c r="C550" s="391"/>
      <c r="D550" s="22" t="s">
        <v>24</v>
      </c>
      <c r="E550" s="22" t="s">
        <v>25</v>
      </c>
      <c r="F550" s="112" t="s">
        <v>92</v>
      </c>
      <c r="G550" s="22" t="s">
        <v>59</v>
      </c>
      <c r="H550" s="396"/>
      <c r="I550" s="383"/>
      <c r="J550" s="384" t="s">
        <v>90</v>
      </c>
      <c r="L550" s="5"/>
      <c r="M550" s="5"/>
      <c r="N550" s="5"/>
      <c r="O550" s="5"/>
      <c r="Q550" s="5"/>
    </row>
    <row r="551" spans="1:17" x14ac:dyDescent="0.2">
      <c r="A551" s="24"/>
      <c r="B551" s="25" t="s">
        <v>60</v>
      </c>
      <c r="C551" s="26"/>
      <c r="D551" s="26"/>
      <c r="E551" s="26"/>
      <c r="F551" s="26"/>
      <c r="G551" s="26"/>
      <c r="H551" s="26"/>
      <c r="I551" s="27"/>
      <c r="J551" s="385"/>
      <c r="L551" s="5"/>
      <c r="M551" s="5"/>
      <c r="N551" s="5"/>
      <c r="O551" s="5"/>
      <c r="Q551" s="5"/>
    </row>
    <row r="552" spans="1:17" ht="16.5" x14ac:dyDescent="0.3">
      <c r="A552" s="28" t="s">
        <v>91</v>
      </c>
      <c r="B552" s="8" t="s">
        <v>77</v>
      </c>
      <c r="C552" s="29" t="e">
        <f>+#REF!</f>
        <v>#REF!</v>
      </c>
      <c r="D552" s="30"/>
      <c r="E552" s="30">
        <v>271100</v>
      </c>
      <c r="F552" s="30">
        <f>112800+126500</f>
        <v>239300</v>
      </c>
      <c r="G552" s="30"/>
      <c r="H552" s="57"/>
      <c r="I552" s="34">
        <v>521950</v>
      </c>
      <c r="J552" s="31" t="e">
        <f>+SUM(C552:G552)-(H552+I552)</f>
        <v>#REF!</v>
      </c>
      <c r="L552" s="5"/>
      <c r="M552" s="5"/>
      <c r="N552" s="5"/>
      <c r="O552" s="5"/>
      <c r="Q552" s="5"/>
    </row>
    <row r="553" spans="1:17" ht="16.5" x14ac:dyDescent="0.3">
      <c r="A553" s="28" t="s">
        <v>91</v>
      </c>
      <c r="B553" s="8" t="s">
        <v>48</v>
      </c>
      <c r="C553" s="29" t="e">
        <f>+C317</f>
        <v>#REF!</v>
      </c>
      <c r="D553" s="30"/>
      <c r="E553" s="30">
        <v>625000</v>
      </c>
      <c r="F553" s="30"/>
      <c r="G553" s="30"/>
      <c r="H553" s="57">
        <v>247500</v>
      </c>
      <c r="I553" s="34">
        <v>371500</v>
      </c>
      <c r="J553" s="31" t="e">
        <f t="shared" ref="J553:J554" si="192">+SUM(C553:G553)-(H553+I553)</f>
        <v>#REF!</v>
      </c>
      <c r="L553" s="5"/>
      <c r="M553" s="5"/>
      <c r="N553" s="5"/>
      <c r="O553" s="5"/>
      <c r="Q553" s="5"/>
    </row>
    <row r="554" spans="1:17" ht="16.5" x14ac:dyDescent="0.3">
      <c r="A554" s="28" t="s">
        <v>91</v>
      </c>
      <c r="B554" s="8" t="s">
        <v>31</v>
      </c>
      <c r="C554" s="29" t="e">
        <f>+C318</f>
        <v>#REF!</v>
      </c>
      <c r="D554" s="30"/>
      <c r="E554" s="30">
        <v>60000</v>
      </c>
      <c r="F554" s="106"/>
      <c r="G554" s="106"/>
      <c r="H554" s="33"/>
      <c r="I554" s="56">
        <v>67200</v>
      </c>
      <c r="J554" s="107" t="e">
        <f t="shared" si="192"/>
        <v>#REF!</v>
      </c>
      <c r="L554" s="5"/>
      <c r="M554" s="5"/>
      <c r="N554" s="5"/>
      <c r="O554" s="5"/>
      <c r="Q554" s="5"/>
    </row>
    <row r="555" spans="1:17" ht="15.75" customHeight="1" x14ac:dyDescent="0.3">
      <c r="A555" s="28" t="s">
        <v>91</v>
      </c>
      <c r="B555" s="8" t="s">
        <v>78</v>
      </c>
      <c r="C555" s="29" t="e">
        <f>+C319</f>
        <v>#REF!</v>
      </c>
      <c r="D555" s="58"/>
      <c r="E555" s="30">
        <v>140000</v>
      </c>
      <c r="F555" s="106">
        <v>270500</v>
      </c>
      <c r="G555" s="106"/>
      <c r="H555" s="33"/>
      <c r="I555" s="33">
        <v>417300</v>
      </c>
      <c r="J555" s="107" t="e">
        <f>+SUM(C555:G555)-(H555+I555)</f>
        <v>#REF!</v>
      </c>
      <c r="L555" s="5"/>
      <c r="M555" s="5"/>
      <c r="N555" s="5"/>
      <c r="O555" s="5"/>
      <c r="Q555" s="5"/>
    </row>
    <row r="556" spans="1:17" ht="16.5" x14ac:dyDescent="0.3">
      <c r="A556" s="28" t="s">
        <v>91</v>
      </c>
      <c r="B556" s="8" t="s">
        <v>70</v>
      </c>
      <c r="C556" s="29">
        <v>15984</v>
      </c>
      <c r="D556" s="58"/>
      <c r="E556" s="30">
        <v>256400</v>
      </c>
      <c r="F556" s="106"/>
      <c r="G556" s="106"/>
      <c r="H556" s="33"/>
      <c r="I556" s="34">
        <v>263500</v>
      </c>
      <c r="J556" s="107">
        <f t="shared" ref="J556" si="193">+SUM(C556:G556)-(H556+I556)</f>
        <v>8884</v>
      </c>
      <c r="L556" s="5"/>
      <c r="M556" s="5"/>
      <c r="N556" s="5"/>
      <c r="O556" s="5"/>
      <c r="Q556" s="5"/>
    </row>
    <row r="557" spans="1:17" ht="16.5" x14ac:dyDescent="0.3">
      <c r="A557" s="28" t="s">
        <v>91</v>
      </c>
      <c r="B557" s="8" t="s">
        <v>30</v>
      </c>
      <c r="C557" s="29" t="e">
        <f t="shared" ref="C557:C561" si="194">+C320</f>
        <v>#REF!</v>
      </c>
      <c r="D557" s="30"/>
      <c r="E557" s="30">
        <v>858500</v>
      </c>
      <c r="F557" s="106"/>
      <c r="G557" s="106"/>
      <c r="H557" s="33"/>
      <c r="I557" s="34">
        <v>645000</v>
      </c>
      <c r="J557" s="107" t="e">
        <f>+SUM(C557:G557)-(H557+I557)</f>
        <v>#REF!</v>
      </c>
      <c r="L557" s="5"/>
      <c r="M557" s="5"/>
      <c r="N557" s="5"/>
      <c r="O557" s="5"/>
      <c r="Q557" s="5"/>
    </row>
    <row r="558" spans="1:17" ht="16.5" x14ac:dyDescent="0.3">
      <c r="A558" s="28" t="s">
        <v>91</v>
      </c>
      <c r="B558" s="8" t="s">
        <v>36</v>
      </c>
      <c r="C558" s="29" t="e">
        <f t="shared" si="194"/>
        <v>#REF!</v>
      </c>
      <c r="D558" s="30"/>
      <c r="E558" s="30">
        <v>800700</v>
      </c>
      <c r="F558" s="30"/>
      <c r="G558" s="30"/>
      <c r="H558" s="33">
        <v>262300</v>
      </c>
      <c r="I558" s="34">
        <v>543600</v>
      </c>
      <c r="J558" s="31" t="e">
        <f>+SUM(C558:G558)-(H558+I558)</f>
        <v>#REF!</v>
      </c>
      <c r="L558" s="5"/>
      <c r="M558" s="5"/>
      <c r="N558" s="5"/>
      <c r="O558" s="5"/>
      <c r="Q558" s="5"/>
    </row>
    <row r="559" spans="1:17" ht="16.5" x14ac:dyDescent="0.3">
      <c r="A559" s="28" t="s">
        <v>91</v>
      </c>
      <c r="B559" s="8" t="s">
        <v>29</v>
      </c>
      <c r="C559" s="29" t="e">
        <f t="shared" si="194"/>
        <v>#REF!</v>
      </c>
      <c r="D559" s="30"/>
      <c r="E559" s="30">
        <v>971600</v>
      </c>
      <c r="F559" s="30"/>
      <c r="G559" s="30"/>
      <c r="H559" s="33">
        <v>200000</v>
      </c>
      <c r="I559" s="34">
        <v>639450</v>
      </c>
      <c r="J559" s="31" t="e">
        <f t="shared" ref="J559:J560" si="195">+SUM(C559:G559)-(H559+I559)</f>
        <v>#REF!</v>
      </c>
      <c r="L559" s="5"/>
      <c r="M559" s="5"/>
      <c r="N559" s="5"/>
      <c r="O559" s="5"/>
      <c r="Q559" s="5"/>
    </row>
    <row r="560" spans="1:17" ht="16.5" x14ac:dyDescent="0.3">
      <c r="A560" s="28" t="s">
        <v>91</v>
      </c>
      <c r="B560" s="8" t="s">
        <v>5</v>
      </c>
      <c r="C560" s="29" t="e">
        <f t="shared" si="194"/>
        <v>#REF!</v>
      </c>
      <c r="D560" s="30"/>
      <c r="E560" s="30"/>
      <c r="F560" s="30"/>
      <c r="G560" s="30"/>
      <c r="H560" s="33"/>
      <c r="I560" s="56">
        <v>23000</v>
      </c>
      <c r="J560" s="31" t="e">
        <f t="shared" si="195"/>
        <v>#REF!</v>
      </c>
      <c r="L560" s="5"/>
      <c r="M560" s="5"/>
      <c r="N560" s="5"/>
      <c r="O560" s="5"/>
      <c r="Q560" s="5"/>
    </row>
    <row r="561" spans="1:17" ht="16.5" x14ac:dyDescent="0.3">
      <c r="A561" s="28" t="s">
        <v>91</v>
      </c>
      <c r="B561" s="8" t="s">
        <v>32</v>
      </c>
      <c r="C561" s="29" t="e">
        <f t="shared" si="194"/>
        <v>#REF!</v>
      </c>
      <c r="D561" s="30"/>
      <c r="E561" s="30"/>
      <c r="F561" s="30"/>
      <c r="G561" s="30"/>
      <c r="H561" s="33"/>
      <c r="I561" s="34">
        <v>0</v>
      </c>
      <c r="J561" s="31" t="e">
        <f>+SUM(C561:G561)-(H561+I561)</f>
        <v>#REF!</v>
      </c>
      <c r="L561" s="5"/>
      <c r="M561" s="5"/>
      <c r="N561" s="5"/>
      <c r="O561" s="5"/>
      <c r="Q561" s="5"/>
    </row>
    <row r="562" spans="1:17" ht="16.5" x14ac:dyDescent="0.3">
      <c r="A562" s="114" t="s">
        <v>91</v>
      </c>
      <c r="B562" s="115" t="s">
        <v>93</v>
      </c>
      <c r="C562" s="116">
        <v>3721074</v>
      </c>
      <c r="D562" s="117"/>
      <c r="E562" s="118"/>
      <c r="F562" s="117"/>
      <c r="G562" s="119"/>
      <c r="H562" s="116">
        <v>3721074</v>
      </c>
      <c r="I562" s="120"/>
      <c r="J562" s="121">
        <f>+SUM(C562:G562)-(H562+I562)</f>
        <v>0</v>
      </c>
      <c r="L562" s="5"/>
      <c r="M562" s="5"/>
      <c r="N562" s="5"/>
      <c r="O562" s="5"/>
      <c r="Q562" s="5"/>
    </row>
    <row r="563" spans="1:17" x14ac:dyDescent="0.2">
      <c r="A563" s="35" t="s">
        <v>61</v>
      </c>
      <c r="B563" s="36"/>
      <c r="C563" s="36"/>
      <c r="D563" s="36"/>
      <c r="E563" s="36"/>
      <c r="F563" s="36"/>
      <c r="G563" s="36"/>
      <c r="H563" s="36"/>
      <c r="I563" s="36"/>
      <c r="J563" s="37"/>
      <c r="L563" s="5"/>
      <c r="M563" s="5"/>
      <c r="N563" s="5"/>
      <c r="O563" s="5"/>
      <c r="Q563" s="5"/>
    </row>
    <row r="564" spans="1:17" x14ac:dyDescent="0.2">
      <c r="A564" s="28" t="s">
        <v>91</v>
      </c>
      <c r="B564" s="38" t="s">
        <v>62</v>
      </c>
      <c r="C564" s="39" t="e">
        <f>+C316</f>
        <v>#REF!</v>
      </c>
      <c r="D564" s="40">
        <v>5000000</v>
      </c>
      <c r="E564" s="40"/>
      <c r="F564" s="40"/>
      <c r="G564" s="41">
        <v>200000</v>
      </c>
      <c r="H564" s="49">
        <v>3983300</v>
      </c>
      <c r="I564" s="42">
        <v>776245</v>
      </c>
      <c r="J564" s="43" t="e">
        <f>+SUM(C564:G564)-(H564+I564)</f>
        <v>#REF!</v>
      </c>
      <c r="L564" s="5"/>
      <c r="M564" s="5"/>
      <c r="N564" s="5"/>
      <c r="O564" s="5"/>
      <c r="Q564" s="5"/>
    </row>
    <row r="565" spans="1:17" x14ac:dyDescent="0.2">
      <c r="A565" s="44" t="s">
        <v>63</v>
      </c>
      <c r="B565" s="25"/>
      <c r="C565" s="36"/>
      <c r="D565" s="25"/>
      <c r="E565" s="25"/>
      <c r="F565" s="25"/>
      <c r="G565" s="25"/>
      <c r="H565" s="25"/>
      <c r="I565" s="25"/>
      <c r="J565" s="37"/>
      <c r="L565" s="5"/>
      <c r="M565" s="5"/>
      <c r="N565" s="5"/>
      <c r="O565" s="5"/>
      <c r="Q565" s="5"/>
    </row>
    <row r="566" spans="1:17" x14ac:dyDescent="0.25">
      <c r="A566" s="28" t="s">
        <v>91</v>
      </c>
      <c r="B566" s="38" t="s">
        <v>64</v>
      </c>
      <c r="C566" s="45" t="e">
        <f>+#REF!</f>
        <v>#REF!</v>
      </c>
      <c r="D566" s="54">
        <v>19826114</v>
      </c>
      <c r="E566" s="51"/>
      <c r="F566" s="51"/>
      <c r="G566" s="51"/>
      <c r="H566" s="53">
        <v>5000000</v>
      </c>
      <c r="I566" s="55">
        <v>455737</v>
      </c>
      <c r="J566" s="46" t="e">
        <f>+SUM(C566:G566)-(H566+I566)</f>
        <v>#REF!</v>
      </c>
      <c r="L566" s="5"/>
      <c r="M566" s="5"/>
      <c r="N566" s="5"/>
      <c r="O566" s="5"/>
      <c r="Q566" s="5"/>
    </row>
    <row r="567" spans="1:17" x14ac:dyDescent="0.25">
      <c r="A567" s="28" t="s">
        <v>91</v>
      </c>
      <c r="B567" s="38" t="s">
        <v>65</v>
      </c>
      <c r="C567" s="45" t="e">
        <f>+C315</f>
        <v>#REF!</v>
      </c>
      <c r="D567" s="51">
        <v>13119140</v>
      </c>
      <c r="E567" s="50"/>
      <c r="F567" s="50"/>
      <c r="G567" s="50"/>
      <c r="H567" s="33"/>
      <c r="I567" s="52">
        <v>3445919</v>
      </c>
      <c r="J567" s="46" t="e">
        <f>SUM(C567:G567)-(H567+I567)</f>
        <v>#REF!</v>
      </c>
      <c r="L567" s="5"/>
      <c r="M567" s="5"/>
      <c r="N567" s="5"/>
      <c r="O567" s="5"/>
      <c r="Q567" s="5"/>
    </row>
    <row r="568" spans="1:17" x14ac:dyDescent="0.25">
      <c r="A568" s="162" t="s">
        <v>91</v>
      </c>
      <c r="B568" s="158" t="s">
        <v>84</v>
      </c>
      <c r="C568" s="163">
        <v>249769</v>
      </c>
      <c r="D568" s="51"/>
      <c r="E568" s="51"/>
      <c r="F568" s="51"/>
      <c r="G568" s="51"/>
      <c r="H568" s="33"/>
      <c r="I568" s="52"/>
      <c r="J568" s="164">
        <f>SUM(C568:G568)-(H568+I568)</f>
        <v>249769</v>
      </c>
      <c r="L568" s="5"/>
      <c r="M568" s="5"/>
      <c r="N568" s="5"/>
      <c r="O568" s="5"/>
      <c r="Q568" s="5"/>
    </row>
    <row r="569" spans="1:17" x14ac:dyDescent="0.25">
      <c r="A569" s="162" t="s">
        <v>91</v>
      </c>
      <c r="B569" s="160" t="s">
        <v>85</v>
      </c>
      <c r="C569" s="163">
        <v>233614</v>
      </c>
      <c r="D569" s="51"/>
      <c r="E569" s="51"/>
      <c r="F569" s="51"/>
      <c r="G569" s="51"/>
      <c r="H569" s="33"/>
      <c r="I569" s="52"/>
      <c r="J569" s="164">
        <f>SUM(C569:G569)-(H569+I569)</f>
        <v>233614</v>
      </c>
      <c r="L569" s="5"/>
      <c r="M569" s="5"/>
      <c r="N569" s="5"/>
      <c r="O569" s="5"/>
      <c r="Q569" s="5"/>
    </row>
    <row r="570" spans="1:17" x14ac:dyDescent="0.25">
      <c r="A570" s="162" t="s">
        <v>91</v>
      </c>
      <c r="B570" s="161" t="s">
        <v>86</v>
      </c>
      <c r="C570" s="163">
        <v>330169</v>
      </c>
      <c r="D570" s="165"/>
      <c r="E570" s="165"/>
      <c r="F570" s="165"/>
      <c r="G570" s="165"/>
      <c r="H570" s="165"/>
      <c r="I570" s="165"/>
      <c r="J570" s="164">
        <f>SUM(C570:G570)-(H570+I570)</f>
        <v>330169</v>
      </c>
      <c r="L570" s="5"/>
      <c r="M570" s="5"/>
      <c r="N570" s="5"/>
      <c r="O570" s="5"/>
      <c r="Q570" s="5"/>
    </row>
    <row r="571" spans="1:17" ht="15.75" x14ac:dyDescent="0.25">
      <c r="C571" s="9"/>
      <c r="I571" s="9"/>
      <c r="J571" s="111" t="e">
        <f>+SUM(J552:J570)</f>
        <v>#REF!</v>
      </c>
      <c r="K571" s="113" t="e">
        <f>+J571-I328</f>
        <v>#REF!</v>
      </c>
      <c r="L571" s="5"/>
      <c r="M571" s="5"/>
      <c r="N571" s="5"/>
      <c r="O571" s="5"/>
      <c r="Q571" s="5"/>
    </row>
    <row r="573" spans="1:17" x14ac:dyDescent="0.2">
      <c r="A573" s="16" t="s">
        <v>53</v>
      </c>
      <c r="B573" s="16"/>
      <c r="C573" s="16"/>
      <c r="D573" s="17"/>
      <c r="E573" s="17"/>
      <c r="F573" s="17"/>
      <c r="G573" s="17"/>
      <c r="H573" s="17"/>
      <c r="I573" s="17"/>
      <c r="L573" s="5"/>
      <c r="M573" s="5"/>
      <c r="N573" s="5"/>
      <c r="O573" s="5"/>
      <c r="Q573" s="5"/>
    </row>
    <row r="574" spans="1:17" x14ac:dyDescent="0.2">
      <c r="A574" s="18" t="s">
        <v>79</v>
      </c>
      <c r="B574" s="18"/>
      <c r="C574" s="18"/>
      <c r="D574" s="18"/>
      <c r="E574" s="18"/>
      <c r="F574" s="18"/>
      <c r="G574" s="18"/>
      <c r="H574" s="18"/>
      <c r="I574" s="18"/>
      <c r="J574" s="17"/>
      <c r="L574" s="5"/>
      <c r="M574" s="5"/>
      <c r="N574" s="5"/>
      <c r="O574" s="5"/>
      <c r="Q574" s="5"/>
    </row>
    <row r="575" spans="1:17" x14ac:dyDescent="0.2">
      <c r="A575" s="19"/>
      <c r="B575" s="20"/>
      <c r="C575" s="21"/>
      <c r="D575" s="21"/>
      <c r="E575" s="21"/>
      <c r="F575" s="21"/>
      <c r="G575" s="21"/>
      <c r="H575" s="20"/>
      <c r="I575" s="20"/>
      <c r="J575" s="18"/>
      <c r="L575" s="5"/>
      <c r="M575" s="5"/>
      <c r="N575" s="5"/>
      <c r="O575" s="5"/>
      <c r="Q575" s="5"/>
    </row>
    <row r="576" spans="1:17" x14ac:dyDescent="0.2">
      <c r="A576" s="386" t="s">
        <v>54</v>
      </c>
      <c r="B576" s="388" t="s">
        <v>55</v>
      </c>
      <c r="C576" s="390" t="s">
        <v>81</v>
      </c>
      <c r="D576" s="392" t="s">
        <v>56</v>
      </c>
      <c r="E576" s="393"/>
      <c r="F576" s="393"/>
      <c r="G576" s="394"/>
      <c r="H576" s="395" t="s">
        <v>57</v>
      </c>
      <c r="I576" s="382" t="s">
        <v>58</v>
      </c>
      <c r="J576" s="20"/>
      <c r="L576" s="5"/>
      <c r="M576" s="5"/>
      <c r="N576" s="5"/>
      <c r="O576" s="5"/>
      <c r="Q576" s="5"/>
    </row>
    <row r="577" spans="1:17" ht="36.75" customHeight="1" x14ac:dyDescent="0.25">
      <c r="A577" s="387"/>
      <c r="B577" s="389"/>
      <c r="C577" s="391"/>
      <c r="D577" s="22" t="s">
        <v>24</v>
      </c>
      <c r="E577" s="22" t="s">
        <v>25</v>
      </c>
      <c r="F577" s="23" t="s">
        <v>70</v>
      </c>
      <c r="G577" s="22" t="s">
        <v>59</v>
      </c>
      <c r="H577" s="396"/>
      <c r="I577" s="383"/>
      <c r="J577" s="384" t="s">
        <v>87</v>
      </c>
      <c r="L577" s="5"/>
      <c r="M577" s="5"/>
      <c r="N577" s="5"/>
      <c r="O577" s="5"/>
      <c r="Q577" s="5"/>
    </row>
    <row r="578" spans="1:17" x14ac:dyDescent="0.2">
      <c r="A578" s="24"/>
      <c r="B578" s="25" t="s">
        <v>60</v>
      </c>
      <c r="C578" s="26"/>
      <c r="D578" s="26"/>
      <c r="E578" s="26"/>
      <c r="F578" s="26"/>
      <c r="G578" s="26"/>
      <c r="H578" s="26"/>
      <c r="I578" s="27"/>
      <c r="J578" s="385"/>
      <c r="L578" s="5"/>
      <c r="M578" s="5"/>
      <c r="N578" s="5"/>
      <c r="O578" s="5"/>
      <c r="Q578" s="5"/>
    </row>
    <row r="579" spans="1:17" ht="16.5" x14ac:dyDescent="0.3">
      <c r="A579" s="28" t="s">
        <v>80</v>
      </c>
      <c r="B579" s="8" t="s">
        <v>77</v>
      </c>
      <c r="C579" s="29">
        <v>0</v>
      </c>
      <c r="D579" s="30"/>
      <c r="E579" s="30">
        <v>40000</v>
      </c>
      <c r="F579" s="30"/>
      <c r="G579" s="30"/>
      <c r="H579" s="57"/>
      <c r="I579" s="34">
        <v>39200</v>
      </c>
      <c r="J579" s="31">
        <f>+SUM(C579:G579)-(H579+I579)</f>
        <v>800</v>
      </c>
      <c r="L579" s="5"/>
      <c r="M579" s="5"/>
      <c r="N579" s="5"/>
      <c r="O579" s="5"/>
      <c r="Q579" s="5"/>
    </row>
    <row r="580" spans="1:17" ht="16.5" x14ac:dyDescent="0.3">
      <c r="A580" s="28" t="s">
        <v>80</v>
      </c>
      <c r="B580" s="8" t="str">
        <f>+A317</f>
        <v>JUILLET</v>
      </c>
      <c r="C580" s="29">
        <v>19060</v>
      </c>
      <c r="D580" s="30"/>
      <c r="E580" s="30">
        <v>20000</v>
      </c>
      <c r="F580" s="30"/>
      <c r="G580" s="30"/>
      <c r="H580" s="57"/>
      <c r="I580" s="34">
        <v>36000</v>
      </c>
      <c r="J580" s="31">
        <f t="shared" ref="J580:J587" si="196">+SUM(C580:G580)-(H580+I580)</f>
        <v>3060</v>
      </c>
      <c r="L580" s="5"/>
      <c r="M580" s="5"/>
      <c r="N580" s="5"/>
      <c r="O580" s="5"/>
      <c r="Q580" s="5"/>
    </row>
    <row r="581" spans="1:17" ht="16.5" x14ac:dyDescent="0.3">
      <c r="A581" s="28" t="s">
        <v>80</v>
      </c>
      <c r="B581" s="8" t="str">
        <f>+A318</f>
        <v>JUILLET</v>
      </c>
      <c r="C581" s="29">
        <v>8395</v>
      </c>
      <c r="D581" s="30"/>
      <c r="E581" s="30">
        <v>20000</v>
      </c>
      <c r="F581" s="106"/>
      <c r="G581" s="106"/>
      <c r="H581" s="33"/>
      <c r="I581" s="56">
        <v>20000</v>
      </c>
      <c r="J581" s="107">
        <f t="shared" si="196"/>
        <v>8395</v>
      </c>
      <c r="L581" s="5"/>
      <c r="M581" s="5"/>
      <c r="N581" s="5"/>
      <c r="O581" s="5"/>
      <c r="Q581" s="5"/>
    </row>
    <row r="582" spans="1:17" ht="16.5" x14ac:dyDescent="0.3">
      <c r="A582" s="28" t="s">
        <v>80</v>
      </c>
      <c r="B582" s="8" t="str">
        <f>+A319</f>
        <v>JUILLET</v>
      </c>
      <c r="C582" s="29">
        <v>0</v>
      </c>
      <c r="D582" s="58"/>
      <c r="E582" s="30">
        <v>100000</v>
      </c>
      <c r="F582" s="106">
        <v>102200</v>
      </c>
      <c r="G582" s="106"/>
      <c r="H582" s="33"/>
      <c r="I582" s="33">
        <v>204000</v>
      </c>
      <c r="J582" s="107">
        <f>+SUM(C582:G582)-(H582+I582)</f>
        <v>-1800</v>
      </c>
      <c r="L582" s="5"/>
      <c r="M582" s="5"/>
      <c r="N582" s="5"/>
      <c r="O582" s="5"/>
      <c r="Q582" s="5"/>
    </row>
    <row r="583" spans="1:17" ht="16.5" x14ac:dyDescent="0.3">
      <c r="A583" s="28" t="s">
        <v>80</v>
      </c>
      <c r="B583" s="8" t="e">
        <f>+#REF!</f>
        <v>#REF!</v>
      </c>
      <c r="C583" s="29">
        <v>7559</v>
      </c>
      <c r="D583" s="58"/>
      <c r="E583" s="30">
        <v>866200</v>
      </c>
      <c r="F583" s="106"/>
      <c r="G583" s="106"/>
      <c r="H583" s="33">
        <v>252200</v>
      </c>
      <c r="I583" s="34">
        <v>605575</v>
      </c>
      <c r="J583" s="107">
        <f t="shared" si="196"/>
        <v>15984</v>
      </c>
      <c r="L583" s="5"/>
      <c r="M583" s="5"/>
      <c r="N583" s="5"/>
      <c r="O583" s="5"/>
      <c r="Q583" s="5"/>
    </row>
    <row r="584" spans="1:17" ht="16.5" x14ac:dyDescent="0.3">
      <c r="A584" s="28" t="s">
        <v>80</v>
      </c>
      <c r="B584" s="8" t="str">
        <f t="shared" ref="B584:B587" si="197">+A320</f>
        <v>JUILLET</v>
      </c>
      <c r="C584" s="29">
        <v>214000</v>
      </c>
      <c r="D584" s="30"/>
      <c r="E584" s="30">
        <v>724100</v>
      </c>
      <c r="F584" s="106"/>
      <c r="G584" s="106"/>
      <c r="H584" s="33"/>
      <c r="I584" s="34">
        <v>960000</v>
      </c>
      <c r="J584" s="107">
        <f>+SUM(C584:G584)-(H584+I584)</f>
        <v>-21900</v>
      </c>
      <c r="L584" s="5"/>
      <c r="M584" s="5"/>
      <c r="N584" s="5"/>
      <c r="O584" s="5"/>
      <c r="Q584" s="5"/>
    </row>
    <row r="585" spans="1:17" ht="16.5" x14ac:dyDescent="0.3">
      <c r="A585" s="28" t="s">
        <v>80</v>
      </c>
      <c r="B585" s="8" t="str">
        <f t="shared" si="197"/>
        <v>JUILLET</v>
      </c>
      <c r="C585" s="29">
        <v>-13805</v>
      </c>
      <c r="D585" s="30"/>
      <c r="E585" s="30">
        <v>333400</v>
      </c>
      <c r="F585" s="30">
        <v>150000</v>
      </c>
      <c r="G585" s="30"/>
      <c r="H585" s="33">
        <v>129000</v>
      </c>
      <c r="I585" s="34">
        <v>338905</v>
      </c>
      <c r="J585" s="31">
        <f>+SUM(C585:G585)-(H585+I585)</f>
        <v>1690</v>
      </c>
      <c r="L585" s="5"/>
      <c r="M585" s="5"/>
      <c r="N585" s="5"/>
      <c r="O585" s="5"/>
      <c r="Q585" s="5"/>
    </row>
    <row r="586" spans="1:17" ht="16.5" x14ac:dyDescent="0.3">
      <c r="A586" s="28" t="s">
        <v>80</v>
      </c>
      <c r="B586" s="8" t="str">
        <f t="shared" si="197"/>
        <v>JUILLET</v>
      </c>
      <c r="C586" s="29">
        <v>84350</v>
      </c>
      <c r="D586" s="30"/>
      <c r="E586" s="30">
        <v>669400</v>
      </c>
      <c r="F586" s="30"/>
      <c r="G586" s="30"/>
      <c r="H586" s="33">
        <v>100000</v>
      </c>
      <c r="I586" s="34">
        <v>674700</v>
      </c>
      <c r="J586" s="31">
        <f>+SUM(C586:G586)-(H586+I586)</f>
        <v>-20950</v>
      </c>
      <c r="L586" s="5"/>
      <c r="M586" s="5"/>
      <c r="N586" s="5"/>
      <c r="O586" s="5"/>
      <c r="Q586" s="5"/>
    </row>
    <row r="587" spans="1:17" ht="16.5" x14ac:dyDescent="0.3">
      <c r="A587" s="28" t="s">
        <v>80</v>
      </c>
      <c r="B587" s="8" t="str">
        <f t="shared" si="197"/>
        <v>JUILLET</v>
      </c>
      <c r="C587" s="29">
        <v>-216251</v>
      </c>
      <c r="D587" s="30"/>
      <c r="E587" s="30">
        <v>242000</v>
      </c>
      <c r="F587" s="30"/>
      <c r="G587" s="30"/>
      <c r="H587" s="33"/>
      <c r="I587" s="56">
        <v>34830</v>
      </c>
      <c r="J587" s="31">
        <f t="shared" si="196"/>
        <v>-9081</v>
      </c>
      <c r="L587" s="5"/>
      <c r="M587" s="5"/>
      <c r="N587" s="5"/>
      <c r="O587" s="5"/>
      <c r="Q587" s="5"/>
    </row>
    <row r="588" spans="1:17" ht="16.5" x14ac:dyDescent="0.3">
      <c r="A588" s="28" t="s">
        <v>80</v>
      </c>
      <c r="B588" s="8" t="s">
        <v>33</v>
      </c>
      <c r="C588" s="29">
        <v>2025</v>
      </c>
      <c r="D588" s="30"/>
      <c r="E588" s="30">
        <v>25000</v>
      </c>
      <c r="F588" s="30"/>
      <c r="G588" s="30"/>
      <c r="H588" s="33">
        <v>3025</v>
      </c>
      <c r="I588" s="34">
        <v>24000</v>
      </c>
      <c r="J588" s="31">
        <f>+SUM(C588:G588)-(H588+I588)</f>
        <v>0</v>
      </c>
      <c r="L588" s="5"/>
      <c r="M588" s="5"/>
      <c r="N588" s="5"/>
      <c r="O588" s="5"/>
      <c r="Q588" s="5"/>
    </row>
    <row r="589" spans="1:17" ht="16.5" x14ac:dyDescent="0.3">
      <c r="A589" s="28" t="s">
        <v>80</v>
      </c>
      <c r="B589" s="8" t="s">
        <v>32</v>
      </c>
      <c r="C589" s="29">
        <v>10000</v>
      </c>
      <c r="D589" s="32"/>
      <c r="E589" s="30">
        <v>0</v>
      </c>
      <c r="F589" s="32"/>
      <c r="G589" s="32"/>
      <c r="H589" s="33"/>
      <c r="I589" s="34">
        <v>4700</v>
      </c>
      <c r="J589" s="31">
        <f>+SUM(C589:G589)-(H589+I589)</f>
        <v>5300</v>
      </c>
      <c r="L589" s="5"/>
      <c r="M589" s="5"/>
      <c r="N589" s="5"/>
      <c r="O589" s="5"/>
      <c r="Q589" s="5"/>
    </row>
    <row r="590" spans="1:17" x14ac:dyDescent="0.2">
      <c r="A590" s="35" t="s">
        <v>61</v>
      </c>
      <c r="B590" s="36"/>
      <c r="C590" s="36"/>
      <c r="D590" s="36"/>
      <c r="E590" s="36"/>
      <c r="F590" s="36"/>
      <c r="G590" s="36"/>
      <c r="H590" s="36"/>
      <c r="I590" s="36"/>
      <c r="J590" s="37"/>
      <c r="L590" s="5"/>
      <c r="M590" s="5"/>
      <c r="N590" s="5"/>
      <c r="O590" s="5"/>
      <c r="Q590" s="5"/>
    </row>
    <row r="591" spans="1:17" x14ac:dyDescent="0.2">
      <c r="A591" s="28" t="s">
        <v>80</v>
      </c>
      <c r="B591" s="38" t="s">
        <v>62</v>
      </c>
      <c r="C591" s="39">
        <v>791675</v>
      </c>
      <c r="D591" s="40">
        <v>3185100</v>
      </c>
      <c r="E591" s="40"/>
      <c r="F591" s="40"/>
      <c r="G591" s="41">
        <v>237025</v>
      </c>
      <c r="H591" s="49">
        <v>3045100</v>
      </c>
      <c r="I591" s="42">
        <v>876121</v>
      </c>
      <c r="J591" s="43">
        <f>+SUM(C591:G591)-(H591+I591)</f>
        <v>292579</v>
      </c>
      <c r="L591" s="5"/>
      <c r="M591" s="5"/>
      <c r="N591" s="5"/>
      <c r="O591" s="5"/>
      <c r="Q591" s="5"/>
    </row>
    <row r="592" spans="1:17" x14ac:dyDescent="0.2">
      <c r="A592" s="44" t="s">
        <v>63</v>
      </c>
      <c r="B592" s="25"/>
      <c r="C592" s="36"/>
      <c r="D592" s="25"/>
      <c r="E592" s="25"/>
      <c r="F592" s="25"/>
      <c r="G592" s="25"/>
      <c r="H592" s="25"/>
      <c r="I592" s="25"/>
      <c r="J592" s="37"/>
      <c r="L592" s="5"/>
      <c r="M592" s="5"/>
      <c r="N592" s="5"/>
      <c r="O592" s="5"/>
      <c r="Q592" s="5"/>
    </row>
    <row r="593" spans="1:17" x14ac:dyDescent="0.25">
      <c r="A593" s="28" t="s">
        <v>80</v>
      </c>
      <c r="B593" s="38" t="s">
        <v>64</v>
      </c>
      <c r="C593" s="45">
        <v>8039273</v>
      </c>
      <c r="D593" s="54">
        <v>0</v>
      </c>
      <c r="E593" s="51"/>
      <c r="F593" s="51"/>
      <c r="G593" s="51"/>
      <c r="H593" s="53">
        <v>3000000</v>
      </c>
      <c r="I593" s="55">
        <v>224679</v>
      </c>
      <c r="J593" s="46">
        <f>+SUM(C593:G593)-(H593+I593)</f>
        <v>4814594</v>
      </c>
      <c r="L593" s="5"/>
      <c r="M593" s="5"/>
      <c r="N593" s="5"/>
      <c r="O593" s="5"/>
      <c r="Q593" s="5"/>
    </row>
    <row r="594" spans="1:17" x14ac:dyDescent="0.25">
      <c r="A594" s="28" t="s">
        <v>80</v>
      </c>
      <c r="B594" s="38" t="s">
        <v>65</v>
      </c>
      <c r="C594" s="45">
        <v>13283340</v>
      </c>
      <c r="D594" s="51">
        <v>0</v>
      </c>
      <c r="E594" s="50"/>
      <c r="F594" s="50"/>
      <c r="G594" s="50"/>
      <c r="H594" s="33">
        <v>185100</v>
      </c>
      <c r="I594" s="52">
        <v>8352406</v>
      </c>
      <c r="J594" s="46">
        <f>SUM(C594:G594)-(H594+I594)</f>
        <v>4745834</v>
      </c>
      <c r="Q594" s="5"/>
    </row>
    <row r="595" spans="1:17" x14ac:dyDescent="0.25">
      <c r="A595" s="157" t="s">
        <v>80</v>
      </c>
      <c r="B595" s="158" t="s">
        <v>83</v>
      </c>
      <c r="C595" s="45">
        <v>3721074</v>
      </c>
      <c r="D595" s="157"/>
      <c r="E595" s="157"/>
      <c r="F595" s="157"/>
      <c r="G595" s="157"/>
      <c r="H595" s="157"/>
      <c r="I595" s="157"/>
      <c r="J595" s="159">
        <f>SUM(C595:G595)-(H595+I595)</f>
        <v>3721074</v>
      </c>
      <c r="Q595" s="5"/>
    </row>
    <row r="596" spans="1:17" x14ac:dyDescent="0.25">
      <c r="A596" s="157" t="s">
        <v>80</v>
      </c>
      <c r="B596" s="158" t="s">
        <v>84</v>
      </c>
      <c r="C596" s="45">
        <v>249769</v>
      </c>
      <c r="D596" s="51"/>
      <c r="E596" s="51"/>
      <c r="F596" s="51"/>
      <c r="G596" s="51"/>
      <c r="H596" s="33"/>
      <c r="I596" s="52"/>
      <c r="J596" s="159">
        <f>SUM(C596:G596)-(H596+I596)</f>
        <v>249769</v>
      </c>
      <c r="Q596" s="5"/>
    </row>
    <row r="597" spans="1:17" x14ac:dyDescent="0.25">
      <c r="A597" s="157" t="s">
        <v>80</v>
      </c>
      <c r="B597" s="160" t="s">
        <v>85</v>
      </c>
      <c r="C597" s="45">
        <v>233614</v>
      </c>
      <c r="D597" s="51"/>
      <c r="E597" s="51"/>
      <c r="F597" s="51"/>
      <c r="G597" s="51"/>
      <c r="H597" s="33"/>
      <c r="I597" s="52"/>
      <c r="J597" s="159">
        <f>SUM(C597:G597)-(H597+I597)</f>
        <v>233614</v>
      </c>
      <c r="Q597" s="5"/>
    </row>
    <row r="598" spans="1:17" x14ac:dyDescent="0.25">
      <c r="A598" s="157" t="s">
        <v>80</v>
      </c>
      <c r="B598" s="161" t="s">
        <v>86</v>
      </c>
      <c r="C598" s="45">
        <v>330169</v>
      </c>
      <c r="D598" s="157"/>
      <c r="E598" s="157"/>
      <c r="F598" s="157"/>
      <c r="G598" s="157"/>
      <c r="H598" s="157"/>
      <c r="I598" s="157"/>
      <c r="J598" s="159">
        <f>SUM(C598:G598)-(H598+I598)</f>
        <v>330169</v>
      </c>
      <c r="Q598" s="5"/>
    </row>
    <row r="599" spans="1:17" ht="15.75" x14ac:dyDescent="0.25">
      <c r="C599" s="9"/>
      <c r="I599" s="9"/>
      <c r="J599" s="111">
        <f>+SUM(J579:J598)</f>
        <v>14369131</v>
      </c>
      <c r="Q599" s="5"/>
    </row>
    <row r="600" spans="1:17" x14ac:dyDescent="0.25">
      <c r="C600" s="9"/>
      <c r="I600" s="9"/>
      <c r="J600" s="9"/>
      <c r="Q600" s="5"/>
    </row>
    <row r="601" spans="1:17" s="74" customFormat="1" x14ac:dyDescent="0.2">
      <c r="A601" s="72" t="s">
        <v>66</v>
      </c>
      <c r="B601" s="72"/>
      <c r="C601" s="72"/>
      <c r="D601" s="72"/>
      <c r="E601" s="72"/>
      <c r="F601" s="72"/>
      <c r="G601" s="72"/>
      <c r="H601" s="72"/>
      <c r="I601" s="72"/>
      <c r="J601" s="73"/>
      <c r="L601" s="75"/>
      <c r="M601" s="75"/>
      <c r="N601" s="75"/>
      <c r="O601" s="75"/>
    </row>
    <row r="602" spans="1:17" s="74" customFormat="1" x14ac:dyDescent="0.2">
      <c r="A602" s="76"/>
      <c r="B602" s="73"/>
      <c r="C602" s="77"/>
      <c r="D602" s="77"/>
      <c r="E602" s="77"/>
      <c r="F602" s="77"/>
      <c r="G602" s="77"/>
      <c r="H602" s="73"/>
      <c r="I602" s="73"/>
      <c r="J602" s="72"/>
      <c r="L602" s="75"/>
      <c r="M602" s="75"/>
      <c r="N602" s="75"/>
      <c r="O602" s="75"/>
    </row>
    <row r="603" spans="1:17" s="74" customFormat="1" x14ac:dyDescent="0.2">
      <c r="A603" s="386" t="s">
        <v>54</v>
      </c>
      <c r="B603" s="388" t="s">
        <v>55</v>
      </c>
      <c r="C603" s="390" t="s">
        <v>68</v>
      </c>
      <c r="D603" s="409" t="s">
        <v>56</v>
      </c>
      <c r="E603" s="410"/>
      <c r="F603" s="410"/>
      <c r="G603" s="411"/>
      <c r="H603" s="412" t="s">
        <v>57</v>
      </c>
      <c r="I603" s="414" t="s">
        <v>58</v>
      </c>
      <c r="J603" s="73"/>
      <c r="L603" s="75"/>
      <c r="M603" s="75"/>
      <c r="N603" s="75"/>
      <c r="O603" s="75"/>
    </row>
    <row r="604" spans="1:17" s="74" customFormat="1" x14ac:dyDescent="0.25">
      <c r="A604" s="387"/>
      <c r="B604" s="389"/>
      <c r="C604" s="391"/>
      <c r="D604" s="22" t="s">
        <v>24</v>
      </c>
      <c r="E604" s="22" t="s">
        <v>25</v>
      </c>
      <c r="F604" s="71" t="s">
        <v>70</v>
      </c>
      <c r="G604" s="22" t="s">
        <v>59</v>
      </c>
      <c r="H604" s="413"/>
      <c r="I604" s="415"/>
      <c r="J604" s="384" t="s">
        <v>69</v>
      </c>
      <c r="L604" s="75"/>
      <c r="M604" s="75"/>
      <c r="N604" s="75"/>
      <c r="O604" s="75"/>
    </row>
    <row r="605" spans="1:17" s="74" customFormat="1" x14ac:dyDescent="0.2">
      <c r="A605" s="78"/>
      <c r="B605" s="79" t="s">
        <v>60</v>
      </c>
      <c r="C605" s="80"/>
      <c r="D605" s="80"/>
      <c r="E605" s="80"/>
      <c r="F605" s="80"/>
      <c r="G605" s="80"/>
      <c r="H605" s="80"/>
      <c r="I605" s="81"/>
      <c r="J605" s="385"/>
      <c r="L605" s="75"/>
      <c r="M605" s="75"/>
      <c r="N605" s="75"/>
      <c r="O605" s="75"/>
    </row>
    <row r="606" spans="1:17" s="74" customFormat="1" ht="16.5" x14ac:dyDescent="0.3">
      <c r="A606" s="82" t="s">
        <v>67</v>
      </c>
      <c r="B606" s="8" t="s">
        <v>48</v>
      </c>
      <c r="C606" s="83">
        <v>40560</v>
      </c>
      <c r="D606" s="30"/>
      <c r="E606" s="30">
        <v>0</v>
      </c>
      <c r="F606" s="30"/>
      <c r="G606" s="30"/>
      <c r="H606" s="84"/>
      <c r="I606" s="85">
        <f>+SUM([1]COMPTA_CREPIN!$F$3050:$F$3066)</f>
        <v>21500</v>
      </c>
      <c r="J606" s="31">
        <f>+SUM(C606:G606)-(H606+I606)</f>
        <v>19060</v>
      </c>
      <c r="L606" s="75"/>
      <c r="M606" s="75"/>
      <c r="N606" s="75"/>
      <c r="O606" s="75"/>
    </row>
    <row r="607" spans="1:17" s="74" customFormat="1" ht="16.5" x14ac:dyDescent="0.3">
      <c r="A607" s="82" t="s">
        <v>67</v>
      </c>
      <c r="B607" s="8" t="s">
        <v>28</v>
      </c>
      <c r="C607" s="83">
        <v>227975</v>
      </c>
      <c r="D607" s="30"/>
      <c r="E607" s="30">
        <f>+'[2]Compta Dalia (2)'!$E$1908+'[2]Compta Dalia (2)'!$E$1909+'[2]Compta Dalia (2)'!$E$1911+'[2]Compta Dalia (2)'!$E$1917</f>
        <v>119600</v>
      </c>
      <c r="F607" s="30"/>
      <c r="G607" s="30"/>
      <c r="H607" s="84">
        <f>+'[2]Compta Dalia (2)'!$F$1919</f>
        <v>1635</v>
      </c>
      <c r="I607" s="85">
        <v>345940</v>
      </c>
      <c r="J607" s="31">
        <f t="shared" ref="J607:J614" si="198">+SUM(C607:G607)-(H607+I607)</f>
        <v>0</v>
      </c>
      <c r="L607" s="75"/>
      <c r="M607" s="75"/>
      <c r="N607" s="75"/>
      <c r="O607" s="75"/>
    </row>
    <row r="608" spans="1:17" s="74" customFormat="1" ht="16.5" x14ac:dyDescent="0.3">
      <c r="A608" s="82" t="s">
        <v>67</v>
      </c>
      <c r="B608" s="8" t="s">
        <v>31</v>
      </c>
      <c r="C608" s="83">
        <v>-605</v>
      </c>
      <c r="D608" s="30"/>
      <c r="E608" s="30">
        <f>+'[3]compta (3)'!$E$2556+'[3]compta (3)'!$E$2557+'[3]compta (3)'!$E$2558</f>
        <v>30000</v>
      </c>
      <c r="F608" s="30"/>
      <c r="G608" s="30"/>
      <c r="H608" s="86"/>
      <c r="I608" s="87">
        <f>'[3]compta (3)'!$F$2559</f>
        <v>21000</v>
      </c>
      <c r="J608" s="31">
        <f t="shared" si="198"/>
        <v>8395</v>
      </c>
      <c r="L608" s="75"/>
      <c r="M608" s="75"/>
      <c r="N608" s="75"/>
      <c r="O608" s="75"/>
    </row>
    <row r="609" spans="1:17" s="74" customFormat="1" ht="16.5" x14ac:dyDescent="0.3">
      <c r="A609" s="82" t="s">
        <v>67</v>
      </c>
      <c r="B609" s="105" t="s">
        <v>26</v>
      </c>
      <c r="C609" s="83">
        <v>264659</v>
      </c>
      <c r="D609" s="106"/>
      <c r="E609" s="106">
        <f>+'[4]compta (2)'!$E$2521+'[4]compta (2)'!$E$2525+'[4]compta (2)'!$E$2527+'[4]compta (2)'!$E$2529</f>
        <v>325000</v>
      </c>
      <c r="F609" s="106"/>
      <c r="G609" s="106"/>
      <c r="H609" s="33">
        <f>'[4]compta (2)'!$F$2528+60000</f>
        <v>75000</v>
      </c>
      <c r="I609" s="33">
        <f>'[4]compta (2)'!$F$2522+'[4]compta (2)'!$F$2523+'[4]compta (2)'!$F$2524+'[4]compta (2)'!$F$2526+'[4]compta (2)'!$F$2530+'[4]compta (2)'!$F$2532+'[4]compta (2)'!$F$2533+'[4]compta (2)'!$F$2534</f>
        <v>507100</v>
      </c>
      <c r="J609" s="107">
        <f t="shared" si="198"/>
        <v>7559</v>
      </c>
      <c r="L609" s="75"/>
      <c r="M609" s="75"/>
      <c r="N609" s="75"/>
      <c r="O609" s="75"/>
    </row>
    <row r="610" spans="1:17" s="74" customFormat="1" ht="16.5" x14ac:dyDescent="0.3">
      <c r="A610" s="82" t="s">
        <v>67</v>
      </c>
      <c r="B610" s="105" t="s">
        <v>49</v>
      </c>
      <c r="C610" s="83">
        <v>272500</v>
      </c>
      <c r="D610" s="106"/>
      <c r="E610" s="106">
        <f>+'[5]COMPTA_I23C (2)'!$E$4171+'[5]COMPTA_I23C (2)'!$E$4172+'[5]COMPTA_I23C (2)'!$E$4174+'[5]COMPTA_I23C (2)'!$E$4178+'[5]COMPTA_I23C (2)'!$E$4180+'[5]COMPTA_I23C (2)'!$E$4181</f>
        <v>695000</v>
      </c>
      <c r="F610" s="106"/>
      <c r="G610" s="106"/>
      <c r="H610" s="33"/>
      <c r="I610" s="83">
        <v>753500</v>
      </c>
      <c r="J610" s="107">
        <f t="shared" si="198"/>
        <v>214000</v>
      </c>
      <c r="L610" s="75"/>
      <c r="M610" s="75"/>
      <c r="N610" s="75"/>
      <c r="O610" s="75"/>
    </row>
    <row r="611" spans="1:17" s="74" customFormat="1" ht="16.5" x14ac:dyDescent="0.3">
      <c r="A611" s="82" t="s">
        <v>67</v>
      </c>
      <c r="B611" s="8" t="s">
        <v>36</v>
      </c>
      <c r="C611" s="83">
        <v>284595</v>
      </c>
      <c r="D611" s="30"/>
      <c r="E611" s="30">
        <f>+'[6]Feuil1 (2)'!$E$2684+'[6]Feuil1 (2)'!$E$2689+'[6]Feuil1 (2)'!$E$2691</f>
        <v>275000</v>
      </c>
      <c r="F611" s="30">
        <f>'[4]compta (2)'!$F$2531</f>
        <v>60000</v>
      </c>
      <c r="G611" s="30"/>
      <c r="H611" s="86"/>
      <c r="I611" s="85">
        <v>633400</v>
      </c>
      <c r="J611" s="31">
        <f t="shared" si="198"/>
        <v>-13805</v>
      </c>
      <c r="L611" s="75"/>
      <c r="M611" s="75"/>
      <c r="N611" s="75"/>
      <c r="O611" s="75"/>
    </row>
    <row r="612" spans="1:17" s="74" customFormat="1" ht="16.5" x14ac:dyDescent="0.3">
      <c r="A612" s="82" t="s">
        <v>67</v>
      </c>
      <c r="B612" s="8" t="s">
        <v>27</v>
      </c>
      <c r="C612" s="83">
        <v>-1750</v>
      </c>
      <c r="D612" s="30"/>
      <c r="E612" s="30">
        <f>+'[7]Compta Jospin (2)'!$E$1583+'[7]Compta Jospin (2)'!$E$1584+'[7]Compta Jospin (2)'!$E$1587</f>
        <v>96400</v>
      </c>
      <c r="F612" s="30"/>
      <c r="G612" s="30"/>
      <c r="H612" s="86">
        <f>+'[7]Compta Jospin (2)'!$F$1592</f>
        <v>950</v>
      </c>
      <c r="I612" s="85">
        <v>93700</v>
      </c>
      <c r="J612" s="31">
        <f t="shared" si="198"/>
        <v>0</v>
      </c>
      <c r="L612" s="75"/>
      <c r="M612" s="75"/>
      <c r="N612" s="75"/>
      <c r="O612" s="75"/>
    </row>
    <row r="613" spans="1:17" s="74" customFormat="1" ht="16.5" x14ac:dyDescent="0.3">
      <c r="A613" s="82" t="s">
        <v>67</v>
      </c>
      <c r="B613" s="8" t="s">
        <v>29</v>
      </c>
      <c r="C613" s="83">
        <v>265600</v>
      </c>
      <c r="D613" s="30"/>
      <c r="E613" s="30">
        <f>+'[8]COMPT-P29 (2)'!$E$190+'[8]COMPT-P29 (2)'!$E$191+'[8]COMPT-P29 (2)'!$E$196+'[8]COMPT-P29 (2)'!$E$201+'[8]COMPT-P29 (2)'!$E$202+'[8]COMPT-P29 (2)'!$E$204+'[8]COMPT-P29 (2)'!$E$207+'[8]COMPT-P29 (2)'!$E$215</f>
        <v>855600</v>
      </c>
      <c r="F613" s="30"/>
      <c r="G613" s="30"/>
      <c r="H613" s="86"/>
      <c r="I613" s="85">
        <v>1036850</v>
      </c>
      <c r="J613" s="31">
        <f t="shared" si="198"/>
        <v>84350</v>
      </c>
      <c r="L613" s="75"/>
      <c r="M613" s="75"/>
      <c r="N613" s="75"/>
      <c r="O613" s="75"/>
    </row>
    <row r="614" spans="1:17" s="74" customFormat="1" ht="16.5" x14ac:dyDescent="0.3">
      <c r="A614" s="82" t="s">
        <v>67</v>
      </c>
      <c r="B614" s="8" t="s">
        <v>50</v>
      </c>
      <c r="C614" s="83">
        <f t="shared" ref="C614" si="199">+C587</f>
        <v>-216251</v>
      </c>
      <c r="D614" s="30"/>
      <c r="E614" s="30">
        <v>0</v>
      </c>
      <c r="F614" s="30"/>
      <c r="G614" s="30"/>
      <c r="H614" s="86"/>
      <c r="I614" s="87">
        <v>0</v>
      </c>
      <c r="J614" s="31">
        <f t="shared" si="198"/>
        <v>-216251</v>
      </c>
      <c r="L614" s="75"/>
      <c r="M614" s="75"/>
      <c r="N614" s="75"/>
      <c r="O614" s="75"/>
    </row>
    <row r="615" spans="1:17" s="74" customFormat="1" ht="16.5" x14ac:dyDescent="0.3">
      <c r="A615" s="82" t="s">
        <v>67</v>
      </c>
      <c r="B615" s="8" t="s">
        <v>33</v>
      </c>
      <c r="C615" s="83">
        <v>1025</v>
      </c>
      <c r="D615" s="30"/>
      <c r="E615" s="30">
        <f>+'[9]compta shely'!$E$90+'[9]compta shely'!$E$97+'[9]compta shely'!$E$100</f>
        <v>25000</v>
      </c>
      <c r="F615" s="30"/>
      <c r="G615" s="30"/>
      <c r="H615" s="86"/>
      <c r="I615" s="85">
        <v>24000</v>
      </c>
      <c r="J615" s="31">
        <f>+SUM(C615:G615)-(H615+I615)</f>
        <v>2025</v>
      </c>
      <c r="L615" s="75"/>
      <c r="M615" s="75"/>
      <c r="N615" s="75"/>
      <c r="O615" s="75"/>
    </row>
    <row r="616" spans="1:17" s="74" customFormat="1" ht="16.5" x14ac:dyDescent="0.3">
      <c r="A616" s="32" t="s">
        <v>67</v>
      </c>
      <c r="B616" s="8" t="s">
        <v>32</v>
      </c>
      <c r="C616" s="83">
        <v>0</v>
      </c>
      <c r="D616" s="32"/>
      <c r="E616" s="32">
        <f>+'[10]compta ted'!$E$11</f>
        <v>10000</v>
      </c>
      <c r="F616" s="32"/>
      <c r="G616" s="32"/>
      <c r="H616" s="86"/>
      <c r="I616" s="85">
        <v>0</v>
      </c>
      <c r="J616" s="31">
        <f>+SUM(C616:G616)-(H616+I616)</f>
        <v>10000</v>
      </c>
      <c r="L616" s="75"/>
      <c r="M616" s="75"/>
      <c r="N616" s="75"/>
      <c r="O616" s="75"/>
    </row>
    <row r="617" spans="1:17" s="74" customFormat="1" x14ac:dyDescent="0.2">
      <c r="A617" s="88" t="s">
        <v>61</v>
      </c>
      <c r="B617" s="89"/>
      <c r="C617" s="89"/>
      <c r="D617" s="89"/>
      <c r="E617" s="89"/>
      <c r="F617" s="89"/>
      <c r="G617" s="89"/>
      <c r="H617" s="89"/>
      <c r="I617" s="89"/>
      <c r="J617" s="90"/>
      <c r="L617" s="75"/>
      <c r="M617" s="75"/>
      <c r="N617" s="75"/>
      <c r="O617" s="75"/>
    </row>
    <row r="618" spans="1:17" s="74" customFormat="1" x14ac:dyDescent="0.2">
      <c r="A618" s="32" t="s">
        <v>67</v>
      </c>
      <c r="B618" s="38" t="s">
        <v>62</v>
      </c>
      <c r="C618" s="39">
        <v>954796</v>
      </c>
      <c r="D618" s="30">
        <v>3000000</v>
      </c>
      <c r="E618" s="30"/>
      <c r="F618" s="30"/>
      <c r="G618" s="91">
        <v>17585</v>
      </c>
      <c r="H618" s="92">
        <v>2431600</v>
      </c>
      <c r="I618" s="93">
        <v>749106</v>
      </c>
      <c r="J618" s="94">
        <f>+SUM(C618:G618)-(H618+I618)</f>
        <v>791675</v>
      </c>
      <c r="L618" s="75"/>
      <c r="M618" s="75"/>
      <c r="N618" s="75"/>
      <c r="O618" s="75"/>
    </row>
    <row r="619" spans="1:17" s="74" customFormat="1" x14ac:dyDescent="0.2">
      <c r="A619" s="95" t="s">
        <v>63</v>
      </c>
      <c r="B619" s="79"/>
      <c r="C619" s="89"/>
      <c r="D619" s="79"/>
      <c r="E619" s="79"/>
      <c r="F619" s="79"/>
      <c r="G619" s="79"/>
      <c r="H619" s="79"/>
      <c r="I619" s="79"/>
      <c r="J619" s="90"/>
      <c r="L619" s="75"/>
      <c r="M619" s="75"/>
      <c r="N619" s="75"/>
      <c r="O619" s="75"/>
    </row>
    <row r="620" spans="1:17" s="74" customFormat="1" x14ac:dyDescent="0.25">
      <c r="A620" s="32" t="s">
        <v>67</v>
      </c>
      <c r="B620" s="38" t="s">
        <v>64</v>
      </c>
      <c r="C620" s="83">
        <v>705838</v>
      </c>
      <c r="D620" s="96">
        <v>10801800</v>
      </c>
      <c r="E620" s="97"/>
      <c r="F620" s="97"/>
      <c r="G620" s="97"/>
      <c r="H620" s="98">
        <v>3000000</v>
      </c>
      <c r="I620" s="99">
        <v>468365</v>
      </c>
      <c r="J620" s="31">
        <f>+SUM(C620:G620)-(H620+I620)</f>
        <v>8039273</v>
      </c>
      <c r="L620" s="75"/>
      <c r="M620" s="75"/>
      <c r="N620" s="75"/>
      <c r="O620" s="75"/>
    </row>
    <row r="621" spans="1:17" s="74" customFormat="1" x14ac:dyDescent="0.25">
      <c r="A621" s="32" t="s">
        <v>67</v>
      </c>
      <c r="B621" s="38" t="s">
        <v>65</v>
      </c>
      <c r="C621" s="83">
        <v>14874402</v>
      </c>
      <c r="D621" s="97">
        <v>3279785</v>
      </c>
      <c r="E621" s="100"/>
      <c r="F621" s="100"/>
      <c r="G621" s="100"/>
      <c r="H621" s="101"/>
      <c r="I621" s="102">
        <v>4870847</v>
      </c>
      <c r="J621" s="31">
        <f>SUM(C621:G621)-(H621+I621)</f>
        <v>13283340</v>
      </c>
      <c r="L621" s="75"/>
      <c r="M621" s="75"/>
      <c r="N621" s="75"/>
      <c r="O621" s="75"/>
    </row>
    <row r="622" spans="1:17" s="74" customFormat="1" x14ac:dyDescent="0.25">
      <c r="L622" s="75"/>
      <c r="M622" s="75"/>
      <c r="N622" s="75"/>
      <c r="O622" s="75"/>
    </row>
    <row r="623" spans="1:17" s="74" customFormat="1" x14ac:dyDescent="0.25">
      <c r="C623" s="103">
        <f>+SUM(C606:C621)</f>
        <v>17673344</v>
      </c>
      <c r="I623" s="103">
        <f>SUM(I606:I621)</f>
        <v>9525308</v>
      </c>
      <c r="J623" s="103">
        <f>+SUM(J606:J621)</f>
        <v>22229621</v>
      </c>
      <c r="L623" s="75"/>
      <c r="M623" s="75"/>
      <c r="N623" s="75"/>
      <c r="O623" s="75"/>
    </row>
    <row r="624" spans="1:17" x14ac:dyDescent="0.25">
      <c r="C624" s="9"/>
      <c r="I624" s="9"/>
      <c r="J624" s="9"/>
      <c r="Q624" s="5"/>
    </row>
    <row r="625" spans="1:17" x14ac:dyDescent="0.25">
      <c r="A625" s="64" t="s">
        <v>71</v>
      </c>
      <c r="B625" s="64"/>
      <c r="Q625" s="5"/>
    </row>
    <row r="626" spans="1:17" x14ac:dyDescent="0.25">
      <c r="A626" s="65" t="s">
        <v>72</v>
      </c>
      <c r="B626" s="65"/>
      <c r="C626" s="65"/>
      <c r="D626" s="65"/>
      <c r="E626" s="65"/>
      <c r="F626" s="65"/>
      <c r="G626" s="65"/>
      <c r="H626" s="65"/>
      <c r="I626" s="65"/>
      <c r="J626" s="65"/>
      <c r="L626" s="5"/>
      <c r="M626" s="5"/>
      <c r="N626" s="5"/>
      <c r="O626" s="5"/>
      <c r="Q626" s="5"/>
    </row>
    <row r="628" spans="1:17" ht="15" customHeight="1" x14ac:dyDescent="0.25">
      <c r="A628" s="397" t="s">
        <v>54</v>
      </c>
      <c r="B628" s="397" t="s">
        <v>55</v>
      </c>
      <c r="C628" s="408" t="s">
        <v>74</v>
      </c>
      <c r="D628" s="403" t="s">
        <v>56</v>
      </c>
      <c r="E628" s="403"/>
      <c r="F628" s="403"/>
      <c r="G628" s="403"/>
      <c r="H628" s="404" t="s">
        <v>57</v>
      </c>
      <c r="I628" s="406" t="s">
        <v>58</v>
      </c>
      <c r="J628" s="399" t="s">
        <v>75</v>
      </c>
      <c r="K628" s="400"/>
      <c r="L628" s="5"/>
      <c r="M628" s="5"/>
      <c r="N628" s="5"/>
      <c r="O628" s="5"/>
      <c r="Q628" s="5"/>
    </row>
    <row r="629" spans="1:17" ht="28.5" customHeight="1" x14ac:dyDescent="0.25">
      <c r="A629" s="398"/>
      <c r="B629" s="398"/>
      <c r="C629" s="398"/>
      <c r="D629" s="69" t="s">
        <v>24</v>
      </c>
      <c r="E629" s="66" t="s">
        <v>25</v>
      </c>
      <c r="F629" s="66" t="s">
        <v>27</v>
      </c>
      <c r="G629" s="66" t="s">
        <v>59</v>
      </c>
      <c r="H629" s="405"/>
      <c r="I629" s="407"/>
      <c r="J629" s="401"/>
      <c r="K629" s="402"/>
      <c r="L629" s="5"/>
      <c r="M629" s="5"/>
      <c r="N629" s="5"/>
      <c r="O629" s="5"/>
      <c r="Q629" s="5"/>
    </row>
    <row r="630" spans="1:17" x14ac:dyDescent="0.25">
      <c r="A630" s="47"/>
      <c r="B630" s="47" t="s">
        <v>60</v>
      </c>
      <c r="C630" s="49"/>
      <c r="D630" s="49"/>
      <c r="E630" s="49"/>
      <c r="F630" s="49"/>
      <c r="G630" s="49"/>
      <c r="H630" s="49"/>
      <c r="I630" s="49"/>
      <c r="J630" s="49"/>
      <c r="K630" s="47"/>
      <c r="L630" s="5"/>
      <c r="M630" s="5"/>
      <c r="N630" s="5"/>
      <c r="O630" s="5"/>
      <c r="Q630" s="5"/>
    </row>
    <row r="631" spans="1:17" x14ac:dyDescent="0.25">
      <c r="A631" s="47" t="s">
        <v>73</v>
      </c>
      <c r="B631" s="47" t="s">
        <v>48</v>
      </c>
      <c r="C631" s="49">
        <v>89360</v>
      </c>
      <c r="D631" s="49"/>
      <c r="E631" s="49">
        <v>13000</v>
      </c>
      <c r="F631" s="49"/>
      <c r="G631" s="49"/>
      <c r="H631" s="49"/>
      <c r="I631" s="49">
        <v>61800</v>
      </c>
      <c r="J631" s="49">
        <v>40560</v>
      </c>
      <c r="K631" s="47"/>
      <c r="L631" s="5"/>
      <c r="M631" s="5"/>
      <c r="N631" s="5"/>
      <c r="O631" s="5"/>
      <c r="Q631" s="5"/>
    </row>
    <row r="632" spans="1:17" x14ac:dyDescent="0.25">
      <c r="A632" s="47" t="s">
        <v>73</v>
      </c>
      <c r="B632" s="47" t="s">
        <v>28</v>
      </c>
      <c r="C632" s="49">
        <v>-1025</v>
      </c>
      <c r="D632" s="49"/>
      <c r="E632" s="49">
        <v>684500</v>
      </c>
      <c r="F632" s="49"/>
      <c r="G632" s="49"/>
      <c r="H632" s="49"/>
      <c r="I632" s="49">
        <v>455500</v>
      </c>
      <c r="J632" s="49">
        <v>227975</v>
      </c>
      <c r="K632" s="47"/>
      <c r="L632" s="5"/>
      <c r="M632" s="5"/>
      <c r="N632" s="5"/>
      <c r="O632" s="5"/>
      <c r="Q632" s="5"/>
    </row>
    <row r="633" spans="1:17" x14ac:dyDescent="0.25">
      <c r="A633" s="47" t="s">
        <v>73</v>
      </c>
      <c r="B633" s="47" t="s">
        <v>31</v>
      </c>
      <c r="C633" s="49">
        <v>14395</v>
      </c>
      <c r="D633" s="49"/>
      <c r="E633" s="49">
        <v>40000</v>
      </c>
      <c r="F633" s="49"/>
      <c r="G633" s="49"/>
      <c r="H633" s="49"/>
      <c r="I633" s="49">
        <v>55000</v>
      </c>
      <c r="J633" s="49">
        <v>-605</v>
      </c>
      <c r="K633" s="47"/>
      <c r="L633" s="5"/>
      <c r="M633" s="5"/>
      <c r="N633" s="5"/>
      <c r="O633" s="5"/>
      <c r="Q633" s="5"/>
    </row>
    <row r="634" spans="1:17" x14ac:dyDescent="0.25">
      <c r="A634" s="47" t="s">
        <v>73</v>
      </c>
      <c r="B634" s="47" t="s">
        <v>26</v>
      </c>
      <c r="C634" s="49">
        <v>8559</v>
      </c>
      <c r="D634" s="49"/>
      <c r="E634" s="49">
        <v>428750</v>
      </c>
      <c r="F634" s="49">
        <v>280200</v>
      </c>
      <c r="G634" s="49"/>
      <c r="H634" s="49"/>
      <c r="I634" s="49">
        <v>452850</v>
      </c>
      <c r="J634" s="49">
        <v>264659</v>
      </c>
      <c r="K634" s="47"/>
      <c r="L634" s="5"/>
      <c r="M634" s="5"/>
      <c r="N634" s="5"/>
      <c r="O634" s="5"/>
      <c r="Q634" s="5"/>
    </row>
    <row r="635" spans="1:17" x14ac:dyDescent="0.25">
      <c r="A635" s="47" t="s">
        <v>73</v>
      </c>
      <c r="B635" s="47" t="s">
        <v>49</v>
      </c>
      <c r="C635" s="49">
        <v>-5750</v>
      </c>
      <c r="D635" s="49"/>
      <c r="E635" s="49">
        <v>1161750</v>
      </c>
      <c r="F635" s="49"/>
      <c r="G635" s="49"/>
      <c r="H635" s="49">
        <v>124000</v>
      </c>
      <c r="I635" s="49">
        <v>759500</v>
      </c>
      <c r="J635" s="49">
        <v>272500</v>
      </c>
      <c r="K635" s="47"/>
      <c r="L635" s="5"/>
      <c r="M635" s="5"/>
      <c r="N635" s="5"/>
      <c r="O635" s="5"/>
      <c r="Q635" s="5"/>
    </row>
    <row r="636" spans="1:17" x14ac:dyDescent="0.25">
      <c r="A636" s="47" t="s">
        <v>73</v>
      </c>
      <c r="B636" s="47" t="s">
        <v>36</v>
      </c>
      <c r="C636" s="49">
        <v>12995</v>
      </c>
      <c r="D636" s="49"/>
      <c r="E636" s="49">
        <v>726000</v>
      </c>
      <c r="F636" s="49"/>
      <c r="G636" s="49"/>
      <c r="H636" s="49"/>
      <c r="I636" s="49">
        <v>454400</v>
      </c>
      <c r="J636" s="49">
        <v>284595</v>
      </c>
      <c r="K636" s="47"/>
      <c r="L636" s="5"/>
      <c r="M636" s="5"/>
      <c r="N636" s="5"/>
      <c r="O636" s="5"/>
      <c r="Q636" s="5"/>
    </row>
    <row r="637" spans="1:17" x14ac:dyDescent="0.25">
      <c r="A637" s="47" t="s">
        <v>73</v>
      </c>
      <c r="B637" s="47" t="s">
        <v>27</v>
      </c>
      <c r="C637" s="49">
        <v>6050</v>
      </c>
      <c r="D637" s="49"/>
      <c r="E637" s="49">
        <v>736300</v>
      </c>
      <c r="F637" s="49"/>
      <c r="G637" s="49"/>
      <c r="H637" s="49">
        <v>405200</v>
      </c>
      <c r="I637" s="49">
        <v>338900</v>
      </c>
      <c r="J637" s="49">
        <v>-1750</v>
      </c>
      <c r="K637" s="47"/>
      <c r="L637" s="5"/>
      <c r="M637" s="5"/>
      <c r="N637" s="5"/>
      <c r="O637" s="5"/>
      <c r="Q637" s="5"/>
    </row>
    <row r="638" spans="1:17" x14ac:dyDescent="0.25">
      <c r="A638" s="47" t="s">
        <v>73</v>
      </c>
      <c r="B638" s="47" t="s">
        <v>29</v>
      </c>
      <c r="C638" s="49">
        <v>142400</v>
      </c>
      <c r="D638" s="49"/>
      <c r="E638" s="49">
        <v>1014000</v>
      </c>
      <c r="F638" s="49"/>
      <c r="G638" s="49"/>
      <c r="H638" s="49">
        <v>100000</v>
      </c>
      <c r="I638" s="49">
        <v>790800</v>
      </c>
      <c r="J638" s="49">
        <v>265600</v>
      </c>
      <c r="K638" s="47"/>
      <c r="L638" s="5"/>
      <c r="M638" s="5"/>
      <c r="N638" s="5"/>
      <c r="O638" s="5"/>
      <c r="Q638" s="5"/>
    </row>
    <row r="639" spans="1:17" x14ac:dyDescent="0.25">
      <c r="A639" s="47" t="s">
        <v>73</v>
      </c>
      <c r="B639" s="47" t="s">
        <v>50</v>
      </c>
      <c r="C639" s="49">
        <v>-221251.00072999997</v>
      </c>
      <c r="D639" s="49"/>
      <c r="E639" s="49">
        <v>485000</v>
      </c>
      <c r="F639" s="49"/>
      <c r="G639" s="49"/>
      <c r="H639" s="49">
        <v>5000</v>
      </c>
      <c r="I639" s="49">
        <v>475000</v>
      </c>
      <c r="J639" s="49">
        <v>-216251.00072999997</v>
      </c>
      <c r="K639" s="47"/>
      <c r="L639" s="5"/>
      <c r="M639" s="5"/>
      <c r="N639" s="5"/>
      <c r="O639" s="5"/>
      <c r="Q639" s="5"/>
    </row>
    <row r="640" spans="1:17" x14ac:dyDescent="0.25">
      <c r="A640" s="47" t="s">
        <v>73</v>
      </c>
      <c r="B640" s="47" t="s">
        <v>33</v>
      </c>
      <c r="C640" s="49">
        <v>14225</v>
      </c>
      <c r="D640" s="49"/>
      <c r="E640" s="49">
        <v>30000</v>
      </c>
      <c r="F640" s="49"/>
      <c r="G640" s="49"/>
      <c r="H640" s="49"/>
      <c r="I640" s="49">
        <v>43200</v>
      </c>
      <c r="J640" s="49">
        <v>1025</v>
      </c>
      <c r="K640" s="47"/>
      <c r="L640" s="5"/>
      <c r="M640" s="5"/>
      <c r="N640" s="5"/>
      <c r="O640" s="5"/>
      <c r="Q640" s="5"/>
    </row>
    <row r="641" spans="1:17" x14ac:dyDescent="0.25">
      <c r="A641" s="67" t="s">
        <v>61</v>
      </c>
      <c r="B641" s="67"/>
      <c r="C641" s="68"/>
      <c r="D641" s="68"/>
      <c r="E641" s="68"/>
      <c r="F641" s="68"/>
      <c r="G641" s="68"/>
      <c r="H641" s="68"/>
      <c r="I641" s="68"/>
      <c r="J641" s="68"/>
      <c r="K641" s="67"/>
      <c r="L641" s="5"/>
      <c r="M641" s="5"/>
      <c r="N641" s="5"/>
      <c r="O641" s="5"/>
      <c r="Q641" s="5"/>
    </row>
    <row r="642" spans="1:17" x14ac:dyDescent="0.25">
      <c r="A642" s="47" t="s">
        <v>73</v>
      </c>
      <c r="B642" s="47" t="s">
        <v>62</v>
      </c>
      <c r="C642" s="49">
        <v>494738</v>
      </c>
      <c r="D642" s="49">
        <v>6000000</v>
      </c>
      <c r="E642" s="49"/>
      <c r="F642" s="49"/>
      <c r="G642" s="49">
        <v>105000</v>
      </c>
      <c r="H642" s="49">
        <v>5070300</v>
      </c>
      <c r="I642" s="49">
        <v>574642</v>
      </c>
      <c r="J642" s="49">
        <v>954796</v>
      </c>
      <c r="K642" s="47"/>
      <c r="L642" s="5"/>
      <c r="M642" s="5"/>
      <c r="N642" s="5"/>
      <c r="O642" s="5"/>
      <c r="Q642" s="5"/>
    </row>
    <row r="643" spans="1:17" x14ac:dyDescent="0.25">
      <c r="A643" s="67" t="s">
        <v>63</v>
      </c>
      <c r="B643" s="67"/>
      <c r="C643" s="68"/>
      <c r="D643" s="68"/>
      <c r="E643" s="68"/>
      <c r="F643" s="68"/>
      <c r="G643" s="68"/>
      <c r="H643" s="68"/>
      <c r="I643" s="68"/>
      <c r="J643" s="68"/>
      <c r="K643" s="67"/>
      <c r="L643" s="5"/>
      <c r="M643" s="5"/>
      <c r="N643" s="5"/>
      <c r="O643" s="5"/>
      <c r="Q643" s="5"/>
    </row>
    <row r="644" spans="1:17" x14ac:dyDescent="0.25">
      <c r="A644" s="47" t="s">
        <v>73</v>
      </c>
      <c r="B644" s="47" t="s">
        <v>64</v>
      </c>
      <c r="C644" s="49">
        <v>11363703</v>
      </c>
      <c r="D644" s="49"/>
      <c r="E644" s="49"/>
      <c r="F644" s="49"/>
      <c r="G644" s="49"/>
      <c r="H644" s="49">
        <v>10000000</v>
      </c>
      <c r="I644" s="49">
        <v>657865</v>
      </c>
      <c r="J644" s="49">
        <v>705838</v>
      </c>
      <c r="K644" s="47"/>
      <c r="L644" s="5"/>
      <c r="M644" s="5"/>
      <c r="N644" s="5"/>
      <c r="O644" s="5"/>
      <c r="Q644" s="5"/>
    </row>
    <row r="645" spans="1:17" x14ac:dyDescent="0.25">
      <c r="A645" s="47" t="s">
        <v>73</v>
      </c>
      <c r="B645" s="47" t="s">
        <v>65</v>
      </c>
      <c r="C645" s="49">
        <v>4902843</v>
      </c>
      <c r="D645" s="49">
        <v>17119140</v>
      </c>
      <c r="E645" s="49"/>
      <c r="F645" s="49"/>
      <c r="G645" s="49"/>
      <c r="H645" s="49"/>
      <c r="I645" s="49">
        <v>7147581</v>
      </c>
      <c r="J645" s="49">
        <v>14874402</v>
      </c>
      <c r="K645" s="47"/>
      <c r="L645" s="5"/>
      <c r="M645" s="5"/>
      <c r="N645" s="5"/>
      <c r="O645" s="5"/>
      <c r="Q645" s="5"/>
    </row>
    <row r="646" spans="1:17" x14ac:dyDescent="0.25">
      <c r="A646" s="47"/>
      <c r="B646" s="47"/>
      <c r="C646" s="49"/>
      <c r="D646" s="49"/>
      <c r="E646" s="49"/>
      <c r="F646" s="49"/>
      <c r="G646" s="49"/>
      <c r="H646" s="49"/>
      <c r="I646" s="49"/>
      <c r="J646" s="49"/>
      <c r="K646" s="47"/>
      <c r="L646" s="5"/>
      <c r="M646" s="5"/>
      <c r="N646" s="5"/>
      <c r="O646" s="5"/>
      <c r="Q646" s="5"/>
    </row>
    <row r="647" spans="1:17" x14ac:dyDescent="0.25">
      <c r="A647" s="47"/>
      <c r="B647" s="47"/>
      <c r="C647" s="49"/>
      <c r="D647" s="49"/>
      <c r="E647" s="49"/>
      <c r="F647" s="49"/>
      <c r="G647" s="49"/>
      <c r="H647" s="49"/>
      <c r="I647" s="49">
        <v>12267038</v>
      </c>
      <c r="J647" s="49">
        <v>17673343.99927</v>
      </c>
      <c r="K647" s="47" t="b">
        <v>1</v>
      </c>
      <c r="L647" s="5"/>
      <c r="M647" s="5"/>
      <c r="N647" s="5"/>
      <c r="O647" s="5"/>
      <c r="Q647" s="5"/>
    </row>
    <row r="648" spans="1:17" x14ac:dyDescent="0.25">
      <c r="J648" s="70" t="b">
        <f>J647=[11]TABLEAU!$I$16</f>
        <v>1</v>
      </c>
      <c r="L648" s="5"/>
      <c r="M648" s="5"/>
      <c r="N648" s="5"/>
      <c r="O648" s="5"/>
      <c r="Q648" s="5"/>
    </row>
  </sheetData>
  <mergeCells count="133">
    <mergeCell ref="A167:A168"/>
    <mergeCell ref="B167:B168"/>
    <mergeCell ref="C167:C168"/>
    <mergeCell ref="D167:G167"/>
    <mergeCell ref="H167:H168"/>
    <mergeCell ref="I167:I168"/>
    <mergeCell ref="J168:J169"/>
    <mergeCell ref="A120:A121"/>
    <mergeCell ref="B120:B121"/>
    <mergeCell ref="C120:C121"/>
    <mergeCell ref="D120:G120"/>
    <mergeCell ref="H120:H121"/>
    <mergeCell ref="I120:I121"/>
    <mergeCell ref="J121:J122"/>
    <mergeCell ref="A215:A216"/>
    <mergeCell ref="B215:B216"/>
    <mergeCell ref="C215:C216"/>
    <mergeCell ref="D215:G215"/>
    <mergeCell ref="H215:H216"/>
    <mergeCell ref="I215:I216"/>
    <mergeCell ref="J216:J217"/>
    <mergeCell ref="A336:A337"/>
    <mergeCell ref="B336:B337"/>
    <mergeCell ref="C336:C337"/>
    <mergeCell ref="D336:G336"/>
    <mergeCell ref="H336:H337"/>
    <mergeCell ref="I265:I266"/>
    <mergeCell ref="J266:J267"/>
    <mergeCell ref="A265:A266"/>
    <mergeCell ref="B265:B266"/>
    <mergeCell ref="C265:C266"/>
    <mergeCell ref="D265:G265"/>
    <mergeCell ref="H265:H266"/>
    <mergeCell ref="I288:I289"/>
    <mergeCell ref="J289:J290"/>
    <mergeCell ref="A288:A289"/>
    <mergeCell ref="B288:B289"/>
    <mergeCell ref="C288:C289"/>
    <mergeCell ref="B312:B313"/>
    <mergeCell ref="C312:C313"/>
    <mergeCell ref="D312:G312"/>
    <mergeCell ref="H312:H313"/>
    <mergeCell ref="H413:H414"/>
    <mergeCell ref="B361:B362"/>
    <mergeCell ref="C361:C362"/>
    <mergeCell ref="D361:G361"/>
    <mergeCell ref="H361:H362"/>
    <mergeCell ref="A628:A629"/>
    <mergeCell ref="J577:J578"/>
    <mergeCell ref="A576:A577"/>
    <mergeCell ref="B576:B577"/>
    <mergeCell ref="C576:C577"/>
    <mergeCell ref="D576:G576"/>
    <mergeCell ref="H576:H577"/>
    <mergeCell ref="I576:I577"/>
    <mergeCell ref="B628:B629"/>
    <mergeCell ref="J628:K629"/>
    <mergeCell ref="D628:G628"/>
    <mergeCell ref="H628:H629"/>
    <mergeCell ref="I628:I629"/>
    <mergeCell ref="C628:C629"/>
    <mergeCell ref="B603:B604"/>
    <mergeCell ref="C603:C604"/>
    <mergeCell ref="A603:A604"/>
    <mergeCell ref="D603:G603"/>
    <mergeCell ref="H603:H604"/>
    <mergeCell ref="J604:J605"/>
    <mergeCell ref="I603:I604"/>
    <mergeCell ref="I413:I414"/>
    <mergeCell ref="J414:J415"/>
    <mergeCell ref="A413:A414"/>
    <mergeCell ref="B413:B414"/>
    <mergeCell ref="C413:C414"/>
    <mergeCell ref="D413:G413"/>
    <mergeCell ref="J550:J551"/>
    <mergeCell ref="A549:A550"/>
    <mergeCell ref="B549:B550"/>
    <mergeCell ref="C549:C550"/>
    <mergeCell ref="D549:G549"/>
    <mergeCell ref="H549:H550"/>
    <mergeCell ref="I440:I441"/>
    <mergeCell ref="J441:J442"/>
    <mergeCell ref="A440:A441"/>
    <mergeCell ref="B440:B441"/>
    <mergeCell ref="C440:C441"/>
    <mergeCell ref="D440:G440"/>
    <mergeCell ref="H440:H441"/>
    <mergeCell ref="B496:B497"/>
    <mergeCell ref="C496:C497"/>
    <mergeCell ref="D496:G496"/>
    <mergeCell ref="H496:H497"/>
    <mergeCell ref="I549:I550"/>
    <mergeCell ref="I523:I524"/>
    <mergeCell ref="J524:J525"/>
    <mergeCell ref="A523:A524"/>
    <mergeCell ref="B523:B524"/>
    <mergeCell ref="C523:C524"/>
    <mergeCell ref="D523:G523"/>
    <mergeCell ref="H523:H524"/>
    <mergeCell ref="I468:I469"/>
    <mergeCell ref="J469:J470"/>
    <mergeCell ref="A468:A469"/>
    <mergeCell ref="B468:B469"/>
    <mergeCell ref="C468:C469"/>
    <mergeCell ref="D468:G468"/>
    <mergeCell ref="H468:H469"/>
    <mergeCell ref="I496:I497"/>
    <mergeCell ref="J497:J498"/>
    <mergeCell ref="A496:A497"/>
    <mergeCell ref="I387:I388"/>
    <mergeCell ref="J388:J389"/>
    <mergeCell ref="A387:A388"/>
    <mergeCell ref="B387:B388"/>
    <mergeCell ref="C387:C388"/>
    <mergeCell ref="D387:G387"/>
    <mergeCell ref="H387:H388"/>
    <mergeCell ref="A240:A241"/>
    <mergeCell ref="B240:B241"/>
    <mergeCell ref="C240:C241"/>
    <mergeCell ref="D240:G240"/>
    <mergeCell ref="H240:H241"/>
    <mergeCell ref="I240:I241"/>
    <mergeCell ref="J241:J242"/>
    <mergeCell ref="I312:I313"/>
    <mergeCell ref="J313:J314"/>
    <mergeCell ref="A312:A313"/>
    <mergeCell ref="A361:A362"/>
    <mergeCell ref="I336:I337"/>
    <mergeCell ref="I361:I362"/>
    <mergeCell ref="J337:J338"/>
    <mergeCell ref="J362:J363"/>
    <mergeCell ref="D288:G288"/>
    <mergeCell ref="H288:H2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0"/>
  <sheetViews>
    <sheetView workbookViewId="0">
      <selection activeCell="B20" sqref="B20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14.7109375" customWidth="1"/>
    <col min="4" max="4" width="12.5703125" customWidth="1"/>
    <col min="5" max="5" width="12.5703125" bestFit="1" customWidth="1"/>
  </cols>
  <sheetData>
    <row r="3" spans="1:4" x14ac:dyDescent="0.25">
      <c r="A3" s="1" t="s">
        <v>129</v>
      </c>
      <c r="B3" t="s">
        <v>136</v>
      </c>
    </row>
    <row r="4" spans="1:4" x14ac:dyDescent="0.25">
      <c r="A4" s="2" t="s">
        <v>103</v>
      </c>
      <c r="B4" s="326">
        <v>5775022</v>
      </c>
    </row>
    <row r="5" spans="1:4" x14ac:dyDescent="0.25">
      <c r="A5" s="2" t="s">
        <v>166</v>
      </c>
      <c r="B5" s="326">
        <v>5567135</v>
      </c>
    </row>
    <row r="6" spans="1:4" x14ac:dyDescent="0.25">
      <c r="A6" s="2" t="s">
        <v>130</v>
      </c>
      <c r="B6" s="326">
        <v>11342157</v>
      </c>
    </row>
    <row r="13" spans="1:4" x14ac:dyDescent="0.25">
      <c r="A13" s="1" t="s">
        <v>136</v>
      </c>
      <c r="B13" s="1" t="s">
        <v>131</v>
      </c>
    </row>
    <row r="14" spans="1:4" x14ac:dyDescent="0.25">
      <c r="A14" s="1" t="s">
        <v>129</v>
      </c>
      <c r="B14" s="379" t="s">
        <v>103</v>
      </c>
      <c r="C14" t="s">
        <v>166</v>
      </c>
      <c r="D14" t="s">
        <v>130</v>
      </c>
    </row>
    <row r="15" spans="1:4" x14ac:dyDescent="0.25">
      <c r="A15" s="2" t="s">
        <v>299</v>
      </c>
      <c r="B15" s="169"/>
      <c r="C15" s="169">
        <v>3493285</v>
      </c>
      <c r="D15" s="169">
        <v>3493285</v>
      </c>
    </row>
    <row r="16" spans="1:4" x14ac:dyDescent="0.25">
      <c r="A16" s="2" t="s">
        <v>318</v>
      </c>
      <c r="B16" s="169">
        <v>5775022</v>
      </c>
      <c r="C16" s="169">
        <v>2073850</v>
      </c>
      <c r="D16" s="169">
        <v>7848872</v>
      </c>
    </row>
    <row r="17" spans="1:4" x14ac:dyDescent="0.25">
      <c r="A17" s="2" t="s">
        <v>130</v>
      </c>
      <c r="B17" s="169">
        <v>5775022</v>
      </c>
      <c r="C17" s="169">
        <v>5567135</v>
      </c>
      <c r="D17" s="169">
        <v>11342157</v>
      </c>
    </row>
    <row r="19" spans="1:4" x14ac:dyDescent="0.25">
      <c r="B19" s="380">
        <f>(B16*100%)/D16</f>
        <v>0.73577731933964519</v>
      </c>
      <c r="C19" s="381" t="s">
        <v>428</v>
      </c>
    </row>
    <row r="20" spans="1:4" x14ac:dyDescent="0.25">
      <c r="B20" s="380">
        <f>(C16*100%)/D16</f>
        <v>0.26422268066035476</v>
      </c>
      <c r="C20" s="381" t="s">
        <v>429</v>
      </c>
    </row>
  </sheetData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W21"/>
  <sheetViews>
    <sheetView workbookViewId="0">
      <pane xSplit="1" topLeftCell="AN1" activePane="topRight" state="frozen"/>
      <selection pane="topRight" activeCell="AT7" sqref="AT7"/>
    </sheetView>
  </sheetViews>
  <sheetFormatPr baseColWidth="10" defaultRowHeight="15" x14ac:dyDescent="0.25"/>
  <cols>
    <col min="1" max="1" width="21.140625" customWidth="1"/>
    <col min="2" max="2" width="23.85546875" bestFit="1" customWidth="1"/>
    <col min="3" max="3" width="19.140625" customWidth="1"/>
    <col min="4" max="4" width="16.140625" customWidth="1"/>
    <col min="5" max="5" width="19.140625" customWidth="1"/>
    <col min="6" max="6" width="16.140625" customWidth="1"/>
    <col min="7" max="7" width="19.140625" customWidth="1"/>
    <col min="8" max="8" width="16.140625" customWidth="1"/>
    <col min="9" max="9" width="19.140625" customWidth="1"/>
    <col min="10" max="10" width="16.140625" customWidth="1"/>
    <col min="11" max="11" width="19.140625" customWidth="1"/>
    <col min="12" max="12" width="16.140625" customWidth="1"/>
    <col min="13" max="13" width="19.140625" customWidth="1"/>
    <col min="14" max="14" width="16.140625" customWidth="1"/>
    <col min="15" max="15" width="19.140625" customWidth="1"/>
    <col min="16" max="16" width="16.140625" customWidth="1"/>
    <col min="17" max="17" width="19.140625" customWidth="1"/>
    <col min="18" max="18" width="16.140625" customWidth="1"/>
    <col min="19" max="19" width="19.140625" customWidth="1"/>
    <col min="20" max="20" width="16.140625" customWidth="1"/>
    <col min="21" max="21" width="19.140625" customWidth="1"/>
    <col min="22" max="22" width="16.140625" customWidth="1"/>
    <col min="23" max="23" width="19.140625" customWidth="1"/>
    <col min="24" max="24" width="16.140625" customWidth="1"/>
    <col min="25" max="25" width="19.140625" customWidth="1"/>
    <col min="26" max="26" width="16.140625" customWidth="1"/>
    <col min="27" max="27" width="19.140625" customWidth="1"/>
    <col min="28" max="28" width="16.140625" customWidth="1"/>
    <col min="29" max="29" width="19.140625" customWidth="1"/>
    <col min="30" max="30" width="16.140625" customWidth="1"/>
    <col min="31" max="31" width="19.140625" customWidth="1"/>
    <col min="32" max="32" width="16.140625" customWidth="1"/>
    <col min="33" max="33" width="19.140625" customWidth="1"/>
    <col min="34" max="34" width="17.5703125" bestFit="1" customWidth="1"/>
    <col min="35" max="35" width="19.140625" customWidth="1"/>
    <col min="36" max="36" width="16.140625" customWidth="1"/>
    <col min="37" max="37" width="19.140625" customWidth="1"/>
    <col min="38" max="38" width="16.140625" customWidth="1"/>
    <col min="39" max="39" width="19.140625" customWidth="1"/>
    <col min="40" max="40" width="21" customWidth="1"/>
    <col min="41" max="41" width="24.140625" customWidth="1"/>
    <col min="42" max="42" width="21" customWidth="1"/>
    <col min="43" max="43" width="24.140625" customWidth="1"/>
  </cols>
  <sheetData>
    <row r="3" spans="1:49" x14ac:dyDescent="0.25">
      <c r="B3" s="1" t="s">
        <v>131</v>
      </c>
    </row>
    <row r="4" spans="1:49" x14ac:dyDescent="0.25">
      <c r="B4" t="s">
        <v>199</v>
      </c>
      <c r="D4" t="s">
        <v>207</v>
      </c>
      <c r="F4" t="s">
        <v>197</v>
      </c>
      <c r="H4" t="s">
        <v>174</v>
      </c>
      <c r="J4" t="s">
        <v>295</v>
      </c>
      <c r="L4" t="s">
        <v>140</v>
      </c>
      <c r="N4" t="s">
        <v>359</v>
      </c>
      <c r="P4" t="s">
        <v>235</v>
      </c>
      <c r="R4" t="s">
        <v>35</v>
      </c>
      <c r="T4" t="s">
        <v>183</v>
      </c>
      <c r="V4" t="s">
        <v>189</v>
      </c>
      <c r="X4" t="s">
        <v>3</v>
      </c>
      <c r="Z4" t="s">
        <v>184</v>
      </c>
      <c r="AB4" t="s">
        <v>185</v>
      </c>
      <c r="AD4" t="s">
        <v>34</v>
      </c>
      <c r="AF4" t="s">
        <v>324</v>
      </c>
      <c r="AH4" t="s">
        <v>157</v>
      </c>
      <c r="AJ4" t="s">
        <v>198</v>
      </c>
      <c r="AL4" t="s">
        <v>76</v>
      </c>
      <c r="AN4" t="s">
        <v>139</v>
      </c>
      <c r="AO4" t="s">
        <v>137</v>
      </c>
    </row>
    <row r="5" spans="1:49" x14ac:dyDescent="0.25">
      <c r="A5" s="1" t="s">
        <v>129</v>
      </c>
      <c r="B5" t="s">
        <v>136</v>
      </c>
      <c r="C5" t="s">
        <v>138</v>
      </c>
      <c r="D5" t="s">
        <v>136</v>
      </c>
      <c r="E5" t="s">
        <v>138</v>
      </c>
      <c r="F5" t="s">
        <v>136</v>
      </c>
      <c r="G5" t="s">
        <v>138</v>
      </c>
      <c r="H5" t="s">
        <v>136</v>
      </c>
      <c r="I5" t="s">
        <v>138</v>
      </c>
      <c r="J5" t="s">
        <v>136</v>
      </c>
      <c r="K5" t="s">
        <v>138</v>
      </c>
      <c r="L5" t="s">
        <v>136</v>
      </c>
      <c r="M5" t="s">
        <v>138</v>
      </c>
      <c r="N5" t="s">
        <v>136</v>
      </c>
      <c r="O5" t="s">
        <v>138</v>
      </c>
      <c r="P5" t="s">
        <v>136</v>
      </c>
      <c r="Q5" t="s">
        <v>138</v>
      </c>
      <c r="R5" t="s">
        <v>136</v>
      </c>
      <c r="S5" t="s">
        <v>138</v>
      </c>
      <c r="T5" t="s">
        <v>136</v>
      </c>
      <c r="U5" t="s">
        <v>138</v>
      </c>
      <c r="V5" t="s">
        <v>136</v>
      </c>
      <c r="W5" t="s">
        <v>138</v>
      </c>
      <c r="X5" t="s">
        <v>136</v>
      </c>
      <c r="Y5" t="s">
        <v>138</v>
      </c>
      <c r="Z5" t="s">
        <v>136</v>
      </c>
      <c r="AA5" t="s">
        <v>138</v>
      </c>
      <c r="AB5" t="s">
        <v>136</v>
      </c>
      <c r="AC5" t="s">
        <v>138</v>
      </c>
      <c r="AD5" t="s">
        <v>136</v>
      </c>
      <c r="AE5" t="s">
        <v>138</v>
      </c>
      <c r="AF5" t="s">
        <v>136</v>
      </c>
      <c r="AG5" t="s">
        <v>138</v>
      </c>
      <c r="AH5" t="s">
        <v>136</v>
      </c>
      <c r="AI5" t="s">
        <v>138</v>
      </c>
      <c r="AJ5" t="s">
        <v>136</v>
      </c>
      <c r="AK5" t="s">
        <v>138</v>
      </c>
      <c r="AL5" t="s">
        <v>136</v>
      </c>
      <c r="AM5" t="s">
        <v>138</v>
      </c>
      <c r="AS5" s="47" t="s">
        <v>200</v>
      </c>
      <c r="AT5" s="47" t="s">
        <v>43</v>
      </c>
      <c r="AU5" s="47" t="s">
        <v>44</v>
      </c>
      <c r="AV5" s="47" t="s">
        <v>45</v>
      </c>
      <c r="AW5" s="47" t="s">
        <v>46</v>
      </c>
    </row>
    <row r="6" spans="1:49" x14ac:dyDescent="0.25">
      <c r="A6" s="2" t="s">
        <v>24</v>
      </c>
      <c r="B6" s="169">
        <v>23345</v>
      </c>
      <c r="C6" s="169"/>
      <c r="D6" s="169"/>
      <c r="E6" s="169"/>
      <c r="F6" s="169"/>
      <c r="G6" s="169"/>
      <c r="H6" s="169"/>
      <c r="I6" s="169"/>
      <c r="J6" s="169"/>
      <c r="K6" s="169">
        <v>11432442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>
        <v>520000</v>
      </c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>
        <v>2600000</v>
      </c>
      <c r="AM6" s="169"/>
      <c r="AN6" s="169">
        <v>3143345</v>
      </c>
      <c r="AO6" s="169">
        <v>11432442</v>
      </c>
      <c r="AS6" s="47" t="str">
        <f>A6</f>
        <v>BCI</v>
      </c>
      <c r="AT6" s="49">
        <f>AM6</f>
        <v>0</v>
      </c>
      <c r="AU6" s="49">
        <f>AL6</f>
        <v>2600000</v>
      </c>
      <c r="AV6" s="49">
        <f>AN6-AU6</f>
        <v>543345</v>
      </c>
      <c r="AW6" s="49">
        <f>GETPIVOTDATA("Somme de Received",$A$3,"Type de dépenses","Grant","Name","BCI")</f>
        <v>11432442</v>
      </c>
    </row>
    <row r="7" spans="1:49" x14ac:dyDescent="0.25">
      <c r="A7" s="2" t="s">
        <v>158</v>
      </c>
      <c r="B7" s="169">
        <v>16099</v>
      </c>
      <c r="C7" s="169"/>
      <c r="D7" s="169"/>
      <c r="E7" s="169"/>
      <c r="F7" s="169"/>
      <c r="G7" s="169"/>
      <c r="H7" s="169"/>
      <c r="I7" s="169"/>
      <c r="J7" s="169"/>
      <c r="K7" s="169">
        <v>28356365</v>
      </c>
      <c r="L7" s="169"/>
      <c r="M7" s="169"/>
      <c r="N7" s="169"/>
      <c r="O7" s="169"/>
      <c r="P7" s="169">
        <v>950000</v>
      </c>
      <c r="Q7" s="169"/>
      <c r="R7" s="169"/>
      <c r="S7" s="169"/>
      <c r="T7" s="169">
        <v>4651507</v>
      </c>
      <c r="U7" s="169"/>
      <c r="V7" s="169">
        <v>500000</v>
      </c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>
        <v>1600000</v>
      </c>
      <c r="AM7" s="169"/>
      <c r="AN7" s="169">
        <v>7717606</v>
      </c>
      <c r="AO7" s="169">
        <v>28356365</v>
      </c>
      <c r="AS7" s="47" t="str">
        <f t="shared" ref="AS7:AS18" si="0">A7</f>
        <v>BCI-Sous Compte</v>
      </c>
      <c r="AT7" s="49">
        <f t="shared" ref="AT7:AT17" si="1">AM7</f>
        <v>0</v>
      </c>
      <c r="AU7" s="49">
        <f t="shared" ref="AU7:AU18" si="2">AL7</f>
        <v>1600000</v>
      </c>
      <c r="AV7" s="49">
        <f>AN7-AU7</f>
        <v>6117606</v>
      </c>
      <c r="AW7" s="49">
        <f>GETPIVOTDATA("Somme de Received",$A$3,"Type de dépenses","Grant","Name","BCI-Sous Compte")</f>
        <v>28356365</v>
      </c>
    </row>
    <row r="8" spans="1:49" x14ac:dyDescent="0.25">
      <c r="A8" s="2" t="s">
        <v>25</v>
      </c>
      <c r="B8" s="169"/>
      <c r="C8" s="169"/>
      <c r="D8" s="169">
        <v>965000</v>
      </c>
      <c r="E8" s="169"/>
      <c r="F8" s="169"/>
      <c r="G8" s="169"/>
      <c r="H8" s="169"/>
      <c r="I8" s="169"/>
      <c r="J8" s="169"/>
      <c r="K8" s="169"/>
      <c r="L8" s="169">
        <v>89175</v>
      </c>
      <c r="M8" s="169"/>
      <c r="N8" s="169"/>
      <c r="O8" s="169"/>
      <c r="P8" s="169">
        <v>173000</v>
      </c>
      <c r="Q8" s="169"/>
      <c r="R8" s="169">
        <v>67750</v>
      </c>
      <c r="S8" s="169"/>
      <c r="T8" s="169">
        <v>246111</v>
      </c>
      <c r="U8" s="169"/>
      <c r="V8" s="169">
        <v>85071</v>
      </c>
      <c r="W8" s="169"/>
      <c r="X8" s="169">
        <v>157250</v>
      </c>
      <c r="Y8" s="169"/>
      <c r="Z8" s="169">
        <v>296000</v>
      </c>
      <c r="AA8" s="169"/>
      <c r="AB8" s="169">
        <v>19727</v>
      </c>
      <c r="AC8" s="169"/>
      <c r="AD8" s="169"/>
      <c r="AE8" s="169"/>
      <c r="AF8" s="169"/>
      <c r="AG8" s="169"/>
      <c r="AH8" s="169"/>
      <c r="AI8" s="169"/>
      <c r="AJ8" s="169"/>
      <c r="AK8" s="169"/>
      <c r="AL8" s="169">
        <v>1808000</v>
      </c>
      <c r="AM8" s="169">
        <v>4270000</v>
      </c>
      <c r="AN8" s="169">
        <v>3907084</v>
      </c>
      <c r="AO8" s="169">
        <v>4270000</v>
      </c>
      <c r="AS8" s="47" t="str">
        <f t="shared" si="0"/>
        <v>Caisse</v>
      </c>
      <c r="AT8" s="49">
        <f t="shared" si="1"/>
        <v>4270000</v>
      </c>
      <c r="AU8" s="49">
        <f t="shared" si="2"/>
        <v>1808000</v>
      </c>
      <c r="AV8" s="49">
        <f t="shared" ref="AV8:AV18" si="3">AN8-AU8</f>
        <v>2099084</v>
      </c>
      <c r="AW8" s="49">
        <v>0</v>
      </c>
    </row>
    <row r="9" spans="1:49" x14ac:dyDescent="0.25">
      <c r="A9" s="2" t="s">
        <v>48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>
        <v>4000</v>
      </c>
      <c r="AE9" s="169"/>
      <c r="AF9" s="169"/>
      <c r="AG9" s="169"/>
      <c r="AH9" s="169"/>
      <c r="AI9" s="169"/>
      <c r="AJ9" s="169"/>
      <c r="AK9" s="169"/>
      <c r="AL9" s="169">
        <v>30000</v>
      </c>
      <c r="AM9" s="169"/>
      <c r="AN9" s="169">
        <v>34000</v>
      </c>
      <c r="AO9" s="169"/>
      <c r="AS9" s="47" t="str">
        <f t="shared" si="0"/>
        <v>Crépin</v>
      </c>
      <c r="AT9" s="49">
        <f t="shared" si="1"/>
        <v>0</v>
      </c>
      <c r="AU9" s="49">
        <f t="shared" si="2"/>
        <v>30000</v>
      </c>
      <c r="AV9" s="49">
        <f t="shared" si="3"/>
        <v>4000</v>
      </c>
      <c r="AW9" s="49">
        <v>0</v>
      </c>
    </row>
    <row r="10" spans="1:49" x14ac:dyDescent="0.25">
      <c r="A10" s="2" t="s">
        <v>31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>
        <v>5000</v>
      </c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>
        <v>66500</v>
      </c>
      <c r="AE10" s="169"/>
      <c r="AF10" s="169"/>
      <c r="AG10" s="169"/>
      <c r="AH10" s="169">
        <v>75000</v>
      </c>
      <c r="AI10" s="169"/>
      <c r="AJ10" s="169"/>
      <c r="AK10" s="169"/>
      <c r="AL10" s="169"/>
      <c r="AM10" s="169">
        <v>139000</v>
      </c>
      <c r="AN10" s="169">
        <v>146500</v>
      </c>
      <c r="AO10" s="169">
        <v>139000</v>
      </c>
      <c r="AS10" s="47" t="str">
        <f t="shared" si="0"/>
        <v>Evariste</v>
      </c>
      <c r="AT10" s="49">
        <f t="shared" si="1"/>
        <v>139000</v>
      </c>
      <c r="AU10" s="49">
        <f t="shared" si="2"/>
        <v>0</v>
      </c>
      <c r="AV10" s="49">
        <f t="shared" si="3"/>
        <v>146500</v>
      </c>
      <c r="AW10" s="49">
        <v>0</v>
      </c>
    </row>
    <row r="11" spans="1:49" x14ac:dyDescent="0.25">
      <c r="A11" s="2" t="s">
        <v>153</v>
      </c>
      <c r="B11" s="169"/>
      <c r="C11" s="169"/>
      <c r="D11" s="169"/>
      <c r="E11" s="169"/>
      <c r="F11" s="169">
        <v>40000</v>
      </c>
      <c r="G11" s="169"/>
      <c r="H11" s="169"/>
      <c r="I11" s="169"/>
      <c r="J11" s="169"/>
      <c r="K11" s="169"/>
      <c r="L11" s="169"/>
      <c r="M11" s="169"/>
      <c r="N11" s="169">
        <v>5000</v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>
        <v>74700</v>
      </c>
      <c r="AE11" s="169"/>
      <c r="AF11" s="169"/>
      <c r="AG11" s="169"/>
      <c r="AH11" s="169">
        <v>105000</v>
      </c>
      <c r="AI11" s="169"/>
      <c r="AJ11" s="169"/>
      <c r="AK11" s="169"/>
      <c r="AL11" s="169">
        <v>40000</v>
      </c>
      <c r="AM11" s="169">
        <v>188000</v>
      </c>
      <c r="AN11" s="169">
        <v>264700</v>
      </c>
      <c r="AO11" s="169">
        <v>188000</v>
      </c>
      <c r="AS11" s="47" t="str">
        <f t="shared" si="0"/>
        <v>Godfré</v>
      </c>
      <c r="AT11" s="49">
        <f t="shared" si="1"/>
        <v>188000</v>
      </c>
      <c r="AU11" s="49">
        <f t="shared" si="2"/>
        <v>40000</v>
      </c>
      <c r="AV11" s="49">
        <f t="shared" si="3"/>
        <v>224700</v>
      </c>
      <c r="AW11" s="49">
        <v>0</v>
      </c>
    </row>
    <row r="12" spans="1:49" x14ac:dyDescent="0.25">
      <c r="A12" s="2" t="s">
        <v>152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>
        <v>10000</v>
      </c>
      <c r="AE12" s="169"/>
      <c r="AF12" s="169"/>
      <c r="AG12" s="169"/>
      <c r="AH12" s="169"/>
      <c r="AI12" s="169"/>
      <c r="AJ12" s="169"/>
      <c r="AK12" s="169"/>
      <c r="AL12" s="169"/>
      <c r="AM12" s="169"/>
      <c r="AN12" s="169">
        <v>10000</v>
      </c>
      <c r="AO12" s="169"/>
      <c r="AS12" s="47" t="str">
        <f t="shared" si="0"/>
        <v>Grace</v>
      </c>
      <c r="AT12" s="49">
        <f t="shared" si="1"/>
        <v>0</v>
      </c>
      <c r="AU12" s="49">
        <f t="shared" si="2"/>
        <v>0</v>
      </c>
      <c r="AV12" s="49">
        <f t="shared" si="3"/>
        <v>10000</v>
      </c>
      <c r="AW12" s="49">
        <v>0</v>
      </c>
    </row>
    <row r="13" spans="1:49" x14ac:dyDescent="0.25">
      <c r="A13" s="2" t="s">
        <v>265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>
        <v>4000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>
        <v>46000</v>
      </c>
      <c r="AE13" s="169"/>
      <c r="AF13" s="169"/>
      <c r="AG13" s="169"/>
      <c r="AH13" s="169">
        <v>33000</v>
      </c>
      <c r="AI13" s="169"/>
      <c r="AJ13" s="169"/>
      <c r="AK13" s="169"/>
      <c r="AL13" s="169"/>
      <c r="AM13" s="169">
        <v>135000</v>
      </c>
      <c r="AN13" s="169">
        <v>83000</v>
      </c>
      <c r="AO13" s="169">
        <v>135000</v>
      </c>
      <c r="AS13" s="47" t="str">
        <f t="shared" si="0"/>
        <v>Hurielle</v>
      </c>
      <c r="AT13" s="49">
        <f t="shared" si="1"/>
        <v>135000</v>
      </c>
      <c r="AU13" s="49">
        <f t="shared" si="2"/>
        <v>0</v>
      </c>
      <c r="AV13" s="49">
        <v>83000</v>
      </c>
      <c r="AW13" s="49">
        <v>0</v>
      </c>
    </row>
    <row r="14" spans="1:49" x14ac:dyDescent="0.25">
      <c r="A14" s="2" t="s">
        <v>49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>
        <v>2500</v>
      </c>
      <c r="S14" s="169"/>
      <c r="T14" s="169"/>
      <c r="U14" s="169"/>
      <c r="V14" s="169"/>
      <c r="W14" s="169"/>
      <c r="X14" s="169"/>
      <c r="Y14" s="169"/>
      <c r="Z14" s="169">
        <v>23500</v>
      </c>
      <c r="AA14" s="169"/>
      <c r="AB14" s="169"/>
      <c r="AC14" s="169"/>
      <c r="AD14" s="169">
        <v>182000</v>
      </c>
      <c r="AE14" s="169"/>
      <c r="AF14" s="169">
        <v>53500</v>
      </c>
      <c r="AG14" s="169"/>
      <c r="AH14" s="169">
        <v>345000</v>
      </c>
      <c r="AI14" s="169"/>
      <c r="AJ14" s="169">
        <v>40000</v>
      </c>
      <c r="AK14" s="169"/>
      <c r="AL14" s="169"/>
      <c r="AM14" s="169">
        <v>747000</v>
      </c>
      <c r="AN14" s="169">
        <v>646500</v>
      </c>
      <c r="AO14" s="169">
        <v>747000</v>
      </c>
      <c r="AS14" s="47" t="str">
        <f t="shared" si="0"/>
        <v>i23c</v>
      </c>
      <c r="AT14" s="49">
        <f t="shared" si="1"/>
        <v>747000</v>
      </c>
      <c r="AU14" s="49">
        <f t="shared" si="2"/>
        <v>0</v>
      </c>
      <c r="AV14" s="49">
        <f t="shared" si="3"/>
        <v>646500</v>
      </c>
      <c r="AW14" s="49">
        <v>0</v>
      </c>
    </row>
    <row r="15" spans="1:49" x14ac:dyDescent="0.25">
      <c r="A15" s="2" t="s">
        <v>94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>
        <v>20400</v>
      </c>
      <c r="AE15" s="169"/>
      <c r="AF15" s="169"/>
      <c r="AG15" s="169"/>
      <c r="AH15" s="169"/>
      <c r="AI15" s="169"/>
      <c r="AJ15" s="169"/>
      <c r="AK15" s="169"/>
      <c r="AL15" s="169"/>
      <c r="AM15" s="169">
        <v>20000</v>
      </c>
      <c r="AN15" s="169">
        <v>20400</v>
      </c>
      <c r="AO15" s="169">
        <v>20000</v>
      </c>
      <c r="AS15" s="47" t="str">
        <f t="shared" si="0"/>
        <v>Merveille</v>
      </c>
      <c r="AT15" s="49">
        <f t="shared" si="1"/>
        <v>20000</v>
      </c>
      <c r="AU15" s="49">
        <f t="shared" si="2"/>
        <v>0</v>
      </c>
      <c r="AV15" s="49">
        <f t="shared" si="3"/>
        <v>20400</v>
      </c>
      <c r="AW15" s="49">
        <v>0</v>
      </c>
    </row>
    <row r="16" spans="1:49" x14ac:dyDescent="0.25">
      <c r="A16" s="2" t="s">
        <v>29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>
        <v>126500</v>
      </c>
      <c r="AE16" s="169"/>
      <c r="AF16" s="169"/>
      <c r="AG16" s="169"/>
      <c r="AH16" s="169">
        <v>345000</v>
      </c>
      <c r="AI16" s="169"/>
      <c r="AJ16" s="169">
        <v>28500</v>
      </c>
      <c r="AK16" s="169"/>
      <c r="AL16" s="169"/>
      <c r="AM16" s="169">
        <v>380000</v>
      </c>
      <c r="AN16" s="169">
        <v>500000</v>
      </c>
      <c r="AO16" s="169">
        <v>380000</v>
      </c>
      <c r="AS16" s="47" t="str">
        <f t="shared" si="0"/>
        <v>P29</v>
      </c>
      <c r="AT16" s="49">
        <f t="shared" si="1"/>
        <v>380000</v>
      </c>
      <c r="AU16" s="49">
        <f t="shared" si="2"/>
        <v>0</v>
      </c>
      <c r="AV16" s="49">
        <f t="shared" si="3"/>
        <v>500000</v>
      </c>
      <c r="AW16" s="49">
        <v>0</v>
      </c>
    </row>
    <row r="17" spans="1:49" x14ac:dyDescent="0.25">
      <c r="A17" s="2" t="s">
        <v>264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>
        <v>15000</v>
      </c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>
        <v>47000</v>
      </c>
      <c r="AE17" s="169"/>
      <c r="AF17" s="169"/>
      <c r="AG17" s="169"/>
      <c r="AH17" s="169">
        <v>61000</v>
      </c>
      <c r="AI17" s="169"/>
      <c r="AJ17" s="169"/>
      <c r="AK17" s="169"/>
      <c r="AL17" s="169"/>
      <c r="AM17" s="169">
        <v>129000</v>
      </c>
      <c r="AN17" s="169">
        <v>123000</v>
      </c>
      <c r="AO17" s="169">
        <v>129000</v>
      </c>
      <c r="AS17" s="47" t="str">
        <f t="shared" si="0"/>
        <v>Paule</v>
      </c>
      <c r="AT17" s="49">
        <f t="shared" si="1"/>
        <v>129000</v>
      </c>
      <c r="AU17" s="49">
        <f t="shared" si="2"/>
        <v>0</v>
      </c>
      <c r="AV17" s="49">
        <f t="shared" si="3"/>
        <v>123000</v>
      </c>
      <c r="AW17" s="49">
        <v>0</v>
      </c>
    </row>
    <row r="18" spans="1:49" x14ac:dyDescent="0.25">
      <c r="A18" s="2" t="s">
        <v>114</v>
      </c>
      <c r="B18" s="169"/>
      <c r="C18" s="169"/>
      <c r="D18" s="169"/>
      <c r="E18" s="169"/>
      <c r="F18" s="169"/>
      <c r="G18" s="169"/>
      <c r="H18" s="169">
        <v>782583</v>
      </c>
      <c r="I18" s="169"/>
      <c r="J18" s="169"/>
      <c r="K18" s="169"/>
      <c r="L18" s="169"/>
      <c r="M18" s="169"/>
      <c r="N18" s="169"/>
      <c r="O18" s="169"/>
      <c r="P18" s="169"/>
      <c r="Q18" s="169"/>
      <c r="R18" s="169">
        <v>22939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>
        <v>18500</v>
      </c>
      <c r="AE18" s="169"/>
      <c r="AF18" s="169"/>
      <c r="AG18" s="169"/>
      <c r="AH18" s="169"/>
      <c r="AI18" s="169"/>
      <c r="AJ18" s="169"/>
      <c r="AK18" s="169"/>
      <c r="AL18" s="169"/>
      <c r="AM18" s="169">
        <v>70000</v>
      </c>
      <c r="AN18" s="169">
        <v>824022</v>
      </c>
      <c r="AO18" s="169">
        <v>70000</v>
      </c>
      <c r="AS18" s="47" t="str">
        <f t="shared" si="0"/>
        <v>Tiffany</v>
      </c>
      <c r="AT18" s="49">
        <f>AM18</f>
        <v>70000</v>
      </c>
      <c r="AU18" s="49">
        <f t="shared" si="2"/>
        <v>0</v>
      </c>
      <c r="AV18" s="49">
        <f t="shared" si="3"/>
        <v>824022</v>
      </c>
      <c r="AW18" s="49"/>
    </row>
    <row r="19" spans="1:49" x14ac:dyDescent="0.25">
      <c r="A19" s="2" t="s">
        <v>130</v>
      </c>
      <c r="B19" s="169">
        <v>39444</v>
      </c>
      <c r="C19" s="169"/>
      <c r="D19" s="169">
        <v>965000</v>
      </c>
      <c r="E19" s="169"/>
      <c r="F19" s="169">
        <v>40000</v>
      </c>
      <c r="G19" s="169"/>
      <c r="H19" s="169">
        <v>782583</v>
      </c>
      <c r="I19" s="169"/>
      <c r="J19" s="169"/>
      <c r="K19" s="169">
        <v>39788807</v>
      </c>
      <c r="L19" s="169">
        <v>89175</v>
      </c>
      <c r="M19" s="169"/>
      <c r="N19" s="169">
        <v>29000</v>
      </c>
      <c r="O19" s="169"/>
      <c r="P19" s="169">
        <v>1123000</v>
      </c>
      <c r="Q19" s="169"/>
      <c r="R19" s="169">
        <v>93189</v>
      </c>
      <c r="S19" s="169"/>
      <c r="T19" s="169">
        <v>4897618</v>
      </c>
      <c r="U19" s="169"/>
      <c r="V19" s="169">
        <v>585071</v>
      </c>
      <c r="W19" s="169"/>
      <c r="X19" s="169">
        <v>677250</v>
      </c>
      <c r="Y19" s="169"/>
      <c r="Z19" s="169">
        <v>319500</v>
      </c>
      <c r="AA19" s="169"/>
      <c r="AB19" s="169">
        <v>19727</v>
      </c>
      <c r="AC19" s="169"/>
      <c r="AD19" s="169">
        <v>595600</v>
      </c>
      <c r="AE19" s="169"/>
      <c r="AF19" s="169">
        <v>53500</v>
      </c>
      <c r="AG19" s="169"/>
      <c r="AH19" s="169">
        <v>964000</v>
      </c>
      <c r="AI19" s="169"/>
      <c r="AJ19" s="169">
        <v>68500</v>
      </c>
      <c r="AK19" s="169"/>
      <c r="AL19" s="169">
        <v>6078000</v>
      </c>
      <c r="AM19" s="169">
        <v>6078000</v>
      </c>
      <c r="AN19" s="169">
        <v>17420157</v>
      </c>
      <c r="AO19" s="169">
        <v>45866807</v>
      </c>
      <c r="AT19" s="49">
        <f>SUM(AT6:AT18)</f>
        <v>6078000</v>
      </c>
      <c r="AU19" s="49">
        <f>SUM(AU6:AU18)</f>
        <v>6078000</v>
      </c>
      <c r="AV19" s="49">
        <f>SUM(AV6:AV18)</f>
        <v>11342157</v>
      </c>
      <c r="AW19" s="49">
        <f>SUM(AW6:AW18)</f>
        <v>39788807</v>
      </c>
    </row>
    <row r="21" spans="1:49" x14ac:dyDescent="0.25">
      <c r="AU21" s="245">
        <f>+AU19-AT19</f>
        <v>0</v>
      </c>
      <c r="AV21" s="247" t="b">
        <f>AV19=GETPIVOTDATA("Spent",Donateurs!$A$3)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7030A0"/>
  </sheetPr>
  <dimension ref="A1:AE436"/>
  <sheetViews>
    <sheetView tabSelected="1" zoomScale="64" zoomScaleNormal="64" workbookViewId="0">
      <pane ySplit="11" topLeftCell="A211" activePane="bottomLeft" state="frozen"/>
      <selection pane="bottomLeft" activeCell="D8" sqref="D8"/>
    </sheetView>
  </sheetViews>
  <sheetFormatPr baseColWidth="10" defaultColWidth="11.42578125" defaultRowHeight="15.75" x14ac:dyDescent="0.25"/>
  <cols>
    <col min="1" max="1" width="15.85546875" style="282" customWidth="1"/>
    <col min="2" max="2" width="105.140625" style="178" customWidth="1"/>
    <col min="3" max="3" width="17.42578125" style="178" customWidth="1"/>
    <col min="4" max="4" width="15" style="178" customWidth="1"/>
    <col min="5" max="5" width="12.42578125" style="195" customWidth="1"/>
    <col min="6" max="6" width="18.5703125" style="300" customWidth="1"/>
    <col min="7" max="7" width="16.7109375" style="196" customWidth="1"/>
    <col min="8" max="8" width="17.7109375" style="178" customWidth="1"/>
    <col min="9" max="9" width="13.5703125" style="183" customWidth="1"/>
    <col min="10" max="10" width="9.28515625" style="183" customWidth="1"/>
    <col min="11" max="11" width="8.7109375" style="178" customWidth="1"/>
    <col min="12" max="12" width="10.5703125" style="178" customWidth="1"/>
    <col min="13" max="13" width="15.85546875" style="178" customWidth="1"/>
    <col min="14" max="14" width="16.28515625" style="177" customWidth="1"/>
    <col min="15" max="15" width="70.5703125" style="248" customWidth="1"/>
    <col min="16" max="16384" width="11.42578125" style="178"/>
  </cols>
  <sheetData>
    <row r="1" spans="1:15" s="192" customFormat="1" ht="26.25" customHeight="1" x14ac:dyDescent="0.25">
      <c r="A1" s="416" t="s">
        <v>209</v>
      </c>
      <c r="B1" s="416"/>
      <c r="C1" s="416"/>
      <c r="D1" s="416"/>
      <c r="E1" s="416"/>
      <c r="F1" s="417"/>
      <c r="G1" s="416"/>
      <c r="H1" s="416"/>
      <c r="I1" s="418"/>
      <c r="J1" s="416"/>
      <c r="K1" s="416"/>
      <c r="L1" s="416"/>
      <c r="M1" s="416"/>
      <c r="N1" s="416"/>
      <c r="O1" s="419"/>
    </row>
    <row r="2" spans="1:15" x14ac:dyDescent="0.25">
      <c r="B2" s="193" t="s">
        <v>176</v>
      </c>
      <c r="C2" s="194">
        <v>3382917</v>
      </c>
    </row>
    <row r="4" spans="1:15" x14ac:dyDescent="0.25">
      <c r="B4" s="197" t="s">
        <v>6</v>
      </c>
      <c r="C4" s="197" t="s">
        <v>7</v>
      </c>
    </row>
    <row r="5" spans="1:15" x14ac:dyDescent="0.25">
      <c r="B5" s="178" t="s">
        <v>8</v>
      </c>
      <c r="C5" s="198">
        <f>SUM(E13:E1133)</f>
        <v>45866807</v>
      </c>
      <c r="E5" s="195" t="s">
        <v>101</v>
      </c>
      <c r="H5" s="198"/>
    </row>
    <row r="6" spans="1:15" x14ac:dyDescent="0.25">
      <c r="B6" s="178" t="s">
        <v>9</v>
      </c>
      <c r="C6" s="198">
        <f>SUM(F13:F1134)</f>
        <v>17420157</v>
      </c>
      <c r="E6" s="246">
        <f>+C7-Récapitulatif!I18</f>
        <v>0</v>
      </c>
      <c r="J6" s="215"/>
      <c r="K6" s="191"/>
    </row>
    <row r="7" spans="1:15" x14ac:dyDescent="0.25">
      <c r="B7" s="278" t="s">
        <v>10</v>
      </c>
      <c r="C7" s="293">
        <f>C2+C5-C6</f>
        <v>31829567</v>
      </c>
      <c r="D7" s="199">
        <f>C7-Récapitulatif!I18</f>
        <v>0</v>
      </c>
      <c r="K7" s="191"/>
    </row>
    <row r="9" spans="1:15" x14ac:dyDescent="0.25">
      <c r="B9" s="189"/>
    </row>
    <row r="11" spans="1:15" x14ac:dyDescent="0.25">
      <c r="A11" s="307" t="s">
        <v>0</v>
      </c>
      <c r="B11" s="202" t="s">
        <v>11</v>
      </c>
      <c r="C11" s="202" t="s">
        <v>12</v>
      </c>
      <c r="D11" s="202" t="s">
        <v>13</v>
      </c>
      <c r="E11" s="376" t="s">
        <v>14</v>
      </c>
      <c r="F11" s="301" t="s">
        <v>15</v>
      </c>
      <c r="G11" s="203" t="s">
        <v>16</v>
      </c>
      <c r="H11" s="202" t="s">
        <v>17</v>
      </c>
      <c r="I11" s="204" t="s">
        <v>18</v>
      </c>
      <c r="J11" s="204" t="s">
        <v>19</v>
      </c>
      <c r="K11" s="202" t="s">
        <v>20</v>
      </c>
      <c r="L11" s="202" t="s">
        <v>21</v>
      </c>
      <c r="M11" s="202" t="s">
        <v>82</v>
      </c>
      <c r="N11" s="243" t="s">
        <v>23</v>
      </c>
      <c r="O11" s="202" t="s">
        <v>22</v>
      </c>
    </row>
    <row r="12" spans="1:15" ht="15.75" hidden="1" customHeight="1" x14ac:dyDescent="0.25">
      <c r="A12" s="282">
        <v>44621</v>
      </c>
      <c r="B12" s="226" t="s">
        <v>210</v>
      </c>
      <c r="C12" s="226"/>
      <c r="D12" s="279"/>
      <c r="E12" s="211"/>
      <c r="F12" s="234"/>
      <c r="G12" s="280">
        <f>+C2</f>
        <v>3382917</v>
      </c>
      <c r="H12" s="226"/>
      <c r="I12" s="226"/>
      <c r="J12" s="226"/>
      <c r="K12" s="226"/>
      <c r="L12" s="226" t="s">
        <v>186</v>
      </c>
      <c r="N12" s="226"/>
      <c r="O12" s="226"/>
    </row>
    <row r="13" spans="1:15" ht="15" hidden="1" customHeight="1" x14ac:dyDescent="0.25">
      <c r="A13" s="282">
        <v>44621</v>
      </c>
      <c r="B13" s="226" t="s">
        <v>219</v>
      </c>
      <c r="C13" s="226" t="s">
        <v>76</v>
      </c>
      <c r="D13" s="279"/>
      <c r="E13" s="211"/>
      <c r="F13" s="235">
        <v>116000</v>
      </c>
      <c r="G13" s="235">
        <f t="shared" ref="G13" si="0">+G12+E13-F13</f>
        <v>3266917</v>
      </c>
      <c r="H13" s="226" t="s">
        <v>25</v>
      </c>
      <c r="I13" s="226"/>
      <c r="J13" s="226"/>
      <c r="K13" s="226"/>
      <c r="L13" s="226" t="s">
        <v>186</v>
      </c>
      <c r="N13" s="226"/>
      <c r="O13" s="226"/>
    </row>
    <row r="14" spans="1:15" ht="15" customHeight="1" x14ac:dyDescent="0.25">
      <c r="A14" s="282">
        <v>44621</v>
      </c>
      <c r="B14" s="226" t="s">
        <v>220</v>
      </c>
      <c r="C14" s="226" t="s">
        <v>184</v>
      </c>
      <c r="D14" s="279" t="s">
        <v>221</v>
      </c>
      <c r="E14" s="211"/>
      <c r="F14" s="235">
        <v>42000</v>
      </c>
      <c r="G14" s="235">
        <f t="shared" ref="G14:G77" si="1">+G13+E14-F14</f>
        <v>3224917</v>
      </c>
      <c r="H14" s="226" t="s">
        <v>25</v>
      </c>
      <c r="I14" s="178" t="s">
        <v>222</v>
      </c>
      <c r="J14" s="226" t="s">
        <v>166</v>
      </c>
      <c r="K14" s="226" t="s">
        <v>318</v>
      </c>
      <c r="L14" s="226" t="s">
        <v>186</v>
      </c>
      <c r="M14" s="178" t="s">
        <v>430</v>
      </c>
      <c r="N14" s="177" t="s">
        <v>412</v>
      </c>
      <c r="O14" s="226"/>
    </row>
    <row r="15" spans="1:15" ht="15" customHeight="1" x14ac:dyDescent="0.25">
      <c r="A15" s="282">
        <v>44621</v>
      </c>
      <c r="B15" s="226" t="s">
        <v>223</v>
      </c>
      <c r="C15" s="226" t="s">
        <v>184</v>
      </c>
      <c r="D15" s="279" t="s">
        <v>164</v>
      </c>
      <c r="E15" s="211"/>
      <c r="F15" s="235">
        <v>37000</v>
      </c>
      <c r="G15" s="235">
        <f t="shared" si="1"/>
        <v>3187917</v>
      </c>
      <c r="H15" s="226" t="s">
        <v>25</v>
      </c>
      <c r="I15" s="178" t="s">
        <v>222</v>
      </c>
      <c r="J15" s="226" t="s">
        <v>166</v>
      </c>
      <c r="K15" s="226" t="s">
        <v>318</v>
      </c>
      <c r="L15" s="226" t="s">
        <v>186</v>
      </c>
      <c r="M15" s="178" t="s">
        <v>431</v>
      </c>
      <c r="N15" s="177" t="s">
        <v>412</v>
      </c>
      <c r="O15" s="226"/>
    </row>
    <row r="16" spans="1:15" ht="15" customHeight="1" x14ac:dyDescent="0.25">
      <c r="A16" s="282">
        <v>44621</v>
      </c>
      <c r="B16" s="226" t="s">
        <v>224</v>
      </c>
      <c r="C16" s="226" t="s">
        <v>184</v>
      </c>
      <c r="D16" s="279" t="s">
        <v>4</v>
      </c>
      <c r="E16" s="211"/>
      <c r="F16" s="299">
        <v>20000</v>
      </c>
      <c r="G16" s="235">
        <f t="shared" si="1"/>
        <v>3167917</v>
      </c>
      <c r="H16" s="226" t="s">
        <v>25</v>
      </c>
      <c r="I16" s="178" t="s">
        <v>222</v>
      </c>
      <c r="J16" s="226" t="s">
        <v>166</v>
      </c>
      <c r="K16" s="226" t="s">
        <v>318</v>
      </c>
      <c r="L16" s="226" t="s">
        <v>186</v>
      </c>
      <c r="M16" s="178" t="s">
        <v>432</v>
      </c>
      <c r="N16" s="177" t="s">
        <v>412</v>
      </c>
      <c r="O16" s="226"/>
    </row>
    <row r="17" spans="1:16" ht="15" customHeight="1" x14ac:dyDescent="0.25">
      <c r="A17" s="282">
        <v>44621</v>
      </c>
      <c r="B17" s="226" t="s">
        <v>225</v>
      </c>
      <c r="C17" s="226" t="s">
        <v>184</v>
      </c>
      <c r="D17" s="279" t="s">
        <v>165</v>
      </c>
      <c r="E17" s="211"/>
      <c r="F17" s="299">
        <v>5000</v>
      </c>
      <c r="G17" s="235">
        <f t="shared" si="1"/>
        <v>3162917</v>
      </c>
      <c r="H17" s="226" t="s">
        <v>25</v>
      </c>
      <c r="I17" s="178" t="s">
        <v>222</v>
      </c>
      <c r="J17" s="226" t="s">
        <v>166</v>
      </c>
      <c r="K17" s="226" t="s">
        <v>318</v>
      </c>
      <c r="L17" s="226" t="s">
        <v>186</v>
      </c>
      <c r="M17" s="178" t="s">
        <v>433</v>
      </c>
      <c r="N17" s="177" t="s">
        <v>412</v>
      </c>
      <c r="O17" s="226"/>
    </row>
    <row r="18" spans="1:16" ht="15" customHeight="1" x14ac:dyDescent="0.25">
      <c r="A18" s="282">
        <v>44621</v>
      </c>
      <c r="B18" s="226" t="s">
        <v>226</v>
      </c>
      <c r="C18" s="226" t="s">
        <v>184</v>
      </c>
      <c r="D18" s="279" t="s">
        <v>221</v>
      </c>
      <c r="E18" s="211"/>
      <c r="F18" s="299">
        <v>32000</v>
      </c>
      <c r="G18" s="235">
        <f t="shared" si="1"/>
        <v>3130917</v>
      </c>
      <c r="H18" s="226" t="s">
        <v>25</v>
      </c>
      <c r="I18" s="178" t="s">
        <v>222</v>
      </c>
      <c r="J18" s="226" t="s">
        <v>166</v>
      </c>
      <c r="K18" s="226" t="s">
        <v>318</v>
      </c>
      <c r="L18" s="226" t="s">
        <v>186</v>
      </c>
      <c r="M18" s="178" t="s">
        <v>434</v>
      </c>
      <c r="N18" s="177" t="s">
        <v>412</v>
      </c>
      <c r="O18" s="226"/>
    </row>
    <row r="19" spans="1:16" ht="15" customHeight="1" x14ac:dyDescent="0.25">
      <c r="A19" s="285">
        <v>44621</v>
      </c>
      <c r="B19" s="286" t="s">
        <v>227</v>
      </c>
      <c r="C19" s="226" t="s">
        <v>184</v>
      </c>
      <c r="D19" s="279" t="s">
        <v>164</v>
      </c>
      <c r="E19" s="213"/>
      <c r="F19" s="226">
        <v>5000</v>
      </c>
      <c r="G19" s="235">
        <f t="shared" si="1"/>
        <v>3125917</v>
      </c>
      <c r="H19" s="241" t="s">
        <v>25</v>
      </c>
      <c r="I19" s="178" t="s">
        <v>222</v>
      </c>
      <c r="J19" s="226" t="s">
        <v>166</v>
      </c>
      <c r="K19" s="226" t="s">
        <v>318</v>
      </c>
      <c r="L19" s="226" t="s">
        <v>186</v>
      </c>
      <c r="M19" s="178" t="s">
        <v>435</v>
      </c>
      <c r="N19" s="177" t="s">
        <v>412</v>
      </c>
      <c r="O19" s="226"/>
    </row>
    <row r="20" spans="1:16" ht="15" customHeight="1" x14ac:dyDescent="0.25">
      <c r="A20" s="282">
        <v>44621</v>
      </c>
      <c r="B20" s="226" t="s">
        <v>228</v>
      </c>
      <c r="C20" s="226" t="s">
        <v>184</v>
      </c>
      <c r="D20" s="279" t="s">
        <v>4</v>
      </c>
      <c r="E20" s="211"/>
      <c r="F20" s="299">
        <v>32000</v>
      </c>
      <c r="G20" s="235">
        <f t="shared" si="1"/>
        <v>3093917</v>
      </c>
      <c r="H20" s="226" t="s">
        <v>25</v>
      </c>
      <c r="I20" s="178" t="s">
        <v>222</v>
      </c>
      <c r="J20" s="226" t="s">
        <v>166</v>
      </c>
      <c r="K20" s="226" t="s">
        <v>318</v>
      </c>
      <c r="L20" s="226" t="s">
        <v>186</v>
      </c>
      <c r="M20" s="178" t="s">
        <v>436</v>
      </c>
      <c r="N20" s="177" t="s">
        <v>412</v>
      </c>
      <c r="O20" s="226"/>
    </row>
    <row r="21" spans="1:16" ht="15" customHeight="1" x14ac:dyDescent="0.25">
      <c r="A21" s="282">
        <v>44621</v>
      </c>
      <c r="B21" s="226" t="s">
        <v>229</v>
      </c>
      <c r="C21" s="226" t="s">
        <v>184</v>
      </c>
      <c r="D21" s="279" t="s">
        <v>165</v>
      </c>
      <c r="E21" s="211"/>
      <c r="F21" s="299">
        <v>11000</v>
      </c>
      <c r="G21" s="235">
        <f t="shared" si="1"/>
        <v>3082917</v>
      </c>
      <c r="H21" s="226" t="s">
        <v>25</v>
      </c>
      <c r="I21" s="178" t="s">
        <v>222</v>
      </c>
      <c r="J21" s="226" t="s">
        <v>166</v>
      </c>
      <c r="K21" s="226" t="s">
        <v>318</v>
      </c>
      <c r="L21" s="226" t="s">
        <v>186</v>
      </c>
      <c r="M21" s="178" t="s">
        <v>437</v>
      </c>
      <c r="N21" s="177" t="s">
        <v>412</v>
      </c>
      <c r="O21" s="226"/>
    </row>
    <row r="22" spans="1:16" ht="15" hidden="1" customHeight="1" x14ac:dyDescent="0.25">
      <c r="A22" s="282">
        <v>44621</v>
      </c>
      <c r="B22" s="226" t="s">
        <v>230</v>
      </c>
      <c r="C22" s="226" t="s">
        <v>76</v>
      </c>
      <c r="D22" s="279"/>
      <c r="E22" s="211"/>
      <c r="F22" s="299">
        <v>29000</v>
      </c>
      <c r="G22" s="235">
        <f t="shared" si="1"/>
        <v>3053917</v>
      </c>
      <c r="H22" s="226" t="s">
        <v>25</v>
      </c>
      <c r="I22" s="178"/>
      <c r="J22" s="226"/>
      <c r="K22" s="226"/>
      <c r="L22" s="226" t="s">
        <v>186</v>
      </c>
      <c r="N22" s="226"/>
      <c r="O22" s="226"/>
    </row>
    <row r="23" spans="1:16" ht="15" customHeight="1" x14ac:dyDescent="0.25">
      <c r="A23" s="282">
        <v>44621</v>
      </c>
      <c r="B23" s="226" t="s">
        <v>231</v>
      </c>
      <c r="C23" s="295" t="s">
        <v>185</v>
      </c>
      <c r="D23" s="279" t="s">
        <v>232</v>
      </c>
      <c r="E23" s="211"/>
      <c r="F23" s="235">
        <v>1680</v>
      </c>
      <c r="G23" s="235">
        <f t="shared" si="1"/>
        <v>3052237</v>
      </c>
      <c r="H23" s="226" t="s">
        <v>25</v>
      </c>
      <c r="I23" s="178" t="s">
        <v>233</v>
      </c>
      <c r="J23" s="226" t="s">
        <v>103</v>
      </c>
      <c r="K23" s="226" t="s">
        <v>318</v>
      </c>
      <c r="L23" s="226" t="s">
        <v>186</v>
      </c>
      <c r="M23" s="178" t="s">
        <v>438</v>
      </c>
      <c r="N23" s="177" t="s">
        <v>398</v>
      </c>
      <c r="O23" s="226"/>
    </row>
    <row r="24" spans="1:16" ht="15" customHeight="1" x14ac:dyDescent="0.25">
      <c r="A24" s="285">
        <v>44621</v>
      </c>
      <c r="B24" s="286" t="s">
        <v>234</v>
      </c>
      <c r="C24" s="226" t="s">
        <v>235</v>
      </c>
      <c r="D24" s="279" t="s">
        <v>164</v>
      </c>
      <c r="E24" s="311"/>
      <c r="F24" s="299">
        <v>27000</v>
      </c>
      <c r="G24" s="235">
        <f t="shared" si="1"/>
        <v>3025237</v>
      </c>
      <c r="H24" s="226" t="s">
        <v>25</v>
      </c>
      <c r="I24" s="178" t="s">
        <v>222</v>
      </c>
      <c r="J24" s="183" t="s">
        <v>166</v>
      </c>
      <c r="K24" s="178" t="s">
        <v>318</v>
      </c>
      <c r="L24" s="226" t="s">
        <v>186</v>
      </c>
      <c r="M24" s="178" t="s">
        <v>439</v>
      </c>
      <c r="N24" s="177" t="s">
        <v>401</v>
      </c>
      <c r="O24" s="226"/>
    </row>
    <row r="25" spans="1:16" ht="15" hidden="1" customHeight="1" x14ac:dyDescent="0.25">
      <c r="A25" s="285">
        <v>44621</v>
      </c>
      <c r="B25" s="226" t="s">
        <v>236</v>
      </c>
      <c r="C25" s="226" t="s">
        <v>76</v>
      </c>
      <c r="D25" s="279"/>
      <c r="E25" s="190">
        <v>600000</v>
      </c>
      <c r="F25" s="226"/>
      <c r="G25" s="235">
        <f t="shared" si="1"/>
        <v>3625237</v>
      </c>
      <c r="H25" s="226" t="s">
        <v>25</v>
      </c>
      <c r="I25" s="178"/>
      <c r="J25" s="226"/>
      <c r="K25" s="226"/>
      <c r="L25" s="226" t="s">
        <v>186</v>
      </c>
      <c r="N25" s="324"/>
      <c r="O25" s="226"/>
    </row>
    <row r="26" spans="1:16" ht="15" hidden="1" customHeight="1" x14ac:dyDescent="0.25">
      <c r="A26" s="285">
        <v>44621</v>
      </c>
      <c r="B26" s="286" t="s">
        <v>237</v>
      </c>
      <c r="C26" s="226" t="s">
        <v>76</v>
      </c>
      <c r="D26" s="279"/>
      <c r="E26" s="212">
        <v>600000</v>
      </c>
      <c r="F26" s="239"/>
      <c r="G26" s="235">
        <f t="shared" si="1"/>
        <v>4225237</v>
      </c>
      <c r="H26" s="241" t="s">
        <v>25</v>
      </c>
      <c r="I26" s="178"/>
      <c r="J26" s="226"/>
      <c r="K26" s="226"/>
      <c r="L26" s="226" t="s">
        <v>186</v>
      </c>
      <c r="N26" s="226"/>
      <c r="O26" s="226"/>
    </row>
    <row r="27" spans="1:16" ht="15" customHeight="1" x14ac:dyDescent="0.25">
      <c r="A27" s="284">
        <v>44621</v>
      </c>
      <c r="B27" s="226" t="s">
        <v>421</v>
      </c>
      <c r="C27" s="226" t="s">
        <v>207</v>
      </c>
      <c r="D27" s="305" t="s">
        <v>165</v>
      </c>
      <c r="E27" s="303"/>
      <c r="F27" s="226">
        <v>150000</v>
      </c>
      <c r="G27" s="235">
        <f t="shared" si="1"/>
        <v>4075237</v>
      </c>
      <c r="H27" s="226" t="s">
        <v>25</v>
      </c>
      <c r="I27" s="183" t="s">
        <v>238</v>
      </c>
      <c r="J27" s="226" t="s">
        <v>166</v>
      </c>
      <c r="K27" s="226" t="s">
        <v>299</v>
      </c>
      <c r="L27" s="226" t="s">
        <v>186</v>
      </c>
      <c r="N27" s="324"/>
      <c r="O27" s="226"/>
    </row>
    <row r="28" spans="1:16" ht="15" hidden="1" customHeight="1" x14ac:dyDescent="0.25">
      <c r="A28" s="285">
        <v>44621</v>
      </c>
      <c r="B28" s="178" t="s">
        <v>290</v>
      </c>
      <c r="C28" s="226" t="s">
        <v>76</v>
      </c>
      <c r="D28" s="342"/>
      <c r="E28" s="206"/>
      <c r="F28" s="226">
        <v>600000</v>
      </c>
      <c r="G28" s="235">
        <f t="shared" si="1"/>
        <v>3475237</v>
      </c>
      <c r="H28" s="178" t="s">
        <v>24</v>
      </c>
      <c r="I28" s="344"/>
      <c r="J28" s="178"/>
      <c r="K28" s="296"/>
      <c r="L28" s="226" t="s">
        <v>186</v>
      </c>
      <c r="O28" s="178"/>
    </row>
    <row r="29" spans="1:16" ht="15" hidden="1" customHeight="1" x14ac:dyDescent="0.25">
      <c r="A29" s="282">
        <v>44621</v>
      </c>
      <c r="B29" s="225" t="s">
        <v>300</v>
      </c>
      <c r="C29" s="226" t="s">
        <v>76</v>
      </c>
      <c r="D29" s="215"/>
      <c r="E29" s="178"/>
      <c r="F29" s="226">
        <v>600000</v>
      </c>
      <c r="G29" s="235">
        <f t="shared" si="1"/>
        <v>2875237</v>
      </c>
      <c r="H29" s="178" t="s">
        <v>158</v>
      </c>
      <c r="I29" s="178"/>
      <c r="L29" s="226" t="s">
        <v>186</v>
      </c>
      <c r="N29" s="230"/>
      <c r="O29" s="227"/>
      <c r="P29" s="228"/>
    </row>
    <row r="30" spans="1:16" ht="15" customHeight="1" x14ac:dyDescent="0.25">
      <c r="A30" s="282">
        <v>44621</v>
      </c>
      <c r="B30" s="225" t="s">
        <v>515</v>
      </c>
      <c r="C30" s="226" t="s">
        <v>199</v>
      </c>
      <c r="D30" s="279" t="s">
        <v>232</v>
      </c>
      <c r="E30" s="226"/>
      <c r="F30" s="226">
        <v>16099</v>
      </c>
      <c r="G30" s="235">
        <f t="shared" si="1"/>
        <v>2859138</v>
      </c>
      <c r="H30" s="178" t="s">
        <v>158</v>
      </c>
      <c r="I30" s="178" t="s">
        <v>301</v>
      </c>
      <c r="J30" s="183" t="s">
        <v>103</v>
      </c>
      <c r="K30" s="178" t="s">
        <v>318</v>
      </c>
      <c r="L30" s="226" t="s">
        <v>186</v>
      </c>
      <c r="M30" s="178" t="s">
        <v>440</v>
      </c>
      <c r="N30" s="177" t="s">
        <v>398</v>
      </c>
      <c r="O30" s="226"/>
    </row>
    <row r="31" spans="1:16" ht="15" hidden="1" customHeight="1" x14ac:dyDescent="0.25">
      <c r="A31" s="282">
        <v>44621</v>
      </c>
      <c r="B31" s="226" t="s">
        <v>319</v>
      </c>
      <c r="C31" s="226" t="s">
        <v>76</v>
      </c>
      <c r="D31" s="279"/>
      <c r="E31" s="211">
        <v>116000</v>
      </c>
      <c r="F31" s="299"/>
      <c r="G31" s="235">
        <f t="shared" si="1"/>
        <v>2975138</v>
      </c>
      <c r="H31" s="226" t="s">
        <v>49</v>
      </c>
      <c r="I31" s="178"/>
      <c r="J31" s="226"/>
      <c r="K31" s="226"/>
      <c r="L31" s="226" t="s">
        <v>186</v>
      </c>
      <c r="N31" s="230"/>
      <c r="O31" s="226"/>
    </row>
    <row r="32" spans="1:16" ht="15" hidden="1" customHeight="1" x14ac:dyDescent="0.25">
      <c r="A32" s="282">
        <v>44621</v>
      </c>
      <c r="B32" s="178" t="s">
        <v>319</v>
      </c>
      <c r="C32" s="226" t="s">
        <v>76</v>
      </c>
      <c r="D32" s="183"/>
      <c r="E32" s="221">
        <v>29000</v>
      </c>
      <c r="F32" s="236"/>
      <c r="G32" s="235">
        <f t="shared" si="1"/>
        <v>3004138</v>
      </c>
      <c r="H32" s="178" t="s">
        <v>153</v>
      </c>
      <c r="J32" s="178"/>
      <c r="L32" s="226" t="s">
        <v>186</v>
      </c>
      <c r="P32" s="248"/>
    </row>
    <row r="33" spans="1:16" ht="15" customHeight="1" x14ac:dyDescent="0.25">
      <c r="A33" s="284">
        <v>44621</v>
      </c>
      <c r="B33" s="286" t="s">
        <v>370</v>
      </c>
      <c r="C33" s="226" t="s">
        <v>34</v>
      </c>
      <c r="D33" s="279" t="s">
        <v>4</v>
      </c>
      <c r="E33" s="212"/>
      <c r="F33" s="239">
        <v>10000</v>
      </c>
      <c r="G33" s="235">
        <f t="shared" si="1"/>
        <v>2994138</v>
      </c>
      <c r="H33" s="286" t="s">
        <v>29</v>
      </c>
      <c r="I33" s="233" t="s">
        <v>222</v>
      </c>
      <c r="J33" s="226" t="s">
        <v>166</v>
      </c>
      <c r="K33" s="178" t="s">
        <v>318</v>
      </c>
      <c r="L33" s="226" t="s">
        <v>186</v>
      </c>
      <c r="M33" s="178" t="s">
        <v>441</v>
      </c>
      <c r="N33" s="346" t="s">
        <v>416</v>
      </c>
      <c r="O33" s="233"/>
    </row>
    <row r="34" spans="1:16" ht="15.75" customHeight="1" x14ac:dyDescent="0.25">
      <c r="A34" s="282">
        <v>44621</v>
      </c>
      <c r="B34" s="226" t="s">
        <v>371</v>
      </c>
      <c r="C34" s="226" t="s">
        <v>34</v>
      </c>
      <c r="D34" s="279" t="s">
        <v>4</v>
      </c>
      <c r="E34" s="211"/>
      <c r="F34" s="235">
        <v>4000</v>
      </c>
      <c r="G34" s="235">
        <f t="shared" si="1"/>
        <v>2990138</v>
      </c>
      <c r="H34" s="226" t="s">
        <v>29</v>
      </c>
      <c r="I34" s="226" t="s">
        <v>222</v>
      </c>
      <c r="J34" s="226" t="s">
        <v>166</v>
      </c>
      <c r="K34" s="178" t="s">
        <v>318</v>
      </c>
      <c r="L34" s="226" t="s">
        <v>186</v>
      </c>
      <c r="M34" s="178" t="s">
        <v>442</v>
      </c>
      <c r="N34" s="346" t="s">
        <v>416</v>
      </c>
      <c r="O34" s="226"/>
    </row>
    <row r="35" spans="1:16" ht="15" customHeight="1" x14ac:dyDescent="0.25">
      <c r="A35" s="282">
        <v>44621</v>
      </c>
      <c r="B35" s="226" t="s">
        <v>372</v>
      </c>
      <c r="C35" s="226" t="s">
        <v>34</v>
      </c>
      <c r="D35" s="360" t="s">
        <v>4</v>
      </c>
      <c r="E35" s="213"/>
      <c r="F35" s="299">
        <v>10000</v>
      </c>
      <c r="G35" s="235">
        <f t="shared" si="1"/>
        <v>2980138</v>
      </c>
      <c r="H35" s="226" t="s">
        <v>29</v>
      </c>
      <c r="I35" s="178" t="s">
        <v>222</v>
      </c>
      <c r="J35" s="226" t="s">
        <v>166</v>
      </c>
      <c r="K35" s="178" t="s">
        <v>318</v>
      </c>
      <c r="L35" s="226" t="s">
        <v>186</v>
      </c>
      <c r="M35" s="178" t="s">
        <v>443</v>
      </c>
      <c r="N35" s="346" t="s">
        <v>416</v>
      </c>
      <c r="O35" s="226"/>
    </row>
    <row r="36" spans="1:16" ht="15.75" customHeight="1" x14ac:dyDescent="0.25">
      <c r="A36" s="285">
        <v>44621</v>
      </c>
      <c r="B36" s="226" t="s">
        <v>373</v>
      </c>
      <c r="C36" s="226" t="s">
        <v>157</v>
      </c>
      <c r="D36" s="355" t="s">
        <v>4</v>
      </c>
      <c r="E36" s="311"/>
      <c r="F36" s="299">
        <v>45000</v>
      </c>
      <c r="G36" s="235">
        <f t="shared" si="1"/>
        <v>2935138</v>
      </c>
      <c r="H36" s="226" t="s">
        <v>29</v>
      </c>
      <c r="I36" s="178" t="s">
        <v>233</v>
      </c>
      <c r="J36" s="178" t="s">
        <v>166</v>
      </c>
      <c r="K36" s="178" t="s">
        <v>318</v>
      </c>
      <c r="L36" s="226" t="s">
        <v>186</v>
      </c>
      <c r="M36" s="178" t="s">
        <v>444</v>
      </c>
      <c r="N36" s="177" t="s">
        <v>417</v>
      </c>
      <c r="O36" s="226"/>
    </row>
    <row r="37" spans="1:16" ht="15.75" customHeight="1" x14ac:dyDescent="0.25">
      <c r="A37" s="282">
        <v>44622</v>
      </c>
      <c r="B37" s="226" t="s">
        <v>239</v>
      </c>
      <c r="C37" s="226" t="s">
        <v>3</v>
      </c>
      <c r="D37" s="279" t="s">
        <v>232</v>
      </c>
      <c r="E37" s="213"/>
      <c r="F37" s="299">
        <v>75625</v>
      </c>
      <c r="G37" s="235">
        <f t="shared" si="1"/>
        <v>2859513</v>
      </c>
      <c r="H37" s="226" t="s">
        <v>25</v>
      </c>
      <c r="I37" s="183" t="s">
        <v>240</v>
      </c>
      <c r="J37" s="178" t="s">
        <v>166</v>
      </c>
      <c r="K37" s="296" t="s">
        <v>299</v>
      </c>
      <c r="L37" s="226" t="s">
        <v>186</v>
      </c>
      <c r="N37" s="226"/>
      <c r="O37" s="226"/>
    </row>
    <row r="38" spans="1:16" ht="15.75" hidden="1" customHeight="1" x14ac:dyDescent="0.25">
      <c r="A38" s="284">
        <v>44622</v>
      </c>
      <c r="B38" s="231" t="s">
        <v>241</v>
      </c>
      <c r="C38" s="226" t="s">
        <v>76</v>
      </c>
      <c r="D38" s="361"/>
      <c r="E38" s="312">
        <v>30000</v>
      </c>
      <c r="F38" s="239"/>
      <c r="G38" s="235">
        <f t="shared" si="1"/>
        <v>2889513</v>
      </c>
      <c r="H38" s="231" t="s">
        <v>25</v>
      </c>
      <c r="I38" s="178"/>
      <c r="J38" s="233"/>
      <c r="K38" s="231"/>
      <c r="L38" s="226" t="s">
        <v>186</v>
      </c>
      <c r="N38" s="306"/>
      <c r="O38" s="233"/>
    </row>
    <row r="39" spans="1:16" ht="15.75" customHeight="1" x14ac:dyDescent="0.25">
      <c r="A39" s="285">
        <v>44622</v>
      </c>
      <c r="B39" s="178" t="s">
        <v>291</v>
      </c>
      <c r="C39" s="226" t="s">
        <v>3</v>
      </c>
      <c r="D39" s="279" t="s">
        <v>232</v>
      </c>
      <c r="E39" s="206"/>
      <c r="F39" s="226">
        <v>260000</v>
      </c>
      <c r="G39" s="235">
        <f t="shared" si="1"/>
        <v>2629513</v>
      </c>
      <c r="H39" s="178" t="s">
        <v>24</v>
      </c>
      <c r="I39" s="279">
        <v>3654472</v>
      </c>
      <c r="J39" s="178" t="s">
        <v>166</v>
      </c>
      <c r="K39" s="296" t="s">
        <v>299</v>
      </c>
      <c r="L39" s="226" t="s">
        <v>186</v>
      </c>
      <c r="M39" s="177"/>
      <c r="O39" s="178"/>
    </row>
    <row r="40" spans="1:16" s="278" customFormat="1" ht="15.75" customHeight="1" x14ac:dyDescent="0.25">
      <c r="A40" s="347">
        <v>44622</v>
      </c>
      <c r="B40" s="348" t="s">
        <v>302</v>
      </c>
      <c r="C40" s="349" t="s">
        <v>295</v>
      </c>
      <c r="D40" s="362"/>
      <c r="E40" s="349">
        <v>28356365</v>
      </c>
      <c r="F40" s="349"/>
      <c r="G40" s="235">
        <f t="shared" si="1"/>
        <v>30985878</v>
      </c>
      <c r="H40" s="278" t="s">
        <v>158</v>
      </c>
      <c r="I40" s="278" t="s">
        <v>301</v>
      </c>
      <c r="J40" s="350" t="s">
        <v>103</v>
      </c>
      <c r="K40" s="178" t="s">
        <v>318</v>
      </c>
      <c r="L40" s="349" t="s">
        <v>186</v>
      </c>
      <c r="N40" s="351"/>
      <c r="O40" s="349"/>
    </row>
    <row r="41" spans="1:16" ht="15.75" hidden="1" customHeight="1" x14ac:dyDescent="0.25">
      <c r="A41" s="282">
        <v>44622</v>
      </c>
      <c r="B41" s="226" t="s">
        <v>342</v>
      </c>
      <c r="C41" s="226" t="s">
        <v>76</v>
      </c>
      <c r="D41" s="279"/>
      <c r="E41" s="211"/>
      <c r="F41" s="235">
        <v>30000</v>
      </c>
      <c r="G41" s="235">
        <f t="shared" si="1"/>
        <v>30955878</v>
      </c>
      <c r="H41" s="226" t="s">
        <v>48</v>
      </c>
      <c r="I41" s="226"/>
      <c r="J41" s="226"/>
      <c r="K41" s="226"/>
      <c r="L41" s="226" t="s">
        <v>186</v>
      </c>
      <c r="M41" s="226"/>
      <c r="N41" s="226"/>
      <c r="O41" s="226"/>
    </row>
    <row r="42" spans="1:16" ht="15.75" customHeight="1" x14ac:dyDescent="0.25">
      <c r="A42" s="282">
        <v>44622</v>
      </c>
      <c r="B42" s="226" t="s">
        <v>352</v>
      </c>
      <c r="C42" s="178" t="s">
        <v>34</v>
      </c>
      <c r="D42" s="279" t="s">
        <v>164</v>
      </c>
      <c r="E42" s="211"/>
      <c r="F42" s="299">
        <v>15000</v>
      </c>
      <c r="G42" s="235">
        <f t="shared" si="1"/>
        <v>30940878</v>
      </c>
      <c r="H42" s="226" t="s">
        <v>153</v>
      </c>
      <c r="I42" s="279" t="s">
        <v>222</v>
      </c>
      <c r="J42" s="226" t="s">
        <v>166</v>
      </c>
      <c r="K42" s="178" t="s">
        <v>318</v>
      </c>
      <c r="L42" s="226" t="s">
        <v>186</v>
      </c>
      <c r="M42" s="178" t="s">
        <v>445</v>
      </c>
      <c r="N42" s="346" t="s">
        <v>416</v>
      </c>
      <c r="O42" s="226"/>
    </row>
    <row r="43" spans="1:16" ht="15.75" customHeight="1" x14ac:dyDescent="0.25">
      <c r="A43" s="282">
        <v>44622</v>
      </c>
      <c r="B43" s="178" t="s">
        <v>353</v>
      </c>
      <c r="C43" s="178" t="s">
        <v>157</v>
      </c>
      <c r="D43" s="363" t="s">
        <v>164</v>
      </c>
      <c r="E43" s="221"/>
      <c r="F43" s="299">
        <v>30000</v>
      </c>
      <c r="G43" s="235">
        <f t="shared" si="1"/>
        <v>30910878</v>
      </c>
      <c r="H43" s="226" t="s">
        <v>153</v>
      </c>
      <c r="I43" s="183" t="s">
        <v>222</v>
      </c>
      <c r="J43" s="178" t="s">
        <v>166</v>
      </c>
      <c r="K43" s="178" t="s">
        <v>318</v>
      </c>
      <c r="L43" s="226" t="s">
        <v>186</v>
      </c>
      <c r="M43" s="178" t="s">
        <v>446</v>
      </c>
      <c r="N43" s="177" t="s">
        <v>417</v>
      </c>
      <c r="P43" s="248"/>
    </row>
    <row r="44" spans="1:16" ht="15" customHeight="1" x14ac:dyDescent="0.25">
      <c r="A44" s="282">
        <v>44623</v>
      </c>
      <c r="B44" s="226" t="s">
        <v>242</v>
      </c>
      <c r="C44" s="226" t="s">
        <v>35</v>
      </c>
      <c r="D44" s="279" t="s">
        <v>232</v>
      </c>
      <c r="E44" s="211"/>
      <c r="F44" s="235">
        <v>12000</v>
      </c>
      <c r="G44" s="235">
        <f t="shared" si="1"/>
        <v>30898878</v>
      </c>
      <c r="H44" s="226" t="s">
        <v>25</v>
      </c>
      <c r="I44" s="178" t="s">
        <v>240</v>
      </c>
      <c r="J44" s="226" t="s">
        <v>166</v>
      </c>
      <c r="K44" s="178" t="s">
        <v>318</v>
      </c>
      <c r="L44" s="226" t="s">
        <v>186</v>
      </c>
      <c r="M44" s="178" t="s">
        <v>447</v>
      </c>
      <c r="N44" s="177" t="s">
        <v>404</v>
      </c>
      <c r="O44" s="226"/>
    </row>
    <row r="45" spans="1:16" ht="15" customHeight="1" x14ac:dyDescent="0.25">
      <c r="A45" s="283">
        <v>44623</v>
      </c>
      <c r="B45" s="226" t="s">
        <v>243</v>
      </c>
      <c r="C45" s="226" t="s">
        <v>35</v>
      </c>
      <c r="D45" s="279" t="s">
        <v>232</v>
      </c>
      <c r="E45" s="313"/>
      <c r="F45" s="371">
        <v>10500</v>
      </c>
      <c r="G45" s="235">
        <f t="shared" si="1"/>
        <v>30888378</v>
      </c>
      <c r="H45" s="230" t="s">
        <v>25</v>
      </c>
      <c r="I45" s="183" t="s">
        <v>240</v>
      </c>
      <c r="J45" s="226" t="s">
        <v>166</v>
      </c>
      <c r="K45" s="226" t="s">
        <v>299</v>
      </c>
      <c r="L45" s="226" t="s">
        <v>186</v>
      </c>
      <c r="N45" s="230"/>
      <c r="O45" s="230"/>
    </row>
    <row r="46" spans="1:16" ht="15" hidden="1" customHeight="1" x14ac:dyDescent="0.25">
      <c r="A46" s="285">
        <v>44624</v>
      </c>
      <c r="B46" s="286" t="s">
        <v>29</v>
      </c>
      <c r="C46" s="226" t="s">
        <v>76</v>
      </c>
      <c r="D46" s="279"/>
      <c r="E46" s="212"/>
      <c r="F46" s="239">
        <v>117000</v>
      </c>
      <c r="G46" s="235">
        <f t="shared" si="1"/>
        <v>30771378</v>
      </c>
      <c r="H46" s="241" t="s">
        <v>25</v>
      </c>
      <c r="I46" s="226"/>
      <c r="J46" s="226"/>
      <c r="K46" s="226"/>
      <c r="L46" s="226" t="s">
        <v>186</v>
      </c>
      <c r="N46" s="226"/>
      <c r="O46" s="226"/>
    </row>
    <row r="47" spans="1:16" ht="15" hidden="1" customHeight="1" x14ac:dyDescent="0.25">
      <c r="A47" s="282">
        <v>44624</v>
      </c>
      <c r="B47" s="226" t="s">
        <v>374</v>
      </c>
      <c r="C47" s="226" t="s">
        <v>76</v>
      </c>
      <c r="D47" s="305"/>
      <c r="E47" s="213">
        <v>117000</v>
      </c>
      <c r="F47" s="299"/>
      <c r="G47" s="235">
        <f t="shared" si="1"/>
        <v>30888378</v>
      </c>
      <c r="H47" s="226" t="s">
        <v>29</v>
      </c>
      <c r="I47" s="178"/>
      <c r="J47" s="226"/>
      <c r="K47" s="226"/>
      <c r="L47" s="226" t="s">
        <v>186</v>
      </c>
      <c r="N47" s="324"/>
      <c r="O47" s="226"/>
    </row>
    <row r="48" spans="1:16" ht="15" customHeight="1" x14ac:dyDescent="0.25">
      <c r="A48" s="282">
        <v>44625</v>
      </c>
      <c r="B48" s="226" t="s">
        <v>375</v>
      </c>
      <c r="C48" s="226" t="s">
        <v>34</v>
      </c>
      <c r="D48" s="345" t="s">
        <v>4</v>
      </c>
      <c r="E48" s="213"/>
      <c r="F48" s="299">
        <v>10000</v>
      </c>
      <c r="G48" s="235">
        <f t="shared" si="1"/>
        <v>30878378</v>
      </c>
      <c r="H48" s="226" t="s">
        <v>29</v>
      </c>
      <c r="I48" s="178" t="s">
        <v>222</v>
      </c>
      <c r="J48" s="226" t="s">
        <v>166</v>
      </c>
      <c r="K48" s="178" t="s">
        <v>318</v>
      </c>
      <c r="L48" s="226" t="s">
        <v>186</v>
      </c>
      <c r="M48" s="178" t="s">
        <v>448</v>
      </c>
      <c r="N48" s="346" t="s">
        <v>416</v>
      </c>
      <c r="O48" s="226"/>
    </row>
    <row r="49" spans="1:21" ht="15" customHeight="1" x14ac:dyDescent="0.25">
      <c r="A49" s="282">
        <v>44626</v>
      </c>
      <c r="B49" s="286" t="s">
        <v>376</v>
      </c>
      <c r="C49" s="226" t="s">
        <v>157</v>
      </c>
      <c r="D49" s="345" t="s">
        <v>4</v>
      </c>
      <c r="E49" s="213"/>
      <c r="F49" s="299">
        <v>60000</v>
      </c>
      <c r="G49" s="235">
        <f t="shared" si="1"/>
        <v>30818378</v>
      </c>
      <c r="H49" s="226" t="s">
        <v>29</v>
      </c>
      <c r="I49" s="178" t="s">
        <v>321</v>
      </c>
      <c r="J49" s="226" t="s">
        <v>166</v>
      </c>
      <c r="K49" s="178" t="s">
        <v>318</v>
      </c>
      <c r="L49" s="226" t="s">
        <v>186</v>
      </c>
      <c r="M49" s="178" t="s">
        <v>449</v>
      </c>
      <c r="N49" s="177" t="s">
        <v>417</v>
      </c>
      <c r="O49" s="226"/>
    </row>
    <row r="50" spans="1:21" ht="15" hidden="1" customHeight="1" x14ac:dyDescent="0.25">
      <c r="A50" s="282">
        <v>44627</v>
      </c>
      <c r="B50" s="226" t="s">
        <v>219</v>
      </c>
      <c r="C50" s="226" t="s">
        <v>76</v>
      </c>
      <c r="D50" s="279"/>
      <c r="E50" s="213"/>
      <c r="F50" s="299">
        <v>107000</v>
      </c>
      <c r="G50" s="235">
        <f t="shared" si="1"/>
        <v>30711378</v>
      </c>
      <c r="H50" s="226" t="s">
        <v>25</v>
      </c>
      <c r="I50" s="178"/>
      <c r="J50" s="226"/>
      <c r="K50" s="226"/>
      <c r="L50" s="226" t="s">
        <v>186</v>
      </c>
      <c r="N50" s="226"/>
      <c r="O50" s="226"/>
    </row>
    <row r="51" spans="1:21" ht="15" customHeight="1" x14ac:dyDescent="0.25">
      <c r="A51" s="282">
        <v>44627</v>
      </c>
      <c r="B51" s="226" t="s">
        <v>244</v>
      </c>
      <c r="C51" s="226" t="s">
        <v>207</v>
      </c>
      <c r="D51" s="363" t="s">
        <v>165</v>
      </c>
      <c r="E51" s="213"/>
      <c r="F51" s="299">
        <v>46000</v>
      </c>
      <c r="G51" s="235">
        <f t="shared" si="1"/>
        <v>30665378</v>
      </c>
      <c r="H51" s="226" t="s">
        <v>25</v>
      </c>
      <c r="I51" s="183" t="s">
        <v>238</v>
      </c>
      <c r="J51" s="226" t="s">
        <v>166</v>
      </c>
      <c r="K51" s="226" t="s">
        <v>299</v>
      </c>
      <c r="L51" s="226" t="s">
        <v>186</v>
      </c>
      <c r="N51" s="226"/>
      <c r="O51" s="226"/>
    </row>
    <row r="52" spans="1:21" ht="15" customHeight="1" x14ac:dyDescent="0.25">
      <c r="A52" s="285">
        <v>44627</v>
      </c>
      <c r="B52" s="225" t="s">
        <v>293</v>
      </c>
      <c r="C52" s="226" t="s">
        <v>199</v>
      </c>
      <c r="D52" s="279" t="s">
        <v>232</v>
      </c>
      <c r="E52" s="206"/>
      <c r="F52" s="226">
        <f>14701+8644</f>
        <v>23345</v>
      </c>
      <c r="G52" s="235">
        <f t="shared" si="1"/>
        <v>30642033</v>
      </c>
      <c r="H52" s="178" t="s">
        <v>24</v>
      </c>
      <c r="I52" s="183" t="s">
        <v>292</v>
      </c>
      <c r="J52" s="178" t="s">
        <v>166</v>
      </c>
      <c r="K52" s="296" t="s">
        <v>299</v>
      </c>
      <c r="L52" s="226" t="s">
        <v>186</v>
      </c>
      <c r="O52" s="178"/>
    </row>
    <row r="53" spans="1:21" ht="15" customHeight="1" x14ac:dyDescent="0.25">
      <c r="A53" s="282">
        <v>44627</v>
      </c>
      <c r="B53" s="225" t="s">
        <v>303</v>
      </c>
      <c r="C53" s="226" t="s">
        <v>235</v>
      </c>
      <c r="D53" s="183" t="s">
        <v>164</v>
      </c>
      <c r="E53" s="226"/>
      <c r="F53" s="230">
        <v>150000</v>
      </c>
      <c r="G53" s="235">
        <f t="shared" si="1"/>
        <v>30492033</v>
      </c>
      <c r="H53" s="178" t="s">
        <v>158</v>
      </c>
      <c r="I53" s="178">
        <v>3643628</v>
      </c>
      <c r="J53" s="183" t="s">
        <v>103</v>
      </c>
      <c r="K53" s="178" t="s">
        <v>318</v>
      </c>
      <c r="L53" s="226" t="s">
        <v>186</v>
      </c>
      <c r="M53" s="178" t="s">
        <v>450</v>
      </c>
      <c r="N53" s="177" t="s">
        <v>402</v>
      </c>
      <c r="O53" s="230"/>
    </row>
    <row r="54" spans="1:21" ht="15" hidden="1" customHeight="1" x14ac:dyDescent="0.25">
      <c r="A54" s="284">
        <v>44627</v>
      </c>
      <c r="B54" s="286" t="s">
        <v>319</v>
      </c>
      <c r="C54" s="226" t="s">
        <v>76</v>
      </c>
      <c r="D54" s="279"/>
      <c r="E54" s="212">
        <v>107000</v>
      </c>
      <c r="F54" s="299"/>
      <c r="G54" s="235">
        <f t="shared" si="1"/>
        <v>30599033</v>
      </c>
      <c r="H54" s="286" t="s">
        <v>49</v>
      </c>
      <c r="I54" s="279"/>
      <c r="J54" s="287"/>
      <c r="K54" s="241"/>
      <c r="L54" s="226" t="s">
        <v>186</v>
      </c>
      <c r="N54" s="226"/>
      <c r="O54" s="233"/>
    </row>
    <row r="55" spans="1:21" ht="15" hidden="1" customHeight="1" x14ac:dyDescent="0.25">
      <c r="A55" s="294">
        <v>44628</v>
      </c>
      <c r="B55" s="286" t="s">
        <v>29</v>
      </c>
      <c r="C55" s="226" t="s">
        <v>76</v>
      </c>
      <c r="D55" s="298"/>
      <c r="E55" s="314"/>
      <c r="F55" s="372">
        <v>50000</v>
      </c>
      <c r="G55" s="235">
        <f t="shared" si="1"/>
        <v>30549033</v>
      </c>
      <c r="H55" s="297" t="s">
        <v>25</v>
      </c>
      <c r="I55" s="178"/>
      <c r="J55" s="226"/>
      <c r="K55" s="296"/>
      <c r="L55" s="226" t="s">
        <v>186</v>
      </c>
      <c r="N55" s="296"/>
      <c r="O55" s="226"/>
      <c r="U55" s="178">
        <f>39000+156000+117000+111000+62000+92000+154000</f>
        <v>731000</v>
      </c>
    </row>
    <row r="56" spans="1:21" ht="15" customHeight="1" x14ac:dyDescent="0.25">
      <c r="A56" s="282">
        <v>44628</v>
      </c>
      <c r="B56" s="226" t="s">
        <v>245</v>
      </c>
      <c r="C56" s="295" t="s">
        <v>185</v>
      </c>
      <c r="D56" s="279" t="s">
        <v>232</v>
      </c>
      <c r="E56" s="211"/>
      <c r="F56" s="373">
        <v>1500</v>
      </c>
      <c r="G56" s="235">
        <f t="shared" si="1"/>
        <v>30547533</v>
      </c>
      <c r="H56" s="226" t="s">
        <v>25</v>
      </c>
      <c r="I56" s="178" t="s">
        <v>240</v>
      </c>
      <c r="J56" s="226" t="s">
        <v>103</v>
      </c>
      <c r="K56" s="178" t="s">
        <v>318</v>
      </c>
      <c r="L56" s="226" t="s">
        <v>186</v>
      </c>
      <c r="M56" s="178" t="s">
        <v>451</v>
      </c>
      <c r="N56" s="177" t="s">
        <v>398</v>
      </c>
      <c r="O56" s="226"/>
    </row>
    <row r="57" spans="1:21" ht="15" hidden="1" customHeight="1" x14ac:dyDescent="0.25">
      <c r="A57" s="282">
        <v>44628</v>
      </c>
      <c r="B57" s="178" t="s">
        <v>114</v>
      </c>
      <c r="C57" s="226" t="s">
        <v>76</v>
      </c>
      <c r="D57" s="363"/>
      <c r="E57" s="219"/>
      <c r="F57" s="235">
        <v>70000</v>
      </c>
      <c r="G57" s="235">
        <f t="shared" si="1"/>
        <v>30477533</v>
      </c>
      <c r="H57" s="178" t="s">
        <v>25</v>
      </c>
      <c r="I57" s="178"/>
      <c r="L57" s="226" t="s">
        <v>186</v>
      </c>
      <c r="O57" s="178"/>
      <c r="P57" s="227"/>
    </row>
    <row r="58" spans="1:21" ht="15" hidden="1" customHeight="1" x14ac:dyDescent="0.25">
      <c r="A58" s="282">
        <v>44628</v>
      </c>
      <c r="B58" s="178" t="s">
        <v>230</v>
      </c>
      <c r="C58" s="226" t="s">
        <v>76</v>
      </c>
      <c r="D58" s="363"/>
      <c r="E58" s="221"/>
      <c r="F58" s="236">
        <v>40000</v>
      </c>
      <c r="G58" s="235">
        <f t="shared" si="1"/>
        <v>30437533</v>
      </c>
      <c r="H58" s="178" t="s">
        <v>25</v>
      </c>
      <c r="I58" s="178"/>
      <c r="J58" s="178"/>
      <c r="L58" s="226" t="s">
        <v>186</v>
      </c>
      <c r="N58" s="230"/>
      <c r="O58" s="227"/>
      <c r="P58" s="228"/>
    </row>
    <row r="59" spans="1:21" ht="15" customHeight="1" x14ac:dyDescent="0.25">
      <c r="A59" s="285">
        <v>44628</v>
      </c>
      <c r="B59" s="286" t="s">
        <v>420</v>
      </c>
      <c r="C59" s="286" t="s">
        <v>207</v>
      </c>
      <c r="D59" s="279" t="s">
        <v>165</v>
      </c>
      <c r="E59" s="212"/>
      <c r="F59" s="374">
        <v>150000</v>
      </c>
      <c r="G59" s="235">
        <f t="shared" si="1"/>
        <v>30287533</v>
      </c>
      <c r="H59" s="241" t="s">
        <v>25</v>
      </c>
      <c r="I59" s="183" t="s">
        <v>246</v>
      </c>
      <c r="J59" s="226" t="s">
        <v>166</v>
      </c>
      <c r="K59" s="226" t="s">
        <v>299</v>
      </c>
      <c r="L59" s="226" t="s">
        <v>186</v>
      </c>
      <c r="N59" s="230"/>
      <c r="O59" s="226"/>
    </row>
    <row r="60" spans="1:21" ht="15" customHeight="1" x14ac:dyDescent="0.25">
      <c r="A60" s="282">
        <v>44628</v>
      </c>
      <c r="B60" s="226" t="s">
        <v>320</v>
      </c>
      <c r="C60" s="178" t="s">
        <v>157</v>
      </c>
      <c r="D60" s="345" t="s">
        <v>4</v>
      </c>
      <c r="E60" s="213"/>
      <c r="F60" s="299">
        <v>10000</v>
      </c>
      <c r="G60" s="235">
        <f t="shared" si="1"/>
        <v>30277533</v>
      </c>
      <c r="H60" s="226" t="s">
        <v>49</v>
      </c>
      <c r="I60" s="279" t="s">
        <v>321</v>
      </c>
      <c r="J60" s="183" t="s">
        <v>166</v>
      </c>
      <c r="K60" s="178" t="s">
        <v>299</v>
      </c>
      <c r="L60" s="226" t="s">
        <v>186</v>
      </c>
      <c r="N60" s="226"/>
      <c r="O60" s="226"/>
    </row>
    <row r="61" spans="1:21" ht="15" customHeight="1" x14ac:dyDescent="0.25">
      <c r="A61" s="282">
        <v>44628</v>
      </c>
      <c r="B61" s="226" t="s">
        <v>322</v>
      </c>
      <c r="C61" s="178" t="s">
        <v>34</v>
      </c>
      <c r="D61" s="345" t="s">
        <v>4</v>
      </c>
      <c r="E61" s="211"/>
      <c r="F61" s="299">
        <v>11000</v>
      </c>
      <c r="G61" s="235">
        <f t="shared" si="1"/>
        <v>30266533</v>
      </c>
      <c r="H61" s="226" t="s">
        <v>49</v>
      </c>
      <c r="I61" s="279" t="s">
        <v>222</v>
      </c>
      <c r="J61" s="226" t="s">
        <v>166</v>
      </c>
      <c r="K61" s="226" t="s">
        <v>299</v>
      </c>
      <c r="L61" s="226" t="s">
        <v>186</v>
      </c>
      <c r="N61" s="226"/>
      <c r="O61" s="226"/>
    </row>
    <row r="62" spans="1:21" ht="15" customHeight="1" x14ac:dyDescent="0.25">
      <c r="A62" s="285">
        <v>44628</v>
      </c>
      <c r="B62" s="226" t="s">
        <v>323</v>
      </c>
      <c r="C62" s="178" t="s">
        <v>324</v>
      </c>
      <c r="D62" s="345" t="s">
        <v>4</v>
      </c>
      <c r="E62" s="316"/>
      <c r="F62" s="226">
        <v>150</v>
      </c>
      <c r="G62" s="235">
        <f t="shared" si="1"/>
        <v>30266383</v>
      </c>
      <c r="H62" s="226" t="s">
        <v>49</v>
      </c>
      <c r="I62" s="281" t="s">
        <v>222</v>
      </c>
      <c r="J62" s="226" t="s">
        <v>166</v>
      </c>
      <c r="K62" s="226" t="s">
        <v>299</v>
      </c>
      <c r="L62" s="226" t="s">
        <v>186</v>
      </c>
      <c r="M62" s="233"/>
      <c r="N62" s="233"/>
      <c r="O62" s="233"/>
    </row>
    <row r="63" spans="1:21" ht="15" customHeight="1" x14ac:dyDescent="0.25">
      <c r="A63" s="285">
        <v>44628</v>
      </c>
      <c r="B63" s="226" t="s">
        <v>325</v>
      </c>
      <c r="C63" s="178" t="s">
        <v>324</v>
      </c>
      <c r="D63" s="345" t="s">
        <v>4</v>
      </c>
      <c r="E63" s="316"/>
      <c r="F63" s="299">
        <v>200</v>
      </c>
      <c r="G63" s="235">
        <f t="shared" si="1"/>
        <v>30266183</v>
      </c>
      <c r="H63" s="226" t="s">
        <v>49</v>
      </c>
      <c r="I63" s="281" t="s">
        <v>222</v>
      </c>
      <c r="J63" s="226" t="s">
        <v>166</v>
      </c>
      <c r="K63" s="226" t="s">
        <v>299</v>
      </c>
      <c r="L63" s="226" t="s">
        <v>186</v>
      </c>
      <c r="N63" s="233"/>
      <c r="O63" s="233"/>
    </row>
    <row r="64" spans="1:21" ht="15" customHeight="1" x14ac:dyDescent="0.25">
      <c r="A64" s="282">
        <v>44628</v>
      </c>
      <c r="B64" s="225" t="s">
        <v>323</v>
      </c>
      <c r="C64" s="178" t="s">
        <v>324</v>
      </c>
      <c r="D64" s="345" t="s">
        <v>4</v>
      </c>
      <c r="E64" s="213"/>
      <c r="F64" s="299">
        <v>1200</v>
      </c>
      <c r="G64" s="235">
        <f t="shared" si="1"/>
        <v>30264983</v>
      </c>
      <c r="H64" s="226" t="s">
        <v>49</v>
      </c>
      <c r="I64" s="279" t="s">
        <v>222</v>
      </c>
      <c r="J64" s="226" t="s">
        <v>166</v>
      </c>
      <c r="K64" s="226" t="s">
        <v>299</v>
      </c>
      <c r="L64" s="226" t="s">
        <v>186</v>
      </c>
      <c r="N64" s="233"/>
      <c r="O64" s="226"/>
    </row>
    <row r="65" spans="1:31" ht="15" customHeight="1" x14ac:dyDescent="0.25">
      <c r="A65" s="285">
        <v>44628</v>
      </c>
      <c r="B65" s="286" t="s">
        <v>326</v>
      </c>
      <c r="C65" s="178" t="s">
        <v>324</v>
      </c>
      <c r="D65" s="345" t="s">
        <v>4</v>
      </c>
      <c r="E65" s="212"/>
      <c r="F65" s="239">
        <v>4000</v>
      </c>
      <c r="G65" s="235">
        <f t="shared" si="1"/>
        <v>30260983</v>
      </c>
      <c r="H65" s="241" t="s">
        <v>49</v>
      </c>
      <c r="I65" s="279" t="s">
        <v>233</v>
      </c>
      <c r="J65" s="226" t="s">
        <v>166</v>
      </c>
      <c r="K65" s="226" t="s">
        <v>299</v>
      </c>
      <c r="L65" s="226" t="s">
        <v>186</v>
      </c>
      <c r="M65" s="226"/>
      <c r="N65" s="226"/>
      <c r="O65" s="226"/>
    </row>
    <row r="66" spans="1:31" ht="15" customHeight="1" x14ac:dyDescent="0.25">
      <c r="A66" s="282">
        <v>44628</v>
      </c>
      <c r="B66" s="178" t="s">
        <v>327</v>
      </c>
      <c r="C66" s="226" t="s">
        <v>184</v>
      </c>
      <c r="D66" s="345" t="s">
        <v>4</v>
      </c>
      <c r="E66" s="219"/>
      <c r="F66" s="235">
        <v>1000</v>
      </c>
      <c r="G66" s="235">
        <f t="shared" si="1"/>
        <v>30259983</v>
      </c>
      <c r="H66" s="178" t="s">
        <v>49</v>
      </c>
      <c r="I66" s="183" t="s">
        <v>233</v>
      </c>
      <c r="J66" s="226" t="s">
        <v>166</v>
      </c>
      <c r="K66" s="226" t="s">
        <v>299</v>
      </c>
      <c r="L66" s="226" t="s">
        <v>186</v>
      </c>
      <c r="O66" s="178"/>
      <c r="Z66" s="178">
        <v>44188</v>
      </c>
      <c r="AA66" s="178" t="s">
        <v>272</v>
      </c>
      <c r="AB66" s="178" t="s">
        <v>183</v>
      </c>
      <c r="AC66" s="178" t="s">
        <v>273</v>
      </c>
      <c r="AE66" s="178">
        <v>882</v>
      </c>
    </row>
    <row r="67" spans="1:31" ht="15" customHeight="1" x14ac:dyDescent="0.25">
      <c r="A67" s="282">
        <v>44628</v>
      </c>
      <c r="B67" s="178" t="s">
        <v>414</v>
      </c>
      <c r="C67" s="178" t="s">
        <v>184</v>
      </c>
      <c r="D67" s="345" t="s">
        <v>4</v>
      </c>
      <c r="E67" s="219"/>
      <c r="F67" s="235">
        <v>5000</v>
      </c>
      <c r="G67" s="235">
        <f t="shared" si="1"/>
        <v>30254983</v>
      </c>
      <c r="H67" s="178" t="s">
        <v>49</v>
      </c>
      <c r="I67" s="183" t="s">
        <v>233</v>
      </c>
      <c r="J67" s="226" t="s">
        <v>166</v>
      </c>
      <c r="K67" s="226" t="s">
        <v>299</v>
      </c>
      <c r="L67" s="226" t="s">
        <v>186</v>
      </c>
      <c r="M67" s="248"/>
      <c r="N67" s="256"/>
      <c r="P67" s="248"/>
    </row>
    <row r="68" spans="1:31" ht="15" hidden="1" customHeight="1" x14ac:dyDescent="0.25">
      <c r="A68" s="285">
        <v>44628</v>
      </c>
      <c r="B68" s="178" t="s">
        <v>354</v>
      </c>
      <c r="C68" s="226" t="s">
        <v>76</v>
      </c>
      <c r="D68" s="363"/>
      <c r="E68" s="219">
        <v>40000</v>
      </c>
      <c r="F68" s="299"/>
      <c r="G68" s="235">
        <f t="shared" si="1"/>
        <v>30294983</v>
      </c>
      <c r="H68" s="178" t="s">
        <v>153</v>
      </c>
      <c r="J68" s="178"/>
      <c r="K68" s="227"/>
      <c r="L68" s="226" t="s">
        <v>186</v>
      </c>
      <c r="N68" s="242"/>
      <c r="O68" s="178"/>
      <c r="P68" s="233"/>
    </row>
    <row r="69" spans="1:31" ht="15" hidden="1" customHeight="1" x14ac:dyDescent="0.25">
      <c r="A69" s="282">
        <v>44628</v>
      </c>
      <c r="B69" s="226" t="s">
        <v>374</v>
      </c>
      <c r="C69" s="226" t="s">
        <v>76</v>
      </c>
      <c r="D69" s="279"/>
      <c r="E69" s="211">
        <v>50000</v>
      </c>
      <c r="F69" s="235"/>
      <c r="G69" s="235">
        <f t="shared" si="1"/>
        <v>30344983</v>
      </c>
      <c r="H69" s="226" t="s">
        <v>29</v>
      </c>
      <c r="I69" s="226"/>
      <c r="J69" s="226"/>
      <c r="K69" s="226"/>
      <c r="L69" s="226" t="s">
        <v>186</v>
      </c>
      <c r="N69" s="324"/>
      <c r="O69" s="226"/>
    </row>
    <row r="70" spans="1:31" ht="15" hidden="1" customHeight="1" x14ac:dyDescent="0.25">
      <c r="A70" s="285">
        <v>44628</v>
      </c>
      <c r="B70" s="286" t="s">
        <v>394</v>
      </c>
      <c r="C70" s="226" t="s">
        <v>76</v>
      </c>
      <c r="D70" s="279"/>
      <c r="E70" s="212">
        <v>70000</v>
      </c>
      <c r="F70" s="239"/>
      <c r="G70" s="235">
        <f t="shared" si="1"/>
        <v>30414983</v>
      </c>
      <c r="H70" s="241" t="s">
        <v>114</v>
      </c>
      <c r="I70" s="226"/>
      <c r="J70" s="226"/>
      <c r="K70" s="226"/>
      <c r="L70" s="226" t="s">
        <v>186</v>
      </c>
      <c r="M70" s="226"/>
      <c r="N70" s="226"/>
      <c r="O70" s="226"/>
    </row>
    <row r="71" spans="1:31" ht="15" customHeight="1" x14ac:dyDescent="0.25">
      <c r="A71" s="285">
        <v>44629</v>
      </c>
      <c r="B71" s="286" t="s">
        <v>247</v>
      </c>
      <c r="C71" s="226" t="s">
        <v>189</v>
      </c>
      <c r="D71" s="279" t="s">
        <v>232</v>
      </c>
      <c r="E71" s="315"/>
      <c r="F71" s="299">
        <v>61071</v>
      </c>
      <c r="G71" s="235">
        <f t="shared" si="1"/>
        <v>30353912</v>
      </c>
      <c r="H71" s="226" t="s">
        <v>25</v>
      </c>
      <c r="I71" s="178" t="s">
        <v>240</v>
      </c>
      <c r="J71" s="226" t="s">
        <v>103</v>
      </c>
      <c r="K71" s="178" t="s">
        <v>318</v>
      </c>
      <c r="L71" s="226" t="s">
        <v>186</v>
      </c>
      <c r="M71" s="178" t="s">
        <v>452</v>
      </c>
      <c r="N71" s="177" t="s">
        <v>410</v>
      </c>
      <c r="O71" s="226"/>
    </row>
    <row r="72" spans="1:31" ht="15" customHeight="1" x14ac:dyDescent="0.25">
      <c r="A72" s="282">
        <v>44629</v>
      </c>
      <c r="B72" s="226" t="s">
        <v>248</v>
      </c>
      <c r="C72" s="226" t="s">
        <v>183</v>
      </c>
      <c r="D72" s="279" t="s">
        <v>517</v>
      </c>
      <c r="E72" s="213"/>
      <c r="F72" s="226">
        <v>12175</v>
      </c>
      <c r="G72" s="235">
        <f t="shared" si="1"/>
        <v>30341737</v>
      </c>
      <c r="H72" s="226" t="s">
        <v>25</v>
      </c>
      <c r="I72" s="279" t="s">
        <v>222</v>
      </c>
      <c r="J72" s="226" t="s">
        <v>166</v>
      </c>
      <c r="K72" s="226" t="s">
        <v>299</v>
      </c>
      <c r="L72" s="226" t="s">
        <v>186</v>
      </c>
      <c r="N72" s="226"/>
      <c r="O72" s="226"/>
    </row>
    <row r="73" spans="1:31" ht="15" customHeight="1" x14ac:dyDescent="0.25">
      <c r="A73" s="285">
        <v>44629</v>
      </c>
      <c r="B73" s="184" t="s">
        <v>328</v>
      </c>
      <c r="C73" s="178" t="s">
        <v>157</v>
      </c>
      <c r="D73" s="345" t="s">
        <v>4</v>
      </c>
      <c r="E73" s="222"/>
      <c r="F73" s="239">
        <v>25000</v>
      </c>
      <c r="G73" s="235">
        <f t="shared" si="1"/>
        <v>30316737</v>
      </c>
      <c r="H73" s="205" t="s">
        <v>49</v>
      </c>
      <c r="I73" s="183" t="s">
        <v>222</v>
      </c>
      <c r="J73" s="183" t="s">
        <v>166</v>
      </c>
      <c r="K73" s="178" t="s">
        <v>299</v>
      </c>
      <c r="L73" s="226" t="s">
        <v>186</v>
      </c>
      <c r="O73" s="178"/>
    </row>
    <row r="74" spans="1:31" ht="15" customHeight="1" x14ac:dyDescent="0.25">
      <c r="A74" s="285">
        <v>44629</v>
      </c>
      <c r="B74" s="178" t="s">
        <v>329</v>
      </c>
      <c r="C74" s="178" t="s">
        <v>34</v>
      </c>
      <c r="D74" s="345" t="s">
        <v>4</v>
      </c>
      <c r="E74" s="219"/>
      <c r="F74" s="299">
        <v>20000</v>
      </c>
      <c r="G74" s="235">
        <f t="shared" si="1"/>
        <v>30296737</v>
      </c>
      <c r="H74" s="178" t="s">
        <v>49</v>
      </c>
      <c r="I74" s="183" t="s">
        <v>222</v>
      </c>
      <c r="J74" s="226" t="s">
        <v>166</v>
      </c>
      <c r="K74" s="226" t="s">
        <v>299</v>
      </c>
      <c r="L74" s="226" t="s">
        <v>186</v>
      </c>
      <c r="N74" s="242"/>
      <c r="O74" s="178"/>
    </row>
    <row r="75" spans="1:31" ht="16.5" customHeight="1" x14ac:dyDescent="0.25">
      <c r="A75" s="282">
        <v>44629</v>
      </c>
      <c r="B75" s="178" t="s">
        <v>330</v>
      </c>
      <c r="C75" s="178" t="s">
        <v>324</v>
      </c>
      <c r="D75" s="345" t="s">
        <v>4</v>
      </c>
      <c r="E75" s="219"/>
      <c r="F75" s="235">
        <v>20000</v>
      </c>
      <c r="G75" s="235">
        <f t="shared" si="1"/>
        <v>30276737</v>
      </c>
      <c r="H75" s="178" t="s">
        <v>49</v>
      </c>
      <c r="I75" s="183" t="s">
        <v>222</v>
      </c>
      <c r="J75" s="226" t="s">
        <v>166</v>
      </c>
      <c r="K75" s="226" t="s">
        <v>299</v>
      </c>
      <c r="L75" s="226" t="s">
        <v>186</v>
      </c>
      <c r="O75" s="178"/>
    </row>
    <row r="76" spans="1:31" ht="15" customHeight="1" x14ac:dyDescent="0.25">
      <c r="A76" s="282">
        <v>44629</v>
      </c>
      <c r="B76" s="178" t="s">
        <v>331</v>
      </c>
      <c r="C76" s="178" t="s">
        <v>324</v>
      </c>
      <c r="D76" s="345" t="s">
        <v>4</v>
      </c>
      <c r="E76" s="221"/>
      <c r="F76" s="226">
        <v>1200</v>
      </c>
      <c r="G76" s="235">
        <f t="shared" si="1"/>
        <v>30275537</v>
      </c>
      <c r="H76" s="226" t="s">
        <v>49</v>
      </c>
      <c r="I76" s="183" t="s">
        <v>222</v>
      </c>
      <c r="J76" s="226" t="s">
        <v>166</v>
      </c>
      <c r="K76" s="226" t="s">
        <v>299</v>
      </c>
      <c r="L76" s="226" t="s">
        <v>186</v>
      </c>
      <c r="N76" s="242"/>
      <c r="O76" s="227"/>
      <c r="P76" s="233"/>
    </row>
    <row r="77" spans="1:31" ht="15" hidden="1" customHeight="1" x14ac:dyDescent="0.25">
      <c r="A77" s="282">
        <v>44630</v>
      </c>
      <c r="B77" s="225" t="s">
        <v>94</v>
      </c>
      <c r="C77" s="226" t="s">
        <v>76</v>
      </c>
      <c r="D77" s="183"/>
      <c r="F77" s="226">
        <v>20000</v>
      </c>
      <c r="G77" s="235">
        <f t="shared" si="1"/>
        <v>30255537</v>
      </c>
      <c r="H77" s="226" t="s">
        <v>25</v>
      </c>
      <c r="I77" s="178"/>
      <c r="L77" s="226" t="s">
        <v>186</v>
      </c>
      <c r="N77" s="226"/>
      <c r="O77" s="226"/>
    </row>
    <row r="78" spans="1:31" ht="15" hidden="1" customHeight="1" x14ac:dyDescent="0.25">
      <c r="A78" s="282">
        <v>44630</v>
      </c>
      <c r="B78" s="226" t="s">
        <v>219</v>
      </c>
      <c r="C78" s="226" t="s">
        <v>76</v>
      </c>
      <c r="D78" s="305"/>
      <c r="F78" s="299">
        <v>75000</v>
      </c>
      <c r="G78" s="235">
        <f t="shared" ref="G78:G141" si="2">+G77+E78-F78</f>
        <v>30180537</v>
      </c>
      <c r="H78" s="226" t="s">
        <v>25</v>
      </c>
      <c r="I78" s="226"/>
      <c r="L78" s="226" t="s">
        <v>186</v>
      </c>
      <c r="N78" s="226"/>
      <c r="O78" s="226"/>
    </row>
    <row r="79" spans="1:31" ht="15" customHeight="1" x14ac:dyDescent="0.25">
      <c r="A79" s="285">
        <v>44630</v>
      </c>
      <c r="B79" s="226" t="s">
        <v>516</v>
      </c>
      <c r="C79" s="239" t="s">
        <v>235</v>
      </c>
      <c r="D79" s="364" t="s">
        <v>164</v>
      </c>
      <c r="E79" s="241"/>
      <c r="F79" s="226">
        <v>200000</v>
      </c>
      <c r="G79" s="235">
        <f t="shared" si="2"/>
        <v>29980537</v>
      </c>
      <c r="H79" s="178" t="s">
        <v>158</v>
      </c>
      <c r="I79" s="178">
        <v>3643630</v>
      </c>
      <c r="J79" s="183" t="s">
        <v>166</v>
      </c>
      <c r="K79" s="178" t="s">
        <v>318</v>
      </c>
      <c r="L79" s="226" t="s">
        <v>186</v>
      </c>
      <c r="M79" s="178" t="s">
        <v>453</v>
      </c>
      <c r="N79" s="177" t="s">
        <v>401</v>
      </c>
      <c r="O79" s="226"/>
    </row>
    <row r="80" spans="1:31" ht="15" customHeight="1" x14ac:dyDescent="0.25">
      <c r="A80" s="282">
        <v>44630</v>
      </c>
      <c r="B80" s="226" t="s">
        <v>304</v>
      </c>
      <c r="C80" s="235" t="s">
        <v>235</v>
      </c>
      <c r="D80" s="354" t="s">
        <v>164</v>
      </c>
      <c r="E80" s="226"/>
      <c r="F80" s="226">
        <v>300000</v>
      </c>
      <c r="G80" s="235">
        <f t="shared" si="2"/>
        <v>29680537</v>
      </c>
      <c r="H80" s="178" t="s">
        <v>158</v>
      </c>
      <c r="I80" s="178">
        <v>3643631</v>
      </c>
      <c r="J80" s="183" t="s">
        <v>166</v>
      </c>
      <c r="K80" s="178" t="s">
        <v>318</v>
      </c>
      <c r="L80" s="226" t="s">
        <v>186</v>
      </c>
      <c r="M80" s="178" t="s">
        <v>454</v>
      </c>
      <c r="N80" s="177" t="s">
        <v>401</v>
      </c>
      <c r="O80" s="226"/>
    </row>
    <row r="81" spans="1:16" ht="15" customHeight="1" x14ac:dyDescent="0.25">
      <c r="A81" s="285">
        <v>44630</v>
      </c>
      <c r="B81" s="208" t="s">
        <v>305</v>
      </c>
      <c r="C81" s="358" t="s">
        <v>235</v>
      </c>
      <c r="D81" s="183" t="s">
        <v>164</v>
      </c>
      <c r="E81" s="209"/>
      <c r="F81" s="226">
        <v>300000</v>
      </c>
      <c r="G81" s="235">
        <f t="shared" si="2"/>
        <v>29380537</v>
      </c>
      <c r="H81" s="178" t="s">
        <v>158</v>
      </c>
      <c r="I81" s="178">
        <v>3643632</v>
      </c>
      <c r="J81" s="183" t="s">
        <v>103</v>
      </c>
      <c r="K81" s="178" t="s">
        <v>318</v>
      </c>
      <c r="L81" s="226" t="s">
        <v>186</v>
      </c>
      <c r="M81" s="178" t="s">
        <v>455</v>
      </c>
      <c r="N81" s="177" t="s">
        <v>401</v>
      </c>
      <c r="O81" s="178"/>
    </row>
    <row r="82" spans="1:16" ht="15" hidden="1" customHeight="1" x14ac:dyDescent="0.25">
      <c r="A82" s="282">
        <v>44630</v>
      </c>
      <c r="B82" s="178" t="s">
        <v>424</v>
      </c>
      <c r="C82" s="226" t="s">
        <v>76</v>
      </c>
      <c r="D82" s="363"/>
      <c r="E82" s="221">
        <v>75000</v>
      </c>
      <c r="F82" s="226"/>
      <c r="G82" s="235">
        <f t="shared" si="2"/>
        <v>29455537</v>
      </c>
      <c r="H82" s="226" t="s">
        <v>49</v>
      </c>
      <c r="J82" s="178"/>
      <c r="K82" s="227"/>
      <c r="L82" s="226" t="s">
        <v>186</v>
      </c>
      <c r="N82" s="242"/>
      <c r="O82" s="227"/>
      <c r="P82" s="233"/>
    </row>
    <row r="83" spans="1:16" ht="15" customHeight="1" x14ac:dyDescent="0.25">
      <c r="A83" s="282">
        <v>44630</v>
      </c>
      <c r="B83" s="178" t="s">
        <v>332</v>
      </c>
      <c r="C83" s="178" t="s">
        <v>34</v>
      </c>
      <c r="D83" s="345" t="s">
        <v>4</v>
      </c>
      <c r="E83" s="221"/>
      <c r="F83" s="226">
        <v>15000</v>
      </c>
      <c r="G83" s="235">
        <f t="shared" si="2"/>
        <v>29440537</v>
      </c>
      <c r="H83" s="226" t="s">
        <v>49</v>
      </c>
      <c r="I83" s="183" t="s">
        <v>233</v>
      </c>
      <c r="J83" s="178" t="s">
        <v>166</v>
      </c>
      <c r="K83" s="178" t="s">
        <v>318</v>
      </c>
      <c r="L83" s="226" t="s">
        <v>186</v>
      </c>
      <c r="M83" s="178" t="s">
        <v>456</v>
      </c>
      <c r="N83" s="242" t="s">
        <v>416</v>
      </c>
      <c r="O83" s="227"/>
      <c r="P83" s="227"/>
    </row>
    <row r="84" spans="1:16" ht="15" hidden="1" customHeight="1" x14ac:dyDescent="0.25">
      <c r="A84" s="284">
        <v>44630</v>
      </c>
      <c r="B84" s="286" t="s">
        <v>319</v>
      </c>
      <c r="C84" s="226" t="s">
        <v>76</v>
      </c>
      <c r="D84" s="279"/>
      <c r="E84" s="212">
        <v>20000</v>
      </c>
      <c r="F84" s="240"/>
      <c r="G84" s="235">
        <f t="shared" si="2"/>
        <v>29460537</v>
      </c>
      <c r="H84" s="286" t="s">
        <v>94</v>
      </c>
      <c r="I84" s="230"/>
      <c r="J84" s="226"/>
      <c r="K84" s="226"/>
      <c r="L84" s="226" t="s">
        <v>186</v>
      </c>
      <c r="N84" s="244"/>
      <c r="O84" s="233"/>
    </row>
    <row r="85" spans="1:16" ht="17.25" hidden="1" customHeight="1" x14ac:dyDescent="0.25">
      <c r="A85" s="282">
        <v>44631</v>
      </c>
      <c r="B85" s="226" t="s">
        <v>344</v>
      </c>
      <c r="C85" s="226" t="s">
        <v>76</v>
      </c>
      <c r="D85" s="279"/>
      <c r="E85" s="213">
        <v>15000</v>
      </c>
      <c r="F85" s="299"/>
      <c r="G85" s="235">
        <f t="shared" si="2"/>
        <v>29475537</v>
      </c>
      <c r="H85" s="226" t="s">
        <v>31</v>
      </c>
      <c r="I85" s="178"/>
      <c r="J85" s="226"/>
      <c r="K85" s="226"/>
      <c r="L85" s="226" t="s">
        <v>186</v>
      </c>
      <c r="N85" s="324"/>
      <c r="O85" s="226"/>
    </row>
    <row r="86" spans="1:16" ht="17.25" hidden="1" customHeight="1" x14ac:dyDescent="0.25">
      <c r="A86" s="282">
        <v>44631</v>
      </c>
      <c r="B86" s="178" t="s">
        <v>249</v>
      </c>
      <c r="C86" s="226" t="s">
        <v>76</v>
      </c>
      <c r="D86" s="363"/>
      <c r="E86" s="221">
        <v>1000000</v>
      </c>
      <c r="F86" s="226"/>
      <c r="G86" s="235">
        <f t="shared" si="2"/>
        <v>30475537</v>
      </c>
      <c r="H86" s="226" t="s">
        <v>25</v>
      </c>
      <c r="I86" s="178"/>
      <c r="J86" s="178"/>
      <c r="L86" s="226" t="s">
        <v>186</v>
      </c>
      <c r="O86" s="178"/>
    </row>
    <row r="87" spans="1:16" ht="13.5" customHeight="1" x14ac:dyDescent="0.25">
      <c r="A87" s="282">
        <v>44631</v>
      </c>
      <c r="B87" s="178" t="s">
        <v>250</v>
      </c>
      <c r="C87" s="178" t="s">
        <v>207</v>
      </c>
      <c r="D87" s="363" t="s">
        <v>251</v>
      </c>
      <c r="E87" s="221"/>
      <c r="F87" s="299">
        <v>80000</v>
      </c>
      <c r="G87" s="235">
        <f t="shared" si="2"/>
        <v>30395537</v>
      </c>
      <c r="H87" s="226" t="s">
        <v>25</v>
      </c>
      <c r="I87" s="183" t="s">
        <v>238</v>
      </c>
      <c r="J87" s="226" t="s">
        <v>166</v>
      </c>
      <c r="K87" s="226" t="s">
        <v>299</v>
      </c>
      <c r="L87" s="226" t="s">
        <v>186</v>
      </c>
      <c r="N87" s="242"/>
      <c r="O87" s="227"/>
    </row>
    <row r="88" spans="1:16" ht="15" customHeight="1" x14ac:dyDescent="0.25">
      <c r="A88" s="285">
        <v>44631</v>
      </c>
      <c r="B88" s="184" t="s">
        <v>252</v>
      </c>
      <c r="C88" s="178" t="s">
        <v>207</v>
      </c>
      <c r="D88" s="183" t="s">
        <v>164</v>
      </c>
      <c r="E88" s="222"/>
      <c r="F88" s="239">
        <v>80000</v>
      </c>
      <c r="G88" s="235">
        <f t="shared" si="2"/>
        <v>30315537</v>
      </c>
      <c r="H88" s="205" t="s">
        <v>25</v>
      </c>
      <c r="I88" s="183" t="s">
        <v>238</v>
      </c>
      <c r="J88" s="226" t="s">
        <v>166</v>
      </c>
      <c r="K88" s="226" t="s">
        <v>299</v>
      </c>
      <c r="L88" s="226" t="s">
        <v>186</v>
      </c>
      <c r="O88" s="178"/>
      <c r="P88" s="227"/>
    </row>
    <row r="89" spans="1:16" ht="15" customHeight="1" x14ac:dyDescent="0.25">
      <c r="A89" s="282">
        <v>44631</v>
      </c>
      <c r="B89" s="226" t="s">
        <v>253</v>
      </c>
      <c r="C89" s="226" t="s">
        <v>207</v>
      </c>
      <c r="D89" s="279" t="s">
        <v>164</v>
      </c>
      <c r="E89" s="211"/>
      <c r="F89" s="235">
        <v>40000</v>
      </c>
      <c r="G89" s="235">
        <f t="shared" si="2"/>
        <v>30275537</v>
      </c>
      <c r="H89" s="226" t="s">
        <v>25</v>
      </c>
      <c r="I89" s="345" t="s">
        <v>238</v>
      </c>
      <c r="J89" s="226" t="s">
        <v>166</v>
      </c>
      <c r="K89" s="226" t="s">
        <v>299</v>
      </c>
      <c r="L89" s="226" t="s">
        <v>186</v>
      </c>
      <c r="N89" s="230"/>
      <c r="O89" s="226"/>
    </row>
    <row r="90" spans="1:16" ht="15" customHeight="1" x14ac:dyDescent="0.25">
      <c r="A90" s="282">
        <v>44631</v>
      </c>
      <c r="B90" s="226" t="s">
        <v>254</v>
      </c>
      <c r="C90" s="226" t="s">
        <v>207</v>
      </c>
      <c r="D90" s="279" t="s">
        <v>165</v>
      </c>
      <c r="E90" s="211"/>
      <c r="F90" s="235">
        <v>20000</v>
      </c>
      <c r="G90" s="235">
        <f t="shared" si="2"/>
        <v>30255537</v>
      </c>
      <c r="H90" s="226" t="s">
        <v>25</v>
      </c>
      <c r="I90" s="279" t="s">
        <v>238</v>
      </c>
      <c r="J90" s="226" t="s">
        <v>166</v>
      </c>
      <c r="K90" s="226" t="s">
        <v>299</v>
      </c>
      <c r="L90" s="226" t="s">
        <v>186</v>
      </c>
      <c r="N90" s="226"/>
      <c r="O90" s="226"/>
    </row>
    <row r="91" spans="1:16" ht="15" customHeight="1" x14ac:dyDescent="0.25">
      <c r="A91" s="283">
        <v>44631</v>
      </c>
      <c r="B91" s="226" t="s">
        <v>255</v>
      </c>
      <c r="C91" s="178" t="s">
        <v>207</v>
      </c>
      <c r="D91" s="279" t="s">
        <v>251</v>
      </c>
      <c r="E91" s="313"/>
      <c r="F91" s="371">
        <v>60000</v>
      </c>
      <c r="G91" s="235">
        <f t="shared" si="2"/>
        <v>30195537</v>
      </c>
      <c r="H91" s="230" t="s">
        <v>25</v>
      </c>
      <c r="I91" s="183" t="s">
        <v>238</v>
      </c>
      <c r="J91" s="226" t="s">
        <v>166</v>
      </c>
      <c r="K91" s="226" t="s">
        <v>299</v>
      </c>
      <c r="L91" s="226" t="s">
        <v>186</v>
      </c>
      <c r="N91" s="226"/>
      <c r="O91" s="230"/>
    </row>
    <row r="92" spans="1:16" ht="15" customHeight="1" x14ac:dyDescent="0.25">
      <c r="A92" s="282">
        <v>44631</v>
      </c>
      <c r="B92" s="226" t="s">
        <v>256</v>
      </c>
      <c r="C92" s="226" t="s">
        <v>207</v>
      </c>
      <c r="D92" s="363" t="s">
        <v>251</v>
      </c>
      <c r="E92" s="213"/>
      <c r="F92" s="226">
        <v>40000</v>
      </c>
      <c r="G92" s="235">
        <f t="shared" si="2"/>
        <v>30155537</v>
      </c>
      <c r="H92" s="226" t="s">
        <v>25</v>
      </c>
      <c r="I92" s="279" t="s">
        <v>238</v>
      </c>
      <c r="J92" s="226" t="s">
        <v>166</v>
      </c>
      <c r="K92" s="226" t="s">
        <v>299</v>
      </c>
      <c r="L92" s="226" t="s">
        <v>186</v>
      </c>
      <c r="N92" s="226"/>
      <c r="O92" s="226"/>
    </row>
    <row r="93" spans="1:16" ht="15" customHeight="1" x14ac:dyDescent="0.25">
      <c r="A93" s="282">
        <v>44631</v>
      </c>
      <c r="B93" s="226" t="s">
        <v>257</v>
      </c>
      <c r="C93" s="226" t="s">
        <v>207</v>
      </c>
      <c r="D93" s="363" t="s">
        <v>251</v>
      </c>
      <c r="E93" s="213"/>
      <c r="F93" s="226">
        <v>40000</v>
      </c>
      <c r="G93" s="235">
        <f t="shared" si="2"/>
        <v>30115537</v>
      </c>
      <c r="H93" s="226" t="s">
        <v>25</v>
      </c>
      <c r="I93" s="279" t="s">
        <v>238</v>
      </c>
      <c r="J93" s="226" t="s">
        <v>166</v>
      </c>
      <c r="K93" s="226" t="s">
        <v>299</v>
      </c>
      <c r="L93" s="226" t="s">
        <v>186</v>
      </c>
      <c r="N93" s="226"/>
      <c r="O93" s="226"/>
    </row>
    <row r="94" spans="1:16" ht="15" hidden="1" customHeight="1" x14ac:dyDescent="0.25">
      <c r="A94" s="282">
        <v>44631</v>
      </c>
      <c r="B94" s="226" t="s">
        <v>31</v>
      </c>
      <c r="C94" s="226" t="s">
        <v>76</v>
      </c>
      <c r="D94" s="279"/>
      <c r="E94" s="211"/>
      <c r="F94" s="299">
        <v>15000</v>
      </c>
      <c r="G94" s="235">
        <f t="shared" si="2"/>
        <v>30100537</v>
      </c>
      <c r="H94" s="226" t="s">
        <v>25</v>
      </c>
      <c r="I94" s="178"/>
      <c r="J94" s="226"/>
      <c r="K94" s="226"/>
      <c r="L94" s="226" t="s">
        <v>186</v>
      </c>
      <c r="N94" s="324"/>
      <c r="O94" s="226"/>
    </row>
    <row r="95" spans="1:16" ht="15" customHeight="1" x14ac:dyDescent="0.25">
      <c r="A95" s="282">
        <v>44631</v>
      </c>
      <c r="B95" s="226" t="s">
        <v>259</v>
      </c>
      <c r="C95" s="226" t="s">
        <v>207</v>
      </c>
      <c r="D95" s="279" t="s">
        <v>165</v>
      </c>
      <c r="E95" s="211"/>
      <c r="F95" s="299">
        <v>45000</v>
      </c>
      <c r="G95" s="235">
        <f t="shared" si="2"/>
        <v>30055537</v>
      </c>
      <c r="H95" s="226" t="s">
        <v>25</v>
      </c>
      <c r="I95" s="183" t="s">
        <v>238</v>
      </c>
      <c r="J95" s="226" t="s">
        <v>166</v>
      </c>
      <c r="K95" s="226" t="s">
        <v>299</v>
      </c>
      <c r="L95" s="226" t="s">
        <v>186</v>
      </c>
      <c r="N95" s="324"/>
      <c r="O95" s="226"/>
    </row>
    <row r="96" spans="1:16" ht="15" customHeight="1" x14ac:dyDescent="0.25">
      <c r="A96" s="282">
        <v>44631</v>
      </c>
      <c r="B96" s="226" t="s">
        <v>258</v>
      </c>
      <c r="C96" s="226" t="s">
        <v>207</v>
      </c>
      <c r="D96" s="279" t="s">
        <v>165</v>
      </c>
      <c r="E96" s="211"/>
      <c r="F96" s="299">
        <v>29000</v>
      </c>
      <c r="G96" s="235">
        <f t="shared" si="2"/>
        <v>30026537</v>
      </c>
      <c r="H96" s="226" t="s">
        <v>25</v>
      </c>
      <c r="I96" s="183" t="s">
        <v>238</v>
      </c>
      <c r="J96" s="226" t="s">
        <v>166</v>
      </c>
      <c r="K96" s="226" t="s">
        <v>299</v>
      </c>
      <c r="L96" s="226" t="s">
        <v>186</v>
      </c>
      <c r="N96" s="226"/>
      <c r="O96" s="226"/>
    </row>
    <row r="97" spans="1:16" ht="15" customHeight="1" x14ac:dyDescent="0.25">
      <c r="A97" s="282">
        <v>44631</v>
      </c>
      <c r="B97" s="226" t="s">
        <v>260</v>
      </c>
      <c r="C97" s="226" t="s">
        <v>35</v>
      </c>
      <c r="D97" s="279" t="s">
        <v>232</v>
      </c>
      <c r="E97" s="213"/>
      <c r="F97" s="236">
        <v>27250</v>
      </c>
      <c r="G97" s="235">
        <f t="shared" si="2"/>
        <v>29999287</v>
      </c>
      <c r="H97" s="226" t="s">
        <v>25</v>
      </c>
      <c r="I97" s="226" t="s">
        <v>240</v>
      </c>
      <c r="J97" s="226" t="s">
        <v>166</v>
      </c>
      <c r="K97" s="178" t="s">
        <v>318</v>
      </c>
      <c r="L97" s="226" t="s">
        <v>186</v>
      </c>
      <c r="M97" s="178" t="s">
        <v>457</v>
      </c>
      <c r="N97" s="177" t="s">
        <v>404</v>
      </c>
      <c r="O97" s="226"/>
    </row>
    <row r="98" spans="1:16" ht="15" hidden="1" customHeight="1" x14ac:dyDescent="0.25">
      <c r="A98" s="284">
        <v>44631</v>
      </c>
      <c r="B98" s="231" t="s">
        <v>261</v>
      </c>
      <c r="C98" s="226" t="s">
        <v>76</v>
      </c>
      <c r="D98" s="361"/>
      <c r="E98" s="232">
        <v>40000</v>
      </c>
      <c r="F98" s="240"/>
      <c r="G98" s="235">
        <f t="shared" si="2"/>
        <v>30039287</v>
      </c>
      <c r="H98" s="231" t="s">
        <v>25</v>
      </c>
      <c r="I98" s="233"/>
      <c r="J98" s="233"/>
      <c r="K98" s="231"/>
      <c r="L98" s="226" t="s">
        <v>186</v>
      </c>
      <c r="N98" s="233"/>
      <c r="O98" s="233"/>
    </row>
    <row r="99" spans="1:16" ht="15" hidden="1" customHeight="1" x14ac:dyDescent="0.25">
      <c r="A99" s="282">
        <v>44631</v>
      </c>
      <c r="B99" s="184" t="s">
        <v>306</v>
      </c>
      <c r="C99" s="226" t="s">
        <v>76</v>
      </c>
      <c r="D99" s="183"/>
      <c r="E99" s="178"/>
      <c r="F99" s="226">
        <v>1000000</v>
      </c>
      <c r="G99" s="235">
        <f t="shared" si="2"/>
        <v>29039287</v>
      </c>
      <c r="H99" s="178" t="s">
        <v>158</v>
      </c>
      <c r="I99" s="178"/>
      <c r="L99" s="226" t="s">
        <v>186</v>
      </c>
      <c r="O99" s="178"/>
    </row>
    <row r="100" spans="1:16" ht="15" customHeight="1" x14ac:dyDescent="0.25">
      <c r="A100" s="284">
        <v>44631</v>
      </c>
      <c r="B100" s="305" t="s">
        <v>307</v>
      </c>
      <c r="C100" s="198" t="s">
        <v>183</v>
      </c>
      <c r="D100" s="354" t="s">
        <v>2</v>
      </c>
      <c r="E100" s="178"/>
      <c r="F100" s="226">
        <v>1311914</v>
      </c>
      <c r="G100" s="235">
        <f t="shared" si="2"/>
        <v>27727373</v>
      </c>
      <c r="H100" s="178" t="s">
        <v>158</v>
      </c>
      <c r="I100" s="200">
        <v>3643629</v>
      </c>
      <c r="J100" s="183" t="s">
        <v>103</v>
      </c>
      <c r="K100" s="178" t="s">
        <v>318</v>
      </c>
      <c r="L100" s="226" t="s">
        <v>186</v>
      </c>
      <c r="M100" s="178" t="s">
        <v>458</v>
      </c>
      <c r="N100" s="177" t="s">
        <v>405</v>
      </c>
      <c r="O100" s="178"/>
    </row>
    <row r="101" spans="1:16" ht="15" customHeight="1" x14ac:dyDescent="0.25">
      <c r="A101" s="282">
        <v>44631</v>
      </c>
      <c r="B101" s="178" t="s">
        <v>333</v>
      </c>
      <c r="C101" s="178" t="s">
        <v>157</v>
      </c>
      <c r="D101" s="345" t="s">
        <v>4</v>
      </c>
      <c r="E101" s="221"/>
      <c r="F101" s="226">
        <v>40000</v>
      </c>
      <c r="G101" s="235">
        <f t="shared" si="2"/>
        <v>27687373</v>
      </c>
      <c r="H101" s="226" t="s">
        <v>49</v>
      </c>
      <c r="I101" s="183" t="s">
        <v>321</v>
      </c>
      <c r="J101" s="226" t="s">
        <v>166</v>
      </c>
      <c r="K101" s="178" t="s">
        <v>318</v>
      </c>
      <c r="L101" s="226" t="s">
        <v>186</v>
      </c>
      <c r="M101" s="178" t="s">
        <v>459</v>
      </c>
      <c r="N101" s="177" t="s">
        <v>417</v>
      </c>
      <c r="O101" s="227"/>
      <c r="P101" s="227"/>
    </row>
    <row r="102" spans="1:16" ht="15" hidden="1" customHeight="1" x14ac:dyDescent="0.25">
      <c r="A102" s="282">
        <v>44631</v>
      </c>
      <c r="B102" s="178" t="s">
        <v>355</v>
      </c>
      <c r="C102" s="226" t="s">
        <v>76</v>
      </c>
      <c r="D102" s="363"/>
      <c r="E102" s="221"/>
      <c r="F102" s="299">
        <v>40000</v>
      </c>
      <c r="G102" s="235">
        <f t="shared" si="2"/>
        <v>27647373</v>
      </c>
      <c r="H102" s="178" t="s">
        <v>153</v>
      </c>
      <c r="K102" s="183"/>
      <c r="L102" s="226" t="s">
        <v>186</v>
      </c>
      <c r="O102" s="227"/>
      <c r="P102" s="227"/>
    </row>
    <row r="103" spans="1:16" ht="15" customHeight="1" x14ac:dyDescent="0.25">
      <c r="A103" s="282">
        <v>44631</v>
      </c>
      <c r="B103" s="226" t="s">
        <v>377</v>
      </c>
      <c r="C103" s="226" t="s">
        <v>34</v>
      </c>
      <c r="D103" s="345" t="s">
        <v>4</v>
      </c>
      <c r="E103" s="211"/>
      <c r="F103" s="299">
        <v>10000</v>
      </c>
      <c r="G103" s="235">
        <f t="shared" si="2"/>
        <v>27637373</v>
      </c>
      <c r="H103" s="226" t="s">
        <v>29</v>
      </c>
      <c r="I103" s="279" t="s">
        <v>222</v>
      </c>
      <c r="J103" s="226" t="s">
        <v>166</v>
      </c>
      <c r="K103" s="178" t="s">
        <v>318</v>
      </c>
      <c r="L103" s="226" t="s">
        <v>186</v>
      </c>
      <c r="M103" s="178" t="s">
        <v>460</v>
      </c>
      <c r="N103" s="346" t="s">
        <v>416</v>
      </c>
      <c r="O103" s="226"/>
    </row>
    <row r="104" spans="1:16" ht="15" customHeight="1" x14ac:dyDescent="0.25">
      <c r="A104" s="285">
        <v>44632</v>
      </c>
      <c r="B104" s="226" t="s">
        <v>378</v>
      </c>
      <c r="C104" s="226" t="s">
        <v>157</v>
      </c>
      <c r="D104" s="345" t="s">
        <v>4</v>
      </c>
      <c r="E104" s="212"/>
      <c r="F104" s="299">
        <v>90000</v>
      </c>
      <c r="G104" s="235">
        <f t="shared" si="2"/>
        <v>27547373</v>
      </c>
      <c r="H104" s="226" t="s">
        <v>29</v>
      </c>
      <c r="I104" s="289" t="s">
        <v>222</v>
      </c>
      <c r="J104" s="178" t="s">
        <v>166</v>
      </c>
      <c r="K104" s="178" t="s">
        <v>318</v>
      </c>
      <c r="L104" s="226" t="s">
        <v>186</v>
      </c>
      <c r="M104" s="178" t="s">
        <v>461</v>
      </c>
      <c r="N104" s="177" t="s">
        <v>417</v>
      </c>
      <c r="O104" s="226"/>
    </row>
    <row r="105" spans="1:16" ht="15" customHeight="1" x14ac:dyDescent="0.25">
      <c r="A105" s="282">
        <v>44633</v>
      </c>
      <c r="B105" s="178" t="s">
        <v>334</v>
      </c>
      <c r="C105" s="178" t="s">
        <v>34</v>
      </c>
      <c r="D105" s="345" t="s">
        <v>4</v>
      </c>
      <c r="F105" s="234">
        <v>5000</v>
      </c>
      <c r="G105" s="235">
        <f t="shared" si="2"/>
        <v>27542373</v>
      </c>
      <c r="H105" s="178" t="s">
        <v>49</v>
      </c>
      <c r="I105" s="183" t="s">
        <v>233</v>
      </c>
      <c r="J105" s="178" t="s">
        <v>166</v>
      </c>
      <c r="K105" s="178" t="s">
        <v>318</v>
      </c>
      <c r="L105" s="226" t="s">
        <v>186</v>
      </c>
      <c r="M105" s="178" t="s">
        <v>462</v>
      </c>
      <c r="N105" s="242" t="s">
        <v>416</v>
      </c>
      <c r="O105" s="178"/>
      <c r="P105" s="228"/>
    </row>
    <row r="106" spans="1:16" ht="15" customHeight="1" x14ac:dyDescent="0.25">
      <c r="A106" s="285">
        <v>44633</v>
      </c>
      <c r="B106" s="178" t="s">
        <v>335</v>
      </c>
      <c r="C106" s="178" t="s">
        <v>34</v>
      </c>
      <c r="D106" s="345" t="s">
        <v>4</v>
      </c>
      <c r="E106" s="221"/>
      <c r="F106" s="238">
        <v>5000</v>
      </c>
      <c r="G106" s="235">
        <f t="shared" si="2"/>
        <v>27537373</v>
      </c>
      <c r="H106" s="209" t="s">
        <v>49</v>
      </c>
      <c r="I106" s="183" t="s">
        <v>233</v>
      </c>
      <c r="J106" s="178" t="s">
        <v>166</v>
      </c>
      <c r="K106" s="178" t="s">
        <v>318</v>
      </c>
      <c r="L106" s="226" t="s">
        <v>186</v>
      </c>
      <c r="M106" s="178" t="s">
        <v>463</v>
      </c>
      <c r="N106" s="242" t="s">
        <v>416</v>
      </c>
      <c r="O106" s="178"/>
    </row>
    <row r="107" spans="1:16" ht="15" hidden="1" customHeight="1" x14ac:dyDescent="0.25">
      <c r="A107" s="282">
        <v>44634</v>
      </c>
      <c r="B107" s="178" t="s">
        <v>230</v>
      </c>
      <c r="C107" s="226" t="s">
        <v>76</v>
      </c>
      <c r="D107" s="363"/>
      <c r="E107" s="221"/>
      <c r="F107" s="236">
        <v>3000</v>
      </c>
      <c r="G107" s="235">
        <f t="shared" si="2"/>
        <v>27534373</v>
      </c>
      <c r="H107" s="178" t="s">
        <v>25</v>
      </c>
      <c r="I107" s="178"/>
      <c r="J107" s="178"/>
      <c r="L107" s="226" t="s">
        <v>186</v>
      </c>
      <c r="O107" s="178"/>
    </row>
    <row r="108" spans="1:16" ht="15" customHeight="1" x14ac:dyDescent="0.25">
      <c r="A108" s="282">
        <v>44634</v>
      </c>
      <c r="B108" s="178" t="s">
        <v>262</v>
      </c>
      <c r="C108" s="178" t="s">
        <v>207</v>
      </c>
      <c r="D108" s="363" t="s">
        <v>165</v>
      </c>
      <c r="E108" s="221"/>
      <c r="F108" s="299">
        <v>6000</v>
      </c>
      <c r="G108" s="235">
        <f t="shared" si="2"/>
        <v>27528373</v>
      </c>
      <c r="H108" s="178" t="s">
        <v>25</v>
      </c>
      <c r="I108" s="183" t="s">
        <v>238</v>
      </c>
      <c r="J108" s="226" t="s">
        <v>166</v>
      </c>
      <c r="K108" s="226" t="s">
        <v>299</v>
      </c>
      <c r="L108" s="226" t="s">
        <v>186</v>
      </c>
      <c r="N108" s="242" t="s">
        <v>263</v>
      </c>
      <c r="O108" s="227"/>
    </row>
    <row r="109" spans="1:16" ht="15" hidden="1" customHeight="1" x14ac:dyDescent="0.25">
      <c r="A109" s="282">
        <v>44634</v>
      </c>
      <c r="B109" s="178" t="s">
        <v>264</v>
      </c>
      <c r="C109" s="226" t="s">
        <v>76</v>
      </c>
      <c r="D109" s="363"/>
      <c r="E109" s="221"/>
      <c r="F109" s="236">
        <v>15000</v>
      </c>
      <c r="G109" s="235">
        <f t="shared" si="2"/>
        <v>27513373</v>
      </c>
      <c r="H109" s="178" t="s">
        <v>25</v>
      </c>
      <c r="I109" s="178"/>
      <c r="J109" s="216"/>
      <c r="K109" s="209"/>
      <c r="L109" s="226" t="s">
        <v>186</v>
      </c>
      <c r="N109" s="242"/>
      <c r="O109" s="227"/>
    </row>
    <row r="110" spans="1:16" ht="18.75" hidden="1" customHeight="1" x14ac:dyDescent="0.25">
      <c r="A110" s="285">
        <v>44634</v>
      </c>
      <c r="B110" s="184" t="s">
        <v>265</v>
      </c>
      <c r="C110" s="226" t="s">
        <v>76</v>
      </c>
      <c r="D110" s="183"/>
      <c r="E110" s="222"/>
      <c r="F110" s="374">
        <v>15000</v>
      </c>
      <c r="G110" s="235">
        <f t="shared" si="2"/>
        <v>27498373</v>
      </c>
      <c r="H110" s="206" t="s">
        <v>25</v>
      </c>
      <c r="I110" s="178"/>
      <c r="K110" s="183"/>
      <c r="L110" s="226" t="s">
        <v>186</v>
      </c>
      <c r="O110" s="178"/>
      <c r="P110" s="227"/>
    </row>
    <row r="111" spans="1:16" s="278" customFormat="1" ht="18.75" customHeight="1" x14ac:dyDescent="0.25">
      <c r="A111" s="377">
        <v>44634</v>
      </c>
      <c r="B111" s="352" t="s">
        <v>294</v>
      </c>
      <c r="C111" s="278" t="s">
        <v>295</v>
      </c>
      <c r="D111" s="365"/>
      <c r="E111" s="278">
        <v>11432442</v>
      </c>
      <c r="G111" s="235">
        <f t="shared" si="2"/>
        <v>38930815</v>
      </c>
      <c r="H111" s="278" t="s">
        <v>24</v>
      </c>
      <c r="I111" s="350" t="s">
        <v>292</v>
      </c>
      <c r="J111" s="278" t="s">
        <v>166</v>
      </c>
      <c r="K111" s="378" t="s">
        <v>299</v>
      </c>
      <c r="L111" s="278" t="s">
        <v>186</v>
      </c>
      <c r="N111" s="353"/>
    </row>
    <row r="112" spans="1:16" ht="18.75" customHeight="1" x14ac:dyDescent="0.25">
      <c r="A112" s="282">
        <v>44634</v>
      </c>
      <c r="B112" s="178" t="s">
        <v>308</v>
      </c>
      <c r="C112" s="200" t="s">
        <v>183</v>
      </c>
      <c r="D112" s="343" t="s">
        <v>164</v>
      </c>
      <c r="E112" s="178"/>
      <c r="F112" s="226">
        <v>324770</v>
      </c>
      <c r="G112" s="235">
        <f t="shared" si="2"/>
        <v>38606045</v>
      </c>
      <c r="H112" s="178" t="s">
        <v>158</v>
      </c>
      <c r="I112" s="178">
        <v>3643634</v>
      </c>
      <c r="J112" s="183" t="s">
        <v>103</v>
      </c>
      <c r="K112" s="178" t="s">
        <v>318</v>
      </c>
      <c r="L112" s="226" t="s">
        <v>186</v>
      </c>
      <c r="M112" s="178" t="s">
        <v>464</v>
      </c>
      <c r="N112" s="177" t="s">
        <v>409</v>
      </c>
      <c r="O112" s="178"/>
    </row>
    <row r="113" spans="1:16" ht="16.5" customHeight="1" x14ac:dyDescent="0.25">
      <c r="A113" s="282">
        <v>44634</v>
      </c>
      <c r="B113" s="226" t="s">
        <v>343</v>
      </c>
      <c r="C113" s="226" t="s">
        <v>34</v>
      </c>
      <c r="D113" s="279" t="s">
        <v>2</v>
      </c>
      <c r="E113" s="211"/>
      <c r="F113" s="299">
        <v>4000</v>
      </c>
      <c r="G113" s="235">
        <f t="shared" si="2"/>
        <v>38602045</v>
      </c>
      <c r="H113" s="226" t="s">
        <v>48</v>
      </c>
      <c r="I113" s="178" t="s">
        <v>321</v>
      </c>
      <c r="J113" s="226" t="s">
        <v>166</v>
      </c>
      <c r="K113" s="178" t="s">
        <v>318</v>
      </c>
      <c r="L113" s="226" t="s">
        <v>186</v>
      </c>
      <c r="M113" s="178" t="s">
        <v>465</v>
      </c>
      <c r="N113" s="346" t="s">
        <v>416</v>
      </c>
      <c r="O113" s="226"/>
    </row>
    <row r="114" spans="1:16" ht="15" hidden="1" customHeight="1" x14ac:dyDescent="0.25">
      <c r="A114" s="282">
        <v>44634</v>
      </c>
      <c r="B114" s="226" t="s">
        <v>319</v>
      </c>
      <c r="C114" s="226" t="s">
        <v>76</v>
      </c>
      <c r="D114" s="279"/>
      <c r="E114" s="211">
        <v>3000</v>
      </c>
      <c r="F114" s="299"/>
      <c r="G114" s="235">
        <f t="shared" si="2"/>
        <v>38605045</v>
      </c>
      <c r="H114" s="226" t="s">
        <v>153</v>
      </c>
      <c r="I114" s="178"/>
      <c r="J114" s="226"/>
      <c r="K114" s="226"/>
      <c r="L114" s="226" t="s">
        <v>186</v>
      </c>
      <c r="N114" s="324"/>
      <c r="O114" s="226"/>
    </row>
    <row r="115" spans="1:16" ht="15" hidden="1" customHeight="1" x14ac:dyDescent="0.25">
      <c r="A115" s="282">
        <v>44634</v>
      </c>
      <c r="B115" s="178" t="s">
        <v>319</v>
      </c>
      <c r="C115" s="226" t="s">
        <v>76</v>
      </c>
      <c r="D115" s="183"/>
      <c r="E115" s="195">
        <v>15000</v>
      </c>
      <c r="F115" s="234"/>
      <c r="G115" s="235">
        <f t="shared" si="2"/>
        <v>38620045</v>
      </c>
      <c r="H115" s="178" t="s">
        <v>265</v>
      </c>
      <c r="L115" s="226" t="s">
        <v>186</v>
      </c>
      <c r="O115" s="178"/>
      <c r="P115" s="227"/>
    </row>
    <row r="116" spans="1:16" ht="15" hidden="1" customHeight="1" x14ac:dyDescent="0.25">
      <c r="A116" s="282">
        <v>44634</v>
      </c>
      <c r="B116" s="226" t="s">
        <v>319</v>
      </c>
      <c r="C116" s="226" t="s">
        <v>76</v>
      </c>
      <c r="D116" s="279"/>
      <c r="E116" s="213">
        <v>15000</v>
      </c>
      <c r="F116" s="299"/>
      <c r="G116" s="235">
        <f t="shared" si="2"/>
        <v>38635045</v>
      </c>
      <c r="H116" s="226" t="s">
        <v>264</v>
      </c>
      <c r="I116" s="279"/>
      <c r="J116" s="226"/>
      <c r="K116" s="226"/>
      <c r="L116" s="226" t="s">
        <v>186</v>
      </c>
      <c r="N116" s="226"/>
      <c r="O116" s="230"/>
    </row>
    <row r="117" spans="1:16" ht="15" customHeight="1" x14ac:dyDescent="0.25">
      <c r="A117" s="285">
        <v>44634</v>
      </c>
      <c r="B117" s="286" t="s">
        <v>399</v>
      </c>
      <c r="C117" s="226" t="s">
        <v>174</v>
      </c>
      <c r="D117" s="279" t="s">
        <v>2</v>
      </c>
      <c r="E117" s="212"/>
      <c r="F117" s="239">
        <v>782583</v>
      </c>
      <c r="G117" s="235">
        <f t="shared" si="2"/>
        <v>37852462</v>
      </c>
      <c r="H117" s="287" t="s">
        <v>114</v>
      </c>
      <c r="I117" s="279" t="s">
        <v>222</v>
      </c>
      <c r="J117" s="226" t="s">
        <v>166</v>
      </c>
      <c r="K117" s="226" t="s">
        <v>299</v>
      </c>
      <c r="L117" s="226" t="s">
        <v>186</v>
      </c>
      <c r="N117" s="324"/>
      <c r="O117" s="226"/>
    </row>
    <row r="118" spans="1:16" ht="15" hidden="1" customHeight="1" x14ac:dyDescent="0.25">
      <c r="A118" s="282">
        <v>44635</v>
      </c>
      <c r="B118" s="178" t="s">
        <v>29</v>
      </c>
      <c r="C118" s="226" t="s">
        <v>76</v>
      </c>
      <c r="D118" s="363"/>
      <c r="E118" s="221"/>
      <c r="F118" s="236">
        <v>4000</v>
      </c>
      <c r="G118" s="235">
        <f t="shared" si="2"/>
        <v>37848462</v>
      </c>
      <c r="H118" s="178" t="s">
        <v>25</v>
      </c>
      <c r="I118" s="178"/>
      <c r="J118" s="178"/>
      <c r="L118" s="226" t="s">
        <v>186</v>
      </c>
      <c r="N118" s="230"/>
      <c r="O118" s="227"/>
      <c r="P118" s="228"/>
    </row>
    <row r="119" spans="1:16" ht="15" customHeight="1" x14ac:dyDescent="0.25">
      <c r="A119" s="282">
        <v>44635</v>
      </c>
      <c r="B119" s="178" t="s">
        <v>266</v>
      </c>
      <c r="C119" s="178" t="s">
        <v>184</v>
      </c>
      <c r="D119" s="363" t="s">
        <v>221</v>
      </c>
      <c r="E119" s="221"/>
      <c r="F119" s="299">
        <v>15000</v>
      </c>
      <c r="G119" s="235">
        <f t="shared" si="2"/>
        <v>37833462</v>
      </c>
      <c r="H119" s="178" t="s">
        <v>25</v>
      </c>
      <c r="I119" s="178" t="s">
        <v>240</v>
      </c>
      <c r="J119" s="226" t="s">
        <v>166</v>
      </c>
      <c r="K119" s="178" t="s">
        <v>318</v>
      </c>
      <c r="L119" s="226" t="s">
        <v>186</v>
      </c>
      <c r="M119" s="178" t="s">
        <v>466</v>
      </c>
      <c r="N119" s="177" t="s">
        <v>412</v>
      </c>
      <c r="O119" s="178"/>
    </row>
    <row r="120" spans="1:16" ht="15" customHeight="1" x14ac:dyDescent="0.25">
      <c r="A120" s="285">
        <v>44635</v>
      </c>
      <c r="B120" s="184" t="s">
        <v>267</v>
      </c>
      <c r="C120" s="178" t="s">
        <v>184</v>
      </c>
      <c r="D120" s="183" t="s">
        <v>164</v>
      </c>
      <c r="E120" s="222"/>
      <c r="F120" s="239">
        <v>10000</v>
      </c>
      <c r="G120" s="235">
        <f t="shared" si="2"/>
        <v>37823462</v>
      </c>
      <c r="H120" s="206" t="s">
        <v>25</v>
      </c>
      <c r="I120" s="178" t="s">
        <v>240</v>
      </c>
      <c r="J120" s="226" t="s">
        <v>166</v>
      </c>
      <c r="K120" s="178" t="s">
        <v>318</v>
      </c>
      <c r="L120" s="226" t="s">
        <v>186</v>
      </c>
      <c r="M120" s="178" t="s">
        <v>467</v>
      </c>
      <c r="N120" s="177" t="s">
        <v>412</v>
      </c>
      <c r="O120" s="178"/>
      <c r="P120" s="227"/>
    </row>
    <row r="121" spans="1:16" ht="15" customHeight="1" x14ac:dyDescent="0.25">
      <c r="A121" s="282">
        <v>44635</v>
      </c>
      <c r="B121" s="226" t="s">
        <v>268</v>
      </c>
      <c r="C121" s="226" t="s">
        <v>184</v>
      </c>
      <c r="D121" s="360" t="s">
        <v>164</v>
      </c>
      <c r="E121" s="213"/>
      <c r="F121" s="226">
        <v>32000</v>
      </c>
      <c r="G121" s="235">
        <f t="shared" si="2"/>
        <v>37791462</v>
      </c>
      <c r="H121" s="226" t="s">
        <v>25</v>
      </c>
      <c r="I121" s="279" t="s">
        <v>240</v>
      </c>
      <c r="J121" s="226" t="s">
        <v>166</v>
      </c>
      <c r="K121" s="226" t="s">
        <v>299</v>
      </c>
      <c r="L121" s="226" t="s">
        <v>186</v>
      </c>
      <c r="N121" s="226"/>
      <c r="O121" s="226"/>
    </row>
    <row r="122" spans="1:16" ht="15" customHeight="1" x14ac:dyDescent="0.25">
      <c r="A122" s="282">
        <v>44635</v>
      </c>
      <c r="B122" s="226" t="s">
        <v>269</v>
      </c>
      <c r="C122" s="235" t="s">
        <v>184</v>
      </c>
      <c r="D122" s="345" t="s">
        <v>4</v>
      </c>
      <c r="E122" s="190"/>
      <c r="F122" s="226">
        <v>20000</v>
      </c>
      <c r="G122" s="235">
        <f t="shared" si="2"/>
        <v>37771462</v>
      </c>
      <c r="H122" s="226" t="s">
        <v>25</v>
      </c>
      <c r="I122" s="226" t="s">
        <v>240</v>
      </c>
      <c r="J122" s="226" t="s">
        <v>166</v>
      </c>
      <c r="K122" s="178" t="s">
        <v>318</v>
      </c>
      <c r="L122" s="226" t="s">
        <v>186</v>
      </c>
      <c r="M122" s="178" t="s">
        <v>468</v>
      </c>
      <c r="N122" s="177" t="s">
        <v>412</v>
      </c>
      <c r="O122" s="226"/>
    </row>
    <row r="123" spans="1:16" ht="15" customHeight="1" x14ac:dyDescent="0.25">
      <c r="A123" s="284">
        <v>44635</v>
      </c>
      <c r="B123" s="286" t="s">
        <v>270</v>
      </c>
      <c r="C123" s="233" t="s">
        <v>184</v>
      </c>
      <c r="D123" s="281" t="s">
        <v>165</v>
      </c>
      <c r="E123" s="212"/>
      <c r="F123" s="239">
        <v>10000</v>
      </c>
      <c r="G123" s="235">
        <f t="shared" si="2"/>
        <v>37761462</v>
      </c>
      <c r="H123" s="286" t="s">
        <v>25</v>
      </c>
      <c r="I123" s="226" t="s">
        <v>240</v>
      </c>
      <c r="J123" s="226" t="s">
        <v>166</v>
      </c>
      <c r="K123" s="178" t="s">
        <v>318</v>
      </c>
      <c r="L123" s="226" t="s">
        <v>186</v>
      </c>
      <c r="M123" s="178" t="s">
        <v>469</v>
      </c>
      <c r="N123" s="177" t="s">
        <v>412</v>
      </c>
      <c r="O123" s="233"/>
    </row>
    <row r="124" spans="1:16" ht="15.75" customHeight="1" x14ac:dyDescent="0.25">
      <c r="A124" s="284">
        <v>44635</v>
      </c>
      <c r="B124" s="286" t="s">
        <v>271</v>
      </c>
      <c r="C124" s="226" t="s">
        <v>184</v>
      </c>
      <c r="D124" s="279" t="s">
        <v>221</v>
      </c>
      <c r="E124" s="212"/>
      <c r="F124" s="374">
        <v>5000</v>
      </c>
      <c r="G124" s="235">
        <f t="shared" si="2"/>
        <v>37756462</v>
      </c>
      <c r="H124" s="286" t="s">
        <v>25</v>
      </c>
      <c r="I124" s="178" t="s">
        <v>240</v>
      </c>
      <c r="J124" s="226" t="s">
        <v>166</v>
      </c>
      <c r="K124" s="178" t="s">
        <v>318</v>
      </c>
      <c r="L124" s="226" t="s">
        <v>186</v>
      </c>
      <c r="M124" s="178" t="s">
        <v>470</v>
      </c>
      <c r="N124" s="177" t="s">
        <v>412</v>
      </c>
      <c r="O124" s="233"/>
    </row>
    <row r="125" spans="1:16" ht="15" customHeight="1" x14ac:dyDescent="0.25">
      <c r="A125" s="282">
        <v>44635</v>
      </c>
      <c r="B125" s="226" t="s">
        <v>274</v>
      </c>
      <c r="C125" s="226" t="s">
        <v>184</v>
      </c>
      <c r="D125" s="345" t="s">
        <v>4</v>
      </c>
      <c r="E125" s="211"/>
      <c r="F125" s="235">
        <v>10000</v>
      </c>
      <c r="G125" s="235">
        <f t="shared" si="2"/>
        <v>37746462</v>
      </c>
      <c r="H125" s="226" t="s">
        <v>25</v>
      </c>
      <c r="I125" s="178" t="s">
        <v>240</v>
      </c>
      <c r="J125" s="226" t="s">
        <v>166</v>
      </c>
      <c r="K125" s="178" t="s">
        <v>318</v>
      </c>
      <c r="L125" s="226" t="s">
        <v>186</v>
      </c>
      <c r="M125" s="178" t="s">
        <v>471</v>
      </c>
      <c r="N125" s="177" t="s">
        <v>412</v>
      </c>
      <c r="O125" s="226"/>
    </row>
    <row r="126" spans="1:16" ht="15" customHeight="1" x14ac:dyDescent="0.25">
      <c r="A126" s="282">
        <v>44635</v>
      </c>
      <c r="B126" s="226" t="s">
        <v>275</v>
      </c>
      <c r="C126" s="226" t="s">
        <v>3</v>
      </c>
      <c r="D126" s="279" t="s">
        <v>232</v>
      </c>
      <c r="E126" s="213"/>
      <c r="F126" s="236">
        <v>6000</v>
      </c>
      <c r="G126" s="235">
        <f t="shared" si="2"/>
        <v>37740462</v>
      </c>
      <c r="H126" s="226" t="s">
        <v>25</v>
      </c>
      <c r="I126" s="279" t="s">
        <v>240</v>
      </c>
      <c r="J126" s="178" t="s">
        <v>166</v>
      </c>
      <c r="K126" s="296" t="s">
        <v>299</v>
      </c>
      <c r="L126" s="226" t="s">
        <v>186</v>
      </c>
      <c r="N126" s="226"/>
      <c r="O126" s="226"/>
    </row>
    <row r="127" spans="1:16" ht="15" customHeight="1" x14ac:dyDescent="0.25">
      <c r="A127" s="282">
        <v>44635</v>
      </c>
      <c r="B127" s="178" t="s">
        <v>336</v>
      </c>
      <c r="C127" s="178" t="s">
        <v>157</v>
      </c>
      <c r="D127" s="345" t="s">
        <v>4</v>
      </c>
      <c r="E127" s="221"/>
      <c r="F127" s="299">
        <v>60000</v>
      </c>
      <c r="G127" s="235">
        <f t="shared" si="2"/>
        <v>37680462</v>
      </c>
      <c r="H127" s="226" t="s">
        <v>49</v>
      </c>
      <c r="I127" s="183" t="s">
        <v>233</v>
      </c>
      <c r="J127" s="178" t="s">
        <v>166</v>
      </c>
      <c r="K127" s="178" t="s">
        <v>318</v>
      </c>
      <c r="L127" s="226" t="s">
        <v>186</v>
      </c>
      <c r="M127" s="178" t="s">
        <v>472</v>
      </c>
      <c r="N127" s="177" t="s">
        <v>417</v>
      </c>
      <c r="O127" s="178"/>
    </row>
    <row r="128" spans="1:16" ht="15" customHeight="1" x14ac:dyDescent="0.25">
      <c r="A128" s="283">
        <v>44635</v>
      </c>
      <c r="B128" s="226" t="s">
        <v>337</v>
      </c>
      <c r="C128" s="226" t="s">
        <v>34</v>
      </c>
      <c r="D128" s="345" t="s">
        <v>4</v>
      </c>
      <c r="E128" s="313"/>
      <c r="F128" s="371">
        <v>15000</v>
      </c>
      <c r="G128" s="235">
        <f t="shared" si="2"/>
        <v>37665462</v>
      </c>
      <c r="H128" s="230" t="s">
        <v>49</v>
      </c>
      <c r="I128" s="178" t="s">
        <v>233</v>
      </c>
      <c r="J128" s="178" t="s">
        <v>166</v>
      </c>
      <c r="K128" s="178" t="s">
        <v>318</v>
      </c>
      <c r="L128" s="226" t="s">
        <v>186</v>
      </c>
      <c r="M128" s="178" t="s">
        <v>473</v>
      </c>
      <c r="N128" s="242" t="s">
        <v>416</v>
      </c>
      <c r="O128" s="230"/>
    </row>
    <row r="129" spans="1:16" ht="15" customHeight="1" x14ac:dyDescent="0.25">
      <c r="A129" s="282">
        <v>44635</v>
      </c>
      <c r="B129" s="226" t="s">
        <v>422</v>
      </c>
      <c r="C129" s="226" t="s">
        <v>197</v>
      </c>
      <c r="D129" s="279" t="s">
        <v>164</v>
      </c>
      <c r="E129" s="211"/>
      <c r="F129" s="299">
        <v>40000</v>
      </c>
      <c r="G129" s="235">
        <f t="shared" si="2"/>
        <v>37625462</v>
      </c>
      <c r="H129" s="226" t="s">
        <v>153</v>
      </c>
      <c r="I129" s="183" t="s">
        <v>222</v>
      </c>
      <c r="J129" s="226" t="s">
        <v>166</v>
      </c>
      <c r="K129" s="226" t="s">
        <v>299</v>
      </c>
      <c r="L129" s="226" t="s">
        <v>186</v>
      </c>
      <c r="N129" s="230"/>
      <c r="O129" s="226"/>
    </row>
    <row r="130" spans="1:16" ht="15" hidden="1" customHeight="1" x14ac:dyDescent="0.25">
      <c r="A130" s="282">
        <v>44635</v>
      </c>
      <c r="B130" s="226" t="s">
        <v>374</v>
      </c>
      <c r="C130" s="226" t="s">
        <v>76</v>
      </c>
      <c r="D130" s="305"/>
      <c r="E130" s="211">
        <v>4000</v>
      </c>
      <c r="F130" s="299"/>
      <c r="G130" s="235">
        <f t="shared" si="2"/>
        <v>37629462</v>
      </c>
      <c r="H130" s="226" t="s">
        <v>29</v>
      </c>
      <c r="I130" s="279"/>
      <c r="J130" s="226"/>
      <c r="K130" s="226"/>
      <c r="L130" s="226" t="s">
        <v>186</v>
      </c>
      <c r="N130" s="324"/>
      <c r="O130" s="226"/>
    </row>
    <row r="131" spans="1:16" ht="15" customHeight="1" x14ac:dyDescent="0.25">
      <c r="A131" s="282">
        <v>44636</v>
      </c>
      <c r="B131" s="226" t="s">
        <v>395</v>
      </c>
      <c r="C131" s="226" t="s">
        <v>518</v>
      </c>
      <c r="D131" s="279" t="s">
        <v>232</v>
      </c>
      <c r="E131" s="211"/>
      <c r="F131" s="226">
        <v>4585</v>
      </c>
      <c r="G131" s="235">
        <f t="shared" si="2"/>
        <v>37624877</v>
      </c>
      <c r="H131" s="226" t="s">
        <v>114</v>
      </c>
      <c r="I131" s="279" t="s">
        <v>222</v>
      </c>
      <c r="J131" s="226" t="s">
        <v>166</v>
      </c>
      <c r="K131" s="226" t="s">
        <v>299</v>
      </c>
      <c r="L131" s="226" t="s">
        <v>186</v>
      </c>
      <c r="N131" s="324"/>
      <c r="O131" s="226"/>
    </row>
    <row r="132" spans="1:16" ht="15" customHeight="1" x14ac:dyDescent="0.25">
      <c r="A132" s="285">
        <v>44637</v>
      </c>
      <c r="B132" s="286" t="s">
        <v>276</v>
      </c>
      <c r="C132" s="226" t="s">
        <v>35</v>
      </c>
      <c r="D132" s="279" t="s">
        <v>232</v>
      </c>
      <c r="E132" s="212"/>
      <c r="F132" s="372">
        <v>18000</v>
      </c>
      <c r="G132" s="235">
        <f t="shared" si="2"/>
        <v>37606877</v>
      </c>
      <c r="H132" s="241" t="s">
        <v>25</v>
      </c>
      <c r="I132" s="178" t="s">
        <v>240</v>
      </c>
      <c r="J132" s="226" t="s">
        <v>166</v>
      </c>
      <c r="K132" s="178" t="s">
        <v>318</v>
      </c>
      <c r="L132" s="226" t="s">
        <v>186</v>
      </c>
      <c r="M132" s="178" t="s">
        <v>474</v>
      </c>
      <c r="N132" s="242" t="s">
        <v>404</v>
      </c>
      <c r="O132" s="226"/>
    </row>
    <row r="133" spans="1:16" ht="15" customHeight="1" x14ac:dyDescent="0.25">
      <c r="A133" s="282">
        <v>44637</v>
      </c>
      <c r="B133" s="226" t="s">
        <v>396</v>
      </c>
      <c r="C133" s="226" t="s">
        <v>518</v>
      </c>
      <c r="D133" s="279" t="s">
        <v>232</v>
      </c>
      <c r="E133" s="211"/>
      <c r="F133" s="299">
        <v>18354</v>
      </c>
      <c r="G133" s="235">
        <f t="shared" si="2"/>
        <v>37588523</v>
      </c>
      <c r="H133" s="226" t="s">
        <v>114</v>
      </c>
      <c r="I133" s="279" t="s">
        <v>222</v>
      </c>
      <c r="J133" s="226" t="s">
        <v>166</v>
      </c>
      <c r="K133" s="226" t="s">
        <v>299</v>
      </c>
      <c r="L133" s="226" t="s">
        <v>186</v>
      </c>
      <c r="N133" s="324"/>
      <c r="O133" s="226"/>
    </row>
    <row r="134" spans="1:16" ht="15" hidden="1" customHeight="1" x14ac:dyDescent="0.25">
      <c r="A134" s="282">
        <v>44638</v>
      </c>
      <c r="B134" s="226" t="s">
        <v>29</v>
      </c>
      <c r="C134" s="226" t="s">
        <v>76</v>
      </c>
      <c r="D134" s="279"/>
      <c r="E134" s="211"/>
      <c r="F134" s="299">
        <v>109000</v>
      </c>
      <c r="G134" s="235">
        <f t="shared" si="2"/>
        <v>37479523</v>
      </c>
      <c r="H134" s="226" t="s">
        <v>25</v>
      </c>
      <c r="I134" s="178"/>
      <c r="J134" s="226"/>
      <c r="K134" s="226"/>
      <c r="L134" s="226" t="s">
        <v>186</v>
      </c>
      <c r="N134" s="230"/>
      <c r="O134" s="226"/>
    </row>
    <row r="135" spans="1:16" ht="15" hidden="1" customHeight="1" x14ac:dyDescent="0.25">
      <c r="A135" s="282">
        <v>44638</v>
      </c>
      <c r="B135" s="226" t="s">
        <v>219</v>
      </c>
      <c r="C135" s="226" t="s">
        <v>76</v>
      </c>
      <c r="D135" s="279"/>
      <c r="E135" s="211"/>
      <c r="F135" s="299">
        <v>256000</v>
      </c>
      <c r="G135" s="235">
        <f t="shared" si="2"/>
        <v>37223523</v>
      </c>
      <c r="H135" s="226" t="s">
        <v>25</v>
      </c>
      <c r="I135" s="178"/>
      <c r="J135" s="226"/>
      <c r="K135" s="226"/>
      <c r="L135" s="226" t="s">
        <v>186</v>
      </c>
      <c r="N135" s="244"/>
      <c r="O135" s="226"/>
    </row>
    <row r="136" spans="1:16" ht="15" customHeight="1" x14ac:dyDescent="0.25">
      <c r="A136" s="282">
        <v>44638</v>
      </c>
      <c r="B136" s="178" t="s">
        <v>277</v>
      </c>
      <c r="C136" s="178" t="s">
        <v>183</v>
      </c>
      <c r="D136" s="366" t="s">
        <v>2</v>
      </c>
      <c r="E136" s="221"/>
      <c r="F136" s="236">
        <v>233936</v>
      </c>
      <c r="G136" s="235">
        <f t="shared" si="2"/>
        <v>36989587</v>
      </c>
      <c r="H136" s="178" t="s">
        <v>25</v>
      </c>
      <c r="I136" s="183" t="s">
        <v>240</v>
      </c>
      <c r="J136" s="183" t="s">
        <v>166</v>
      </c>
      <c r="K136" s="178" t="s">
        <v>299</v>
      </c>
      <c r="L136" s="226" t="s">
        <v>186</v>
      </c>
      <c r="N136" s="256"/>
      <c r="P136" s="248"/>
    </row>
    <row r="137" spans="1:16" ht="15" hidden="1" customHeight="1" x14ac:dyDescent="0.25">
      <c r="A137" s="282">
        <v>44638</v>
      </c>
      <c r="B137" s="226" t="s">
        <v>319</v>
      </c>
      <c r="C137" s="226" t="s">
        <v>76</v>
      </c>
      <c r="D137" s="363"/>
      <c r="E137" s="213">
        <v>256000</v>
      </c>
      <c r="F137" s="299"/>
      <c r="G137" s="235">
        <f t="shared" si="2"/>
        <v>37245587</v>
      </c>
      <c r="H137" s="226" t="s">
        <v>49</v>
      </c>
      <c r="I137" s="178"/>
      <c r="J137" s="226"/>
      <c r="K137" s="226"/>
      <c r="L137" s="226" t="s">
        <v>186</v>
      </c>
      <c r="N137" s="226"/>
      <c r="O137" s="230"/>
    </row>
    <row r="138" spans="1:16" ht="15" hidden="1" customHeight="1" x14ac:dyDescent="0.25">
      <c r="A138" s="282">
        <v>44638</v>
      </c>
      <c r="B138" s="178" t="s">
        <v>374</v>
      </c>
      <c r="C138" s="226" t="s">
        <v>76</v>
      </c>
      <c r="D138" s="183"/>
      <c r="E138" s="221">
        <v>109000</v>
      </c>
      <c r="F138" s="226"/>
      <c r="G138" s="235">
        <f t="shared" si="2"/>
        <v>37354587</v>
      </c>
      <c r="H138" s="178" t="s">
        <v>29</v>
      </c>
      <c r="L138" s="226" t="s">
        <v>186</v>
      </c>
      <c r="O138" s="178"/>
      <c r="P138" s="233"/>
    </row>
    <row r="139" spans="1:16" ht="15" customHeight="1" x14ac:dyDescent="0.25">
      <c r="A139" s="282">
        <v>44639</v>
      </c>
      <c r="B139" s="226" t="s">
        <v>379</v>
      </c>
      <c r="C139" s="226" t="s">
        <v>34</v>
      </c>
      <c r="D139" s="345" t="s">
        <v>4</v>
      </c>
      <c r="E139" s="211"/>
      <c r="F139" s="299">
        <v>6000</v>
      </c>
      <c r="G139" s="235">
        <f t="shared" si="2"/>
        <v>37348587</v>
      </c>
      <c r="H139" s="226" t="s">
        <v>29</v>
      </c>
      <c r="I139" s="178" t="s">
        <v>222</v>
      </c>
      <c r="J139" s="226" t="s">
        <v>166</v>
      </c>
      <c r="K139" s="178" t="s">
        <v>318</v>
      </c>
      <c r="L139" s="226" t="s">
        <v>186</v>
      </c>
      <c r="M139" s="178" t="s">
        <v>475</v>
      </c>
      <c r="N139" s="346" t="s">
        <v>416</v>
      </c>
      <c r="O139" s="226"/>
    </row>
    <row r="140" spans="1:16" ht="15" hidden="1" customHeight="1" x14ac:dyDescent="0.25">
      <c r="A140" s="285">
        <v>44641</v>
      </c>
      <c r="B140" s="184" t="s">
        <v>278</v>
      </c>
      <c r="C140" s="226" t="s">
        <v>76</v>
      </c>
      <c r="D140" s="366"/>
      <c r="E140" s="222">
        <v>1000000</v>
      </c>
      <c r="F140" s="374"/>
      <c r="G140" s="235">
        <f t="shared" si="2"/>
        <v>38348587</v>
      </c>
      <c r="H140" s="206" t="s">
        <v>25</v>
      </c>
      <c r="I140" s="178"/>
      <c r="L140" s="226" t="s">
        <v>186</v>
      </c>
      <c r="P140" s="248"/>
    </row>
    <row r="141" spans="1:16" ht="15" hidden="1" customHeight="1" x14ac:dyDescent="0.25">
      <c r="A141" s="282">
        <v>44641</v>
      </c>
      <c r="B141" s="178" t="s">
        <v>296</v>
      </c>
      <c r="C141" s="226" t="s">
        <v>76</v>
      </c>
      <c r="D141" s="343"/>
      <c r="E141" s="178"/>
      <c r="F141" s="226">
        <v>1000000</v>
      </c>
      <c r="G141" s="235">
        <f t="shared" si="2"/>
        <v>37348587</v>
      </c>
      <c r="H141" s="178" t="s">
        <v>24</v>
      </c>
      <c r="J141" s="178"/>
      <c r="K141" s="296"/>
      <c r="L141" s="226" t="s">
        <v>186</v>
      </c>
      <c r="O141" s="178"/>
    </row>
    <row r="142" spans="1:16" ht="15" customHeight="1" x14ac:dyDescent="0.25">
      <c r="A142" s="282">
        <v>44641</v>
      </c>
      <c r="B142" s="226" t="s">
        <v>380</v>
      </c>
      <c r="C142" s="226" t="s">
        <v>157</v>
      </c>
      <c r="D142" s="345" t="s">
        <v>4</v>
      </c>
      <c r="E142" s="213"/>
      <c r="F142" s="226">
        <v>60000</v>
      </c>
      <c r="G142" s="235">
        <f t="shared" ref="G142:G205" si="3">+G141+E142-F142</f>
        <v>37288587</v>
      </c>
      <c r="H142" s="226" t="s">
        <v>29</v>
      </c>
      <c r="I142" s="230" t="s">
        <v>321</v>
      </c>
      <c r="J142" s="226" t="s">
        <v>166</v>
      </c>
      <c r="K142" s="178" t="s">
        <v>318</v>
      </c>
      <c r="L142" s="226" t="s">
        <v>186</v>
      </c>
      <c r="M142" s="178" t="s">
        <v>476</v>
      </c>
      <c r="N142" s="177" t="s">
        <v>417</v>
      </c>
      <c r="O142" s="226"/>
    </row>
    <row r="143" spans="1:16" ht="15" hidden="1" customHeight="1" x14ac:dyDescent="0.25">
      <c r="A143" s="282">
        <v>44642</v>
      </c>
      <c r="B143" s="178" t="s">
        <v>265</v>
      </c>
      <c r="C143" s="226" t="s">
        <v>76</v>
      </c>
      <c r="D143" s="363"/>
      <c r="E143" s="221"/>
      <c r="F143" s="236">
        <v>20000</v>
      </c>
      <c r="G143" s="235">
        <f t="shared" si="3"/>
        <v>37268587</v>
      </c>
      <c r="H143" s="178" t="s">
        <v>25</v>
      </c>
      <c r="I143" s="178"/>
      <c r="J143" s="226"/>
      <c r="K143" s="226"/>
      <c r="L143" s="226" t="s">
        <v>186</v>
      </c>
      <c r="N143" s="230"/>
      <c r="O143" s="227"/>
      <c r="P143" s="227"/>
    </row>
    <row r="144" spans="1:16" ht="15" hidden="1" customHeight="1" x14ac:dyDescent="0.25">
      <c r="A144" s="285">
        <v>44642</v>
      </c>
      <c r="B144" s="286" t="s">
        <v>264</v>
      </c>
      <c r="C144" s="226" t="s">
        <v>76</v>
      </c>
      <c r="D144" s="279"/>
      <c r="E144" s="212"/>
      <c r="F144" s="240">
        <v>20000</v>
      </c>
      <c r="G144" s="235">
        <f t="shared" si="3"/>
        <v>37248587</v>
      </c>
      <c r="H144" s="286" t="s">
        <v>25</v>
      </c>
      <c r="I144" s="178"/>
      <c r="J144" s="233"/>
      <c r="K144" s="286"/>
      <c r="L144" s="226" t="s">
        <v>186</v>
      </c>
      <c r="N144" s="306"/>
      <c r="O144" s="233"/>
    </row>
    <row r="145" spans="1:16" ht="15" hidden="1" customHeight="1" x14ac:dyDescent="0.25">
      <c r="A145" s="285">
        <v>44642</v>
      </c>
      <c r="B145" s="286" t="s">
        <v>264</v>
      </c>
      <c r="C145" s="226" t="s">
        <v>76</v>
      </c>
      <c r="D145" s="367"/>
      <c r="E145" s="212"/>
      <c r="F145" s="299">
        <v>94000</v>
      </c>
      <c r="G145" s="235">
        <f t="shared" si="3"/>
        <v>37154587</v>
      </c>
      <c r="H145" s="286" t="s">
        <v>25</v>
      </c>
      <c r="I145" s="178"/>
      <c r="J145" s="226"/>
      <c r="K145" s="226"/>
      <c r="L145" s="226" t="s">
        <v>186</v>
      </c>
      <c r="N145" s="324"/>
      <c r="O145" s="226"/>
    </row>
    <row r="146" spans="1:16" ht="15" hidden="1" customHeight="1" x14ac:dyDescent="0.25">
      <c r="A146" s="285">
        <v>44642</v>
      </c>
      <c r="B146" s="286" t="s">
        <v>31</v>
      </c>
      <c r="C146" s="226" t="s">
        <v>76</v>
      </c>
      <c r="D146" s="289"/>
      <c r="E146" s="212"/>
      <c r="F146" s="239">
        <v>76000</v>
      </c>
      <c r="G146" s="235">
        <f t="shared" si="3"/>
        <v>37078587</v>
      </c>
      <c r="H146" s="241" t="s">
        <v>25</v>
      </c>
      <c r="I146" s="226"/>
      <c r="J146" s="287"/>
      <c r="K146" s="241"/>
      <c r="L146" s="226" t="s">
        <v>186</v>
      </c>
      <c r="N146" s="226"/>
      <c r="O146" s="226"/>
    </row>
    <row r="147" spans="1:16" ht="15" hidden="1" customHeight="1" x14ac:dyDescent="0.25">
      <c r="A147" s="282">
        <v>44642</v>
      </c>
      <c r="B147" s="178" t="s">
        <v>230</v>
      </c>
      <c r="C147" s="226" t="s">
        <v>76</v>
      </c>
      <c r="D147" s="183"/>
      <c r="E147" s="219"/>
      <c r="F147" s="235">
        <v>116000</v>
      </c>
      <c r="G147" s="235">
        <f t="shared" si="3"/>
        <v>36962587</v>
      </c>
      <c r="H147" s="178" t="s">
        <v>25</v>
      </c>
      <c r="I147" s="178"/>
      <c r="J147" s="178"/>
      <c r="L147" s="226" t="s">
        <v>186</v>
      </c>
      <c r="O147" s="178"/>
    </row>
    <row r="148" spans="1:16" ht="15" customHeight="1" x14ac:dyDescent="0.25">
      <c r="A148" s="282">
        <v>44642</v>
      </c>
      <c r="B148" s="178" t="s">
        <v>279</v>
      </c>
      <c r="C148" s="226" t="s">
        <v>207</v>
      </c>
      <c r="D148" s="183" t="s">
        <v>165</v>
      </c>
      <c r="F148" s="234">
        <v>29000</v>
      </c>
      <c r="G148" s="235">
        <f t="shared" si="3"/>
        <v>36933587</v>
      </c>
      <c r="H148" s="178" t="s">
        <v>25</v>
      </c>
      <c r="I148" s="183" t="s">
        <v>238</v>
      </c>
      <c r="J148" s="226" t="s">
        <v>166</v>
      </c>
      <c r="K148" s="226" t="s">
        <v>299</v>
      </c>
      <c r="L148" s="226" t="s">
        <v>186</v>
      </c>
      <c r="O148" s="178"/>
      <c r="P148" s="227"/>
    </row>
    <row r="149" spans="1:16" ht="15" customHeight="1" x14ac:dyDescent="0.25">
      <c r="A149" s="282">
        <v>44642</v>
      </c>
      <c r="B149" s="178" t="s">
        <v>280</v>
      </c>
      <c r="C149" s="178" t="s">
        <v>235</v>
      </c>
      <c r="D149" s="183" t="s">
        <v>164</v>
      </c>
      <c r="F149" s="234">
        <v>70000</v>
      </c>
      <c r="G149" s="235">
        <f t="shared" si="3"/>
        <v>36863587</v>
      </c>
      <c r="H149" s="178" t="s">
        <v>25</v>
      </c>
      <c r="I149" s="178" t="s">
        <v>222</v>
      </c>
      <c r="J149" s="183" t="s">
        <v>166</v>
      </c>
      <c r="K149" s="178" t="s">
        <v>318</v>
      </c>
      <c r="L149" s="226" t="s">
        <v>186</v>
      </c>
      <c r="M149" s="178" t="s">
        <v>477</v>
      </c>
      <c r="N149" s="177" t="s">
        <v>401</v>
      </c>
      <c r="O149" s="178"/>
    </row>
    <row r="150" spans="1:16" ht="15" customHeight="1" x14ac:dyDescent="0.25">
      <c r="A150" s="282">
        <v>44642</v>
      </c>
      <c r="B150" s="225" t="s">
        <v>338</v>
      </c>
      <c r="C150" s="226" t="s">
        <v>157</v>
      </c>
      <c r="D150" s="345" t="s">
        <v>4</v>
      </c>
      <c r="E150" s="213"/>
      <c r="F150" s="299">
        <v>60000</v>
      </c>
      <c r="G150" s="235">
        <f t="shared" si="3"/>
        <v>36803587</v>
      </c>
      <c r="H150" s="226" t="s">
        <v>49</v>
      </c>
      <c r="I150" s="279" t="s">
        <v>321</v>
      </c>
      <c r="J150" s="183" t="s">
        <v>166</v>
      </c>
      <c r="K150" s="178" t="s">
        <v>299</v>
      </c>
      <c r="L150" s="226" t="s">
        <v>186</v>
      </c>
      <c r="N150" s="226"/>
      <c r="O150" s="226"/>
    </row>
    <row r="151" spans="1:16" ht="15" customHeight="1" x14ac:dyDescent="0.25">
      <c r="A151" s="282">
        <v>44642</v>
      </c>
      <c r="B151" s="225" t="s">
        <v>322</v>
      </c>
      <c r="C151" s="226" t="s">
        <v>34</v>
      </c>
      <c r="D151" s="345" t="s">
        <v>4</v>
      </c>
      <c r="E151" s="213"/>
      <c r="F151" s="299">
        <v>11000</v>
      </c>
      <c r="G151" s="235">
        <f t="shared" si="3"/>
        <v>36792587</v>
      </c>
      <c r="H151" s="226" t="s">
        <v>49</v>
      </c>
      <c r="I151" s="279" t="s">
        <v>233</v>
      </c>
      <c r="J151" s="226" t="s">
        <v>166</v>
      </c>
      <c r="K151" s="226" t="s">
        <v>299</v>
      </c>
      <c r="L151" s="226" t="s">
        <v>186</v>
      </c>
      <c r="N151" s="226"/>
      <c r="O151" s="226"/>
    </row>
    <row r="152" spans="1:16" ht="15" customHeight="1" x14ac:dyDescent="0.25">
      <c r="A152" s="285">
        <v>44642</v>
      </c>
      <c r="B152" s="226" t="s">
        <v>323</v>
      </c>
      <c r="C152" s="226" t="s">
        <v>324</v>
      </c>
      <c r="D152" s="345" t="s">
        <v>4</v>
      </c>
      <c r="E152" s="213"/>
      <c r="F152" s="226">
        <v>150</v>
      </c>
      <c r="G152" s="235">
        <f t="shared" si="3"/>
        <v>36792437</v>
      </c>
      <c r="H152" s="226" t="s">
        <v>49</v>
      </c>
      <c r="I152" s="279" t="s">
        <v>233</v>
      </c>
      <c r="J152" s="226" t="s">
        <v>166</v>
      </c>
      <c r="K152" s="226" t="s">
        <v>299</v>
      </c>
      <c r="L152" s="226" t="s">
        <v>186</v>
      </c>
      <c r="M152" s="226"/>
      <c r="N152" s="226"/>
      <c r="O152" s="226"/>
    </row>
    <row r="153" spans="1:16" ht="15" customHeight="1" x14ac:dyDescent="0.25">
      <c r="A153" s="282">
        <v>44642</v>
      </c>
      <c r="B153" s="226" t="s">
        <v>325</v>
      </c>
      <c r="C153" s="226" t="s">
        <v>324</v>
      </c>
      <c r="D153" s="345" t="s">
        <v>4</v>
      </c>
      <c r="E153" s="211"/>
      <c r="F153" s="235">
        <v>200</v>
      </c>
      <c r="G153" s="235">
        <f t="shared" si="3"/>
        <v>36792237</v>
      </c>
      <c r="H153" s="226" t="s">
        <v>49</v>
      </c>
      <c r="I153" s="183" t="s">
        <v>233</v>
      </c>
      <c r="J153" s="226" t="s">
        <v>166</v>
      </c>
      <c r="K153" s="226" t="s">
        <v>299</v>
      </c>
      <c r="L153" s="226" t="s">
        <v>186</v>
      </c>
      <c r="M153" s="226"/>
      <c r="N153" s="226"/>
      <c r="O153" s="226"/>
    </row>
    <row r="154" spans="1:16" ht="15" customHeight="1" x14ac:dyDescent="0.25">
      <c r="A154" s="282">
        <v>44642</v>
      </c>
      <c r="B154" s="226" t="s">
        <v>323</v>
      </c>
      <c r="C154" s="226" t="s">
        <v>324</v>
      </c>
      <c r="D154" s="345" t="s">
        <v>4</v>
      </c>
      <c r="E154" s="211"/>
      <c r="F154" s="235">
        <v>1200</v>
      </c>
      <c r="G154" s="235">
        <f t="shared" si="3"/>
        <v>36791037</v>
      </c>
      <c r="H154" s="226" t="s">
        <v>49</v>
      </c>
      <c r="I154" s="183" t="s">
        <v>233</v>
      </c>
      <c r="J154" s="226" t="s">
        <v>166</v>
      </c>
      <c r="K154" s="226" t="s">
        <v>299</v>
      </c>
      <c r="L154" s="226" t="s">
        <v>186</v>
      </c>
      <c r="M154" s="230"/>
      <c r="N154" s="230"/>
      <c r="O154" s="226"/>
    </row>
    <row r="155" spans="1:16" ht="17.25" customHeight="1" x14ac:dyDescent="0.25">
      <c r="A155" s="282">
        <v>44642</v>
      </c>
      <c r="B155" s="226" t="s">
        <v>326</v>
      </c>
      <c r="C155" s="226" t="s">
        <v>324</v>
      </c>
      <c r="D155" s="345" t="s">
        <v>4</v>
      </c>
      <c r="E155" s="211"/>
      <c r="F155" s="299">
        <v>4000</v>
      </c>
      <c r="G155" s="235">
        <f t="shared" si="3"/>
        <v>36787037</v>
      </c>
      <c r="H155" s="226" t="s">
        <v>49</v>
      </c>
      <c r="I155" s="279" t="s">
        <v>233</v>
      </c>
      <c r="J155" s="226" t="s">
        <v>166</v>
      </c>
      <c r="K155" s="226" t="s">
        <v>299</v>
      </c>
      <c r="L155" s="226" t="s">
        <v>186</v>
      </c>
      <c r="N155" s="226"/>
      <c r="O155" s="226"/>
    </row>
    <row r="156" spans="1:16" ht="15" customHeight="1" x14ac:dyDescent="0.25">
      <c r="A156" s="284">
        <v>44642</v>
      </c>
      <c r="B156" s="286" t="s">
        <v>414</v>
      </c>
      <c r="C156" s="178" t="s">
        <v>184</v>
      </c>
      <c r="D156" s="345" t="s">
        <v>4</v>
      </c>
      <c r="E156" s="317"/>
      <c r="F156" s="239">
        <v>10000</v>
      </c>
      <c r="G156" s="235">
        <f t="shared" si="3"/>
        <v>36777037</v>
      </c>
      <c r="H156" s="286" t="s">
        <v>49</v>
      </c>
      <c r="I156" s="279" t="s">
        <v>233</v>
      </c>
      <c r="J156" s="226" t="s">
        <v>166</v>
      </c>
      <c r="K156" s="226" t="s">
        <v>299</v>
      </c>
      <c r="L156" s="226" t="s">
        <v>186</v>
      </c>
      <c r="M156" s="226"/>
      <c r="N156" s="226"/>
      <c r="O156" s="226"/>
    </row>
    <row r="157" spans="1:16" ht="18.75" hidden="1" customHeight="1" x14ac:dyDescent="0.25">
      <c r="A157" s="282">
        <v>44642</v>
      </c>
      <c r="B157" s="226" t="s">
        <v>345</v>
      </c>
      <c r="C157" s="226" t="s">
        <v>76</v>
      </c>
      <c r="D157" s="279"/>
      <c r="E157" s="213">
        <v>76000</v>
      </c>
      <c r="F157" s="299"/>
      <c r="G157" s="235">
        <f t="shared" si="3"/>
        <v>36853037</v>
      </c>
      <c r="H157" s="226" t="s">
        <v>31</v>
      </c>
      <c r="I157" s="178"/>
      <c r="J157" s="226"/>
      <c r="K157" s="226"/>
      <c r="L157" s="226" t="s">
        <v>186</v>
      </c>
      <c r="N157" s="230"/>
      <c r="O157" s="226"/>
    </row>
    <row r="158" spans="1:16" ht="15" customHeight="1" x14ac:dyDescent="0.25">
      <c r="A158" s="284">
        <v>44642</v>
      </c>
      <c r="B158" s="286" t="s">
        <v>346</v>
      </c>
      <c r="C158" s="226" t="s">
        <v>34</v>
      </c>
      <c r="D158" s="279" t="s">
        <v>165</v>
      </c>
      <c r="E158" s="212"/>
      <c r="F158" s="239">
        <v>7000</v>
      </c>
      <c r="G158" s="235">
        <f t="shared" si="3"/>
        <v>36846037</v>
      </c>
      <c r="H158" s="286" t="s">
        <v>31</v>
      </c>
      <c r="I158" s="279" t="s">
        <v>222</v>
      </c>
      <c r="J158" s="226" t="s">
        <v>166</v>
      </c>
      <c r="K158" s="178" t="s">
        <v>318</v>
      </c>
      <c r="L158" s="226" t="s">
        <v>186</v>
      </c>
      <c r="M158" s="178" t="s">
        <v>478</v>
      </c>
      <c r="N158" s="346" t="s">
        <v>416</v>
      </c>
      <c r="O158" s="233"/>
    </row>
    <row r="159" spans="1:16" ht="15" hidden="1" customHeight="1" x14ac:dyDescent="0.25">
      <c r="A159" s="284">
        <v>44642</v>
      </c>
      <c r="B159" s="226" t="s">
        <v>319</v>
      </c>
      <c r="C159" s="226" t="s">
        <v>76</v>
      </c>
      <c r="D159" s="279"/>
      <c r="E159" s="303">
        <v>116000</v>
      </c>
      <c r="F159" s="235"/>
      <c r="G159" s="235">
        <f t="shared" si="3"/>
        <v>36962037</v>
      </c>
      <c r="H159" s="226" t="s">
        <v>153</v>
      </c>
      <c r="I159" s="226"/>
      <c r="J159" s="288"/>
      <c r="K159" s="226"/>
      <c r="L159" s="226" t="s">
        <v>186</v>
      </c>
      <c r="M159" s="226"/>
      <c r="N159" s="226"/>
      <c r="O159" s="226"/>
    </row>
    <row r="160" spans="1:16" ht="15" customHeight="1" x14ac:dyDescent="0.25">
      <c r="A160" s="282">
        <v>44642</v>
      </c>
      <c r="B160" s="226" t="s">
        <v>356</v>
      </c>
      <c r="C160" s="226" t="s">
        <v>34</v>
      </c>
      <c r="D160" s="363" t="s">
        <v>164</v>
      </c>
      <c r="E160" s="213"/>
      <c r="F160" s="236">
        <v>10000</v>
      </c>
      <c r="G160" s="235">
        <f t="shared" si="3"/>
        <v>36952037</v>
      </c>
      <c r="H160" s="226" t="s">
        <v>153</v>
      </c>
      <c r="I160" s="226" t="s">
        <v>222</v>
      </c>
      <c r="J160" s="226" t="s">
        <v>166</v>
      </c>
      <c r="K160" s="178" t="s">
        <v>318</v>
      </c>
      <c r="L160" s="226" t="s">
        <v>186</v>
      </c>
      <c r="M160" s="178" t="s">
        <v>479</v>
      </c>
      <c r="N160" s="346" t="s">
        <v>416</v>
      </c>
      <c r="O160" s="226"/>
    </row>
    <row r="161" spans="1:16" ht="15" hidden="1" customHeight="1" x14ac:dyDescent="0.25">
      <c r="A161" s="282">
        <v>44642</v>
      </c>
      <c r="B161" s="178" t="s">
        <v>364</v>
      </c>
      <c r="C161" s="226" t="s">
        <v>76</v>
      </c>
      <c r="D161" s="183"/>
      <c r="E161" s="195">
        <v>20000</v>
      </c>
      <c r="G161" s="235">
        <f t="shared" si="3"/>
        <v>36972037</v>
      </c>
      <c r="H161" s="178" t="s">
        <v>265</v>
      </c>
      <c r="K161" s="183"/>
      <c r="L161" s="226" t="s">
        <v>186</v>
      </c>
      <c r="O161" s="178"/>
      <c r="P161" s="227"/>
    </row>
    <row r="162" spans="1:16" ht="15" hidden="1" customHeight="1" x14ac:dyDescent="0.25">
      <c r="A162" s="285">
        <v>44642</v>
      </c>
      <c r="B162" s="286" t="s">
        <v>319</v>
      </c>
      <c r="C162" s="226" t="s">
        <v>76</v>
      </c>
      <c r="D162" s="279"/>
      <c r="E162" s="212">
        <v>20000</v>
      </c>
      <c r="F162" s="299"/>
      <c r="G162" s="235">
        <f t="shared" si="3"/>
        <v>36992037</v>
      </c>
      <c r="H162" s="286" t="s">
        <v>264</v>
      </c>
      <c r="I162" s="279"/>
      <c r="J162" s="226"/>
      <c r="K162" s="226"/>
      <c r="L162" s="226" t="s">
        <v>186</v>
      </c>
      <c r="N162" s="244"/>
      <c r="O162" s="233"/>
    </row>
    <row r="163" spans="1:16" ht="16.5" hidden="1" customHeight="1" x14ac:dyDescent="0.25">
      <c r="A163" s="282">
        <v>44642</v>
      </c>
      <c r="B163" s="178" t="s">
        <v>319</v>
      </c>
      <c r="C163" s="226" t="s">
        <v>76</v>
      </c>
      <c r="D163" s="363"/>
      <c r="E163" s="221">
        <v>94000</v>
      </c>
      <c r="F163" s="236"/>
      <c r="G163" s="235">
        <f t="shared" si="3"/>
        <v>37086037</v>
      </c>
      <c r="H163" s="178" t="s">
        <v>264</v>
      </c>
      <c r="J163" s="178"/>
      <c r="L163" s="226" t="s">
        <v>186</v>
      </c>
      <c r="N163" s="230"/>
      <c r="O163" s="227"/>
    </row>
    <row r="164" spans="1:16" ht="15" customHeight="1" x14ac:dyDescent="0.25">
      <c r="A164" s="282">
        <v>44642</v>
      </c>
      <c r="B164" s="178" t="s">
        <v>388</v>
      </c>
      <c r="C164" s="178" t="s">
        <v>34</v>
      </c>
      <c r="D164" s="183" t="s">
        <v>164</v>
      </c>
      <c r="E164" s="219"/>
      <c r="F164" s="299">
        <v>7000</v>
      </c>
      <c r="G164" s="235">
        <f t="shared" si="3"/>
        <v>37079037</v>
      </c>
      <c r="H164" s="178" t="s">
        <v>264</v>
      </c>
      <c r="I164" s="183" t="s">
        <v>222</v>
      </c>
      <c r="J164" s="183" t="s">
        <v>166</v>
      </c>
      <c r="K164" s="178" t="s">
        <v>299</v>
      </c>
      <c r="L164" s="226" t="s">
        <v>186</v>
      </c>
      <c r="O164" s="178"/>
    </row>
    <row r="165" spans="1:16" ht="15" hidden="1" customHeight="1" x14ac:dyDescent="0.25">
      <c r="A165" s="282">
        <v>44643</v>
      </c>
      <c r="B165" s="226" t="s">
        <v>29</v>
      </c>
      <c r="C165" s="226" t="s">
        <v>76</v>
      </c>
      <c r="D165" s="363"/>
      <c r="E165" s="214"/>
      <c r="F165" s="226">
        <v>100000</v>
      </c>
      <c r="G165" s="235">
        <f t="shared" si="3"/>
        <v>36979037</v>
      </c>
      <c r="H165" s="226" t="s">
        <v>25</v>
      </c>
      <c r="I165" s="178"/>
      <c r="J165" s="226"/>
      <c r="K165" s="226"/>
      <c r="L165" s="226" t="s">
        <v>186</v>
      </c>
      <c r="N165" s="324"/>
      <c r="O165" s="226"/>
    </row>
    <row r="166" spans="1:16" ht="15" hidden="1" customHeight="1" x14ac:dyDescent="0.25">
      <c r="A166" s="282">
        <v>44643</v>
      </c>
      <c r="B166" s="226" t="s">
        <v>265</v>
      </c>
      <c r="C166" s="226" t="s">
        <v>76</v>
      </c>
      <c r="D166" s="279"/>
      <c r="E166" s="211"/>
      <c r="F166" s="235">
        <v>3000</v>
      </c>
      <c r="G166" s="235">
        <f t="shared" si="3"/>
        <v>36976037</v>
      </c>
      <c r="H166" s="226" t="s">
        <v>25</v>
      </c>
      <c r="I166" s="226"/>
      <c r="J166" s="226"/>
      <c r="K166" s="226"/>
      <c r="L166" s="226" t="s">
        <v>186</v>
      </c>
      <c r="N166" s="226"/>
      <c r="O166" s="226"/>
    </row>
    <row r="167" spans="1:16" ht="15" customHeight="1" x14ac:dyDescent="0.25">
      <c r="A167" s="282">
        <v>44643</v>
      </c>
      <c r="B167" s="226" t="s">
        <v>281</v>
      </c>
      <c r="C167" s="295" t="s">
        <v>185</v>
      </c>
      <c r="D167" s="279" t="s">
        <v>232</v>
      </c>
      <c r="E167" s="211"/>
      <c r="F167" s="226">
        <v>3000</v>
      </c>
      <c r="G167" s="235">
        <f t="shared" si="3"/>
        <v>36973037</v>
      </c>
      <c r="H167" s="226" t="s">
        <v>25</v>
      </c>
      <c r="I167" s="226" t="s">
        <v>233</v>
      </c>
      <c r="J167" s="226" t="s">
        <v>103</v>
      </c>
      <c r="K167" s="178" t="s">
        <v>318</v>
      </c>
      <c r="L167" s="226" t="s">
        <v>186</v>
      </c>
      <c r="M167" s="178" t="s">
        <v>480</v>
      </c>
      <c r="N167" s="177" t="s">
        <v>398</v>
      </c>
      <c r="O167" s="226"/>
    </row>
    <row r="168" spans="1:16" ht="15" customHeight="1" x14ac:dyDescent="0.25">
      <c r="A168" s="282">
        <v>44643</v>
      </c>
      <c r="B168" s="226" t="s">
        <v>357</v>
      </c>
      <c r="C168" s="226" t="s">
        <v>157</v>
      </c>
      <c r="D168" s="279" t="s">
        <v>164</v>
      </c>
      <c r="E168" s="211"/>
      <c r="F168" s="235">
        <v>30000</v>
      </c>
      <c r="G168" s="235">
        <f t="shared" si="3"/>
        <v>36943037</v>
      </c>
      <c r="H168" s="226" t="s">
        <v>153</v>
      </c>
      <c r="I168" s="226" t="s">
        <v>321</v>
      </c>
      <c r="J168" s="226" t="s">
        <v>166</v>
      </c>
      <c r="K168" s="178" t="s">
        <v>318</v>
      </c>
      <c r="L168" s="226" t="s">
        <v>186</v>
      </c>
      <c r="M168" s="178" t="s">
        <v>481</v>
      </c>
      <c r="N168" s="177" t="s">
        <v>417</v>
      </c>
      <c r="O168" s="226"/>
    </row>
    <row r="169" spans="1:16" ht="16.5" hidden="1" customHeight="1" x14ac:dyDescent="0.25">
      <c r="A169" s="282">
        <v>44643</v>
      </c>
      <c r="B169" s="178" t="s">
        <v>364</v>
      </c>
      <c r="C169" s="226" t="s">
        <v>76</v>
      </c>
      <c r="D169" s="183"/>
      <c r="E169" s="221">
        <v>3000</v>
      </c>
      <c r="F169" s="299"/>
      <c r="G169" s="235">
        <f t="shared" si="3"/>
        <v>36946037</v>
      </c>
      <c r="H169" s="178" t="s">
        <v>265</v>
      </c>
      <c r="J169" s="178"/>
      <c r="L169" s="226" t="s">
        <v>186</v>
      </c>
      <c r="O169" s="178"/>
      <c r="P169" s="233"/>
    </row>
    <row r="170" spans="1:16" ht="15" hidden="1" customHeight="1" x14ac:dyDescent="0.25">
      <c r="A170" s="282">
        <v>44643</v>
      </c>
      <c r="B170" s="226" t="s">
        <v>374</v>
      </c>
      <c r="C170" s="226" t="s">
        <v>76</v>
      </c>
      <c r="D170" s="279"/>
      <c r="E170" s="213">
        <v>100000</v>
      </c>
      <c r="F170" s="226"/>
      <c r="G170" s="235">
        <f t="shared" si="3"/>
        <v>37046037</v>
      </c>
      <c r="H170" s="226" t="s">
        <v>29</v>
      </c>
      <c r="I170" s="230"/>
      <c r="J170" s="226"/>
      <c r="K170" s="226"/>
      <c r="L170" s="226" t="s">
        <v>186</v>
      </c>
      <c r="M170" s="230"/>
      <c r="N170" s="230"/>
      <c r="O170" s="230"/>
    </row>
    <row r="171" spans="1:16" ht="15" customHeight="1" x14ac:dyDescent="0.25">
      <c r="A171" s="282">
        <v>44643</v>
      </c>
      <c r="B171" s="178" t="s">
        <v>418</v>
      </c>
      <c r="C171" s="178" t="s">
        <v>157</v>
      </c>
      <c r="D171" s="183" t="s">
        <v>164</v>
      </c>
      <c r="E171" s="221"/>
      <c r="F171" s="299">
        <v>20000</v>
      </c>
      <c r="G171" s="235">
        <f t="shared" si="3"/>
        <v>37026037</v>
      </c>
      <c r="H171" s="178" t="s">
        <v>264</v>
      </c>
      <c r="I171" s="183" t="s">
        <v>321</v>
      </c>
      <c r="J171" s="183" t="s">
        <v>166</v>
      </c>
      <c r="K171" s="178" t="s">
        <v>299</v>
      </c>
      <c r="L171" s="226" t="s">
        <v>186</v>
      </c>
      <c r="N171" s="242"/>
      <c r="O171" s="178"/>
    </row>
    <row r="172" spans="1:16" ht="15" customHeight="1" x14ac:dyDescent="0.25">
      <c r="A172" s="282">
        <v>44643</v>
      </c>
      <c r="B172" s="178" t="s">
        <v>349</v>
      </c>
      <c r="C172" s="178" t="s">
        <v>157</v>
      </c>
      <c r="D172" s="183" t="s">
        <v>165</v>
      </c>
      <c r="E172" s="221"/>
      <c r="F172" s="236">
        <v>30000</v>
      </c>
      <c r="G172" s="235">
        <f t="shared" si="3"/>
        <v>36996037</v>
      </c>
      <c r="H172" s="178" t="s">
        <v>31</v>
      </c>
      <c r="I172" s="183" t="s">
        <v>321</v>
      </c>
      <c r="J172" s="226" t="s">
        <v>166</v>
      </c>
      <c r="K172" s="178" t="s">
        <v>318</v>
      </c>
      <c r="L172" s="226" t="s">
        <v>186</v>
      </c>
      <c r="M172" s="178" t="s">
        <v>482</v>
      </c>
      <c r="N172" s="177" t="s">
        <v>417</v>
      </c>
      <c r="O172" s="178"/>
    </row>
    <row r="173" spans="1:16" ht="15" customHeight="1" x14ac:dyDescent="0.25">
      <c r="A173" s="282">
        <v>44644</v>
      </c>
      <c r="B173" s="226" t="s">
        <v>282</v>
      </c>
      <c r="C173" s="226" t="s">
        <v>184</v>
      </c>
      <c r="D173" s="279" t="s">
        <v>2</v>
      </c>
      <c r="E173" s="213"/>
      <c r="F173" s="299">
        <v>5000</v>
      </c>
      <c r="G173" s="235">
        <f t="shared" si="3"/>
        <v>36991037</v>
      </c>
      <c r="H173" s="226" t="s">
        <v>25</v>
      </c>
      <c r="I173" s="178" t="s">
        <v>233</v>
      </c>
      <c r="J173" s="226" t="s">
        <v>166</v>
      </c>
      <c r="K173" s="178" t="s">
        <v>318</v>
      </c>
      <c r="L173" s="226" t="s">
        <v>186</v>
      </c>
      <c r="M173" s="178" t="s">
        <v>483</v>
      </c>
      <c r="N173" s="177" t="s">
        <v>412</v>
      </c>
      <c r="O173" s="226"/>
    </row>
    <row r="174" spans="1:16" ht="15" customHeight="1" x14ac:dyDescent="0.25">
      <c r="A174" s="282">
        <v>44644</v>
      </c>
      <c r="B174" s="178" t="s">
        <v>403</v>
      </c>
      <c r="C174" s="226" t="s">
        <v>35</v>
      </c>
      <c r="D174" s="345" t="s">
        <v>4</v>
      </c>
      <c r="E174" s="221"/>
      <c r="F174" s="299">
        <v>1500</v>
      </c>
      <c r="G174" s="235">
        <f t="shared" si="3"/>
        <v>36989537</v>
      </c>
      <c r="H174" s="178" t="s">
        <v>49</v>
      </c>
      <c r="I174" s="183" t="s">
        <v>233</v>
      </c>
      <c r="J174" s="226" t="s">
        <v>166</v>
      </c>
      <c r="K174" s="226" t="s">
        <v>299</v>
      </c>
      <c r="L174" s="226" t="s">
        <v>186</v>
      </c>
      <c r="N174" s="242"/>
      <c r="O174" s="227"/>
      <c r="P174" s="233"/>
    </row>
    <row r="175" spans="1:16" ht="15" customHeight="1" x14ac:dyDescent="0.25">
      <c r="A175" s="282">
        <v>44644</v>
      </c>
      <c r="B175" s="178" t="s">
        <v>413</v>
      </c>
      <c r="C175" s="178" t="s">
        <v>184</v>
      </c>
      <c r="D175" s="345" t="s">
        <v>4</v>
      </c>
      <c r="E175" s="221"/>
      <c r="F175" s="299">
        <v>3500</v>
      </c>
      <c r="G175" s="235">
        <f t="shared" si="3"/>
        <v>36986037</v>
      </c>
      <c r="H175" s="178" t="s">
        <v>49</v>
      </c>
      <c r="I175" s="183" t="s">
        <v>233</v>
      </c>
      <c r="J175" s="226" t="s">
        <v>166</v>
      </c>
      <c r="K175" s="226" t="s">
        <v>299</v>
      </c>
      <c r="L175" s="226" t="s">
        <v>186</v>
      </c>
      <c r="O175" s="178"/>
    </row>
    <row r="176" spans="1:16" ht="15" customHeight="1" x14ac:dyDescent="0.25">
      <c r="A176" s="282">
        <v>44644</v>
      </c>
      <c r="B176" s="178" t="s">
        <v>339</v>
      </c>
      <c r="C176" s="178" t="s">
        <v>198</v>
      </c>
      <c r="D176" s="345" t="s">
        <v>4</v>
      </c>
      <c r="F176" s="234">
        <v>40000</v>
      </c>
      <c r="G176" s="235">
        <f t="shared" si="3"/>
        <v>36946037</v>
      </c>
      <c r="H176" s="178" t="s">
        <v>49</v>
      </c>
      <c r="I176" s="183" t="s">
        <v>321</v>
      </c>
      <c r="J176" s="183" t="s">
        <v>166</v>
      </c>
      <c r="K176" s="178" t="s">
        <v>299</v>
      </c>
      <c r="L176" s="226" t="s">
        <v>186</v>
      </c>
      <c r="O176" s="178"/>
      <c r="P176" s="228"/>
    </row>
    <row r="177" spans="1:16" ht="15" customHeight="1" x14ac:dyDescent="0.25">
      <c r="A177" s="282">
        <v>44644</v>
      </c>
      <c r="B177" s="226" t="s">
        <v>381</v>
      </c>
      <c r="C177" s="226" t="s">
        <v>157</v>
      </c>
      <c r="D177" s="345" t="s">
        <v>4</v>
      </c>
      <c r="E177" s="213"/>
      <c r="F177" s="299">
        <v>45000</v>
      </c>
      <c r="G177" s="235">
        <f t="shared" si="3"/>
        <v>36901037</v>
      </c>
      <c r="H177" s="226" t="s">
        <v>29</v>
      </c>
      <c r="I177" s="178" t="s">
        <v>233</v>
      </c>
      <c r="J177" s="178" t="s">
        <v>166</v>
      </c>
      <c r="K177" s="178" t="s">
        <v>318</v>
      </c>
      <c r="L177" s="226" t="s">
        <v>186</v>
      </c>
      <c r="M177" s="178" t="s">
        <v>484</v>
      </c>
      <c r="N177" s="177" t="s">
        <v>417</v>
      </c>
      <c r="O177" s="226"/>
    </row>
    <row r="178" spans="1:16" ht="14.25" customHeight="1" x14ac:dyDescent="0.25">
      <c r="A178" s="282">
        <v>44644</v>
      </c>
      <c r="B178" s="226" t="s">
        <v>382</v>
      </c>
      <c r="C178" s="226" t="s">
        <v>34</v>
      </c>
      <c r="D178" s="345" t="s">
        <v>4</v>
      </c>
      <c r="E178" s="211"/>
      <c r="F178" s="299">
        <v>3000</v>
      </c>
      <c r="G178" s="235">
        <f t="shared" si="3"/>
        <v>36898037</v>
      </c>
      <c r="H178" s="226" t="s">
        <v>29</v>
      </c>
      <c r="I178" s="178" t="s">
        <v>222</v>
      </c>
      <c r="J178" s="226" t="s">
        <v>166</v>
      </c>
      <c r="K178" s="178" t="s">
        <v>318</v>
      </c>
      <c r="L178" s="226" t="s">
        <v>186</v>
      </c>
      <c r="M178" s="178" t="s">
        <v>485</v>
      </c>
      <c r="N178" s="346" t="s">
        <v>416</v>
      </c>
      <c r="O178" s="226"/>
    </row>
    <row r="179" spans="1:16" ht="15" customHeight="1" x14ac:dyDescent="0.25">
      <c r="A179" s="282">
        <v>44644</v>
      </c>
      <c r="B179" s="178" t="s">
        <v>389</v>
      </c>
      <c r="C179" s="178" t="s">
        <v>359</v>
      </c>
      <c r="D179" s="183" t="s">
        <v>164</v>
      </c>
      <c r="E179" s="221"/>
      <c r="F179" s="226">
        <v>15000</v>
      </c>
      <c r="G179" s="235">
        <f t="shared" si="3"/>
        <v>36883037</v>
      </c>
      <c r="H179" s="178" t="s">
        <v>264</v>
      </c>
      <c r="I179" s="183" t="s">
        <v>321</v>
      </c>
      <c r="J179" s="183" t="s">
        <v>166</v>
      </c>
      <c r="K179" s="178" t="s">
        <v>299</v>
      </c>
      <c r="L179" s="226" t="s">
        <v>186</v>
      </c>
      <c r="O179" s="178"/>
    </row>
    <row r="180" spans="1:16" ht="15" customHeight="1" x14ac:dyDescent="0.25">
      <c r="A180" s="282">
        <v>44644</v>
      </c>
      <c r="B180" s="225" t="s">
        <v>390</v>
      </c>
      <c r="C180" s="178" t="s">
        <v>34</v>
      </c>
      <c r="D180" s="279" t="s">
        <v>164</v>
      </c>
      <c r="E180" s="213"/>
      <c r="F180" s="299">
        <v>7000</v>
      </c>
      <c r="G180" s="235">
        <f t="shared" si="3"/>
        <v>36876037</v>
      </c>
      <c r="H180" s="226" t="s">
        <v>264</v>
      </c>
      <c r="I180" s="279" t="s">
        <v>222</v>
      </c>
      <c r="J180" s="183" t="s">
        <v>166</v>
      </c>
      <c r="K180" s="178" t="s">
        <v>299</v>
      </c>
      <c r="L180" s="226" t="s">
        <v>186</v>
      </c>
      <c r="N180" s="306"/>
      <c r="O180" s="230"/>
    </row>
    <row r="181" spans="1:16" ht="15" hidden="1" customHeight="1" x14ac:dyDescent="0.25">
      <c r="A181" s="282">
        <v>44645</v>
      </c>
      <c r="B181" s="226" t="s">
        <v>31</v>
      </c>
      <c r="C181" s="226" t="s">
        <v>76</v>
      </c>
      <c r="D181" s="363"/>
      <c r="E181" s="211"/>
      <c r="F181" s="299">
        <v>33000</v>
      </c>
      <c r="G181" s="235">
        <f t="shared" si="3"/>
        <v>36843037</v>
      </c>
      <c r="H181" s="226" t="s">
        <v>25</v>
      </c>
      <c r="I181" s="178"/>
      <c r="J181" s="226"/>
      <c r="K181" s="226"/>
      <c r="L181" s="226" t="s">
        <v>186</v>
      </c>
      <c r="N181" s="226"/>
      <c r="O181" s="226"/>
    </row>
    <row r="182" spans="1:16" ht="15" hidden="1" customHeight="1" x14ac:dyDescent="0.25">
      <c r="A182" s="284">
        <v>44645</v>
      </c>
      <c r="B182" s="286" t="s">
        <v>219</v>
      </c>
      <c r="C182" s="226" t="s">
        <v>76</v>
      </c>
      <c r="D182" s="279"/>
      <c r="E182" s="212"/>
      <c r="F182" s="374">
        <v>193000</v>
      </c>
      <c r="G182" s="235">
        <f t="shared" si="3"/>
        <v>36650037</v>
      </c>
      <c r="H182" s="286" t="s">
        <v>25</v>
      </c>
      <c r="I182" s="178"/>
      <c r="J182" s="226"/>
      <c r="K182" s="226"/>
      <c r="L182" s="226" t="s">
        <v>186</v>
      </c>
      <c r="N182" s="226"/>
      <c r="O182" s="233"/>
    </row>
    <row r="183" spans="1:16" ht="15" customHeight="1" x14ac:dyDescent="0.25">
      <c r="A183" s="282">
        <v>44645</v>
      </c>
      <c r="B183" s="226" t="s">
        <v>415</v>
      </c>
      <c r="C183" s="295" t="s">
        <v>185</v>
      </c>
      <c r="D183" s="279" t="s">
        <v>232</v>
      </c>
      <c r="E183" s="213"/>
      <c r="F183" s="226">
        <v>12557</v>
      </c>
      <c r="G183" s="235">
        <f t="shared" si="3"/>
        <v>36637480</v>
      </c>
      <c r="H183" s="226" t="s">
        <v>25</v>
      </c>
      <c r="I183" s="279" t="s">
        <v>240</v>
      </c>
      <c r="J183" s="226" t="s">
        <v>166</v>
      </c>
      <c r="K183" s="226" t="s">
        <v>299</v>
      </c>
      <c r="L183" s="226" t="s">
        <v>186</v>
      </c>
      <c r="N183" s="226"/>
      <c r="O183" s="226"/>
    </row>
    <row r="184" spans="1:16" ht="15" customHeight="1" x14ac:dyDescent="0.25">
      <c r="A184" s="282">
        <v>44645</v>
      </c>
      <c r="B184" s="226" t="s">
        <v>283</v>
      </c>
      <c r="C184" s="295" t="s">
        <v>185</v>
      </c>
      <c r="D184" s="279" t="s">
        <v>232</v>
      </c>
      <c r="E184" s="211"/>
      <c r="F184" s="235">
        <v>990</v>
      </c>
      <c r="G184" s="235">
        <f t="shared" si="3"/>
        <v>36636490</v>
      </c>
      <c r="H184" s="226" t="s">
        <v>25</v>
      </c>
      <c r="I184" s="178" t="s">
        <v>233</v>
      </c>
      <c r="J184" s="226" t="s">
        <v>103</v>
      </c>
      <c r="K184" s="178" t="s">
        <v>318</v>
      </c>
      <c r="L184" s="226" t="s">
        <v>186</v>
      </c>
      <c r="M184" s="178" t="s">
        <v>486</v>
      </c>
      <c r="N184" s="177" t="s">
        <v>398</v>
      </c>
      <c r="O184" s="226"/>
    </row>
    <row r="185" spans="1:16" ht="15" customHeight="1" x14ac:dyDescent="0.25">
      <c r="A185" s="282">
        <v>44645</v>
      </c>
      <c r="B185" s="226" t="s">
        <v>284</v>
      </c>
      <c r="C185" s="226" t="s">
        <v>140</v>
      </c>
      <c r="D185" s="279" t="s">
        <v>232</v>
      </c>
      <c r="E185" s="213"/>
      <c r="F185" s="299">
        <v>89175</v>
      </c>
      <c r="G185" s="235">
        <f t="shared" si="3"/>
        <v>36547315</v>
      </c>
      <c r="H185" s="226" t="s">
        <v>25</v>
      </c>
      <c r="I185" s="178" t="s">
        <v>222</v>
      </c>
      <c r="J185" s="226" t="s">
        <v>103</v>
      </c>
      <c r="K185" s="178" t="s">
        <v>318</v>
      </c>
      <c r="L185" s="226" t="s">
        <v>186</v>
      </c>
      <c r="M185" s="178" t="s">
        <v>487</v>
      </c>
      <c r="N185" s="177" t="s">
        <v>400</v>
      </c>
      <c r="O185" s="226"/>
    </row>
    <row r="186" spans="1:16" ht="15" hidden="1" customHeight="1" x14ac:dyDescent="0.25">
      <c r="A186" s="282">
        <v>44645</v>
      </c>
      <c r="B186" s="178" t="s">
        <v>319</v>
      </c>
      <c r="C186" s="226" t="s">
        <v>76</v>
      </c>
      <c r="D186" s="183"/>
      <c r="E186" s="195">
        <v>193000</v>
      </c>
      <c r="F186" s="234"/>
      <c r="G186" s="235">
        <f t="shared" si="3"/>
        <v>36740315</v>
      </c>
      <c r="H186" s="178" t="s">
        <v>49</v>
      </c>
      <c r="L186" s="226" t="s">
        <v>186</v>
      </c>
      <c r="O186" s="178"/>
      <c r="P186" s="228"/>
    </row>
    <row r="187" spans="1:16" ht="15" hidden="1" customHeight="1" x14ac:dyDescent="0.25">
      <c r="A187" s="282">
        <v>44645</v>
      </c>
      <c r="B187" s="226" t="s">
        <v>345</v>
      </c>
      <c r="C187" s="226" t="s">
        <v>76</v>
      </c>
      <c r="D187" s="279"/>
      <c r="E187" s="213">
        <v>33000</v>
      </c>
      <c r="F187" s="373"/>
      <c r="G187" s="235">
        <f t="shared" si="3"/>
        <v>36773315</v>
      </c>
      <c r="H187" s="226" t="s">
        <v>31</v>
      </c>
      <c r="I187" s="279"/>
      <c r="J187" s="226"/>
      <c r="K187" s="226"/>
      <c r="L187" s="226" t="s">
        <v>186</v>
      </c>
      <c r="N187" s="230"/>
      <c r="O187" s="226"/>
    </row>
    <row r="188" spans="1:16" ht="15" customHeight="1" x14ac:dyDescent="0.25">
      <c r="A188" s="285">
        <v>44645</v>
      </c>
      <c r="B188" s="286" t="s">
        <v>347</v>
      </c>
      <c r="C188" s="226" t="s">
        <v>34</v>
      </c>
      <c r="D188" s="279" t="s">
        <v>165</v>
      </c>
      <c r="E188" s="212"/>
      <c r="F188" s="239">
        <v>7000</v>
      </c>
      <c r="G188" s="235">
        <f t="shared" si="3"/>
        <v>36766315</v>
      </c>
      <c r="H188" s="241" t="s">
        <v>31</v>
      </c>
      <c r="I188" s="279" t="s">
        <v>222</v>
      </c>
      <c r="J188" s="226" t="s">
        <v>166</v>
      </c>
      <c r="K188" s="178" t="s">
        <v>318</v>
      </c>
      <c r="L188" s="226" t="s">
        <v>186</v>
      </c>
      <c r="M188" s="178" t="s">
        <v>488</v>
      </c>
      <c r="N188" s="346" t="s">
        <v>416</v>
      </c>
      <c r="O188" s="226"/>
    </row>
    <row r="189" spans="1:16" ht="15" customHeight="1" x14ac:dyDescent="0.25">
      <c r="A189" s="282">
        <v>44645</v>
      </c>
      <c r="B189" s="226" t="s">
        <v>348</v>
      </c>
      <c r="C189" s="178" t="s">
        <v>157</v>
      </c>
      <c r="D189" s="279" t="s">
        <v>165</v>
      </c>
      <c r="E189" s="211"/>
      <c r="F189" s="235">
        <v>45000</v>
      </c>
      <c r="G189" s="235">
        <f t="shared" si="3"/>
        <v>36721315</v>
      </c>
      <c r="H189" s="226" t="s">
        <v>31</v>
      </c>
      <c r="I189" s="279" t="s">
        <v>222</v>
      </c>
      <c r="J189" s="178" t="s">
        <v>166</v>
      </c>
      <c r="K189" s="178" t="s">
        <v>318</v>
      </c>
      <c r="L189" s="226" t="s">
        <v>186</v>
      </c>
      <c r="M189" s="178" t="s">
        <v>489</v>
      </c>
      <c r="N189" s="177" t="s">
        <v>417</v>
      </c>
      <c r="O189" s="226"/>
    </row>
    <row r="190" spans="1:16" ht="15" customHeight="1" x14ac:dyDescent="0.25">
      <c r="A190" s="282">
        <v>44645</v>
      </c>
      <c r="B190" s="178" t="s">
        <v>350</v>
      </c>
      <c r="C190" s="178" t="s">
        <v>208</v>
      </c>
      <c r="D190" s="183" t="s">
        <v>164</v>
      </c>
      <c r="E190" s="219"/>
      <c r="F190" s="299">
        <v>5000</v>
      </c>
      <c r="G190" s="235">
        <f t="shared" si="3"/>
        <v>36716315</v>
      </c>
      <c r="H190" s="178" t="s">
        <v>31</v>
      </c>
      <c r="I190" s="183" t="s">
        <v>321</v>
      </c>
      <c r="J190" s="178" t="s">
        <v>166</v>
      </c>
      <c r="K190" s="296" t="s">
        <v>299</v>
      </c>
      <c r="L190" s="226" t="s">
        <v>186</v>
      </c>
      <c r="N190" s="242"/>
      <c r="O190" s="178"/>
    </row>
    <row r="191" spans="1:16" ht="15" customHeight="1" x14ac:dyDescent="0.25">
      <c r="A191" s="285">
        <v>44645</v>
      </c>
      <c r="B191" s="239" t="s">
        <v>358</v>
      </c>
      <c r="C191" s="286" t="s">
        <v>359</v>
      </c>
      <c r="D191" s="183" t="s">
        <v>164</v>
      </c>
      <c r="E191" s="316"/>
      <c r="F191" s="226">
        <v>5000</v>
      </c>
      <c r="G191" s="235">
        <f t="shared" si="3"/>
        <v>36711315</v>
      </c>
      <c r="H191" s="226" t="s">
        <v>153</v>
      </c>
      <c r="I191" s="183" t="s">
        <v>321</v>
      </c>
      <c r="J191" s="178" t="s">
        <v>166</v>
      </c>
      <c r="K191" s="296" t="s">
        <v>299</v>
      </c>
      <c r="L191" s="226" t="s">
        <v>186</v>
      </c>
      <c r="N191" s="233"/>
      <c r="O191" s="233"/>
    </row>
    <row r="192" spans="1:16" ht="15" customHeight="1" x14ac:dyDescent="0.25">
      <c r="A192" s="282">
        <v>44645</v>
      </c>
      <c r="B192" s="226" t="s">
        <v>363</v>
      </c>
      <c r="C192" s="178" t="s">
        <v>34</v>
      </c>
      <c r="D192" s="279" t="s">
        <v>2</v>
      </c>
      <c r="E192" s="211"/>
      <c r="F192" s="299">
        <v>10000</v>
      </c>
      <c r="G192" s="235">
        <f t="shared" si="3"/>
        <v>36701315</v>
      </c>
      <c r="H192" s="226" t="s">
        <v>152</v>
      </c>
      <c r="I192" s="279" t="s">
        <v>321</v>
      </c>
      <c r="J192" s="226" t="s">
        <v>166</v>
      </c>
      <c r="K192" s="178" t="s">
        <v>318</v>
      </c>
      <c r="L192" s="226" t="s">
        <v>186</v>
      </c>
      <c r="M192" s="178" t="s">
        <v>490</v>
      </c>
      <c r="N192" s="346" t="s">
        <v>416</v>
      </c>
      <c r="O192" s="226"/>
    </row>
    <row r="193" spans="1:16" ht="15" customHeight="1" x14ac:dyDescent="0.25">
      <c r="A193" s="282">
        <v>44645</v>
      </c>
      <c r="B193" s="178" t="s">
        <v>391</v>
      </c>
      <c r="C193" s="178" t="s">
        <v>157</v>
      </c>
      <c r="D193" s="183" t="s">
        <v>164</v>
      </c>
      <c r="E193" s="219"/>
      <c r="F193" s="235">
        <v>30000</v>
      </c>
      <c r="G193" s="235">
        <f t="shared" si="3"/>
        <v>36671315</v>
      </c>
      <c r="H193" s="178" t="s">
        <v>264</v>
      </c>
      <c r="I193" s="183" t="s">
        <v>222</v>
      </c>
      <c r="J193" s="183" t="s">
        <v>166</v>
      </c>
      <c r="K193" s="178" t="s">
        <v>299</v>
      </c>
      <c r="L193" s="226" t="s">
        <v>186</v>
      </c>
      <c r="O193" s="178"/>
    </row>
    <row r="194" spans="1:16" ht="15.75" customHeight="1" x14ac:dyDescent="0.25">
      <c r="A194" s="283">
        <v>44646</v>
      </c>
      <c r="B194" s="218" t="s">
        <v>340</v>
      </c>
      <c r="C194" s="178" t="s">
        <v>34</v>
      </c>
      <c r="D194" s="345" t="s">
        <v>4</v>
      </c>
      <c r="E194" s="313"/>
      <c r="F194" s="371">
        <v>10000</v>
      </c>
      <c r="G194" s="235">
        <f t="shared" si="3"/>
        <v>36661315</v>
      </c>
      <c r="H194" s="228" t="s">
        <v>49</v>
      </c>
      <c r="I194" s="183" t="s">
        <v>233</v>
      </c>
      <c r="J194" s="226" t="s">
        <v>166</v>
      </c>
      <c r="K194" s="226" t="s">
        <v>299</v>
      </c>
      <c r="L194" s="226" t="s">
        <v>186</v>
      </c>
      <c r="O194" s="228"/>
      <c r="P194" s="233"/>
    </row>
    <row r="195" spans="1:16" ht="15.75" customHeight="1" x14ac:dyDescent="0.25">
      <c r="A195" s="282">
        <v>44646</v>
      </c>
      <c r="B195" s="178" t="s">
        <v>413</v>
      </c>
      <c r="C195" s="178" t="s">
        <v>184</v>
      </c>
      <c r="D195" s="345" t="s">
        <v>4</v>
      </c>
      <c r="E195" s="221"/>
      <c r="F195" s="236">
        <v>5000</v>
      </c>
      <c r="G195" s="235">
        <f t="shared" si="3"/>
        <v>36656315</v>
      </c>
      <c r="H195" s="178" t="s">
        <v>49</v>
      </c>
      <c r="I195" s="183" t="s">
        <v>233</v>
      </c>
      <c r="J195" s="226" t="s">
        <v>166</v>
      </c>
      <c r="K195" s="226" t="s">
        <v>299</v>
      </c>
      <c r="L195" s="226" t="s">
        <v>186</v>
      </c>
      <c r="O195" s="227"/>
      <c r="P195" s="227"/>
    </row>
    <row r="196" spans="1:16" ht="15" customHeight="1" x14ac:dyDescent="0.25">
      <c r="A196" s="282">
        <v>44646</v>
      </c>
      <c r="B196" s="226" t="s">
        <v>360</v>
      </c>
      <c r="C196" s="226" t="s">
        <v>157</v>
      </c>
      <c r="D196" s="363" t="s">
        <v>164</v>
      </c>
      <c r="E196" s="213"/>
      <c r="F196" s="226">
        <v>45000</v>
      </c>
      <c r="G196" s="235">
        <f t="shared" si="3"/>
        <v>36611315</v>
      </c>
      <c r="H196" s="226" t="s">
        <v>153</v>
      </c>
      <c r="I196" s="279" t="s">
        <v>222</v>
      </c>
      <c r="J196" s="178" t="s">
        <v>166</v>
      </c>
      <c r="K196" s="178" t="s">
        <v>318</v>
      </c>
      <c r="L196" s="226" t="s">
        <v>186</v>
      </c>
      <c r="M196" s="178" t="s">
        <v>491</v>
      </c>
      <c r="N196" s="177" t="s">
        <v>417</v>
      </c>
      <c r="O196" s="226"/>
    </row>
    <row r="197" spans="1:16" ht="15" customHeight="1" x14ac:dyDescent="0.25">
      <c r="A197" s="284">
        <v>44646</v>
      </c>
      <c r="B197" s="286" t="s">
        <v>361</v>
      </c>
      <c r="C197" s="178" t="s">
        <v>34</v>
      </c>
      <c r="D197" s="279" t="s">
        <v>164</v>
      </c>
      <c r="E197" s="317"/>
      <c r="F197" s="239">
        <v>10000</v>
      </c>
      <c r="G197" s="235">
        <f t="shared" si="3"/>
        <v>36601315</v>
      </c>
      <c r="H197" s="286" t="s">
        <v>153</v>
      </c>
      <c r="I197" s="279" t="s">
        <v>222</v>
      </c>
      <c r="J197" s="226" t="s">
        <v>166</v>
      </c>
      <c r="K197" s="178" t="s">
        <v>318</v>
      </c>
      <c r="L197" s="226" t="s">
        <v>186</v>
      </c>
      <c r="M197" s="178" t="s">
        <v>492</v>
      </c>
      <c r="N197" s="346" t="s">
        <v>416</v>
      </c>
      <c r="O197" s="233"/>
    </row>
    <row r="198" spans="1:16" ht="15" customHeight="1" x14ac:dyDescent="0.25">
      <c r="A198" s="282">
        <v>44646</v>
      </c>
      <c r="B198" s="226" t="s">
        <v>383</v>
      </c>
      <c r="C198" s="226" t="s">
        <v>34</v>
      </c>
      <c r="D198" s="345" t="s">
        <v>4</v>
      </c>
      <c r="E198" s="211"/>
      <c r="F198" s="299">
        <v>3000</v>
      </c>
      <c r="G198" s="235">
        <f t="shared" si="3"/>
        <v>36598315</v>
      </c>
      <c r="H198" s="226" t="s">
        <v>29</v>
      </c>
      <c r="I198" s="178" t="s">
        <v>222</v>
      </c>
      <c r="J198" s="226" t="s">
        <v>166</v>
      </c>
      <c r="K198" s="178" t="s">
        <v>318</v>
      </c>
      <c r="L198" s="226" t="s">
        <v>186</v>
      </c>
      <c r="M198" s="178" t="s">
        <v>493</v>
      </c>
      <c r="N198" s="346" t="s">
        <v>416</v>
      </c>
      <c r="O198" s="226"/>
    </row>
    <row r="199" spans="1:16" x14ac:dyDescent="0.25">
      <c r="A199" s="282">
        <v>44646</v>
      </c>
      <c r="B199" s="226" t="s">
        <v>384</v>
      </c>
      <c r="C199" s="226" t="s">
        <v>34</v>
      </c>
      <c r="D199" s="345" t="s">
        <v>4</v>
      </c>
      <c r="E199" s="211"/>
      <c r="F199" s="235">
        <v>4000</v>
      </c>
      <c r="G199" s="235">
        <f t="shared" si="3"/>
        <v>36594315</v>
      </c>
      <c r="H199" s="226" t="s">
        <v>29</v>
      </c>
      <c r="I199" s="226" t="s">
        <v>222</v>
      </c>
      <c r="J199" s="226" t="s">
        <v>166</v>
      </c>
      <c r="K199" s="178" t="s">
        <v>318</v>
      </c>
      <c r="L199" s="226" t="s">
        <v>186</v>
      </c>
      <c r="M199" s="178" t="s">
        <v>494</v>
      </c>
      <c r="N199" s="346" t="s">
        <v>416</v>
      </c>
      <c r="O199" s="226"/>
    </row>
    <row r="200" spans="1:16" ht="15" customHeight="1" x14ac:dyDescent="0.25">
      <c r="A200" s="284">
        <v>44646</v>
      </c>
      <c r="B200" s="226" t="s">
        <v>426</v>
      </c>
      <c r="C200" s="226" t="s">
        <v>157</v>
      </c>
      <c r="D200" s="345" t="s">
        <v>4</v>
      </c>
      <c r="E200" s="303"/>
      <c r="F200" s="235">
        <v>30000</v>
      </c>
      <c r="G200" s="235">
        <f t="shared" si="3"/>
        <v>36564315</v>
      </c>
      <c r="H200" s="226" t="s">
        <v>29</v>
      </c>
      <c r="I200" s="226" t="s">
        <v>233</v>
      </c>
      <c r="J200" s="178" t="s">
        <v>166</v>
      </c>
      <c r="K200" s="178" t="s">
        <v>318</v>
      </c>
      <c r="L200" s="226" t="s">
        <v>186</v>
      </c>
      <c r="M200" s="178" t="s">
        <v>495</v>
      </c>
      <c r="N200" s="177" t="s">
        <v>417</v>
      </c>
      <c r="O200" s="226"/>
    </row>
    <row r="201" spans="1:16" ht="15" customHeight="1" x14ac:dyDescent="0.25">
      <c r="A201" s="282">
        <v>44647</v>
      </c>
      <c r="B201" s="226" t="s">
        <v>427</v>
      </c>
      <c r="C201" s="226" t="s">
        <v>157</v>
      </c>
      <c r="D201" s="345" t="s">
        <v>4</v>
      </c>
      <c r="E201" s="211"/>
      <c r="F201" s="299">
        <v>15000</v>
      </c>
      <c r="G201" s="235">
        <f t="shared" si="3"/>
        <v>36549315</v>
      </c>
      <c r="H201" s="226" t="s">
        <v>29</v>
      </c>
      <c r="I201" s="178" t="s">
        <v>233</v>
      </c>
      <c r="J201" s="178" t="s">
        <v>166</v>
      </c>
      <c r="K201" s="178" t="s">
        <v>318</v>
      </c>
      <c r="L201" s="226" t="s">
        <v>186</v>
      </c>
      <c r="M201" s="178" t="s">
        <v>496</v>
      </c>
      <c r="N201" s="177" t="s">
        <v>417</v>
      </c>
      <c r="O201" s="226"/>
    </row>
    <row r="202" spans="1:16" ht="15" customHeight="1" x14ac:dyDescent="0.25">
      <c r="A202" s="284">
        <v>44647</v>
      </c>
      <c r="B202" s="226" t="s">
        <v>385</v>
      </c>
      <c r="C202" s="226" t="s">
        <v>34</v>
      </c>
      <c r="D202" s="345" t="s">
        <v>4</v>
      </c>
      <c r="E202" s="213"/>
      <c r="F202" s="226">
        <v>6000</v>
      </c>
      <c r="G202" s="235">
        <f t="shared" si="3"/>
        <v>36543315</v>
      </c>
      <c r="H202" s="226" t="s">
        <v>29</v>
      </c>
      <c r="I202" s="279" t="s">
        <v>222</v>
      </c>
      <c r="J202" s="226" t="s">
        <v>166</v>
      </c>
      <c r="K202" s="178" t="s">
        <v>318</v>
      </c>
      <c r="L202" s="226" t="s">
        <v>186</v>
      </c>
      <c r="M202" s="178" t="s">
        <v>497</v>
      </c>
      <c r="N202" s="346" t="s">
        <v>416</v>
      </c>
      <c r="O202" s="226"/>
    </row>
    <row r="203" spans="1:16" ht="15" customHeight="1" x14ac:dyDescent="0.25">
      <c r="A203" s="282">
        <v>44648</v>
      </c>
      <c r="B203" s="226" t="s">
        <v>282</v>
      </c>
      <c r="C203" s="226" t="s">
        <v>184</v>
      </c>
      <c r="D203" s="279" t="s">
        <v>2</v>
      </c>
      <c r="E203" s="213"/>
      <c r="F203" s="226">
        <v>5000</v>
      </c>
      <c r="G203" s="235">
        <f t="shared" si="3"/>
        <v>36538315</v>
      </c>
      <c r="H203" s="226" t="s">
        <v>25</v>
      </c>
      <c r="I203" s="226" t="s">
        <v>240</v>
      </c>
      <c r="J203" s="226" t="s">
        <v>166</v>
      </c>
      <c r="K203" s="178" t="s">
        <v>318</v>
      </c>
      <c r="L203" s="226" t="s">
        <v>186</v>
      </c>
      <c r="M203" s="178" t="s">
        <v>498</v>
      </c>
      <c r="N203" s="177" t="s">
        <v>412</v>
      </c>
      <c r="O203" s="226"/>
    </row>
    <row r="204" spans="1:16" ht="15" customHeight="1" x14ac:dyDescent="0.25">
      <c r="A204" s="282">
        <v>44648</v>
      </c>
      <c r="B204" s="226" t="s">
        <v>419</v>
      </c>
      <c r="C204" s="178" t="s">
        <v>157</v>
      </c>
      <c r="D204" s="345" t="s">
        <v>4</v>
      </c>
      <c r="E204" s="213"/>
      <c r="F204" s="375">
        <v>150000</v>
      </c>
      <c r="G204" s="235">
        <f t="shared" si="3"/>
        <v>36388315</v>
      </c>
      <c r="H204" s="226" t="s">
        <v>49</v>
      </c>
      <c r="I204" s="279" t="s">
        <v>233</v>
      </c>
      <c r="J204" s="178" t="s">
        <v>166</v>
      </c>
      <c r="K204" s="178" t="s">
        <v>299</v>
      </c>
      <c r="L204" s="226" t="s">
        <v>186</v>
      </c>
      <c r="O204" s="226"/>
    </row>
    <row r="205" spans="1:16" ht="15" customHeight="1" x14ac:dyDescent="0.25">
      <c r="A205" s="282">
        <v>44648</v>
      </c>
      <c r="B205" s="226" t="s">
        <v>329</v>
      </c>
      <c r="C205" s="226" t="s">
        <v>34</v>
      </c>
      <c r="D205" s="345" t="s">
        <v>4</v>
      </c>
      <c r="E205" s="211"/>
      <c r="F205" s="299">
        <v>20000</v>
      </c>
      <c r="G205" s="235">
        <f t="shared" si="3"/>
        <v>36368315</v>
      </c>
      <c r="H205" s="226" t="s">
        <v>49</v>
      </c>
      <c r="I205" s="183" t="s">
        <v>233</v>
      </c>
      <c r="J205" s="226" t="s">
        <v>166</v>
      </c>
      <c r="K205" s="226" t="s">
        <v>299</v>
      </c>
      <c r="L205" s="226" t="s">
        <v>186</v>
      </c>
      <c r="N205" s="230"/>
      <c r="O205" s="226"/>
    </row>
    <row r="206" spans="1:16" ht="15" customHeight="1" x14ac:dyDescent="0.25">
      <c r="A206" s="285">
        <v>44648</v>
      </c>
      <c r="B206" s="286" t="s">
        <v>330</v>
      </c>
      <c r="C206" s="178" t="s">
        <v>324</v>
      </c>
      <c r="D206" s="345" t="s">
        <v>4</v>
      </c>
      <c r="E206" s="212"/>
      <c r="F206" s="239">
        <v>20000</v>
      </c>
      <c r="G206" s="235">
        <f t="shared" ref="G206:G242" si="4">+G205+E206-F206</f>
        <v>36348315</v>
      </c>
      <c r="H206" s="241" t="s">
        <v>49</v>
      </c>
      <c r="I206" s="279" t="s">
        <v>233</v>
      </c>
      <c r="J206" s="226" t="s">
        <v>166</v>
      </c>
      <c r="K206" s="226" t="s">
        <v>299</v>
      </c>
      <c r="L206" s="226" t="s">
        <v>186</v>
      </c>
      <c r="M206" s="226"/>
      <c r="N206" s="226"/>
      <c r="O206" s="226"/>
    </row>
    <row r="207" spans="1:16" ht="15" customHeight="1" x14ac:dyDescent="0.25">
      <c r="A207" s="282">
        <v>44648</v>
      </c>
      <c r="B207" s="178" t="s">
        <v>425</v>
      </c>
      <c r="C207" s="178" t="s">
        <v>324</v>
      </c>
      <c r="D207" s="345" t="s">
        <v>4</v>
      </c>
      <c r="E207" s="221"/>
      <c r="F207" s="236">
        <v>1200</v>
      </c>
      <c r="G207" s="235">
        <f t="shared" si="4"/>
        <v>36347115</v>
      </c>
      <c r="H207" s="178" t="s">
        <v>49</v>
      </c>
      <c r="I207" s="183" t="s">
        <v>233</v>
      </c>
      <c r="J207" s="226" t="s">
        <v>166</v>
      </c>
      <c r="K207" s="226" t="s">
        <v>299</v>
      </c>
      <c r="L207" s="226" t="s">
        <v>186</v>
      </c>
      <c r="O207" s="178"/>
    </row>
    <row r="208" spans="1:16" ht="15" customHeight="1" x14ac:dyDescent="0.25">
      <c r="A208" s="282">
        <v>44648</v>
      </c>
      <c r="B208" s="226" t="s">
        <v>341</v>
      </c>
      <c r="C208" s="226" t="s">
        <v>34</v>
      </c>
      <c r="D208" s="345" t="s">
        <v>4</v>
      </c>
      <c r="E208" s="211"/>
      <c r="F208" s="299">
        <v>70000</v>
      </c>
      <c r="G208" s="235">
        <f t="shared" si="4"/>
        <v>36277115</v>
      </c>
      <c r="H208" s="226" t="s">
        <v>49</v>
      </c>
      <c r="I208" s="230" t="s">
        <v>321</v>
      </c>
      <c r="J208" s="178" t="s">
        <v>166</v>
      </c>
      <c r="K208" s="178" t="s">
        <v>318</v>
      </c>
      <c r="L208" s="226" t="s">
        <v>186</v>
      </c>
      <c r="M208" s="178" t="s">
        <v>499</v>
      </c>
      <c r="N208" s="242" t="s">
        <v>416</v>
      </c>
      <c r="O208" s="226"/>
    </row>
    <row r="209" spans="1:16" ht="15" hidden="1" customHeight="1" x14ac:dyDescent="0.25">
      <c r="A209" s="282">
        <v>44649</v>
      </c>
      <c r="B209" s="225" t="s">
        <v>265</v>
      </c>
      <c r="C209" s="226" t="s">
        <v>76</v>
      </c>
      <c r="D209" s="368"/>
      <c r="E209" s="213"/>
      <c r="F209" s="226">
        <v>15000</v>
      </c>
      <c r="G209" s="235">
        <f t="shared" si="4"/>
        <v>36262115</v>
      </c>
      <c r="H209" s="226" t="s">
        <v>25</v>
      </c>
      <c r="I209" s="178"/>
      <c r="J209" s="226"/>
      <c r="K209" s="226"/>
      <c r="L209" s="226" t="s">
        <v>186</v>
      </c>
      <c r="N209" s="226"/>
      <c r="O209" s="226"/>
    </row>
    <row r="210" spans="1:16" ht="15" customHeight="1" x14ac:dyDescent="0.25">
      <c r="A210" s="282">
        <v>44649</v>
      </c>
      <c r="B210" s="226" t="s">
        <v>285</v>
      </c>
      <c r="C210" s="226" t="s">
        <v>207</v>
      </c>
      <c r="D210" s="305" t="s">
        <v>165</v>
      </c>
      <c r="F210" s="299">
        <v>150000</v>
      </c>
      <c r="G210" s="235">
        <f t="shared" si="4"/>
        <v>36112115</v>
      </c>
      <c r="H210" s="226" t="s">
        <v>25</v>
      </c>
      <c r="I210" s="279" t="s">
        <v>238</v>
      </c>
      <c r="J210" s="226" t="s">
        <v>166</v>
      </c>
      <c r="K210" s="226" t="s">
        <v>299</v>
      </c>
      <c r="L210" s="226" t="s">
        <v>186</v>
      </c>
      <c r="N210" s="226"/>
      <c r="O210" s="226"/>
    </row>
    <row r="211" spans="1:16" ht="15" customHeight="1" x14ac:dyDescent="0.25">
      <c r="A211" s="282">
        <v>44649</v>
      </c>
      <c r="B211" s="178" t="s">
        <v>309</v>
      </c>
      <c r="C211" s="200" t="s">
        <v>183</v>
      </c>
      <c r="D211" s="343" t="s">
        <v>164</v>
      </c>
      <c r="E211" s="178"/>
      <c r="F211" s="226">
        <v>193600</v>
      </c>
      <c r="G211" s="235">
        <f t="shared" si="4"/>
        <v>35918515</v>
      </c>
      <c r="H211" s="178" t="s">
        <v>158</v>
      </c>
      <c r="I211" s="226">
        <v>3643636</v>
      </c>
      <c r="J211" s="183" t="s">
        <v>103</v>
      </c>
      <c r="K211" s="178" t="s">
        <v>318</v>
      </c>
      <c r="L211" s="226" t="s">
        <v>186</v>
      </c>
      <c r="M211" s="178" t="s">
        <v>500</v>
      </c>
      <c r="N211" s="177" t="s">
        <v>409</v>
      </c>
      <c r="O211" s="178"/>
      <c r="P211" s="227"/>
    </row>
    <row r="212" spans="1:16" ht="15" customHeight="1" x14ac:dyDescent="0.25">
      <c r="A212" s="282">
        <v>44649</v>
      </c>
      <c r="B212" s="178" t="s">
        <v>310</v>
      </c>
      <c r="C212" s="359" t="s">
        <v>183</v>
      </c>
      <c r="D212" s="357" t="s">
        <v>2</v>
      </c>
      <c r="E212" s="178"/>
      <c r="F212" s="226">
        <v>300000</v>
      </c>
      <c r="G212" s="235">
        <f t="shared" si="4"/>
        <v>35618515</v>
      </c>
      <c r="H212" s="178" t="s">
        <v>158</v>
      </c>
      <c r="I212" s="178">
        <v>3643637</v>
      </c>
      <c r="J212" s="183" t="s">
        <v>103</v>
      </c>
      <c r="K212" s="178" t="s">
        <v>318</v>
      </c>
      <c r="L212" s="226" t="s">
        <v>186</v>
      </c>
      <c r="M212" s="178" t="s">
        <v>501</v>
      </c>
      <c r="N212" s="177" t="s">
        <v>407</v>
      </c>
      <c r="O212" s="178"/>
      <c r="P212" s="228"/>
    </row>
    <row r="213" spans="1:16" ht="15" customHeight="1" x14ac:dyDescent="0.25">
      <c r="A213" s="290">
        <v>44649</v>
      </c>
      <c r="B213" s="178" t="s">
        <v>311</v>
      </c>
      <c r="C213" s="178" t="s">
        <v>183</v>
      </c>
      <c r="D213" s="356" t="s">
        <v>165</v>
      </c>
      <c r="E213" s="209"/>
      <c r="F213" s="226">
        <v>234309</v>
      </c>
      <c r="G213" s="235">
        <f t="shared" si="4"/>
        <v>35384206</v>
      </c>
      <c r="H213" s="178" t="s">
        <v>158</v>
      </c>
      <c r="I213" s="178">
        <v>3643638</v>
      </c>
      <c r="J213" s="183" t="s">
        <v>103</v>
      </c>
      <c r="K213" s="178" t="s">
        <v>318</v>
      </c>
      <c r="L213" s="226" t="s">
        <v>186</v>
      </c>
      <c r="M213" s="178" t="s">
        <v>502</v>
      </c>
      <c r="N213" s="177" t="s">
        <v>408</v>
      </c>
      <c r="O213" s="178"/>
    </row>
    <row r="214" spans="1:16" ht="15" customHeight="1" x14ac:dyDescent="0.25">
      <c r="A214" s="282">
        <v>44649</v>
      </c>
      <c r="B214" s="225" t="s">
        <v>313</v>
      </c>
      <c r="C214" s="226" t="s">
        <v>183</v>
      </c>
      <c r="D214" s="354" t="s">
        <v>2</v>
      </c>
      <c r="E214" s="226"/>
      <c r="F214" s="226">
        <v>350000</v>
      </c>
      <c r="G214" s="235">
        <f t="shared" si="4"/>
        <v>35034206</v>
      </c>
      <c r="H214" s="178" t="s">
        <v>158</v>
      </c>
      <c r="I214" s="226" t="s">
        <v>312</v>
      </c>
      <c r="J214" s="183" t="s">
        <v>103</v>
      </c>
      <c r="K214" s="178" t="s">
        <v>318</v>
      </c>
      <c r="L214" s="226" t="s">
        <v>186</v>
      </c>
      <c r="M214" s="178" t="s">
        <v>503</v>
      </c>
      <c r="N214" s="177" t="s">
        <v>407</v>
      </c>
      <c r="O214" s="226"/>
    </row>
    <row r="215" spans="1:16" ht="16.5" customHeight="1" x14ac:dyDescent="0.25">
      <c r="A215" s="282">
        <v>44649</v>
      </c>
      <c r="B215" s="225" t="s">
        <v>314</v>
      </c>
      <c r="C215" s="226" t="s">
        <v>183</v>
      </c>
      <c r="D215" s="215" t="s">
        <v>2</v>
      </c>
      <c r="E215" s="226"/>
      <c r="F215" s="226">
        <v>1311914</v>
      </c>
      <c r="G215" s="235">
        <f t="shared" si="4"/>
        <v>33722292</v>
      </c>
      <c r="H215" s="178" t="s">
        <v>158</v>
      </c>
      <c r="I215" s="286">
        <v>3643640</v>
      </c>
      <c r="J215" s="183" t="s">
        <v>103</v>
      </c>
      <c r="K215" s="178" t="s">
        <v>318</v>
      </c>
      <c r="L215" s="226" t="s">
        <v>186</v>
      </c>
      <c r="M215" s="178" t="s">
        <v>504</v>
      </c>
      <c r="N215" s="177" t="s">
        <v>405</v>
      </c>
      <c r="O215" s="226"/>
    </row>
    <row r="216" spans="1:16" ht="15" customHeight="1" x14ac:dyDescent="0.25">
      <c r="A216" s="282">
        <v>44649</v>
      </c>
      <c r="B216" s="226" t="s">
        <v>315</v>
      </c>
      <c r="C216" s="235" t="s">
        <v>189</v>
      </c>
      <c r="D216" s="279" t="s">
        <v>232</v>
      </c>
      <c r="E216" s="226"/>
      <c r="F216" s="226">
        <v>500000</v>
      </c>
      <c r="G216" s="235">
        <f t="shared" si="4"/>
        <v>33222292</v>
      </c>
      <c r="H216" s="178" t="s">
        <v>158</v>
      </c>
      <c r="I216" s="226">
        <v>3643641</v>
      </c>
      <c r="J216" s="183" t="s">
        <v>103</v>
      </c>
      <c r="K216" s="178" t="s">
        <v>318</v>
      </c>
      <c r="L216" s="226" t="s">
        <v>186</v>
      </c>
      <c r="M216" s="178" t="s">
        <v>505</v>
      </c>
      <c r="N216" s="177" t="s">
        <v>411</v>
      </c>
      <c r="O216" s="226"/>
    </row>
    <row r="217" spans="1:16" ht="15" hidden="1" customHeight="1" x14ac:dyDescent="0.25">
      <c r="A217" s="282">
        <v>44649</v>
      </c>
      <c r="B217" s="178" t="s">
        <v>364</v>
      </c>
      <c r="C217" s="226" t="s">
        <v>76</v>
      </c>
      <c r="D217" s="183"/>
      <c r="E217" s="195">
        <v>15000</v>
      </c>
      <c r="F217" s="234"/>
      <c r="G217" s="235">
        <f t="shared" si="4"/>
        <v>33237292</v>
      </c>
      <c r="H217" s="178" t="s">
        <v>265</v>
      </c>
      <c r="J217" s="178"/>
      <c r="L217" s="226" t="s">
        <v>186</v>
      </c>
      <c r="O217" s="178"/>
      <c r="P217" s="227"/>
    </row>
    <row r="218" spans="1:16" ht="15" customHeight="1" x14ac:dyDescent="0.25">
      <c r="A218" s="285">
        <v>44649</v>
      </c>
      <c r="B218" s="286" t="s">
        <v>386</v>
      </c>
      <c r="C218" s="286" t="s">
        <v>34</v>
      </c>
      <c r="D218" s="345" t="s">
        <v>4</v>
      </c>
      <c r="E218" s="212"/>
      <c r="F218" s="239">
        <v>60500</v>
      </c>
      <c r="G218" s="235">
        <f t="shared" si="4"/>
        <v>33176792</v>
      </c>
      <c r="H218" s="241" t="s">
        <v>29</v>
      </c>
      <c r="I218" s="279" t="s">
        <v>321</v>
      </c>
      <c r="J218" s="226" t="s">
        <v>166</v>
      </c>
      <c r="K218" s="178" t="s">
        <v>318</v>
      </c>
      <c r="L218" s="226" t="s">
        <v>186</v>
      </c>
      <c r="M218" s="178" t="s">
        <v>506</v>
      </c>
      <c r="N218" s="346" t="s">
        <v>416</v>
      </c>
      <c r="O218" s="226"/>
    </row>
    <row r="219" spans="1:16" ht="15" customHeight="1" x14ac:dyDescent="0.25">
      <c r="A219" s="282">
        <v>44649</v>
      </c>
      <c r="B219" s="226" t="s">
        <v>387</v>
      </c>
      <c r="C219" s="226" t="s">
        <v>198</v>
      </c>
      <c r="D219" s="345" t="s">
        <v>4</v>
      </c>
      <c r="E219" s="211"/>
      <c r="F219" s="235">
        <v>28500</v>
      </c>
      <c r="G219" s="235">
        <f t="shared" si="4"/>
        <v>33148292</v>
      </c>
      <c r="H219" s="226" t="s">
        <v>29</v>
      </c>
      <c r="I219" s="279" t="s">
        <v>321</v>
      </c>
      <c r="J219" s="226" t="s">
        <v>166</v>
      </c>
      <c r="K219" s="226" t="s">
        <v>299</v>
      </c>
      <c r="L219" s="226" t="s">
        <v>186</v>
      </c>
      <c r="M219" s="226"/>
      <c r="N219" s="226"/>
      <c r="O219" s="226"/>
    </row>
    <row r="220" spans="1:16" ht="15" hidden="1" customHeight="1" x14ac:dyDescent="0.25">
      <c r="A220" s="282">
        <v>44650</v>
      </c>
      <c r="B220" s="226" t="s">
        <v>286</v>
      </c>
      <c r="C220" s="226" t="s">
        <v>76</v>
      </c>
      <c r="D220" s="363"/>
      <c r="E220" s="212">
        <v>1000000</v>
      </c>
      <c r="F220" s="226"/>
      <c r="G220" s="235">
        <f t="shared" si="4"/>
        <v>34148292</v>
      </c>
      <c r="H220" s="226" t="s">
        <v>25</v>
      </c>
      <c r="I220" s="226"/>
      <c r="J220" s="226"/>
      <c r="K220" s="226"/>
      <c r="L220" s="226" t="s">
        <v>186</v>
      </c>
      <c r="N220" s="226"/>
      <c r="O220" s="226"/>
    </row>
    <row r="221" spans="1:16" ht="15" hidden="1" customHeight="1" x14ac:dyDescent="0.25">
      <c r="A221" s="290">
        <v>44650</v>
      </c>
      <c r="B221" s="291" t="s">
        <v>31</v>
      </c>
      <c r="C221" s="226" t="s">
        <v>76</v>
      </c>
      <c r="D221" s="369"/>
      <c r="E221" s="214"/>
      <c r="F221" s="238">
        <v>15000</v>
      </c>
      <c r="G221" s="235">
        <f t="shared" si="4"/>
        <v>34133292</v>
      </c>
      <c r="H221" s="292" t="s">
        <v>25</v>
      </c>
      <c r="I221" s="226"/>
      <c r="J221" s="225"/>
      <c r="K221" s="292"/>
      <c r="L221" s="226" t="s">
        <v>186</v>
      </c>
      <c r="N221" s="226"/>
      <c r="O221" s="226"/>
    </row>
    <row r="222" spans="1:16" ht="15" customHeight="1" x14ac:dyDescent="0.25">
      <c r="A222" s="282">
        <v>44650</v>
      </c>
      <c r="B222" s="226" t="s">
        <v>287</v>
      </c>
      <c r="C222" s="226" t="s">
        <v>189</v>
      </c>
      <c r="D222" s="279" t="s">
        <v>232</v>
      </c>
      <c r="E222" s="211"/>
      <c r="F222" s="235">
        <v>24000</v>
      </c>
      <c r="G222" s="235">
        <f t="shared" si="4"/>
        <v>34109292</v>
      </c>
      <c r="H222" s="226" t="s">
        <v>25</v>
      </c>
      <c r="I222" s="279" t="s">
        <v>240</v>
      </c>
      <c r="J222" s="226" t="s">
        <v>166</v>
      </c>
      <c r="K222" s="226" t="s">
        <v>318</v>
      </c>
      <c r="L222" s="226" t="s">
        <v>186</v>
      </c>
      <c r="M222" s="178" t="s">
        <v>507</v>
      </c>
      <c r="N222" s="324" t="s">
        <v>410</v>
      </c>
      <c r="O222" s="226"/>
    </row>
    <row r="223" spans="1:16" ht="15" hidden="1" customHeight="1" x14ac:dyDescent="0.25">
      <c r="A223" s="282">
        <v>44650</v>
      </c>
      <c r="B223" s="226" t="s">
        <v>265</v>
      </c>
      <c r="C223" s="226" t="s">
        <v>76</v>
      </c>
      <c r="D223" s="279"/>
      <c r="E223" s="211"/>
      <c r="F223" s="235">
        <v>82000</v>
      </c>
      <c r="G223" s="235">
        <f t="shared" si="4"/>
        <v>34027292</v>
      </c>
      <c r="H223" s="226" t="s">
        <v>25</v>
      </c>
      <c r="I223" s="226"/>
      <c r="J223" s="226"/>
      <c r="K223" s="226"/>
      <c r="L223" s="226" t="s">
        <v>186</v>
      </c>
      <c r="N223" s="226"/>
      <c r="O223" s="226"/>
    </row>
    <row r="224" spans="1:16" ht="15" customHeight="1" x14ac:dyDescent="0.25">
      <c r="A224" s="290">
        <v>44650</v>
      </c>
      <c r="B224" s="208" t="s">
        <v>288</v>
      </c>
      <c r="C224" s="178" t="s">
        <v>235</v>
      </c>
      <c r="D224" s="370" t="s">
        <v>164</v>
      </c>
      <c r="E224" s="223"/>
      <c r="F224" s="238">
        <v>76000</v>
      </c>
      <c r="G224" s="235">
        <f t="shared" si="4"/>
        <v>33951292</v>
      </c>
      <c r="H224" s="209" t="s">
        <v>25</v>
      </c>
      <c r="I224" s="178" t="s">
        <v>222</v>
      </c>
      <c r="J224" s="183" t="s">
        <v>166</v>
      </c>
      <c r="K224" s="178" t="s">
        <v>318</v>
      </c>
      <c r="L224" s="226" t="s">
        <v>186</v>
      </c>
      <c r="M224" s="178" t="s">
        <v>508</v>
      </c>
      <c r="N224" s="177" t="s">
        <v>401</v>
      </c>
      <c r="O224" s="178"/>
    </row>
    <row r="225" spans="1:16" ht="15" customHeight="1" x14ac:dyDescent="0.25">
      <c r="A225" s="285">
        <v>44650</v>
      </c>
      <c r="B225" s="184" t="s">
        <v>289</v>
      </c>
      <c r="C225" s="226" t="s">
        <v>3</v>
      </c>
      <c r="D225" s="279" t="s">
        <v>232</v>
      </c>
      <c r="E225" s="222"/>
      <c r="F225" s="239">
        <v>75625</v>
      </c>
      <c r="G225" s="235">
        <f t="shared" si="4"/>
        <v>33875667</v>
      </c>
      <c r="H225" s="206" t="s">
        <v>25</v>
      </c>
      <c r="I225" s="183" t="s">
        <v>233</v>
      </c>
      <c r="J225" s="178" t="s">
        <v>166</v>
      </c>
      <c r="K225" s="296" t="s">
        <v>299</v>
      </c>
      <c r="L225" s="226" t="s">
        <v>186</v>
      </c>
      <c r="O225" s="178"/>
    </row>
    <row r="226" spans="1:16" ht="15" hidden="1" customHeight="1" x14ac:dyDescent="0.25">
      <c r="A226" s="282">
        <v>44650</v>
      </c>
      <c r="B226" s="178" t="s">
        <v>297</v>
      </c>
      <c r="C226" s="226" t="s">
        <v>76</v>
      </c>
      <c r="D226" s="357"/>
      <c r="E226" s="178"/>
      <c r="F226" s="226">
        <v>1000000</v>
      </c>
      <c r="G226" s="235">
        <f t="shared" si="4"/>
        <v>32875667</v>
      </c>
      <c r="H226" s="178" t="s">
        <v>24</v>
      </c>
      <c r="I226" s="279"/>
      <c r="J226" s="178"/>
      <c r="K226" s="296"/>
      <c r="L226" s="226" t="s">
        <v>186</v>
      </c>
      <c r="O226" s="178"/>
      <c r="P226" s="227"/>
    </row>
    <row r="227" spans="1:16" ht="15" customHeight="1" x14ac:dyDescent="0.25">
      <c r="A227" s="282">
        <v>44650</v>
      </c>
      <c r="B227" s="178" t="s">
        <v>298</v>
      </c>
      <c r="C227" s="226" t="s">
        <v>3</v>
      </c>
      <c r="D227" s="279" t="s">
        <v>232</v>
      </c>
      <c r="E227" s="178"/>
      <c r="F227" s="226">
        <v>260000</v>
      </c>
      <c r="G227" s="235">
        <f t="shared" si="4"/>
        <v>32615667</v>
      </c>
      <c r="H227" s="178" t="s">
        <v>24</v>
      </c>
      <c r="I227" s="183">
        <v>3654476</v>
      </c>
      <c r="J227" s="178" t="s">
        <v>166</v>
      </c>
      <c r="K227" s="296" t="s">
        <v>299</v>
      </c>
      <c r="L227" s="226" t="s">
        <v>186</v>
      </c>
      <c r="O227" s="178"/>
    </row>
    <row r="228" spans="1:16" ht="15" customHeight="1" x14ac:dyDescent="0.25">
      <c r="A228" s="282">
        <v>44650</v>
      </c>
      <c r="B228" s="226" t="s">
        <v>316</v>
      </c>
      <c r="C228" s="235" t="s">
        <v>183</v>
      </c>
      <c r="D228" s="345" t="s">
        <v>4</v>
      </c>
      <c r="E228" s="226"/>
      <c r="F228" s="230">
        <v>400000</v>
      </c>
      <c r="G228" s="235">
        <f t="shared" si="4"/>
        <v>32215667</v>
      </c>
      <c r="H228" s="178" t="s">
        <v>158</v>
      </c>
      <c r="I228" s="226">
        <v>3643643</v>
      </c>
      <c r="J228" s="183" t="s">
        <v>103</v>
      </c>
      <c r="K228" s="178" t="s">
        <v>318</v>
      </c>
      <c r="L228" s="226" t="s">
        <v>186</v>
      </c>
      <c r="M228" s="178" t="s">
        <v>509</v>
      </c>
      <c r="N228" s="177" t="s">
        <v>406</v>
      </c>
      <c r="O228" s="226"/>
    </row>
    <row r="229" spans="1:16" s="248" customFormat="1" ht="15" customHeight="1" x14ac:dyDescent="0.25">
      <c r="A229" s="282">
        <v>44650</v>
      </c>
      <c r="B229" s="226" t="s">
        <v>317</v>
      </c>
      <c r="C229" s="235" t="s">
        <v>183</v>
      </c>
      <c r="D229" s="345" t="s">
        <v>4</v>
      </c>
      <c r="E229" s="226"/>
      <c r="F229" s="226">
        <v>225000</v>
      </c>
      <c r="G229" s="235">
        <f t="shared" si="4"/>
        <v>31990667</v>
      </c>
      <c r="H229" s="178" t="s">
        <v>158</v>
      </c>
      <c r="I229" s="226">
        <v>3643644</v>
      </c>
      <c r="J229" s="183" t="s">
        <v>103</v>
      </c>
      <c r="K229" s="178" t="s">
        <v>318</v>
      </c>
      <c r="L229" s="226" t="s">
        <v>186</v>
      </c>
      <c r="M229" s="178" t="s">
        <v>510</v>
      </c>
      <c r="N229" s="177" t="s">
        <v>406</v>
      </c>
      <c r="O229" s="226"/>
      <c r="P229" s="178"/>
    </row>
    <row r="230" spans="1:16" s="248" customFormat="1" ht="15" hidden="1" customHeight="1" x14ac:dyDescent="0.25">
      <c r="A230" s="285">
        <v>44650</v>
      </c>
      <c r="B230" s="178" t="s">
        <v>345</v>
      </c>
      <c r="C230" s="226" t="s">
        <v>76</v>
      </c>
      <c r="D230" s="183"/>
      <c r="E230" s="219">
        <v>15000</v>
      </c>
      <c r="F230" s="235"/>
      <c r="G230" s="235">
        <f t="shared" si="4"/>
        <v>32005667</v>
      </c>
      <c r="H230" s="178" t="s">
        <v>31</v>
      </c>
      <c r="I230" s="183"/>
      <c r="J230" s="183"/>
      <c r="K230" s="183"/>
      <c r="L230" s="226" t="s">
        <v>186</v>
      </c>
      <c r="M230" s="178"/>
      <c r="N230" s="177"/>
      <c r="O230" s="178"/>
      <c r="P230" s="233"/>
    </row>
    <row r="231" spans="1:16" ht="15" customHeight="1" x14ac:dyDescent="0.25">
      <c r="A231" s="282">
        <v>44650</v>
      </c>
      <c r="B231" s="178" t="s">
        <v>351</v>
      </c>
      <c r="C231" s="178" t="s">
        <v>34</v>
      </c>
      <c r="D231" s="183" t="s">
        <v>165</v>
      </c>
      <c r="E231" s="219"/>
      <c r="F231" s="235">
        <v>52500</v>
      </c>
      <c r="G231" s="235">
        <f t="shared" si="4"/>
        <v>31953167</v>
      </c>
      <c r="H231" s="178" t="s">
        <v>31</v>
      </c>
      <c r="I231" s="183" t="s">
        <v>321</v>
      </c>
      <c r="J231" s="226" t="s">
        <v>166</v>
      </c>
      <c r="K231" s="178" t="s">
        <v>318</v>
      </c>
      <c r="L231" s="226" t="s">
        <v>186</v>
      </c>
      <c r="M231" s="178" t="s">
        <v>511</v>
      </c>
      <c r="N231" s="346" t="s">
        <v>416</v>
      </c>
      <c r="O231" s="178"/>
    </row>
    <row r="232" spans="1:16" ht="15" customHeight="1" x14ac:dyDescent="0.25">
      <c r="A232" s="282">
        <v>44650</v>
      </c>
      <c r="B232" s="226" t="s">
        <v>365</v>
      </c>
      <c r="C232" s="226" t="s">
        <v>157</v>
      </c>
      <c r="D232" s="279" t="s">
        <v>164</v>
      </c>
      <c r="E232" s="211"/>
      <c r="F232" s="299">
        <v>13000</v>
      </c>
      <c r="G232" s="235">
        <f t="shared" si="4"/>
        <v>31940167</v>
      </c>
      <c r="H232" s="226" t="s">
        <v>265</v>
      </c>
      <c r="I232" s="279" t="s">
        <v>321</v>
      </c>
      <c r="J232" s="178" t="s">
        <v>166</v>
      </c>
      <c r="K232" s="296" t="s">
        <v>299</v>
      </c>
      <c r="L232" s="226" t="s">
        <v>186</v>
      </c>
      <c r="N232" s="230"/>
      <c r="O232" s="226"/>
    </row>
    <row r="233" spans="1:16" ht="15" hidden="1" customHeight="1" x14ac:dyDescent="0.25">
      <c r="A233" s="282">
        <v>44650</v>
      </c>
      <c r="B233" s="226" t="s">
        <v>364</v>
      </c>
      <c r="C233" s="226" t="s">
        <v>76</v>
      </c>
      <c r="D233" s="279"/>
      <c r="E233" s="213">
        <v>82000</v>
      </c>
      <c r="F233" s="226"/>
      <c r="G233" s="235">
        <f t="shared" si="4"/>
        <v>32022167</v>
      </c>
      <c r="H233" s="226" t="s">
        <v>265</v>
      </c>
      <c r="I233" s="279"/>
      <c r="J233" s="226"/>
      <c r="K233" s="226"/>
      <c r="L233" s="226" t="s">
        <v>186</v>
      </c>
      <c r="M233" s="226"/>
      <c r="N233" s="226"/>
      <c r="O233" s="226"/>
    </row>
    <row r="234" spans="1:16" ht="15" customHeight="1" x14ac:dyDescent="0.25">
      <c r="A234" s="282">
        <v>44650</v>
      </c>
      <c r="B234" s="226" t="s">
        <v>366</v>
      </c>
      <c r="C234" s="226" t="s">
        <v>34</v>
      </c>
      <c r="D234" s="279" t="s">
        <v>164</v>
      </c>
      <c r="E234" s="213"/>
      <c r="F234" s="299">
        <v>10000</v>
      </c>
      <c r="G234" s="235">
        <f t="shared" si="4"/>
        <v>32012167</v>
      </c>
      <c r="H234" s="226" t="s">
        <v>265</v>
      </c>
      <c r="I234" s="279" t="s">
        <v>222</v>
      </c>
      <c r="J234" s="178" t="s">
        <v>166</v>
      </c>
      <c r="K234" s="296" t="s">
        <v>299</v>
      </c>
      <c r="L234" s="226" t="s">
        <v>186</v>
      </c>
      <c r="N234" s="244"/>
      <c r="O234" s="226"/>
    </row>
    <row r="235" spans="1:16" ht="15" customHeight="1" x14ac:dyDescent="0.25">
      <c r="A235" s="282">
        <v>44651</v>
      </c>
      <c r="B235" s="226" t="s">
        <v>362</v>
      </c>
      <c r="C235" s="226" t="s">
        <v>34</v>
      </c>
      <c r="D235" s="279" t="s">
        <v>164</v>
      </c>
      <c r="E235" s="213"/>
      <c r="F235" s="226">
        <v>39700</v>
      </c>
      <c r="G235" s="235">
        <f t="shared" si="4"/>
        <v>31972467</v>
      </c>
      <c r="H235" s="226" t="s">
        <v>153</v>
      </c>
      <c r="I235" s="279" t="s">
        <v>321</v>
      </c>
      <c r="J235" s="226" t="s">
        <v>166</v>
      </c>
      <c r="K235" s="178" t="s">
        <v>318</v>
      </c>
      <c r="L235" s="226" t="s">
        <v>186</v>
      </c>
      <c r="M235" s="178" t="s">
        <v>512</v>
      </c>
      <c r="N235" s="346" t="s">
        <v>416</v>
      </c>
      <c r="O235" s="230"/>
    </row>
    <row r="236" spans="1:16" ht="15" customHeight="1" x14ac:dyDescent="0.25">
      <c r="A236" s="282">
        <v>44651</v>
      </c>
      <c r="B236" s="178" t="s">
        <v>367</v>
      </c>
      <c r="C236" s="178" t="s">
        <v>359</v>
      </c>
      <c r="D236" s="183" t="s">
        <v>164</v>
      </c>
      <c r="F236" s="234">
        <v>4000</v>
      </c>
      <c r="G236" s="235">
        <f t="shared" si="4"/>
        <v>31968467</v>
      </c>
      <c r="H236" s="178" t="s">
        <v>265</v>
      </c>
      <c r="I236" s="183" t="s">
        <v>321</v>
      </c>
      <c r="J236" s="178" t="s">
        <v>166</v>
      </c>
      <c r="K236" s="296" t="s">
        <v>299</v>
      </c>
      <c r="L236" s="226" t="s">
        <v>186</v>
      </c>
      <c r="O236" s="178"/>
      <c r="P236" s="227"/>
    </row>
    <row r="237" spans="1:16" ht="15" customHeight="1" x14ac:dyDescent="0.25">
      <c r="A237" s="282">
        <v>44651</v>
      </c>
      <c r="B237" s="226" t="s">
        <v>423</v>
      </c>
      <c r="C237" s="226" t="s">
        <v>157</v>
      </c>
      <c r="D237" s="363" t="s">
        <v>164</v>
      </c>
      <c r="E237" s="213"/>
      <c r="F237" s="226">
        <v>20000</v>
      </c>
      <c r="G237" s="235">
        <f t="shared" si="4"/>
        <v>31948467</v>
      </c>
      <c r="H237" s="226" t="s">
        <v>265</v>
      </c>
      <c r="I237" s="279" t="s">
        <v>321</v>
      </c>
      <c r="J237" s="178" t="s">
        <v>166</v>
      </c>
      <c r="K237" s="296" t="s">
        <v>299</v>
      </c>
      <c r="L237" s="226" t="s">
        <v>186</v>
      </c>
      <c r="M237" s="226"/>
      <c r="N237" s="226"/>
      <c r="O237" s="226"/>
    </row>
    <row r="238" spans="1:16" ht="15" customHeight="1" x14ac:dyDescent="0.25">
      <c r="A238" s="282">
        <v>44651</v>
      </c>
      <c r="B238" s="226" t="s">
        <v>368</v>
      </c>
      <c r="C238" s="226" t="s">
        <v>34</v>
      </c>
      <c r="D238" s="279" t="s">
        <v>164</v>
      </c>
      <c r="E238" s="213"/>
      <c r="F238" s="226">
        <v>36000</v>
      </c>
      <c r="G238" s="235">
        <f t="shared" si="4"/>
        <v>31912467</v>
      </c>
      <c r="H238" s="226" t="s">
        <v>265</v>
      </c>
      <c r="I238" s="279" t="s">
        <v>321</v>
      </c>
      <c r="J238" s="178" t="s">
        <v>166</v>
      </c>
      <c r="K238" s="296" t="s">
        <v>299</v>
      </c>
      <c r="L238" s="226" t="s">
        <v>186</v>
      </c>
      <c r="N238" s="324"/>
      <c r="O238" s="226"/>
    </row>
    <row r="239" spans="1:16" ht="15" customHeight="1" x14ac:dyDescent="0.25">
      <c r="A239" s="282">
        <v>44651</v>
      </c>
      <c r="B239" s="226" t="s">
        <v>369</v>
      </c>
      <c r="C239" s="226" t="s">
        <v>34</v>
      </c>
      <c r="D239" s="279" t="s">
        <v>2</v>
      </c>
      <c r="E239" s="213"/>
      <c r="F239" s="299">
        <v>20400</v>
      </c>
      <c r="G239" s="235">
        <f t="shared" si="4"/>
        <v>31892067</v>
      </c>
      <c r="H239" s="226" t="s">
        <v>94</v>
      </c>
      <c r="I239" s="279" t="s">
        <v>321</v>
      </c>
      <c r="J239" s="226" t="s">
        <v>166</v>
      </c>
      <c r="K239" s="178" t="s">
        <v>318</v>
      </c>
      <c r="L239" s="226" t="s">
        <v>186</v>
      </c>
      <c r="M239" s="178" t="s">
        <v>513</v>
      </c>
      <c r="N239" s="346" t="s">
        <v>416</v>
      </c>
      <c r="O239" s="226"/>
    </row>
    <row r="240" spans="1:16" ht="15" customHeight="1" x14ac:dyDescent="0.25">
      <c r="A240" s="282">
        <v>44651</v>
      </c>
      <c r="B240" s="226" t="s">
        <v>392</v>
      </c>
      <c r="C240" s="178" t="s">
        <v>157</v>
      </c>
      <c r="D240" s="279" t="s">
        <v>164</v>
      </c>
      <c r="E240" s="213"/>
      <c r="F240" s="226">
        <v>11000</v>
      </c>
      <c r="G240" s="235">
        <f t="shared" si="4"/>
        <v>31881067</v>
      </c>
      <c r="H240" s="226" t="s">
        <v>264</v>
      </c>
      <c r="I240" s="279" t="s">
        <v>321</v>
      </c>
      <c r="J240" s="183" t="s">
        <v>166</v>
      </c>
      <c r="K240" s="178" t="s">
        <v>299</v>
      </c>
      <c r="L240" s="226" t="s">
        <v>186</v>
      </c>
      <c r="N240" s="324"/>
      <c r="O240" s="226"/>
    </row>
    <row r="241" spans="1:16" ht="15" customHeight="1" x14ac:dyDescent="0.25">
      <c r="A241" s="282">
        <v>44651</v>
      </c>
      <c r="B241" s="178" t="s">
        <v>393</v>
      </c>
      <c r="C241" s="178" t="s">
        <v>34</v>
      </c>
      <c r="D241" s="183" t="s">
        <v>164</v>
      </c>
      <c r="E241" s="221"/>
      <c r="F241" s="236">
        <v>33000</v>
      </c>
      <c r="G241" s="235">
        <f t="shared" si="4"/>
        <v>31848067</v>
      </c>
      <c r="H241" s="178" t="s">
        <v>264</v>
      </c>
      <c r="I241" s="183" t="s">
        <v>321</v>
      </c>
      <c r="J241" s="183" t="s">
        <v>166</v>
      </c>
      <c r="K241" s="178" t="s">
        <v>299</v>
      </c>
      <c r="L241" s="226" t="s">
        <v>186</v>
      </c>
      <c r="O241" s="178"/>
    </row>
    <row r="242" spans="1:16" ht="15" customHeight="1" x14ac:dyDescent="0.25">
      <c r="A242" s="282">
        <v>44651</v>
      </c>
      <c r="B242" s="226" t="s">
        <v>397</v>
      </c>
      <c r="C242" s="226" t="s">
        <v>34</v>
      </c>
      <c r="D242" s="279" t="s">
        <v>2</v>
      </c>
      <c r="E242" s="213"/>
      <c r="F242" s="236">
        <v>18500</v>
      </c>
      <c r="G242" s="235">
        <f t="shared" si="4"/>
        <v>31829567</v>
      </c>
      <c r="H242" s="226" t="s">
        <v>114</v>
      </c>
      <c r="I242" s="279" t="s">
        <v>321</v>
      </c>
      <c r="J242" s="226" t="s">
        <v>166</v>
      </c>
      <c r="K242" s="178" t="s">
        <v>318</v>
      </c>
      <c r="L242" s="226" t="s">
        <v>186</v>
      </c>
      <c r="M242" s="178" t="s">
        <v>514</v>
      </c>
      <c r="N242" s="346" t="s">
        <v>416</v>
      </c>
      <c r="O242" s="226"/>
    </row>
    <row r="243" spans="1:16" s="248" customFormat="1" ht="15" hidden="1" customHeight="1" x14ac:dyDescent="0.25">
      <c r="A243" s="283"/>
      <c r="B243" s="226"/>
      <c r="C243" s="226"/>
      <c r="D243" s="230"/>
      <c r="E243" s="313"/>
      <c r="F243" s="319"/>
      <c r="G243" s="235"/>
      <c r="H243" s="226"/>
      <c r="I243" s="279"/>
      <c r="J243" s="226"/>
      <c r="K243" s="226"/>
      <c r="L243" s="226"/>
      <c r="M243" s="178"/>
      <c r="N243" s="226"/>
      <c r="O243" s="230"/>
      <c r="P243" s="178"/>
    </row>
    <row r="244" spans="1:16" s="248" customFormat="1" ht="15" hidden="1" customHeight="1" x14ac:dyDescent="0.25">
      <c r="A244" s="282"/>
      <c r="B244" s="178"/>
      <c r="C244" s="178"/>
      <c r="D244" s="178"/>
      <c r="E244" s="221"/>
      <c r="F244" s="221"/>
      <c r="G244" s="235"/>
      <c r="H244" s="178"/>
      <c r="I244" s="183"/>
      <c r="J244" s="183"/>
      <c r="K244" s="183"/>
      <c r="L244" s="226"/>
      <c r="M244" s="178"/>
      <c r="N244" s="177"/>
      <c r="O244" s="178"/>
      <c r="P244" s="233"/>
    </row>
    <row r="245" spans="1:16" ht="15" hidden="1" customHeight="1" x14ac:dyDescent="0.25">
      <c r="A245" s="285"/>
      <c r="B245" s="184"/>
      <c r="D245" s="184"/>
      <c r="E245" s="222"/>
      <c r="F245" s="321"/>
      <c r="G245" s="235"/>
      <c r="H245" s="206"/>
      <c r="J245" s="178"/>
      <c r="L245" s="226"/>
      <c r="O245" s="178"/>
      <c r="P245" s="233"/>
    </row>
    <row r="246" spans="1:16" ht="15" hidden="1" customHeight="1" x14ac:dyDescent="0.25">
      <c r="A246" s="290"/>
      <c r="B246" s="207"/>
      <c r="D246" s="208"/>
      <c r="E246" s="223"/>
      <c r="F246" s="223"/>
      <c r="G246" s="235"/>
      <c r="H246" s="209"/>
      <c r="J246" s="216"/>
      <c r="K246" s="209"/>
      <c r="L246" s="226"/>
      <c r="N246" s="178"/>
      <c r="O246" s="178"/>
      <c r="P246" s="233"/>
    </row>
    <row r="247" spans="1:16" ht="15" hidden="1" customHeight="1" x14ac:dyDescent="0.25">
      <c r="B247" s="226"/>
      <c r="C247" s="226"/>
      <c r="D247" s="226"/>
      <c r="E247" s="211"/>
      <c r="F247" s="219"/>
      <c r="G247" s="235"/>
      <c r="H247" s="226"/>
      <c r="I247" s="279"/>
      <c r="J247" s="226"/>
      <c r="K247" s="226"/>
      <c r="L247" s="226"/>
      <c r="M247" s="226"/>
      <c r="N247" s="226"/>
      <c r="O247" s="226"/>
    </row>
    <row r="248" spans="1:16" s="248" customFormat="1" ht="15" hidden="1" customHeight="1" x14ac:dyDescent="0.25">
      <c r="A248" s="290"/>
      <c r="B248" s="291"/>
      <c r="C248" s="226"/>
      <c r="D248" s="286"/>
      <c r="E248" s="213"/>
      <c r="F248" s="318"/>
      <c r="G248" s="235"/>
      <c r="H248" s="292"/>
      <c r="I248" s="279"/>
      <c r="J248" s="226"/>
      <c r="K248" s="226"/>
      <c r="L248" s="226"/>
      <c r="M248" s="178"/>
      <c r="N248" s="226"/>
      <c r="O248" s="226"/>
      <c r="P248" s="178"/>
    </row>
    <row r="249" spans="1:16" ht="15" hidden="1" customHeight="1" x14ac:dyDescent="0.25">
      <c r="B249" s="226"/>
      <c r="C249" s="226"/>
      <c r="D249" s="226"/>
      <c r="E249" s="213"/>
      <c r="F249" s="220"/>
      <c r="G249" s="235"/>
      <c r="H249" s="226"/>
      <c r="I249" s="279"/>
      <c r="J249" s="226"/>
      <c r="K249" s="226"/>
      <c r="L249" s="226"/>
      <c r="M249" s="226"/>
      <c r="N249" s="226"/>
      <c r="O249" s="226"/>
    </row>
    <row r="250" spans="1:16" ht="15" hidden="1" customHeight="1" x14ac:dyDescent="0.25">
      <c r="B250" s="226"/>
      <c r="C250" s="226"/>
      <c r="D250" s="226"/>
      <c r="E250" s="211"/>
      <c r="F250" s="318"/>
      <c r="G250" s="235"/>
      <c r="H250" s="226"/>
      <c r="I250" s="279"/>
      <c r="J250" s="226"/>
      <c r="K250" s="226"/>
      <c r="L250" s="226"/>
      <c r="N250" s="226"/>
      <c r="O250" s="226"/>
    </row>
    <row r="251" spans="1:16" s="248" customFormat="1" ht="15" hidden="1" customHeight="1" x14ac:dyDescent="0.25">
      <c r="A251" s="282"/>
      <c r="B251" s="226"/>
      <c r="C251" s="226"/>
      <c r="D251" s="225"/>
      <c r="E251" s="213"/>
      <c r="F251" s="318"/>
      <c r="G251" s="235"/>
      <c r="H251" s="226"/>
      <c r="I251" s="279"/>
      <c r="J251" s="226"/>
      <c r="K251" s="226"/>
      <c r="L251" s="226"/>
      <c r="M251" s="178"/>
      <c r="N251" s="226"/>
      <c r="O251" s="226"/>
      <c r="P251" s="178"/>
    </row>
    <row r="252" spans="1:16" s="248" customFormat="1" ht="15" hidden="1" customHeight="1" x14ac:dyDescent="0.25">
      <c r="A252" s="282"/>
      <c r="B252" s="226"/>
      <c r="C252" s="226"/>
      <c r="D252" s="226"/>
      <c r="E252" s="211"/>
      <c r="F252" s="221"/>
      <c r="G252" s="235"/>
      <c r="H252" s="226"/>
      <c r="I252" s="279"/>
      <c r="J252" s="226"/>
      <c r="K252" s="226"/>
      <c r="L252" s="226"/>
      <c r="M252" s="226"/>
      <c r="N252" s="226"/>
      <c r="O252" s="226"/>
      <c r="P252" s="178"/>
    </row>
    <row r="253" spans="1:16" ht="15" hidden="1" customHeight="1" x14ac:dyDescent="0.25">
      <c r="B253" s="226"/>
      <c r="C253" s="226"/>
      <c r="D253" s="226"/>
      <c r="E253" s="211"/>
      <c r="F253" s="221"/>
      <c r="G253" s="235"/>
      <c r="H253" s="226"/>
      <c r="I253" s="279"/>
      <c r="J253" s="287"/>
      <c r="K253" s="241"/>
      <c r="L253" s="226"/>
      <c r="M253" s="226"/>
      <c r="N253" s="226"/>
      <c r="O253" s="226"/>
    </row>
    <row r="254" spans="1:16" ht="15" hidden="1" customHeight="1" x14ac:dyDescent="0.25">
      <c r="B254" s="226"/>
      <c r="D254" s="226"/>
      <c r="E254" s="213"/>
      <c r="F254" s="318"/>
      <c r="G254" s="235"/>
      <c r="H254" s="226"/>
      <c r="I254" s="279"/>
      <c r="J254" s="226"/>
      <c r="K254" s="226"/>
      <c r="L254" s="226"/>
      <c r="N254" s="226"/>
      <c r="O254" s="226"/>
    </row>
    <row r="255" spans="1:16" ht="15" hidden="1" customHeight="1" x14ac:dyDescent="0.25">
      <c r="B255" s="225"/>
      <c r="D255" s="226"/>
      <c r="E255" s="213"/>
      <c r="F255" s="318"/>
      <c r="G255" s="235"/>
      <c r="H255" s="226"/>
      <c r="I255" s="279"/>
      <c r="J255" s="226"/>
      <c r="K255" s="226"/>
      <c r="L255" s="226"/>
      <c r="N255" s="230"/>
      <c r="O255" s="230"/>
    </row>
    <row r="256" spans="1:16" s="248" customFormat="1" ht="15" hidden="1" customHeight="1" x14ac:dyDescent="0.25">
      <c r="A256" s="282"/>
      <c r="B256" s="225"/>
      <c r="C256" s="226"/>
      <c r="D256" s="226"/>
      <c r="E256" s="213"/>
      <c r="F256" s="318"/>
      <c r="G256" s="235"/>
      <c r="H256" s="226"/>
      <c r="I256" s="279"/>
      <c r="J256" s="226"/>
      <c r="K256" s="226"/>
      <c r="L256" s="226"/>
      <c r="M256" s="178"/>
      <c r="N256" s="230"/>
      <c r="O256" s="230"/>
      <c r="P256" s="178"/>
    </row>
    <row r="257" spans="1:16" s="248" customFormat="1" ht="15" hidden="1" customHeight="1" x14ac:dyDescent="0.25">
      <c r="A257" s="282"/>
      <c r="B257" s="178"/>
      <c r="C257" s="178"/>
      <c r="D257" s="184"/>
      <c r="E257" s="219"/>
      <c r="F257" s="219"/>
      <c r="G257" s="235"/>
      <c r="H257" s="178"/>
      <c r="I257" s="183"/>
      <c r="J257" s="183"/>
      <c r="K257" s="178"/>
      <c r="L257" s="226"/>
      <c r="M257" s="178"/>
      <c r="N257" s="177"/>
    </row>
    <row r="258" spans="1:16" ht="15" hidden="1" customHeight="1" x14ac:dyDescent="0.25">
      <c r="E258" s="221"/>
      <c r="F258" s="220"/>
      <c r="G258" s="235"/>
      <c r="K258" s="183"/>
      <c r="L258" s="226"/>
      <c r="O258" s="178"/>
    </row>
    <row r="259" spans="1:16" ht="15" hidden="1" customHeight="1" x14ac:dyDescent="0.25">
      <c r="A259" s="285"/>
      <c r="B259" s="184"/>
      <c r="D259" s="184"/>
      <c r="E259" s="222"/>
      <c r="F259" s="222"/>
      <c r="G259" s="235"/>
      <c r="H259" s="205"/>
      <c r="L259" s="226"/>
      <c r="M259" s="177"/>
      <c r="O259" s="178"/>
      <c r="P259" s="233"/>
    </row>
    <row r="260" spans="1:16" s="248" customFormat="1" ht="15" hidden="1" customHeight="1" x14ac:dyDescent="0.25">
      <c r="A260" s="282"/>
      <c r="B260" s="178"/>
      <c r="C260" s="178"/>
      <c r="D260" s="178"/>
      <c r="E260" s="219"/>
      <c r="F260" s="318"/>
      <c r="G260" s="235"/>
      <c r="H260" s="178"/>
      <c r="I260" s="183"/>
      <c r="J260" s="183"/>
      <c r="K260" s="183"/>
      <c r="L260" s="226"/>
      <c r="M260" s="178"/>
      <c r="N260" s="177"/>
      <c r="O260" s="178"/>
      <c r="P260" s="227"/>
    </row>
    <row r="261" spans="1:16" ht="15" hidden="1" customHeight="1" x14ac:dyDescent="0.25">
      <c r="E261" s="219"/>
      <c r="F261" s="318"/>
      <c r="G261" s="235"/>
      <c r="K261" s="183"/>
      <c r="L261" s="226"/>
      <c r="O261" s="178"/>
    </row>
    <row r="262" spans="1:16" s="248" customFormat="1" ht="15" hidden="1" customHeight="1" x14ac:dyDescent="0.25">
      <c r="A262" s="282"/>
      <c r="B262" s="178"/>
      <c r="C262" s="178"/>
      <c r="D262" s="178"/>
      <c r="E262" s="219"/>
      <c r="F262" s="219"/>
      <c r="G262" s="235"/>
      <c r="H262" s="178"/>
      <c r="I262" s="183"/>
      <c r="J262" s="178"/>
      <c r="K262" s="178"/>
      <c r="L262" s="226"/>
      <c r="M262" s="178"/>
      <c r="N262" s="177"/>
      <c r="O262" s="178"/>
      <c r="P262" s="227"/>
    </row>
    <row r="263" spans="1:16" ht="18.75" hidden="1" customHeight="1" x14ac:dyDescent="0.25">
      <c r="B263" s="226"/>
      <c r="D263" s="226"/>
      <c r="E263" s="213"/>
      <c r="F263" s="318"/>
      <c r="G263" s="235"/>
      <c r="H263" s="226"/>
      <c r="I263" s="279"/>
      <c r="J263" s="226"/>
      <c r="K263" s="226"/>
      <c r="L263" s="226"/>
      <c r="N263" s="324"/>
      <c r="O263" s="226"/>
    </row>
    <row r="264" spans="1:16" ht="15" hidden="1" customHeight="1" x14ac:dyDescent="0.25">
      <c r="A264" s="290"/>
      <c r="B264" s="207"/>
      <c r="D264" s="184"/>
      <c r="E264" s="223"/>
      <c r="F264" s="223"/>
      <c r="G264" s="235"/>
      <c r="H264" s="209"/>
      <c r="L264" s="226"/>
      <c r="O264" s="178"/>
    </row>
    <row r="265" spans="1:16" ht="15" hidden="1" customHeight="1" x14ac:dyDescent="0.25">
      <c r="E265" s="221"/>
      <c r="F265" s="220"/>
      <c r="G265" s="235"/>
      <c r="K265" s="183"/>
      <c r="L265" s="226"/>
      <c r="O265" s="178"/>
      <c r="P265" s="233"/>
    </row>
    <row r="266" spans="1:16" ht="15" hidden="1" customHeight="1" x14ac:dyDescent="0.25">
      <c r="D266" s="228"/>
      <c r="E266" s="219"/>
      <c r="F266" s="318"/>
      <c r="G266" s="235"/>
      <c r="J266" s="178"/>
      <c r="L266" s="226"/>
      <c r="O266" s="178"/>
      <c r="P266" s="233"/>
    </row>
    <row r="267" spans="1:16" ht="15" hidden="1" customHeight="1" x14ac:dyDescent="0.25">
      <c r="B267" s="226"/>
      <c r="C267" s="226"/>
      <c r="D267" s="226"/>
      <c r="E267" s="213"/>
      <c r="F267" s="318"/>
      <c r="G267" s="235"/>
      <c r="H267" s="226"/>
      <c r="I267" s="279"/>
      <c r="J267" s="226"/>
      <c r="K267" s="226"/>
      <c r="L267" s="226"/>
      <c r="N267" s="226"/>
      <c r="O267" s="226"/>
    </row>
    <row r="268" spans="1:16" ht="15" hidden="1" customHeight="1" x14ac:dyDescent="0.25">
      <c r="B268" s="226"/>
      <c r="C268" s="226"/>
      <c r="D268" s="226"/>
      <c r="E268" s="211"/>
      <c r="F268" s="318"/>
      <c r="G268" s="235"/>
      <c r="H268" s="226"/>
      <c r="I268" s="279"/>
      <c r="J268" s="226"/>
      <c r="K268" s="226"/>
      <c r="L268" s="226"/>
      <c r="N268" s="324"/>
      <c r="O268" s="226"/>
    </row>
    <row r="269" spans="1:16" ht="15" hidden="1" customHeight="1" x14ac:dyDescent="0.25">
      <c r="A269" s="285"/>
      <c r="B269" s="226"/>
      <c r="D269" s="226"/>
      <c r="E269" s="213"/>
      <c r="F269" s="318"/>
      <c r="G269" s="235"/>
      <c r="H269" s="226"/>
      <c r="I269" s="279"/>
      <c r="J269" s="226"/>
      <c r="K269" s="226"/>
      <c r="L269" s="226"/>
      <c r="N269" s="226"/>
      <c r="O269" s="226"/>
    </row>
    <row r="270" spans="1:16" ht="15" hidden="1" customHeight="1" x14ac:dyDescent="0.25">
      <c r="B270" s="226"/>
      <c r="C270" s="226"/>
      <c r="D270" s="226"/>
      <c r="E270" s="211"/>
      <c r="F270" s="219"/>
      <c r="G270" s="235"/>
      <c r="H270" s="226"/>
      <c r="I270" s="279"/>
      <c r="J270" s="226"/>
      <c r="K270" s="226"/>
      <c r="L270" s="226"/>
      <c r="M270" s="226"/>
      <c r="N270" s="226"/>
      <c r="O270" s="226"/>
    </row>
    <row r="271" spans="1:16" ht="15" hidden="1" customHeight="1" x14ac:dyDescent="0.25">
      <c r="A271" s="284"/>
      <c r="B271" s="226"/>
      <c r="D271" s="286"/>
      <c r="E271" s="213"/>
      <c r="F271" s="318"/>
      <c r="G271" s="235"/>
      <c r="H271" s="226"/>
      <c r="I271" s="279"/>
      <c r="J271" s="226"/>
      <c r="K271" s="226"/>
      <c r="L271" s="226"/>
      <c r="N271" s="230"/>
      <c r="O271" s="226"/>
    </row>
    <row r="272" spans="1:16" ht="15" hidden="1" customHeight="1" x14ac:dyDescent="0.25">
      <c r="A272" s="285"/>
      <c r="B272" s="184"/>
      <c r="D272" s="184"/>
      <c r="E272" s="222"/>
      <c r="F272" s="321"/>
      <c r="G272" s="235"/>
      <c r="H272" s="206"/>
      <c r="J272" s="178"/>
      <c r="K272" s="227"/>
      <c r="L272" s="226"/>
      <c r="N272" s="242"/>
      <c r="O272" s="177"/>
    </row>
    <row r="273" spans="1:16" ht="15" hidden="1" customHeight="1" x14ac:dyDescent="0.25">
      <c r="D273" s="225"/>
      <c r="E273" s="219"/>
      <c r="F273" s="318"/>
      <c r="G273" s="235"/>
      <c r="J273" s="178"/>
      <c r="K273" s="227"/>
      <c r="L273" s="226"/>
      <c r="N273" s="242"/>
      <c r="O273" s="178"/>
      <c r="P273" s="233"/>
    </row>
    <row r="274" spans="1:16" ht="15" hidden="1" customHeight="1" x14ac:dyDescent="0.25">
      <c r="B274" s="226"/>
      <c r="C274" s="226"/>
      <c r="D274" s="226"/>
      <c r="E274" s="211"/>
      <c r="F274" s="219"/>
      <c r="G274" s="235"/>
      <c r="H274" s="226"/>
      <c r="I274" s="226"/>
      <c r="J274" s="226"/>
      <c r="K274" s="226"/>
      <c r="L274" s="226"/>
      <c r="M274" s="226"/>
      <c r="N274" s="226"/>
      <c r="O274" s="226"/>
    </row>
    <row r="275" spans="1:16" ht="15" hidden="1" customHeight="1" x14ac:dyDescent="0.25">
      <c r="B275" s="226"/>
      <c r="C275" s="226"/>
      <c r="D275" s="226"/>
      <c r="E275" s="190"/>
      <c r="F275" s="195"/>
      <c r="G275" s="235"/>
      <c r="H275" s="226"/>
      <c r="I275" s="226"/>
      <c r="J275" s="226"/>
      <c r="K275" s="226"/>
      <c r="L275" s="226"/>
      <c r="N275" s="324"/>
      <c r="O275" s="226"/>
    </row>
    <row r="276" spans="1:16" ht="15" hidden="1" customHeight="1" x14ac:dyDescent="0.25">
      <c r="B276" s="226"/>
      <c r="D276" s="226"/>
      <c r="E276" s="211"/>
      <c r="F276" s="318"/>
      <c r="G276" s="235"/>
      <c r="H276" s="226"/>
      <c r="I276" s="279"/>
      <c r="J276" s="226"/>
      <c r="K276" s="226"/>
      <c r="L276" s="226"/>
      <c r="N276" s="230"/>
      <c r="O276" s="226"/>
    </row>
    <row r="277" spans="1:16" ht="15" hidden="1" customHeight="1" x14ac:dyDescent="0.25">
      <c r="A277" s="284"/>
      <c r="B277" s="201"/>
      <c r="C277" s="198"/>
      <c r="D277" s="211"/>
      <c r="E277" s="220"/>
      <c r="F277" s="221"/>
      <c r="G277" s="235"/>
      <c r="J277" s="178"/>
      <c r="L277" s="226"/>
      <c r="O277" s="177"/>
    </row>
    <row r="278" spans="1:16" ht="15" hidden="1" customHeight="1" x14ac:dyDescent="0.25">
      <c r="B278" s="226"/>
      <c r="C278" s="226"/>
      <c r="D278" s="226"/>
      <c r="E278" s="213"/>
      <c r="F278" s="220"/>
      <c r="G278" s="235"/>
      <c r="H278" s="226"/>
      <c r="I278" s="226"/>
      <c r="J278" s="226"/>
      <c r="K278" s="226"/>
      <c r="L278" s="226"/>
      <c r="M278" s="226"/>
      <c r="N278" s="226"/>
      <c r="O278" s="226"/>
    </row>
    <row r="279" spans="1:16" ht="15" hidden="1" customHeight="1" x14ac:dyDescent="0.25">
      <c r="B279" s="226"/>
      <c r="C279" s="226"/>
      <c r="D279" s="226"/>
      <c r="E279" s="211"/>
      <c r="F279" s="318"/>
      <c r="G279" s="235"/>
      <c r="H279" s="226"/>
      <c r="I279" s="178"/>
      <c r="J279" s="226"/>
      <c r="K279" s="226"/>
      <c r="L279" s="226"/>
      <c r="N279" s="324"/>
      <c r="O279" s="226"/>
    </row>
    <row r="280" spans="1:16" ht="15" hidden="1" customHeight="1" x14ac:dyDescent="0.25">
      <c r="B280" s="226"/>
      <c r="C280" s="226"/>
      <c r="D280" s="226"/>
      <c r="E280" s="211"/>
      <c r="F280" s="318"/>
      <c r="G280" s="235"/>
      <c r="H280" s="226"/>
      <c r="I280" s="178"/>
      <c r="J280" s="226"/>
      <c r="K280" s="226"/>
      <c r="L280" s="226"/>
      <c r="N280" s="324"/>
      <c r="O280" s="226"/>
    </row>
    <row r="281" spans="1:16" ht="15" hidden="1" customHeight="1" x14ac:dyDescent="0.25">
      <c r="A281" s="284"/>
      <c r="B281" s="286"/>
      <c r="C281" s="226"/>
      <c r="D281" s="226"/>
      <c r="E281" s="212"/>
      <c r="F281" s="321"/>
      <c r="G281" s="235"/>
      <c r="H281" s="286"/>
      <c r="I281" s="279"/>
      <c r="J281" s="226"/>
      <c r="K281" s="226"/>
      <c r="L281" s="226"/>
      <c r="N281" s="230"/>
      <c r="O281" s="233"/>
    </row>
    <row r="282" spans="1:16" ht="15" hidden="1" customHeight="1" x14ac:dyDescent="0.25">
      <c r="A282" s="285"/>
      <c r="B282" s="286"/>
      <c r="D282" s="226"/>
      <c r="E282" s="212"/>
      <c r="F282" s="321"/>
      <c r="G282" s="235"/>
      <c r="H282" s="241"/>
      <c r="I282" s="279"/>
      <c r="J282" s="226"/>
      <c r="K282" s="226"/>
      <c r="L282" s="226"/>
      <c r="N282" s="230"/>
      <c r="O282" s="226"/>
    </row>
    <row r="283" spans="1:16" ht="15.75" hidden="1" customHeight="1" x14ac:dyDescent="0.25">
      <c r="C283" s="226"/>
      <c r="E283" s="221"/>
      <c r="F283" s="220"/>
      <c r="G283" s="235"/>
      <c r="J283" s="226"/>
      <c r="K283" s="226"/>
      <c r="L283" s="226"/>
      <c r="O283" s="178"/>
    </row>
    <row r="284" spans="1:16" ht="15.75" hidden="1" customHeight="1" x14ac:dyDescent="0.25">
      <c r="D284" s="225"/>
      <c r="E284" s="221"/>
      <c r="F284" s="221"/>
      <c r="G284" s="235"/>
      <c r="H284" s="226"/>
      <c r="L284" s="226"/>
      <c r="O284" s="227"/>
    </row>
    <row r="285" spans="1:16" ht="15.75" hidden="1" customHeight="1" x14ac:dyDescent="0.25">
      <c r="B285" s="226"/>
      <c r="C285" s="226"/>
      <c r="D285" s="226"/>
      <c r="E285" s="211"/>
      <c r="F285" s="318"/>
      <c r="G285" s="235"/>
      <c r="H285" s="226"/>
      <c r="I285" s="178"/>
      <c r="J285" s="226"/>
      <c r="K285" s="226"/>
      <c r="L285" s="226"/>
      <c r="N285" s="226"/>
      <c r="O285" s="226"/>
    </row>
    <row r="286" spans="1:16" ht="15.75" hidden="1" customHeight="1" x14ac:dyDescent="0.25">
      <c r="B286" s="226"/>
      <c r="C286" s="226"/>
      <c r="D286" s="225"/>
      <c r="E286" s="213"/>
      <c r="F286" s="318"/>
      <c r="G286" s="235"/>
      <c r="H286" s="226"/>
      <c r="I286" s="178"/>
      <c r="J286" s="226"/>
      <c r="K286" s="226"/>
      <c r="L286" s="226"/>
      <c r="N286" s="226"/>
      <c r="O286" s="230"/>
    </row>
    <row r="287" spans="1:16" ht="15.75" hidden="1" customHeight="1" x14ac:dyDescent="0.25">
      <c r="B287" s="226"/>
      <c r="C287" s="226"/>
      <c r="D287" s="226"/>
      <c r="E287" s="213"/>
      <c r="F287" s="318"/>
      <c r="G287" s="235"/>
      <c r="H287" s="226"/>
      <c r="I287" s="178"/>
      <c r="J287" s="226"/>
      <c r="K287" s="226"/>
      <c r="L287" s="226"/>
      <c r="N287" s="324"/>
      <c r="O287" s="230"/>
    </row>
    <row r="288" spans="1:16" ht="15.75" hidden="1" customHeight="1" x14ac:dyDescent="0.25">
      <c r="A288" s="283"/>
      <c r="B288" s="226"/>
      <c r="C288" s="230"/>
      <c r="D288" s="226"/>
      <c r="E288" s="313"/>
      <c r="F288" s="322"/>
      <c r="G288" s="235"/>
      <c r="H288" s="230"/>
      <c r="I288" s="230"/>
      <c r="J288" s="226"/>
      <c r="K288" s="226"/>
      <c r="L288" s="226"/>
      <c r="M288" s="230"/>
      <c r="N288" s="230"/>
      <c r="O288" s="230"/>
    </row>
    <row r="289" spans="1:16" ht="15.75" hidden="1" customHeight="1" x14ac:dyDescent="0.25">
      <c r="B289" s="226"/>
      <c r="C289" s="226"/>
      <c r="D289" s="225"/>
      <c r="E289" s="213"/>
      <c r="F289" s="318"/>
      <c r="G289" s="235"/>
      <c r="H289" s="226"/>
      <c r="I289" s="178"/>
      <c r="J289" s="226"/>
      <c r="K289" s="226"/>
      <c r="L289" s="226"/>
      <c r="N289" s="226"/>
      <c r="O289" s="226"/>
    </row>
    <row r="290" spans="1:16" ht="15.75" hidden="1" customHeight="1" x14ac:dyDescent="0.25">
      <c r="B290" s="226"/>
      <c r="C290" s="226"/>
      <c r="D290" s="226"/>
      <c r="E290" s="190"/>
      <c r="F290" s="302"/>
      <c r="G290" s="235"/>
      <c r="H290" s="226"/>
      <c r="I290" s="178"/>
      <c r="J290" s="226"/>
      <c r="K290" s="226"/>
      <c r="L290" s="226"/>
      <c r="N290" s="226"/>
      <c r="O290" s="226"/>
    </row>
    <row r="291" spans="1:16" ht="15.75" hidden="1" customHeight="1" x14ac:dyDescent="0.25">
      <c r="B291" s="226"/>
      <c r="C291" s="226"/>
      <c r="D291" s="226"/>
      <c r="E291" s="213"/>
      <c r="F291" s="221"/>
      <c r="G291" s="235"/>
      <c r="H291" s="226"/>
      <c r="I291" s="226"/>
      <c r="J291" s="226"/>
      <c r="K291" s="226"/>
      <c r="L291" s="226"/>
      <c r="M291" s="226"/>
      <c r="N291" s="226"/>
      <c r="O291" s="226"/>
    </row>
    <row r="292" spans="1:16" ht="15.75" hidden="1" customHeight="1" x14ac:dyDescent="0.25">
      <c r="B292" s="226"/>
      <c r="C292" s="226"/>
      <c r="D292" s="226"/>
      <c r="E292" s="211"/>
      <c r="F292" s="219"/>
      <c r="G292" s="235"/>
      <c r="H292" s="226"/>
      <c r="I292" s="279"/>
      <c r="J292" s="226"/>
      <c r="K292" s="226"/>
      <c r="L292" s="226"/>
      <c r="M292" s="226"/>
      <c r="N292" s="226"/>
      <c r="O292" s="226"/>
    </row>
    <row r="293" spans="1:16" ht="15.75" hidden="1" customHeight="1" x14ac:dyDescent="0.25">
      <c r="B293" s="226"/>
      <c r="D293" s="226"/>
      <c r="E293" s="213"/>
      <c r="F293" s="318"/>
      <c r="G293" s="235"/>
      <c r="H293" s="226"/>
      <c r="I293" s="279"/>
      <c r="J293" s="226"/>
      <c r="K293" s="226"/>
      <c r="L293" s="226"/>
      <c r="N293" s="226"/>
      <c r="O293" s="226"/>
    </row>
    <row r="294" spans="1:16" ht="15.75" hidden="1" customHeight="1" x14ac:dyDescent="0.25">
      <c r="B294" s="226"/>
      <c r="D294" s="226"/>
      <c r="E294" s="213"/>
      <c r="F294" s="221"/>
      <c r="G294" s="235"/>
      <c r="H294" s="226"/>
      <c r="I294" s="279"/>
      <c r="J294" s="226"/>
      <c r="K294" s="226"/>
      <c r="L294" s="226"/>
      <c r="M294" s="230"/>
      <c r="N294" s="230"/>
      <c r="O294" s="230"/>
    </row>
    <row r="295" spans="1:16" ht="15.75" hidden="1" customHeight="1" x14ac:dyDescent="0.25">
      <c r="A295" s="283"/>
      <c r="B295" s="226"/>
      <c r="C295" s="226"/>
      <c r="D295" s="226"/>
      <c r="E295" s="313"/>
      <c r="F295" s="322"/>
      <c r="G295" s="235"/>
      <c r="H295" s="230"/>
      <c r="I295" s="279"/>
      <c r="J295" s="226"/>
      <c r="K295" s="226"/>
      <c r="L295" s="226"/>
      <c r="M295" s="230"/>
      <c r="N295" s="230"/>
      <c r="O295" s="230"/>
    </row>
    <row r="296" spans="1:16" ht="15.75" hidden="1" customHeight="1" x14ac:dyDescent="0.25">
      <c r="A296" s="285"/>
      <c r="B296" s="184"/>
      <c r="D296" s="225"/>
      <c r="E296" s="222"/>
      <c r="F296" s="222"/>
      <c r="G296" s="235"/>
      <c r="H296" s="206"/>
      <c r="K296" s="183"/>
      <c r="L296" s="226"/>
      <c r="O296" s="178"/>
    </row>
    <row r="297" spans="1:16" ht="15.75" hidden="1" customHeight="1" x14ac:dyDescent="0.25">
      <c r="A297" s="290"/>
      <c r="B297" s="208"/>
      <c r="D297" s="225"/>
      <c r="E297" s="223"/>
      <c r="F297" s="221"/>
      <c r="G297" s="235"/>
      <c r="H297" s="209"/>
      <c r="L297" s="226"/>
      <c r="O297" s="178"/>
    </row>
    <row r="298" spans="1:16" ht="15.75" hidden="1" customHeight="1" x14ac:dyDescent="0.25">
      <c r="D298" s="225"/>
      <c r="E298" s="221"/>
      <c r="F298" s="220"/>
      <c r="G298" s="235"/>
      <c r="J298" s="178"/>
      <c r="K298" s="227"/>
      <c r="L298" s="226"/>
      <c r="N298" s="242"/>
      <c r="O298" s="227"/>
    </row>
    <row r="299" spans="1:16" ht="15.75" hidden="1" customHeight="1" x14ac:dyDescent="0.25">
      <c r="E299" s="219"/>
      <c r="F299" s="219"/>
      <c r="G299" s="235"/>
      <c r="L299" s="226"/>
      <c r="O299" s="178"/>
    </row>
    <row r="300" spans="1:16" ht="15.75" hidden="1" customHeight="1" x14ac:dyDescent="0.25">
      <c r="A300" s="284"/>
      <c r="C300" s="184"/>
      <c r="D300" s="225"/>
      <c r="E300" s="220"/>
      <c r="F300" s="318"/>
      <c r="G300" s="235"/>
      <c r="J300" s="178"/>
      <c r="K300" s="227"/>
      <c r="L300" s="226"/>
      <c r="N300" s="242"/>
      <c r="O300" s="178"/>
      <c r="P300" s="233"/>
    </row>
    <row r="301" spans="1:16" ht="15.75" hidden="1" customHeight="1" x14ac:dyDescent="0.25">
      <c r="A301" s="284"/>
      <c r="C301" s="184"/>
      <c r="D301" s="305"/>
      <c r="E301" s="220"/>
      <c r="F301" s="221"/>
      <c r="G301" s="235"/>
      <c r="J301" s="178"/>
      <c r="L301" s="226"/>
      <c r="O301" s="178"/>
    </row>
    <row r="302" spans="1:16" ht="15.75" hidden="1" customHeight="1" x14ac:dyDescent="0.25">
      <c r="A302" s="290"/>
      <c r="B302" s="208"/>
      <c r="C302" s="208"/>
      <c r="E302" s="221"/>
      <c r="F302" s="223"/>
      <c r="G302" s="235"/>
      <c r="H302" s="209"/>
      <c r="K302" s="183"/>
      <c r="L302" s="226"/>
      <c r="N302" s="178"/>
      <c r="O302" s="178"/>
      <c r="P302" s="227"/>
    </row>
    <row r="303" spans="1:16" ht="15.75" hidden="1" customHeight="1" x14ac:dyDescent="0.25">
      <c r="A303" s="290"/>
      <c r="E303" s="221"/>
      <c r="F303" s="325"/>
      <c r="G303" s="235"/>
      <c r="H303" s="209"/>
      <c r="K303" s="183"/>
      <c r="L303" s="226"/>
      <c r="O303" s="178"/>
      <c r="P303" s="227"/>
    </row>
    <row r="304" spans="1:16" ht="15.75" hidden="1" customHeight="1" x14ac:dyDescent="0.25">
      <c r="E304" s="219"/>
      <c r="F304" s="219"/>
      <c r="G304" s="235"/>
      <c r="L304" s="226"/>
      <c r="O304" s="178"/>
    </row>
    <row r="305" spans="1:16" ht="15.75" hidden="1" customHeight="1" x14ac:dyDescent="0.25">
      <c r="A305" s="284"/>
      <c r="E305" s="220"/>
      <c r="F305" s="318"/>
      <c r="G305" s="235"/>
      <c r="J305" s="178"/>
      <c r="L305" s="226"/>
      <c r="O305" s="178"/>
      <c r="P305" s="227"/>
    </row>
    <row r="306" spans="1:16" ht="15.75" hidden="1" customHeight="1" x14ac:dyDescent="0.25">
      <c r="B306" s="226"/>
      <c r="C306" s="226"/>
      <c r="D306" s="226"/>
      <c r="E306" s="190"/>
      <c r="F306" s="302"/>
      <c r="G306" s="235"/>
      <c r="H306" s="226"/>
      <c r="I306" s="178"/>
      <c r="J306" s="226"/>
      <c r="K306" s="226"/>
      <c r="L306" s="226"/>
      <c r="N306" s="226"/>
      <c r="O306" s="226"/>
    </row>
    <row r="307" spans="1:16" ht="15.75" hidden="1" customHeight="1" x14ac:dyDescent="0.25">
      <c r="B307" s="226"/>
      <c r="C307" s="226"/>
      <c r="D307" s="226"/>
      <c r="E307" s="211"/>
      <c r="F307" s="219"/>
      <c r="G307" s="235"/>
      <c r="H307" s="226"/>
      <c r="I307" s="226"/>
      <c r="J307" s="226"/>
      <c r="K307" s="226"/>
      <c r="L307" s="226"/>
      <c r="M307" s="226"/>
      <c r="N307" s="226"/>
      <c r="O307" s="226"/>
    </row>
    <row r="308" spans="1:16" ht="15.75" hidden="1" customHeight="1" x14ac:dyDescent="0.25">
      <c r="B308" s="226"/>
      <c r="C308" s="226"/>
      <c r="D308" s="226"/>
      <c r="E308" s="211"/>
      <c r="F308" s="219"/>
      <c r="G308" s="235"/>
      <c r="H308" s="226"/>
      <c r="I308" s="226"/>
      <c r="J308" s="226"/>
      <c r="K308" s="226"/>
      <c r="L308" s="226"/>
      <c r="N308" s="324"/>
      <c r="O308" s="226"/>
    </row>
    <row r="309" spans="1:16" s="233" customFormat="1" ht="15.75" hidden="1" customHeight="1" x14ac:dyDescent="0.25">
      <c r="A309" s="282"/>
      <c r="B309" s="226"/>
      <c r="C309" s="178"/>
      <c r="D309" s="226"/>
      <c r="E309" s="211"/>
      <c r="F309" s="219"/>
      <c r="G309" s="235"/>
      <c r="H309" s="226"/>
      <c r="I309" s="279"/>
      <c r="J309" s="226"/>
      <c r="K309" s="226"/>
      <c r="L309" s="226"/>
      <c r="M309" s="226"/>
      <c r="N309" s="226"/>
      <c r="O309" s="226"/>
      <c r="P309" s="178"/>
    </row>
    <row r="310" spans="1:16" s="233" customFormat="1" ht="15.75" hidden="1" customHeight="1" x14ac:dyDescent="0.25">
      <c r="A310" s="282"/>
      <c r="B310" s="226"/>
      <c r="C310" s="226"/>
      <c r="D310" s="226"/>
      <c r="E310" s="211"/>
      <c r="F310" s="219"/>
      <c r="G310" s="235"/>
      <c r="H310" s="226"/>
      <c r="I310" s="279"/>
      <c r="J310" s="226"/>
      <c r="K310" s="226"/>
      <c r="L310" s="226"/>
      <c r="M310" s="226"/>
      <c r="N310" s="226"/>
      <c r="O310" s="226"/>
      <c r="P310" s="178"/>
    </row>
    <row r="311" spans="1:16" s="233" customFormat="1" ht="15.75" hidden="1" customHeight="1" x14ac:dyDescent="0.25">
      <c r="A311" s="282"/>
      <c r="B311" s="178"/>
      <c r="C311" s="178"/>
      <c r="D311" s="225"/>
      <c r="E311" s="318"/>
      <c r="F311" s="318"/>
      <c r="G311" s="235"/>
      <c r="H311" s="178"/>
      <c r="I311" s="183"/>
      <c r="J311" s="178"/>
      <c r="K311" s="178"/>
      <c r="L311" s="226"/>
      <c r="M311" s="178"/>
      <c r="N311" s="177"/>
      <c r="O311" s="248"/>
      <c r="P311" s="248"/>
    </row>
    <row r="312" spans="1:16" s="233" customFormat="1" ht="15.75" hidden="1" customHeight="1" x14ac:dyDescent="0.25">
      <c r="A312" s="282"/>
      <c r="B312" s="178"/>
      <c r="C312" s="178"/>
      <c r="D312" s="225"/>
      <c r="E312" s="221"/>
      <c r="F312" s="220"/>
      <c r="G312" s="235"/>
      <c r="H312" s="178"/>
      <c r="I312" s="183"/>
      <c r="J312" s="226"/>
      <c r="K312" s="226"/>
      <c r="L312" s="226"/>
      <c r="M312" s="178"/>
      <c r="N312" s="242"/>
      <c r="O312" s="259"/>
      <c r="P312" s="248"/>
    </row>
    <row r="313" spans="1:16" s="233" customFormat="1" ht="15.75" hidden="1" customHeight="1" x14ac:dyDescent="0.25">
      <c r="A313" s="282"/>
      <c r="B313" s="178"/>
      <c r="C313" s="178"/>
      <c r="D313" s="178"/>
      <c r="E313" s="195"/>
      <c r="F313" s="195"/>
      <c r="G313" s="235"/>
      <c r="H313" s="178"/>
      <c r="I313" s="183"/>
      <c r="J313" s="183"/>
      <c r="K313" s="178"/>
      <c r="L313" s="226"/>
      <c r="M313" s="178"/>
      <c r="N313" s="177"/>
      <c r="O313" s="178"/>
      <c r="P313" s="178"/>
    </row>
    <row r="314" spans="1:16" s="233" customFormat="1" ht="15.75" hidden="1" customHeight="1" x14ac:dyDescent="0.25">
      <c r="A314" s="285"/>
      <c r="B314" s="184"/>
      <c r="C314" s="178"/>
      <c r="D314" s="184"/>
      <c r="E314" s="222"/>
      <c r="F314" s="323"/>
      <c r="G314" s="235"/>
      <c r="H314" s="206"/>
      <c r="I314" s="183"/>
      <c r="J314" s="226"/>
      <c r="K314" s="226"/>
      <c r="L314" s="226"/>
      <c r="M314" s="178"/>
      <c r="N314" s="177"/>
      <c r="O314" s="178"/>
      <c r="P314" s="178"/>
    </row>
    <row r="315" spans="1:16" s="233" customFormat="1" ht="15.75" hidden="1" customHeight="1" x14ac:dyDescent="0.25">
      <c r="A315" s="290"/>
      <c r="B315" s="304"/>
      <c r="C315" s="178"/>
      <c r="D315" s="184"/>
      <c r="E315" s="223"/>
      <c r="F315" s="223"/>
      <c r="G315" s="235"/>
      <c r="H315" s="209"/>
      <c r="I315" s="183"/>
      <c r="J315" s="255"/>
      <c r="K315" s="248"/>
      <c r="L315" s="226"/>
      <c r="M315" s="248"/>
      <c r="N315" s="256"/>
      <c r="O315" s="248"/>
      <c r="P315" s="248"/>
    </row>
    <row r="316" spans="1:16" s="233" customFormat="1" ht="15.75" hidden="1" customHeight="1" x14ac:dyDescent="0.25">
      <c r="A316" s="282"/>
      <c r="B316" s="178"/>
      <c r="C316" s="226"/>
      <c r="D316" s="178"/>
      <c r="E316" s="219"/>
      <c r="F316" s="219"/>
      <c r="G316" s="235"/>
      <c r="H316" s="178"/>
      <c r="I316" s="183"/>
      <c r="J316" s="226"/>
      <c r="K316" s="226"/>
      <c r="L316" s="226"/>
      <c r="M316" s="178"/>
      <c r="N316" s="177"/>
      <c r="O316" s="178"/>
      <c r="P316" s="178"/>
    </row>
    <row r="317" spans="1:16" s="233" customFormat="1" ht="15.75" hidden="1" customHeight="1" x14ac:dyDescent="0.25">
      <c r="A317" s="282"/>
      <c r="B317" s="178"/>
      <c r="C317" s="178"/>
      <c r="D317" s="178"/>
      <c r="E317" s="219"/>
      <c r="F317" s="318"/>
      <c r="G317" s="235"/>
      <c r="H317" s="178"/>
      <c r="I317" s="183"/>
      <c r="J317" s="178"/>
      <c r="K317" s="227"/>
      <c r="L317" s="226"/>
      <c r="M317" s="178"/>
      <c r="N317" s="242"/>
      <c r="O317" s="178"/>
      <c r="P317" s="178"/>
    </row>
    <row r="318" spans="1:16" s="233" customFormat="1" ht="15.75" hidden="1" customHeight="1" x14ac:dyDescent="0.25">
      <c r="A318" s="284"/>
      <c r="B318" s="178"/>
      <c r="C318" s="184"/>
      <c r="D318" s="225"/>
      <c r="E318" s="220"/>
      <c r="F318" s="318"/>
      <c r="G318" s="235"/>
      <c r="H318" s="178"/>
      <c r="I318" s="183"/>
      <c r="J318" s="178"/>
      <c r="K318" s="227"/>
      <c r="L318" s="226"/>
      <c r="M318" s="178"/>
      <c r="N318" s="242"/>
      <c r="O318" s="178"/>
      <c r="P318" s="178"/>
    </row>
    <row r="319" spans="1:16" s="233" customFormat="1" ht="15.75" hidden="1" customHeight="1" x14ac:dyDescent="0.25">
      <c r="A319" s="285"/>
      <c r="B319" s="184"/>
      <c r="C319" s="178"/>
      <c r="D319" s="178"/>
      <c r="E319" s="222"/>
      <c r="F319" s="302"/>
      <c r="G319" s="235"/>
      <c r="H319" s="178"/>
      <c r="I319" s="183"/>
      <c r="J319" s="183"/>
      <c r="K319" s="183"/>
      <c r="L319" s="226"/>
      <c r="M319" s="178"/>
      <c r="N319" s="177"/>
      <c r="O319" s="178"/>
      <c r="P319" s="227"/>
    </row>
    <row r="320" spans="1:16" s="233" customFormat="1" ht="15.75" hidden="1" customHeight="1" x14ac:dyDescent="0.25">
      <c r="A320" s="285"/>
      <c r="B320" s="184"/>
      <c r="C320" s="178"/>
      <c r="D320" s="178"/>
      <c r="E320" s="222"/>
      <c r="F320" s="195"/>
      <c r="G320" s="235"/>
      <c r="H320" s="209"/>
      <c r="I320" s="183"/>
      <c r="J320" s="178"/>
      <c r="K320" s="178"/>
      <c r="L320" s="226"/>
      <c r="M320" s="178"/>
      <c r="N320" s="177"/>
      <c r="O320" s="178"/>
      <c r="P320" s="227"/>
    </row>
    <row r="321" spans="1:16" s="233" customFormat="1" ht="15.75" hidden="1" customHeight="1" x14ac:dyDescent="0.25">
      <c r="A321" s="282"/>
      <c r="B321" s="178"/>
      <c r="C321" s="178"/>
      <c r="D321" s="225"/>
      <c r="E321" s="219"/>
      <c r="F321" s="219"/>
      <c r="G321" s="235"/>
      <c r="H321" s="178"/>
      <c r="I321" s="183"/>
      <c r="J321" s="183"/>
      <c r="K321" s="178"/>
      <c r="L321" s="226"/>
      <c r="M321" s="178"/>
      <c r="N321" s="177"/>
      <c r="O321" s="178"/>
      <c r="P321" s="178"/>
    </row>
    <row r="322" spans="1:16" s="233" customFormat="1" ht="15.75" hidden="1" customHeight="1" x14ac:dyDescent="0.25">
      <c r="A322" s="285"/>
      <c r="B322" s="226"/>
      <c r="C322" s="226"/>
      <c r="D322" s="226"/>
      <c r="E322" s="213"/>
      <c r="F322" s="221"/>
      <c r="G322" s="235"/>
      <c r="H322" s="226"/>
      <c r="I322" s="226"/>
      <c r="J322" s="226"/>
      <c r="K322" s="226"/>
      <c r="L322" s="226"/>
      <c r="M322" s="178"/>
      <c r="N322" s="324"/>
      <c r="O322" s="226"/>
      <c r="P322" s="178"/>
    </row>
    <row r="323" spans="1:16" s="233" customFormat="1" ht="15.75" hidden="1" customHeight="1" x14ac:dyDescent="0.25">
      <c r="A323" s="282"/>
      <c r="B323" s="226"/>
      <c r="C323" s="226"/>
      <c r="D323" s="226"/>
      <c r="E323" s="211"/>
      <c r="F323" s="318"/>
      <c r="G323" s="235"/>
      <c r="H323" s="226"/>
      <c r="I323" s="226"/>
      <c r="J323" s="226"/>
      <c r="K323" s="226"/>
      <c r="L323" s="226"/>
      <c r="M323" s="178"/>
      <c r="N323" s="324"/>
      <c r="O323" s="226"/>
      <c r="P323" s="178"/>
    </row>
    <row r="324" spans="1:16" s="233" customFormat="1" ht="15.75" hidden="1" customHeight="1" x14ac:dyDescent="0.25">
      <c r="A324" s="282"/>
      <c r="B324" s="226"/>
      <c r="C324" s="235"/>
      <c r="D324" s="235"/>
      <c r="E324" s="213"/>
      <c r="F324" s="221"/>
      <c r="G324" s="235"/>
      <c r="H324" s="226"/>
      <c r="I324" s="226"/>
      <c r="J324" s="226"/>
      <c r="K324" s="226"/>
      <c r="L324" s="226"/>
      <c r="M324" s="226"/>
      <c r="N324" s="226"/>
      <c r="O324" s="226"/>
      <c r="P324" s="178"/>
    </row>
    <row r="325" spans="1:16" s="233" customFormat="1" ht="15.75" hidden="1" customHeight="1" x14ac:dyDescent="0.25">
      <c r="A325" s="282"/>
      <c r="B325" s="226"/>
      <c r="C325" s="226"/>
      <c r="D325" s="226"/>
      <c r="E325" s="211"/>
      <c r="F325" s="219"/>
      <c r="G325" s="235"/>
      <c r="H325" s="226"/>
      <c r="I325" s="226"/>
      <c r="J325" s="226"/>
      <c r="K325" s="226"/>
      <c r="L325" s="226"/>
      <c r="M325" s="226"/>
      <c r="N325" s="226"/>
      <c r="O325" s="226"/>
      <c r="P325" s="178"/>
    </row>
    <row r="326" spans="1:16" ht="15.75" hidden="1" customHeight="1" x14ac:dyDescent="0.25">
      <c r="B326" s="226"/>
      <c r="C326" s="226"/>
      <c r="D326" s="226"/>
      <c r="E326" s="211"/>
      <c r="F326" s="318"/>
      <c r="G326" s="235"/>
      <c r="H326" s="226"/>
      <c r="I326" s="178"/>
      <c r="J326" s="226"/>
      <c r="K326" s="226"/>
      <c r="L326" s="226"/>
      <c r="N326" s="324"/>
      <c r="O326" s="226"/>
    </row>
    <row r="327" spans="1:16" s="227" customFormat="1" ht="15.75" hidden="1" customHeight="1" x14ac:dyDescent="0.25">
      <c r="A327" s="282"/>
      <c r="B327" s="226"/>
      <c r="C327" s="226"/>
      <c r="D327" s="286"/>
      <c r="E327" s="211"/>
      <c r="F327" s="318"/>
      <c r="G327" s="235"/>
      <c r="H327" s="226"/>
      <c r="I327" s="178"/>
      <c r="J327" s="226"/>
      <c r="K327" s="226"/>
      <c r="L327" s="226"/>
      <c r="M327" s="178"/>
      <c r="N327" s="324"/>
      <c r="O327" s="226"/>
      <c r="P327" s="178"/>
    </row>
    <row r="328" spans="1:16" ht="15.75" hidden="1" customHeight="1" x14ac:dyDescent="0.25">
      <c r="B328" s="226"/>
      <c r="C328" s="226"/>
      <c r="D328" s="236"/>
      <c r="E328" s="213"/>
      <c r="F328" s="318"/>
      <c r="G328" s="235"/>
      <c r="H328" s="226"/>
      <c r="I328" s="226"/>
      <c r="J328" s="226"/>
      <c r="K328" s="226"/>
      <c r="L328" s="226"/>
      <c r="N328" s="324"/>
      <c r="O328" s="226"/>
    </row>
    <row r="329" spans="1:16" s="227" customFormat="1" ht="15.75" hidden="1" customHeight="1" x14ac:dyDescent="0.25">
      <c r="A329" s="282"/>
      <c r="B329" s="226"/>
      <c r="C329" s="226"/>
      <c r="D329" s="235"/>
      <c r="E329" s="211"/>
      <c r="F329" s="318"/>
      <c r="G329" s="235"/>
      <c r="H329" s="226"/>
      <c r="I329" s="279"/>
      <c r="J329" s="226"/>
      <c r="K329" s="226"/>
      <c r="L329" s="226"/>
      <c r="M329" s="178"/>
      <c r="N329" s="324"/>
      <c r="O329" s="226"/>
      <c r="P329" s="178"/>
    </row>
    <row r="330" spans="1:16" s="227" customFormat="1" ht="15.75" hidden="1" customHeight="1" x14ac:dyDescent="0.25">
      <c r="A330" s="282"/>
      <c r="B330" s="226"/>
      <c r="C330" s="226"/>
      <c r="D330" s="299"/>
      <c r="E330" s="213"/>
      <c r="F330" s="318"/>
      <c r="G330" s="235"/>
      <c r="H330" s="226"/>
      <c r="I330" s="279"/>
      <c r="J330" s="226"/>
      <c r="K330" s="226"/>
      <c r="L330" s="226"/>
      <c r="M330" s="178"/>
      <c r="N330" s="324"/>
      <c r="O330" s="226"/>
      <c r="P330" s="178"/>
    </row>
    <row r="331" spans="1:16" s="227" customFormat="1" ht="15.75" hidden="1" customHeight="1" x14ac:dyDescent="0.25">
      <c r="A331" s="282"/>
      <c r="B331" s="226"/>
      <c r="C331" s="226"/>
      <c r="D331" s="299"/>
      <c r="E331" s="211"/>
      <c r="F331" s="318"/>
      <c r="G331" s="235"/>
      <c r="H331" s="226"/>
      <c r="I331" s="279"/>
      <c r="J331" s="226"/>
      <c r="K331" s="226"/>
      <c r="L331" s="226"/>
      <c r="M331" s="178"/>
      <c r="N331" s="244"/>
      <c r="O331" s="226"/>
      <c r="P331" s="178"/>
    </row>
    <row r="332" spans="1:16" s="227" customFormat="1" ht="15.75" hidden="1" customHeight="1" x14ac:dyDescent="0.25">
      <c r="A332" s="282"/>
      <c r="B332" s="226"/>
      <c r="C332" s="226"/>
      <c r="D332" s="236"/>
      <c r="E332" s="213"/>
      <c r="F332" s="318"/>
      <c r="G332" s="235"/>
      <c r="H332" s="226"/>
      <c r="I332" s="279"/>
      <c r="J332" s="226"/>
      <c r="K332" s="226"/>
      <c r="L332" s="226"/>
      <c r="M332" s="178"/>
      <c r="N332" s="324"/>
      <c r="O332" s="226"/>
      <c r="P332" s="178"/>
    </row>
    <row r="333" spans="1:16" s="227" customFormat="1" ht="15.75" hidden="1" customHeight="1" x14ac:dyDescent="0.25">
      <c r="A333" s="290"/>
      <c r="B333" s="291"/>
      <c r="C333" s="226"/>
      <c r="D333" s="238"/>
      <c r="E333" s="214"/>
      <c r="F333" s="318"/>
      <c r="G333" s="235"/>
      <c r="H333" s="226"/>
      <c r="I333" s="279"/>
      <c r="J333" s="226"/>
      <c r="K333" s="226"/>
      <c r="L333" s="226"/>
      <c r="M333" s="178"/>
      <c r="N333" s="324"/>
      <c r="O333" s="226"/>
      <c r="P333" s="178"/>
    </row>
    <row r="334" spans="1:16" s="227" customFormat="1" ht="15.75" hidden="1" customHeight="1" x14ac:dyDescent="0.25">
      <c r="A334" s="285"/>
      <c r="B334" s="226"/>
      <c r="C334" s="226"/>
      <c r="D334" s="239"/>
      <c r="E334" s="212"/>
      <c r="F334" s="318"/>
      <c r="G334" s="235"/>
      <c r="H334" s="226"/>
      <c r="I334" s="279"/>
      <c r="J334" s="226"/>
      <c r="K334" s="226"/>
      <c r="L334" s="226"/>
      <c r="M334" s="178"/>
      <c r="N334" s="324"/>
      <c r="O334" s="226"/>
      <c r="P334" s="178"/>
    </row>
    <row r="335" spans="1:16" s="227" customFormat="1" ht="15.75" hidden="1" customHeight="1" x14ac:dyDescent="0.25">
      <c r="A335" s="282"/>
      <c r="B335" s="226"/>
      <c r="C335" s="226"/>
      <c r="D335" s="226"/>
      <c r="E335" s="213"/>
      <c r="F335" s="318"/>
      <c r="G335" s="235"/>
      <c r="H335" s="226"/>
      <c r="I335" s="279"/>
      <c r="J335" s="226"/>
      <c r="K335" s="226"/>
      <c r="L335" s="226"/>
      <c r="M335" s="178"/>
      <c r="N335" s="244"/>
      <c r="O335" s="226"/>
      <c r="P335" s="178"/>
    </row>
    <row r="336" spans="1:16" s="227" customFormat="1" ht="15.75" hidden="1" customHeight="1" x14ac:dyDescent="0.25">
      <c r="A336" s="285"/>
      <c r="B336" s="184"/>
      <c r="C336" s="178"/>
      <c r="D336" s="178"/>
      <c r="E336" s="222"/>
      <c r="F336" s="222"/>
      <c r="G336" s="235"/>
      <c r="H336" s="206"/>
      <c r="I336" s="183"/>
      <c r="J336" s="226"/>
      <c r="K336" s="226"/>
      <c r="L336" s="226"/>
      <c r="M336" s="178"/>
      <c r="N336" s="177"/>
      <c r="O336" s="178"/>
      <c r="P336" s="178"/>
    </row>
    <row r="337" spans="1:16" s="227" customFormat="1" ht="15.75" hidden="1" customHeight="1" x14ac:dyDescent="0.25">
      <c r="A337" s="285"/>
      <c r="B337" s="178"/>
      <c r="C337" s="178"/>
      <c r="D337" s="178"/>
      <c r="E337" s="219"/>
      <c r="F337" s="219"/>
      <c r="G337" s="235"/>
      <c r="H337" s="178"/>
      <c r="I337" s="183"/>
      <c r="J337" s="226"/>
      <c r="K337" s="226"/>
      <c r="L337" s="226"/>
      <c r="M337" s="178"/>
      <c r="N337" s="177"/>
      <c r="O337" s="178"/>
      <c r="P337" s="178"/>
    </row>
    <row r="338" spans="1:16" s="227" customFormat="1" ht="15.75" hidden="1" customHeight="1" x14ac:dyDescent="0.25">
      <c r="A338" s="285"/>
      <c r="B338" s="178"/>
      <c r="C338" s="178"/>
      <c r="D338" s="178"/>
      <c r="E338" s="219"/>
      <c r="F338" s="219"/>
      <c r="G338" s="235"/>
      <c r="H338" s="178"/>
      <c r="I338" s="183"/>
      <c r="J338" s="183"/>
      <c r="K338" s="183"/>
      <c r="L338" s="226"/>
      <c r="M338" s="178"/>
      <c r="N338" s="177"/>
      <c r="O338" s="178"/>
      <c r="P338" s="178"/>
    </row>
    <row r="339" spans="1:16" s="227" customFormat="1" ht="15.75" hidden="1" customHeight="1" x14ac:dyDescent="0.25">
      <c r="A339" s="285"/>
      <c r="B339" s="178"/>
      <c r="C339" s="226"/>
      <c r="D339" s="178"/>
      <c r="E339" s="219"/>
      <c r="F339" s="219"/>
      <c r="G339" s="235"/>
      <c r="H339" s="178"/>
      <c r="I339" s="183"/>
      <c r="J339" s="226"/>
      <c r="K339" s="226"/>
      <c r="L339" s="226"/>
      <c r="M339" s="178"/>
      <c r="N339" s="177"/>
      <c r="O339" s="178"/>
      <c r="P339" s="178"/>
    </row>
    <row r="340" spans="1:16" s="227" customFormat="1" ht="15.75" hidden="1" customHeight="1" x14ac:dyDescent="0.25">
      <c r="A340" s="285"/>
      <c r="B340" s="184"/>
      <c r="C340" s="226"/>
      <c r="D340" s="178"/>
      <c r="E340" s="222"/>
      <c r="F340" s="222"/>
      <c r="G340" s="235"/>
      <c r="H340" s="205"/>
      <c r="I340" s="183"/>
      <c r="J340" s="226"/>
      <c r="K340" s="226"/>
      <c r="L340" s="226"/>
      <c r="M340" s="178"/>
      <c r="N340" s="177"/>
      <c r="O340" s="178"/>
      <c r="P340" s="178"/>
    </row>
    <row r="341" spans="1:16" ht="15.75" hidden="1" customHeight="1" x14ac:dyDescent="0.25">
      <c r="D341" s="184"/>
      <c r="E341" s="219"/>
      <c r="F341" s="219"/>
      <c r="G341" s="235"/>
      <c r="J341" s="226"/>
      <c r="K341" s="226"/>
      <c r="L341" s="226"/>
      <c r="O341" s="178"/>
    </row>
    <row r="342" spans="1:16" s="227" customFormat="1" ht="15.75" hidden="1" customHeight="1" x14ac:dyDescent="0.25">
      <c r="A342" s="282"/>
      <c r="B342" s="178"/>
      <c r="C342" s="178"/>
      <c r="D342" s="184"/>
      <c r="E342" s="219"/>
      <c r="F342" s="219"/>
      <c r="G342" s="235"/>
      <c r="H342" s="178"/>
      <c r="I342" s="183"/>
      <c r="J342" s="226"/>
      <c r="K342" s="226"/>
      <c r="L342" s="226"/>
      <c r="M342" s="178"/>
      <c r="N342" s="177"/>
      <c r="O342" s="178"/>
      <c r="P342" s="178"/>
    </row>
    <row r="343" spans="1:16" ht="15.75" hidden="1" customHeight="1" x14ac:dyDescent="0.25">
      <c r="D343" s="184"/>
      <c r="E343" s="219"/>
      <c r="F343" s="219"/>
      <c r="G343" s="235"/>
      <c r="J343" s="226"/>
      <c r="K343" s="226"/>
      <c r="L343" s="226"/>
      <c r="O343" s="178"/>
    </row>
    <row r="344" spans="1:16" s="227" customFormat="1" ht="15.75" hidden="1" customHeight="1" x14ac:dyDescent="0.25">
      <c r="A344" s="284"/>
      <c r="B344" s="178"/>
      <c r="C344" s="178"/>
      <c r="D344" s="184"/>
      <c r="E344" s="221"/>
      <c r="F344" s="318"/>
      <c r="G344" s="235"/>
      <c r="H344" s="178"/>
      <c r="I344" s="183"/>
      <c r="J344" s="226"/>
      <c r="K344" s="226"/>
      <c r="L344" s="226"/>
      <c r="M344" s="178"/>
      <c r="N344" s="244"/>
      <c r="O344" s="178"/>
      <c r="P344" s="178"/>
    </row>
    <row r="345" spans="1:16" s="227" customFormat="1" ht="15.75" hidden="1" customHeight="1" x14ac:dyDescent="0.25">
      <c r="A345" s="282"/>
      <c r="B345" s="178"/>
      <c r="C345" s="178"/>
      <c r="D345" s="178"/>
      <c r="E345" s="219"/>
      <c r="F345" s="219"/>
      <c r="G345" s="235"/>
      <c r="H345" s="178"/>
      <c r="I345" s="183"/>
      <c r="J345" s="178"/>
      <c r="K345" s="178"/>
      <c r="L345" s="226"/>
      <c r="M345" s="178"/>
      <c r="N345" s="177"/>
      <c r="O345" s="178"/>
      <c r="P345" s="178"/>
    </row>
    <row r="346" spans="1:16" s="227" customFormat="1" ht="15.75" hidden="1" customHeight="1" x14ac:dyDescent="0.25">
      <c r="A346" s="285"/>
      <c r="B346" s="184"/>
      <c r="C346" s="178"/>
      <c r="D346" s="178"/>
      <c r="E346" s="222"/>
      <c r="F346" s="321"/>
      <c r="G346" s="235"/>
      <c r="H346" s="205"/>
      <c r="I346" s="183"/>
      <c r="J346" s="183"/>
      <c r="K346" s="178"/>
      <c r="L346" s="226"/>
      <c r="M346" s="178"/>
      <c r="N346" s="177"/>
      <c r="O346" s="178"/>
      <c r="P346" s="178"/>
    </row>
    <row r="347" spans="1:16" ht="15.75" hidden="1" customHeight="1" x14ac:dyDescent="0.25">
      <c r="A347" s="284"/>
      <c r="B347" s="183"/>
      <c r="D347" s="184"/>
      <c r="E347" s="220"/>
      <c r="F347" s="219"/>
      <c r="G347" s="235"/>
      <c r="J347" s="233"/>
      <c r="K347" s="286"/>
      <c r="L347" s="226"/>
      <c r="N347" s="306"/>
      <c r="O347" s="178"/>
    </row>
    <row r="348" spans="1:16" s="227" customFormat="1" ht="15.75" hidden="1" customHeight="1" x14ac:dyDescent="0.25">
      <c r="A348" s="282"/>
      <c r="B348" s="178"/>
      <c r="C348" s="178"/>
      <c r="D348" s="305"/>
      <c r="E348" s="219"/>
      <c r="F348" s="221"/>
      <c r="G348" s="235"/>
      <c r="H348" s="178"/>
      <c r="I348" s="183"/>
      <c r="J348" s="178"/>
      <c r="K348" s="178"/>
      <c r="L348" s="226"/>
      <c r="M348" s="178"/>
      <c r="N348" s="177"/>
      <c r="O348" s="248"/>
      <c r="P348" s="248"/>
    </row>
    <row r="349" spans="1:16" s="227" customFormat="1" ht="15.75" hidden="1" customHeight="1" x14ac:dyDescent="0.25">
      <c r="A349" s="285"/>
      <c r="B349" s="184"/>
      <c r="C349" s="178"/>
      <c r="D349" s="184"/>
      <c r="E349" s="222"/>
      <c r="F349" s="222"/>
      <c r="G349" s="235"/>
      <c r="H349" s="205"/>
      <c r="I349" s="183"/>
      <c r="J349" s="178"/>
      <c r="L349" s="226"/>
      <c r="M349" s="178"/>
      <c r="N349" s="242"/>
      <c r="O349" s="178"/>
      <c r="P349" s="178"/>
    </row>
    <row r="350" spans="1:16" s="227" customFormat="1" ht="15.75" hidden="1" customHeight="1" x14ac:dyDescent="0.25">
      <c r="A350" s="282"/>
      <c r="B350" s="178"/>
      <c r="C350" s="178"/>
      <c r="D350" s="184"/>
      <c r="E350" s="219"/>
      <c r="F350" s="318"/>
      <c r="G350" s="235"/>
      <c r="H350" s="178"/>
      <c r="I350" s="183"/>
      <c r="J350" s="226"/>
      <c r="K350" s="226"/>
      <c r="L350" s="226"/>
      <c r="M350" s="178"/>
      <c r="N350" s="244"/>
      <c r="O350" s="178"/>
      <c r="P350" s="178"/>
    </row>
    <row r="351" spans="1:16" s="227" customFormat="1" ht="15.75" hidden="1" customHeight="1" x14ac:dyDescent="0.25">
      <c r="A351" s="282"/>
      <c r="B351" s="178"/>
      <c r="C351" s="178"/>
      <c r="D351" s="178"/>
      <c r="E351" s="221"/>
      <c r="F351" s="318"/>
      <c r="G351" s="235"/>
      <c r="H351" s="178"/>
      <c r="I351" s="183"/>
      <c r="J351" s="183"/>
      <c r="K351" s="178"/>
      <c r="L351" s="226"/>
      <c r="M351" s="178"/>
      <c r="N351" s="177"/>
      <c r="O351" s="248"/>
      <c r="P351" s="248"/>
    </row>
    <row r="352" spans="1:16" s="227" customFormat="1" ht="15.75" hidden="1" customHeight="1" x14ac:dyDescent="0.25">
      <c r="A352" s="282"/>
      <c r="B352" s="178"/>
      <c r="C352" s="178"/>
      <c r="D352" s="178"/>
      <c r="E352" s="219"/>
      <c r="F352" s="219"/>
      <c r="G352" s="235"/>
      <c r="H352" s="178"/>
      <c r="I352" s="183"/>
      <c r="J352" s="178"/>
      <c r="K352" s="178"/>
      <c r="L352" s="226"/>
      <c r="M352" s="178"/>
      <c r="N352" s="177"/>
      <c r="O352" s="178"/>
      <c r="P352" s="178"/>
    </row>
    <row r="353" spans="1:16" s="227" customFormat="1" ht="15.75" hidden="1" customHeight="1" x14ac:dyDescent="0.25">
      <c r="A353" s="285"/>
      <c r="B353" s="184"/>
      <c r="C353" s="178"/>
      <c r="D353" s="184"/>
      <c r="E353" s="222"/>
      <c r="F353" s="321"/>
      <c r="G353" s="235"/>
      <c r="H353" s="205"/>
      <c r="I353" s="183"/>
      <c r="J353" s="178"/>
      <c r="L353" s="226"/>
      <c r="M353" s="178"/>
      <c r="N353" s="242"/>
      <c r="O353" s="178"/>
      <c r="P353" s="178"/>
    </row>
    <row r="354" spans="1:16" s="227" customFormat="1" ht="15.75" hidden="1" customHeight="1" x14ac:dyDescent="0.25">
      <c r="A354" s="285"/>
      <c r="B354" s="178"/>
      <c r="C354" s="178"/>
      <c r="D354" s="178"/>
      <c r="E354" s="195"/>
      <c r="F354" s="195"/>
      <c r="G354" s="235"/>
      <c r="H354" s="178"/>
      <c r="I354" s="183"/>
      <c r="J354" s="178"/>
      <c r="K354" s="178"/>
      <c r="L354" s="226"/>
      <c r="M354" s="178"/>
      <c r="N354" s="177"/>
      <c r="O354" s="178"/>
      <c r="P354" s="228"/>
    </row>
    <row r="355" spans="1:16" s="227" customFormat="1" ht="15.75" hidden="1" customHeight="1" x14ac:dyDescent="0.25">
      <c r="A355" s="285"/>
      <c r="B355" s="178"/>
      <c r="C355" s="178"/>
      <c r="D355" s="178"/>
      <c r="E355" s="195"/>
      <c r="F355" s="302"/>
      <c r="G355" s="235"/>
      <c r="H355" s="178"/>
      <c r="I355" s="183"/>
      <c r="J355" s="183"/>
      <c r="K355" s="183"/>
      <c r="L355" s="226"/>
      <c r="M355" s="178"/>
      <c r="N355" s="177"/>
      <c r="O355" s="178"/>
    </row>
    <row r="356" spans="1:16" ht="15.75" hidden="1" customHeight="1" x14ac:dyDescent="0.25">
      <c r="A356" s="284"/>
      <c r="C356" s="184"/>
      <c r="D356" s="225"/>
      <c r="E356" s="220"/>
      <c r="F356" s="318"/>
      <c r="G356" s="235"/>
      <c r="L356" s="226"/>
      <c r="O356" s="178"/>
      <c r="P356" s="227"/>
    </row>
    <row r="357" spans="1:16" s="227" customFormat="1" ht="15.75" hidden="1" customHeight="1" x14ac:dyDescent="0.25">
      <c r="A357" s="285"/>
      <c r="B357" s="178"/>
      <c r="C357" s="178"/>
      <c r="D357" s="178"/>
      <c r="E357" s="195"/>
      <c r="F357" s="195"/>
      <c r="G357" s="235"/>
      <c r="H357" s="178"/>
      <c r="I357" s="183"/>
      <c r="J357" s="183"/>
      <c r="K357" s="178"/>
      <c r="L357" s="226"/>
      <c r="M357" s="178"/>
      <c r="N357" s="178"/>
      <c r="O357" s="178"/>
      <c r="P357" s="228"/>
    </row>
    <row r="358" spans="1:16" s="227" customFormat="1" ht="15.75" hidden="1" customHeight="1" x14ac:dyDescent="0.25">
      <c r="A358" s="282"/>
      <c r="B358" s="178"/>
      <c r="C358" s="178"/>
      <c r="D358" s="184"/>
      <c r="E358" s="221"/>
      <c r="F358" s="221"/>
      <c r="G358" s="235"/>
      <c r="H358" s="178"/>
      <c r="I358" s="183"/>
      <c r="J358" s="183"/>
      <c r="K358" s="178"/>
      <c r="L358" s="226"/>
      <c r="M358" s="178"/>
      <c r="N358" s="177"/>
      <c r="O358" s="178"/>
      <c r="P358" s="178"/>
    </row>
    <row r="359" spans="1:16" s="227" customFormat="1" ht="15.75" hidden="1" customHeight="1" x14ac:dyDescent="0.25">
      <c r="A359" s="282"/>
      <c r="B359" s="207"/>
      <c r="C359" s="178"/>
      <c r="D359" s="225"/>
      <c r="E359" s="221"/>
      <c r="F359" s="318"/>
      <c r="G359" s="235"/>
      <c r="H359" s="178"/>
      <c r="I359" s="183"/>
      <c r="J359" s="178"/>
      <c r="K359" s="178"/>
      <c r="L359" s="226"/>
      <c r="M359" s="178"/>
      <c r="N359" s="177"/>
      <c r="O359" s="178"/>
    </row>
    <row r="360" spans="1:16" s="227" customFormat="1" ht="15.75" hidden="1" customHeight="1" x14ac:dyDescent="0.25">
      <c r="A360" s="282"/>
      <c r="B360" s="226"/>
      <c r="C360" s="226"/>
      <c r="D360" s="226"/>
      <c r="E360" s="211"/>
      <c r="F360" s="318"/>
      <c r="G360" s="235"/>
      <c r="H360" s="226"/>
      <c r="I360" s="178"/>
      <c r="J360" s="226"/>
      <c r="K360" s="226"/>
      <c r="L360" s="226"/>
      <c r="M360" s="178"/>
      <c r="N360" s="226"/>
      <c r="O360" s="226"/>
      <c r="P360" s="178"/>
    </row>
    <row r="361" spans="1:16" s="227" customFormat="1" ht="15.75" hidden="1" customHeight="1" x14ac:dyDescent="0.25">
      <c r="A361" s="282"/>
      <c r="B361" s="226"/>
      <c r="C361" s="226"/>
      <c r="D361" s="226"/>
      <c r="E361" s="211"/>
      <c r="F361" s="318"/>
      <c r="G361" s="235"/>
      <c r="H361" s="226"/>
      <c r="I361" s="178"/>
      <c r="J361" s="226"/>
      <c r="K361" s="226"/>
      <c r="L361" s="226"/>
      <c r="M361" s="178"/>
      <c r="N361" s="226"/>
      <c r="O361" s="226"/>
      <c r="P361" s="178"/>
    </row>
    <row r="362" spans="1:16" s="228" customFormat="1" ht="15.75" hidden="1" customHeight="1" x14ac:dyDescent="0.25">
      <c r="A362" s="282"/>
      <c r="B362" s="226"/>
      <c r="C362" s="226"/>
      <c r="D362" s="286"/>
      <c r="E362" s="213"/>
      <c r="F362" s="220"/>
      <c r="G362" s="235"/>
      <c r="H362" s="226"/>
      <c r="I362" s="226"/>
      <c r="J362" s="226"/>
      <c r="K362" s="226"/>
      <c r="L362" s="226"/>
      <c r="M362" s="226"/>
      <c r="N362" s="226"/>
      <c r="O362" s="226"/>
      <c r="P362" s="178"/>
    </row>
    <row r="363" spans="1:16" s="228" customFormat="1" ht="15.75" hidden="1" customHeight="1" x14ac:dyDescent="0.25">
      <c r="A363" s="284"/>
      <c r="B363" s="226"/>
      <c r="C363" s="226"/>
      <c r="D363" s="226"/>
      <c r="E363" s="303"/>
      <c r="F363" s="318"/>
      <c r="G363" s="235"/>
      <c r="H363" s="226"/>
      <c r="I363" s="178"/>
      <c r="J363" s="226"/>
      <c r="K363" s="226"/>
      <c r="L363" s="226"/>
      <c r="M363" s="178"/>
      <c r="N363" s="324"/>
      <c r="O363" s="226"/>
      <c r="P363" s="178"/>
    </row>
    <row r="364" spans="1:16" s="218" customFormat="1" ht="15.75" hidden="1" customHeight="1" x14ac:dyDescent="0.25">
      <c r="A364" s="285"/>
      <c r="B364" s="286"/>
      <c r="C364" s="286"/>
      <c r="D364" s="226"/>
      <c r="E364" s="212"/>
      <c r="F364" s="321"/>
      <c r="G364" s="235"/>
      <c r="H364" s="287"/>
      <c r="I364" s="279"/>
      <c r="J364" s="226"/>
      <c r="K364" s="226"/>
      <c r="L364" s="226"/>
      <c r="M364" s="178"/>
      <c r="N364" s="324"/>
      <c r="O364" s="226"/>
      <c r="P364" s="178"/>
    </row>
    <row r="365" spans="1:16" s="228" customFormat="1" ht="15.75" hidden="1" customHeight="1" x14ac:dyDescent="0.25">
      <c r="A365" s="285"/>
      <c r="B365" s="286"/>
      <c r="C365" s="226"/>
      <c r="D365" s="226"/>
      <c r="E365" s="212"/>
      <c r="F365" s="222"/>
      <c r="G365" s="235"/>
      <c r="H365" s="241"/>
      <c r="I365" s="279"/>
      <c r="J365" s="226"/>
      <c r="K365" s="226"/>
      <c r="L365" s="226"/>
      <c r="M365" s="226"/>
      <c r="N365" s="226"/>
      <c r="O365" s="226"/>
      <c r="P365" s="178"/>
    </row>
    <row r="366" spans="1:16" s="228" customFormat="1" ht="15.75" hidden="1" customHeight="1" x14ac:dyDescent="0.25">
      <c r="A366" s="282"/>
      <c r="B366" s="226"/>
      <c r="C366" s="226"/>
      <c r="D366" s="226"/>
      <c r="E366" s="213"/>
      <c r="F366" s="320"/>
      <c r="G366" s="235"/>
      <c r="H366" s="226"/>
      <c r="I366" s="279"/>
      <c r="J366" s="183"/>
      <c r="K366" s="183"/>
      <c r="L366" s="226"/>
      <c r="M366" s="178"/>
      <c r="N366" s="177"/>
      <c r="O366" s="226"/>
      <c r="P366" s="178"/>
    </row>
    <row r="367" spans="1:16" s="228" customFormat="1" ht="15.75" hidden="1" customHeight="1" x14ac:dyDescent="0.25">
      <c r="A367" s="282"/>
      <c r="B367" s="178"/>
      <c r="C367" s="178"/>
      <c r="D367" s="184"/>
      <c r="E367" s="221"/>
      <c r="F367" s="221"/>
      <c r="G367" s="235"/>
      <c r="H367" s="178"/>
      <c r="I367" s="183"/>
      <c r="J367" s="183"/>
      <c r="K367" s="178"/>
      <c r="L367" s="226"/>
      <c r="M367" s="178"/>
      <c r="N367" s="177"/>
      <c r="O367" s="178"/>
      <c r="P367" s="178"/>
    </row>
    <row r="368" spans="1:16" s="228" customFormat="1" ht="15.75" hidden="1" customHeight="1" x14ac:dyDescent="0.25">
      <c r="A368" s="285"/>
      <c r="B368" s="184"/>
      <c r="C368" s="184"/>
      <c r="D368" s="178"/>
      <c r="E368" s="222"/>
      <c r="F368" s="321"/>
      <c r="G368" s="235"/>
      <c r="H368" s="205"/>
      <c r="I368" s="183"/>
      <c r="J368" s="178"/>
      <c r="K368" s="227"/>
      <c r="L368" s="226"/>
      <c r="M368" s="178"/>
      <c r="N368" s="242"/>
      <c r="O368" s="178"/>
      <c r="P368" s="178"/>
    </row>
    <row r="369" spans="1:16" s="228" customFormat="1" ht="15.75" hidden="1" customHeight="1" x14ac:dyDescent="0.25">
      <c r="A369" s="282"/>
      <c r="B369" s="178"/>
      <c r="C369" s="178"/>
      <c r="D369" s="225"/>
      <c r="E369" s="219"/>
      <c r="F369" s="318"/>
      <c r="G369" s="235"/>
      <c r="H369" s="178"/>
      <c r="I369" s="183"/>
      <c r="J369" s="178"/>
      <c r="K369" s="227"/>
      <c r="L369" s="226"/>
      <c r="M369" s="178"/>
      <c r="N369" s="242"/>
      <c r="O369" s="178"/>
      <c r="P369" s="227"/>
    </row>
    <row r="370" spans="1:16" s="228" customFormat="1" ht="15.75" hidden="1" customHeight="1" x14ac:dyDescent="0.25">
      <c r="A370" s="282"/>
      <c r="B370" s="178"/>
      <c r="C370" s="178"/>
      <c r="D370" s="225"/>
      <c r="E370" s="219"/>
      <c r="F370" s="318"/>
      <c r="G370" s="235"/>
      <c r="H370" s="178"/>
      <c r="I370" s="183"/>
      <c r="J370" s="178"/>
      <c r="K370" s="227"/>
      <c r="L370" s="226"/>
      <c r="M370" s="178"/>
      <c r="N370" s="242"/>
      <c r="O370" s="178"/>
      <c r="P370" s="227"/>
    </row>
    <row r="371" spans="1:16" s="228" customFormat="1" ht="15.75" hidden="1" customHeight="1" x14ac:dyDescent="0.25">
      <c r="A371" s="285"/>
      <c r="B371" s="184"/>
      <c r="C371" s="178"/>
      <c r="D371" s="225"/>
      <c r="E371" s="222"/>
      <c r="F371" s="321"/>
      <c r="G371" s="235"/>
      <c r="H371" s="206"/>
      <c r="I371" s="183"/>
      <c r="J371" s="178"/>
      <c r="K371" s="227"/>
      <c r="L371" s="226"/>
      <c r="M371" s="178"/>
      <c r="N371" s="242"/>
      <c r="O371" s="178"/>
      <c r="P371" s="227"/>
    </row>
    <row r="372" spans="1:16" s="228" customFormat="1" ht="15.75" hidden="1" customHeight="1" x14ac:dyDescent="0.25">
      <c r="A372" s="282"/>
      <c r="B372" s="178"/>
      <c r="C372" s="178"/>
      <c r="D372" s="225"/>
      <c r="E372" s="221"/>
      <c r="F372" s="318"/>
      <c r="G372" s="235"/>
      <c r="H372" s="226"/>
      <c r="I372" s="183"/>
      <c r="J372" s="183"/>
      <c r="K372" s="183"/>
      <c r="L372" s="226"/>
      <c r="M372" s="178"/>
      <c r="N372" s="177"/>
      <c r="O372" s="178"/>
      <c r="P372" s="178"/>
    </row>
    <row r="373" spans="1:16" s="228" customFormat="1" ht="15.75" hidden="1" customHeight="1" x14ac:dyDescent="0.25">
      <c r="A373" s="282"/>
      <c r="B373" s="178"/>
      <c r="C373" s="178"/>
      <c r="D373" s="178"/>
      <c r="E373" s="221"/>
      <c r="F373" s="221"/>
      <c r="G373" s="235"/>
      <c r="H373" s="226"/>
      <c r="I373" s="183"/>
      <c r="J373" s="183"/>
      <c r="K373" s="178"/>
      <c r="L373" s="226"/>
      <c r="M373" s="227"/>
      <c r="N373" s="227"/>
      <c r="O373" s="227"/>
    </row>
    <row r="374" spans="1:16" s="260" customFormat="1" ht="15.75" hidden="1" customHeight="1" x14ac:dyDescent="0.25">
      <c r="A374" s="308"/>
      <c r="B374" s="248"/>
      <c r="C374" s="248"/>
      <c r="D374" s="248"/>
      <c r="E374" s="266"/>
      <c r="F374" s="270"/>
      <c r="G374" s="253"/>
      <c r="H374" s="248"/>
      <c r="I374" s="255"/>
      <c r="J374" s="255"/>
      <c r="K374" s="248"/>
      <c r="L374" s="248"/>
      <c r="M374" s="248"/>
      <c r="N374" s="256"/>
      <c r="O374" s="248"/>
    </row>
    <row r="375" spans="1:16" s="260" customFormat="1" ht="15.75" hidden="1" customHeight="1" x14ac:dyDescent="0.25">
      <c r="A375" s="309"/>
      <c r="B375" s="250"/>
      <c r="C375" s="250"/>
      <c r="D375" s="248"/>
      <c r="E375" s="271"/>
      <c r="F375" s="252"/>
      <c r="G375" s="253"/>
      <c r="H375" s="250"/>
      <c r="I375" s="255"/>
      <c r="J375" s="255"/>
      <c r="K375" s="248"/>
      <c r="L375" s="248"/>
      <c r="M375" s="248"/>
      <c r="N375" s="256"/>
      <c r="O375" s="248"/>
    </row>
    <row r="376" spans="1:16" s="228" customFormat="1" ht="15.75" hidden="1" customHeight="1" x14ac:dyDescent="0.25">
      <c r="A376" s="285"/>
      <c r="B376" s="178"/>
      <c r="C376" s="178"/>
      <c r="D376" s="178"/>
      <c r="E376" s="195"/>
      <c r="F376" s="190"/>
      <c r="G376" s="200"/>
      <c r="H376" s="178"/>
      <c r="I376" s="183"/>
      <c r="J376" s="183"/>
      <c r="K376" s="178"/>
      <c r="L376" s="178"/>
      <c r="M376" s="178"/>
      <c r="N376" s="178"/>
      <c r="O376" s="178"/>
    </row>
    <row r="377" spans="1:16" s="228" customFormat="1" ht="15.75" hidden="1" customHeight="1" x14ac:dyDescent="0.25">
      <c r="A377" s="285"/>
      <c r="B377" s="178"/>
      <c r="C377" s="178"/>
      <c r="D377" s="178"/>
      <c r="E377" s="195"/>
      <c r="F377" s="190"/>
      <c r="G377" s="200"/>
      <c r="H377" s="178"/>
      <c r="I377" s="183"/>
      <c r="J377" s="183"/>
      <c r="K377" s="178"/>
      <c r="L377" s="178"/>
      <c r="M377" s="178"/>
      <c r="N377" s="178"/>
      <c r="O377" s="178"/>
    </row>
    <row r="378" spans="1:16" s="248" customFormat="1" ht="15.75" hidden="1" customHeight="1" x14ac:dyDescent="0.25">
      <c r="A378" s="308"/>
      <c r="E378" s="266"/>
      <c r="F378" s="270"/>
      <c r="G378" s="253"/>
      <c r="I378" s="255"/>
      <c r="J378" s="255"/>
      <c r="N378" s="256"/>
    </row>
    <row r="379" spans="1:16" ht="15.75" hidden="1" customHeight="1" x14ac:dyDescent="0.25">
      <c r="E379" s="221"/>
      <c r="F379" s="226"/>
      <c r="G379" s="200"/>
      <c r="O379" s="178"/>
    </row>
    <row r="380" spans="1:16" ht="15.75" hidden="1" customHeight="1" x14ac:dyDescent="0.25">
      <c r="E380" s="221"/>
      <c r="F380" s="226"/>
      <c r="G380" s="200"/>
      <c r="O380" s="178"/>
    </row>
    <row r="381" spans="1:16" ht="15.75" hidden="1" customHeight="1" x14ac:dyDescent="0.25">
      <c r="D381" s="228"/>
      <c r="E381" s="221"/>
      <c r="F381" s="213"/>
      <c r="G381" s="200"/>
      <c r="O381" s="178"/>
    </row>
    <row r="382" spans="1:16" ht="15.75" hidden="1" customHeight="1" x14ac:dyDescent="0.25">
      <c r="D382" s="228"/>
      <c r="E382" s="221"/>
      <c r="F382" s="213"/>
      <c r="G382" s="200"/>
      <c r="O382" s="178"/>
    </row>
    <row r="383" spans="1:16" ht="15.75" hidden="1" customHeight="1" x14ac:dyDescent="0.25">
      <c r="D383" s="228"/>
      <c r="E383" s="221"/>
      <c r="F383" s="213"/>
      <c r="G383" s="200"/>
      <c r="O383" s="178"/>
    </row>
    <row r="384" spans="1:16" ht="15.75" hidden="1" customHeight="1" x14ac:dyDescent="0.25">
      <c r="E384" s="221"/>
      <c r="F384" s="226"/>
      <c r="G384" s="200"/>
      <c r="O384" s="178"/>
    </row>
    <row r="385" spans="1:15" s="248" customFormat="1" ht="15.75" hidden="1" customHeight="1" x14ac:dyDescent="0.25">
      <c r="A385" s="308"/>
      <c r="D385" s="250"/>
      <c r="E385" s="262"/>
      <c r="F385" s="258"/>
      <c r="G385" s="253"/>
      <c r="I385" s="255"/>
      <c r="J385" s="255"/>
      <c r="N385" s="256"/>
    </row>
    <row r="386" spans="1:15" s="248" customFormat="1" ht="15.75" hidden="1" customHeight="1" x14ac:dyDescent="0.25">
      <c r="A386" s="308"/>
      <c r="D386" s="250"/>
      <c r="E386" s="262"/>
      <c r="F386" s="264"/>
      <c r="G386" s="253"/>
      <c r="I386" s="255"/>
      <c r="J386" s="255"/>
      <c r="N386" s="256"/>
    </row>
    <row r="387" spans="1:15" ht="15.75" hidden="1" customHeight="1" x14ac:dyDescent="0.25">
      <c r="E387" s="221"/>
      <c r="F387" s="226"/>
      <c r="G387" s="200"/>
      <c r="O387" s="178"/>
    </row>
    <row r="388" spans="1:15" ht="15.75" hidden="1" customHeight="1" x14ac:dyDescent="0.25">
      <c r="D388" s="184"/>
      <c r="E388" s="221"/>
      <c r="F388" s="213"/>
      <c r="G388" s="200"/>
      <c r="O388" s="178"/>
    </row>
    <row r="389" spans="1:15" ht="15.75" hidden="1" customHeight="1" x14ac:dyDescent="0.25">
      <c r="D389" s="213"/>
      <c r="E389" s="221"/>
      <c r="F389" s="226"/>
      <c r="G389" s="200"/>
      <c r="J389" s="178"/>
      <c r="K389" s="183"/>
      <c r="O389" s="178"/>
    </row>
    <row r="390" spans="1:15" ht="15.75" hidden="1" customHeight="1" x14ac:dyDescent="0.25">
      <c r="E390" s="219"/>
      <c r="F390" s="235"/>
      <c r="G390" s="200"/>
      <c r="O390" s="178"/>
    </row>
    <row r="391" spans="1:15" ht="15.75" hidden="1" customHeight="1" x14ac:dyDescent="0.25">
      <c r="A391" s="285"/>
      <c r="F391" s="190"/>
      <c r="G391" s="200"/>
      <c r="N391" s="178"/>
      <c r="O391" s="178"/>
    </row>
    <row r="392" spans="1:15" ht="15.75" hidden="1" customHeight="1" x14ac:dyDescent="0.25">
      <c r="A392" s="285"/>
      <c r="F392" s="190"/>
      <c r="G392" s="200"/>
      <c r="N392" s="178"/>
      <c r="O392" s="178"/>
    </row>
    <row r="393" spans="1:15" ht="15.75" hidden="1" customHeight="1" x14ac:dyDescent="0.25">
      <c r="A393" s="283"/>
      <c r="B393" s="228"/>
      <c r="C393" s="228"/>
      <c r="D393" s="228"/>
      <c r="E393" s="229"/>
      <c r="F393" s="237"/>
      <c r="G393" s="200"/>
      <c r="H393" s="228"/>
      <c r="J393" s="218"/>
      <c r="K393" s="228"/>
      <c r="M393" s="228"/>
      <c r="N393" s="228"/>
      <c r="O393" s="228"/>
    </row>
    <row r="394" spans="1:15" ht="15.75" hidden="1" customHeight="1" x14ac:dyDescent="0.25">
      <c r="F394" s="234"/>
      <c r="G394" s="200"/>
      <c r="O394" s="178"/>
    </row>
    <row r="395" spans="1:15" s="248" customFormat="1" ht="15.75" hidden="1" customHeight="1" x14ac:dyDescent="0.25">
      <c r="A395" s="308"/>
      <c r="D395" s="250"/>
      <c r="E395" s="262"/>
      <c r="F395" s="258"/>
      <c r="G395" s="253"/>
      <c r="I395" s="255"/>
      <c r="J395" s="255"/>
      <c r="N395" s="256"/>
    </row>
    <row r="396" spans="1:15" ht="15.75" hidden="1" customHeight="1" x14ac:dyDescent="0.25">
      <c r="E396" s="221"/>
      <c r="F396" s="226"/>
      <c r="G396" s="200"/>
      <c r="O396" s="178"/>
    </row>
    <row r="397" spans="1:15" s="248" customFormat="1" ht="15.75" hidden="1" customHeight="1" x14ac:dyDescent="0.25">
      <c r="A397" s="308"/>
      <c r="D397" s="250"/>
      <c r="E397" s="257"/>
      <c r="F397" s="263"/>
      <c r="G397" s="253"/>
      <c r="I397" s="255"/>
      <c r="N397" s="256"/>
    </row>
    <row r="398" spans="1:15" ht="15.75" hidden="1" customHeight="1" x14ac:dyDescent="0.25">
      <c r="E398" s="219"/>
      <c r="F398" s="235"/>
      <c r="G398" s="200"/>
      <c r="O398" s="178"/>
    </row>
    <row r="399" spans="1:15" ht="15.75" hidden="1" customHeight="1" x14ac:dyDescent="0.25">
      <c r="C399" s="184"/>
      <c r="E399" s="221"/>
      <c r="F399" s="213"/>
      <c r="G399" s="200"/>
      <c r="O399" s="178"/>
    </row>
    <row r="400" spans="1:15" s="248" customFormat="1" ht="15.75" hidden="1" customHeight="1" x14ac:dyDescent="0.25">
      <c r="A400" s="308"/>
      <c r="E400" s="266"/>
      <c r="F400" s="270"/>
      <c r="G400" s="253"/>
      <c r="I400" s="255"/>
      <c r="J400" s="255"/>
      <c r="N400" s="256"/>
    </row>
    <row r="401" spans="1:15" ht="15.75" hidden="1" customHeight="1" x14ac:dyDescent="0.25">
      <c r="D401" s="184"/>
      <c r="E401" s="221"/>
      <c r="F401" s="213"/>
      <c r="G401" s="200"/>
      <c r="O401" s="178"/>
    </row>
    <row r="402" spans="1:15" ht="15.75" hidden="1" customHeight="1" x14ac:dyDescent="0.25">
      <c r="E402" s="221"/>
      <c r="F402" s="226"/>
      <c r="G402" s="200"/>
      <c r="O402" s="178"/>
    </row>
    <row r="403" spans="1:15" ht="15.75" hidden="1" customHeight="1" x14ac:dyDescent="0.25">
      <c r="E403" s="221"/>
      <c r="F403" s="226"/>
      <c r="G403" s="200"/>
      <c r="O403" s="178"/>
    </row>
    <row r="404" spans="1:15" ht="15.75" hidden="1" customHeight="1" x14ac:dyDescent="0.25">
      <c r="E404" s="219"/>
      <c r="F404" s="235"/>
      <c r="G404" s="200"/>
      <c r="O404" s="178"/>
    </row>
    <row r="405" spans="1:15" ht="15.75" hidden="1" customHeight="1" x14ac:dyDescent="0.25">
      <c r="D405" s="225"/>
      <c r="E405" s="219"/>
      <c r="F405" s="211"/>
      <c r="G405" s="200"/>
      <c r="O405" s="178"/>
    </row>
    <row r="406" spans="1:15" ht="15.75" hidden="1" customHeight="1" x14ac:dyDescent="0.25">
      <c r="A406" s="285"/>
      <c r="F406" s="234"/>
      <c r="G406" s="200"/>
      <c r="N406" s="178"/>
      <c r="O406" s="178"/>
    </row>
    <row r="407" spans="1:15" ht="15.75" hidden="1" customHeight="1" x14ac:dyDescent="0.25">
      <c r="D407" s="225"/>
      <c r="E407" s="178"/>
      <c r="F407" s="178"/>
      <c r="G407" s="200"/>
      <c r="H407" s="226"/>
      <c r="M407" s="227"/>
      <c r="N407" s="227"/>
      <c r="O407" s="227"/>
    </row>
    <row r="408" spans="1:15" s="248" customFormat="1" ht="15.75" hidden="1" customHeight="1" x14ac:dyDescent="0.25">
      <c r="A408" s="308"/>
      <c r="D408" s="261"/>
      <c r="G408" s="253"/>
      <c r="H408" s="269"/>
      <c r="I408" s="255"/>
      <c r="K408" s="259"/>
      <c r="N408" s="268"/>
      <c r="O408" s="259"/>
    </row>
    <row r="409" spans="1:15" ht="15.75" hidden="1" customHeight="1" x14ac:dyDescent="0.25">
      <c r="D409" s="225"/>
      <c r="E409" s="178"/>
      <c r="F409" s="198"/>
      <c r="G409" s="200"/>
      <c r="J409" s="178"/>
      <c r="K409" s="227"/>
      <c r="N409" s="242"/>
      <c r="O409" s="227"/>
    </row>
    <row r="410" spans="1:15" s="248" customFormat="1" ht="15.75" hidden="1" customHeight="1" x14ac:dyDescent="0.25">
      <c r="A410" s="310"/>
      <c r="B410" s="250"/>
      <c r="D410" s="250"/>
      <c r="E410" s="251"/>
      <c r="F410" s="252"/>
      <c r="G410" s="253"/>
      <c r="H410" s="254"/>
      <c r="I410" s="255"/>
      <c r="J410" s="265"/>
      <c r="K410" s="254"/>
      <c r="N410" s="256"/>
    </row>
    <row r="411" spans="1:15" s="248" customFormat="1" ht="15.75" hidden="1" customHeight="1" x14ac:dyDescent="0.25">
      <c r="A411" s="308"/>
      <c r="D411" s="250"/>
      <c r="E411" s="257"/>
      <c r="F411" s="263"/>
      <c r="G411" s="253"/>
      <c r="I411" s="255"/>
      <c r="N411" s="256"/>
    </row>
    <row r="412" spans="1:15" ht="15.75" hidden="1" customHeight="1" x14ac:dyDescent="0.25">
      <c r="D412" s="228"/>
      <c r="E412" s="219"/>
      <c r="F412" s="211"/>
      <c r="G412" s="200"/>
      <c r="O412" s="178"/>
    </row>
    <row r="413" spans="1:15" ht="15.75" hidden="1" customHeight="1" x14ac:dyDescent="0.25">
      <c r="D413" s="184"/>
      <c r="E413" s="219"/>
      <c r="F413" s="211"/>
      <c r="G413" s="200"/>
      <c r="O413" s="178"/>
    </row>
    <row r="414" spans="1:15" ht="15.75" hidden="1" customHeight="1" x14ac:dyDescent="0.25">
      <c r="E414" s="219"/>
      <c r="F414" s="235"/>
      <c r="G414" s="200"/>
      <c r="O414" s="178"/>
    </row>
    <row r="415" spans="1:15" ht="15.75" hidden="1" customHeight="1" x14ac:dyDescent="0.25">
      <c r="A415" s="284"/>
      <c r="B415" s="184"/>
      <c r="E415" s="224"/>
      <c r="F415" s="212"/>
      <c r="G415" s="200"/>
      <c r="H415" s="184"/>
      <c r="O415" s="178"/>
    </row>
    <row r="416" spans="1:15" ht="15.75" hidden="1" customHeight="1" x14ac:dyDescent="0.25">
      <c r="D416" s="225"/>
      <c r="E416" s="219"/>
      <c r="F416" s="211"/>
      <c r="G416" s="200"/>
      <c r="K416" s="183"/>
      <c r="O416" s="178"/>
    </row>
    <row r="417" spans="1:15" ht="15.75" hidden="1" customHeight="1" x14ac:dyDescent="0.25">
      <c r="D417" s="225"/>
      <c r="E417" s="219"/>
      <c r="F417" s="211"/>
      <c r="G417" s="200"/>
      <c r="O417" s="178"/>
    </row>
    <row r="418" spans="1:15" ht="15.75" hidden="1" customHeight="1" x14ac:dyDescent="0.25">
      <c r="E418" s="219"/>
      <c r="F418" s="235"/>
      <c r="G418" s="200"/>
      <c r="O418" s="178"/>
    </row>
    <row r="419" spans="1:15" ht="15.75" hidden="1" customHeight="1" x14ac:dyDescent="0.25">
      <c r="A419" s="285"/>
      <c r="F419" s="190"/>
      <c r="G419" s="200"/>
      <c r="N419" s="178"/>
      <c r="O419" s="178"/>
    </row>
    <row r="420" spans="1:15" s="248" customFormat="1" ht="15.75" hidden="1" customHeight="1" x14ac:dyDescent="0.25">
      <c r="A420" s="310"/>
      <c r="E420" s="266"/>
      <c r="F420" s="267"/>
      <c r="G420" s="253"/>
      <c r="I420" s="255"/>
      <c r="J420" s="255"/>
      <c r="N420" s="256"/>
    </row>
    <row r="421" spans="1:15" ht="15.75" hidden="1" customHeight="1" x14ac:dyDescent="0.25">
      <c r="A421" s="283"/>
      <c r="B421" s="228"/>
      <c r="C421" s="228"/>
      <c r="D421" s="228"/>
      <c r="E421" s="229"/>
      <c r="F421" s="229"/>
      <c r="G421" s="200"/>
      <c r="H421" s="228"/>
      <c r="J421" s="218"/>
      <c r="K421" s="228"/>
      <c r="N421" s="244"/>
      <c r="O421" s="228"/>
    </row>
    <row r="422" spans="1:15" ht="15.75" hidden="1" customHeight="1" x14ac:dyDescent="0.25">
      <c r="E422" s="221"/>
      <c r="F422" s="213"/>
      <c r="G422" s="200"/>
      <c r="M422" s="177"/>
      <c r="O422" s="178"/>
    </row>
    <row r="423" spans="1:15" ht="15.75" hidden="1" customHeight="1" x14ac:dyDescent="0.25">
      <c r="E423" s="219"/>
      <c r="F423" s="211"/>
      <c r="G423" s="200"/>
      <c r="O423" s="178"/>
    </row>
    <row r="424" spans="1:15" ht="15.75" hidden="1" customHeight="1" x14ac:dyDescent="0.25">
      <c r="E424" s="219"/>
      <c r="F424" s="211"/>
      <c r="G424" s="200"/>
      <c r="O424" s="178"/>
    </row>
    <row r="425" spans="1:15" ht="15.75" hidden="1" customHeight="1" x14ac:dyDescent="0.25">
      <c r="E425" s="219"/>
      <c r="F425" s="211"/>
      <c r="G425" s="200"/>
      <c r="O425" s="178"/>
    </row>
    <row r="426" spans="1:15" ht="15.75" hidden="1" customHeight="1" x14ac:dyDescent="0.25">
      <c r="C426" s="184"/>
      <c r="E426" s="219"/>
      <c r="F426" s="211"/>
      <c r="G426" s="200"/>
      <c r="O426" s="178"/>
    </row>
    <row r="427" spans="1:15" ht="15.75" hidden="1" customHeight="1" x14ac:dyDescent="0.25">
      <c r="C427" s="184"/>
      <c r="D427" s="228"/>
      <c r="E427" s="219"/>
      <c r="F427" s="211"/>
      <c r="G427" s="200"/>
      <c r="O427" s="178"/>
    </row>
    <row r="428" spans="1:15" ht="15.75" hidden="1" customHeight="1" x14ac:dyDescent="0.25">
      <c r="C428" s="184"/>
      <c r="D428" s="218"/>
      <c r="E428" s="219"/>
      <c r="F428" s="211"/>
      <c r="G428" s="200"/>
    </row>
    <row r="429" spans="1:15" ht="15.75" hidden="1" customHeight="1" x14ac:dyDescent="0.25">
      <c r="E429" s="219"/>
      <c r="F429" s="235"/>
      <c r="G429" s="200"/>
      <c r="O429" s="178"/>
    </row>
    <row r="430" spans="1:15" ht="15.75" hidden="1" customHeight="1" x14ac:dyDescent="0.25">
      <c r="A430" s="285"/>
      <c r="B430" s="184"/>
      <c r="D430" s="184"/>
      <c r="E430" s="222"/>
      <c r="F430" s="239"/>
      <c r="G430" s="200"/>
      <c r="H430" s="206"/>
      <c r="J430" s="210"/>
      <c r="O430" s="178"/>
    </row>
    <row r="431" spans="1:15" ht="15.75" hidden="1" customHeight="1" x14ac:dyDescent="0.25">
      <c r="A431" s="284"/>
      <c r="B431" s="184"/>
      <c r="D431" s="205"/>
      <c r="E431" s="222"/>
      <c r="F431" s="240"/>
      <c r="G431" s="200"/>
      <c r="H431" s="184"/>
      <c r="O431" s="178"/>
    </row>
    <row r="432" spans="1:15" s="248" customFormat="1" ht="15.75" hidden="1" customHeight="1" x14ac:dyDescent="0.25">
      <c r="A432" s="310"/>
      <c r="E432" s="266"/>
      <c r="F432" s="267"/>
      <c r="G432" s="253"/>
      <c r="I432" s="255"/>
      <c r="N432" s="256"/>
    </row>
    <row r="433" spans="1:15" ht="15.75" hidden="1" customHeight="1" x14ac:dyDescent="0.25">
      <c r="A433" s="285"/>
      <c r="F433" s="190"/>
      <c r="G433" s="200"/>
      <c r="O433" s="178"/>
    </row>
    <row r="434" spans="1:15" ht="15.75" hidden="1" customHeight="1" x14ac:dyDescent="0.25">
      <c r="A434" s="285"/>
      <c r="F434" s="234"/>
      <c r="G434" s="200"/>
      <c r="N434" s="178"/>
      <c r="O434" s="178"/>
    </row>
    <row r="436" spans="1:15" x14ac:dyDescent="0.25">
      <c r="F436" s="302"/>
    </row>
  </sheetData>
  <autoFilter ref="A11:P434" xr:uid="{00000000-0009-0000-0000-000003000000}">
    <filterColumn colId="2">
      <filters>
        <filter val="Bank Fees"/>
        <filter val="Bonus"/>
        <filter val="Court Fees"/>
        <filter val="Flight"/>
        <filter val="Grant"/>
        <filter val="Internet"/>
        <filter val="Jail Visits"/>
        <filter val="Lawyer fees"/>
        <filter val="Office Materials"/>
        <filter val="Personnel"/>
        <filter val="Rent &amp; Utilities"/>
        <filter val="Services"/>
        <filter val="Telephone"/>
        <filter val="Transfer Fees"/>
        <filter val="Transport"/>
        <filter val="Travel Expenses"/>
        <filter val="Travel Subsistence"/>
        <filter val="Trust building"/>
        <filter val="Website"/>
      </filters>
    </filterColumn>
    <sortState xmlns:xlrd2="http://schemas.microsoft.com/office/spreadsheetml/2017/richdata2" ref="A14:P242">
      <sortCondition ref="A11:A434"/>
    </sortState>
  </autoFilter>
  <sortState xmlns:xlrd2="http://schemas.microsoft.com/office/spreadsheetml/2017/richdata2" ref="A12:P196">
    <sortCondition ref="M18"/>
  </sortState>
  <mergeCells count="1">
    <mergeCell ref="A1:O1"/>
  </mergeCells>
  <dataValidations count="1">
    <dataValidation type="list" allowBlank="1" showInputMessage="1" showErrorMessage="1" sqref="O378:O415" xr:uid="{00000000-0002-0000-0300-000000000000}">
      <formula1>"typeDD"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Donateurs</vt:lpstr>
      <vt:lpstr>Feuil3</vt:lpstr>
      <vt:lpstr>DATA  MARS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Tiffany Handford</cp:lastModifiedBy>
  <cp:lastPrinted>2021-06-11T09:45:49Z</cp:lastPrinted>
  <dcterms:created xsi:type="dcterms:W3CDTF">2020-09-02T13:35:58Z</dcterms:created>
  <dcterms:modified xsi:type="dcterms:W3CDTF">2022-05-24T11:59:52Z</dcterms:modified>
</cp:coreProperties>
</file>