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pivotCache/pivotCacheRecords3.xml" ContentType="application/vnd.openxmlformats-officedocument.spreadsheetml.pivotCacheRecords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9425" windowHeight="10425" tabRatio="553" activeTab="3"/>
  </bookViews>
  <sheets>
    <sheet name="Récapitulatif" sheetId="16" r:id="rId1"/>
    <sheet name="Donateurs" sheetId="147" r:id="rId2"/>
    <sheet name="Feuil5" sheetId="151" r:id="rId3"/>
    <sheet name="DATA JUILLET 2022" sheetId="9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3" hidden="1">'DATA JUILLET 2022'!$A$11:$P$412</definedName>
  </definedNames>
  <calcPr calcId="124519"/>
  <pivotCaches>
    <pivotCache cacheId="8" r:id="rId16"/>
    <pivotCache cacheId="9" r:id="rId17"/>
    <pivotCache cacheId="10" r:id="rId18"/>
  </pivotCaches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16"/>
  <c r="D11"/>
  <c r="D12"/>
  <c r="D13"/>
  <c r="D14"/>
  <c r="D15"/>
  <c r="D16"/>
  <c r="D4"/>
  <c r="D5"/>
  <c r="D6"/>
  <c r="D7"/>
  <c r="D3"/>
  <c r="L17"/>
  <c r="AR7" i="151" l="1"/>
  <c r="AR8"/>
  <c r="AR9"/>
  <c r="AR10"/>
  <c r="AR11"/>
  <c r="AR12"/>
  <c r="AR13"/>
  <c r="AR14"/>
  <c r="AR15"/>
  <c r="AR16"/>
  <c r="AR17"/>
  <c r="AR6"/>
  <c r="AP20" l="1"/>
  <c r="AQ7"/>
  <c r="AQ8"/>
  <c r="AQ9"/>
  <c r="AQ10"/>
  <c r="AQ11"/>
  <c r="AQ12"/>
  <c r="AQ13"/>
  <c r="AQ14"/>
  <c r="AQ15"/>
  <c r="AQ16"/>
  <c r="AQ17"/>
  <c r="AQ6"/>
  <c r="AP7"/>
  <c r="AP18" s="1"/>
  <c r="AP8"/>
  <c r="AP9"/>
  <c r="AP10"/>
  <c r="AP11"/>
  <c r="AP12"/>
  <c r="AP13"/>
  <c r="AP14"/>
  <c r="AP15"/>
  <c r="AP16"/>
  <c r="AP17"/>
  <c r="AP6"/>
  <c r="AO7"/>
  <c r="AO8"/>
  <c r="AO9"/>
  <c r="AO10"/>
  <c r="AO11"/>
  <c r="AO12"/>
  <c r="AO13"/>
  <c r="AO14"/>
  <c r="AO15"/>
  <c r="AO16"/>
  <c r="AO17"/>
  <c r="AO6"/>
  <c r="AS18"/>
  <c r="AR18"/>
  <c r="AQ18" l="1"/>
  <c r="F33" i="95" l="1"/>
  <c r="F25"/>
  <c r="C2"/>
  <c r="C43" i="16" l="1"/>
  <c r="C42"/>
  <c r="C40"/>
  <c r="C38"/>
  <c r="C37"/>
  <c r="C36"/>
  <c r="C35"/>
  <c r="C34"/>
  <c r="C33"/>
  <c r="C32"/>
  <c r="C31"/>
  <c r="C30"/>
  <c r="C29"/>
  <c r="A29"/>
  <c r="A30" s="1"/>
  <c r="A31" s="1"/>
  <c r="A32" s="1"/>
  <c r="A33" s="1"/>
  <c r="C28"/>
  <c r="O17"/>
  <c r="N17"/>
  <c r="M17"/>
  <c r="H17"/>
  <c r="C17"/>
  <c r="A20" s="1"/>
  <c r="G16"/>
  <c r="F16"/>
  <c r="H38" s="1"/>
  <c r="E16"/>
  <c r="I38" s="1"/>
  <c r="E38"/>
  <c r="A16"/>
  <c r="G15"/>
  <c r="F15"/>
  <c r="H37" s="1"/>
  <c r="E15"/>
  <c r="I37" s="1"/>
  <c r="E37"/>
  <c r="A15"/>
  <c r="G14"/>
  <c r="F14"/>
  <c r="H36" s="1"/>
  <c r="E14"/>
  <c r="I36" s="1"/>
  <c r="E36"/>
  <c r="A14"/>
  <c r="G13"/>
  <c r="F13"/>
  <c r="H35" s="1"/>
  <c r="E13"/>
  <c r="I35" s="1"/>
  <c r="E35"/>
  <c r="A13"/>
  <c r="G12"/>
  <c r="F12"/>
  <c r="H34" s="1"/>
  <c r="E12"/>
  <c r="I34" s="1"/>
  <c r="E34"/>
  <c r="A12"/>
  <c r="G11"/>
  <c r="F11"/>
  <c r="H33" s="1"/>
  <c r="E11"/>
  <c r="I33" s="1"/>
  <c r="E33"/>
  <c r="A11"/>
  <c r="G10"/>
  <c r="F10"/>
  <c r="H32" s="1"/>
  <c r="E10"/>
  <c r="I32" s="1"/>
  <c r="D10"/>
  <c r="E32" s="1"/>
  <c r="A10"/>
  <c r="G9"/>
  <c r="F9"/>
  <c r="H31" s="1"/>
  <c r="E9"/>
  <c r="I31" s="1"/>
  <c r="D9"/>
  <c r="E31" s="1"/>
  <c r="A9"/>
  <c r="G8"/>
  <c r="F8"/>
  <c r="H30" s="1"/>
  <c r="E8"/>
  <c r="I30" s="1"/>
  <c r="D8"/>
  <c r="E30" s="1"/>
  <c r="A8"/>
  <c r="G7"/>
  <c r="F7"/>
  <c r="H29" s="1"/>
  <c r="E7"/>
  <c r="I29" s="1"/>
  <c r="E29"/>
  <c r="A7"/>
  <c r="G6"/>
  <c r="F6"/>
  <c r="H28" s="1"/>
  <c r="E6"/>
  <c r="I28" s="1"/>
  <c r="E28"/>
  <c r="A6"/>
  <c r="G5"/>
  <c r="F5"/>
  <c r="H40" s="1"/>
  <c r="E5"/>
  <c r="I40" s="1"/>
  <c r="E40"/>
  <c r="A5"/>
  <c r="G4"/>
  <c r="D43" s="1"/>
  <c r="F4"/>
  <c r="H43" s="1"/>
  <c r="E4"/>
  <c r="I43" s="1"/>
  <c r="A4"/>
  <c r="G3"/>
  <c r="D42" s="1"/>
  <c r="F3"/>
  <c r="H42" s="1"/>
  <c r="I42"/>
  <c r="A3"/>
  <c r="B20" i="147"/>
  <c r="B19"/>
  <c r="J30" i="16" l="1"/>
  <c r="J34"/>
  <c r="D17"/>
  <c r="J40"/>
  <c r="I44"/>
  <c r="J31"/>
  <c r="J35"/>
  <c r="C44"/>
  <c r="I4"/>
  <c r="J4" s="1"/>
  <c r="A34"/>
  <c r="A36" s="1"/>
  <c r="A38" s="1"/>
  <c r="A40" s="1"/>
  <c r="A42" s="1"/>
  <c r="A43" s="1"/>
  <c r="A35"/>
  <c r="A37" s="1"/>
  <c r="J43"/>
  <c r="J42"/>
  <c r="J29"/>
  <c r="J33"/>
  <c r="J37"/>
  <c r="J28"/>
  <c r="J32"/>
  <c r="J36"/>
  <c r="J38"/>
  <c r="I6"/>
  <c r="J6" s="1"/>
  <c r="I10"/>
  <c r="J10" s="1"/>
  <c r="I3"/>
  <c r="I7"/>
  <c r="J7" s="1"/>
  <c r="I11"/>
  <c r="J11" s="1"/>
  <c r="I15"/>
  <c r="J15" s="1"/>
  <c r="F17"/>
  <c r="G19" s="1"/>
  <c r="I8"/>
  <c r="J8" s="1"/>
  <c r="I12"/>
  <c r="J12" s="1"/>
  <c r="I16"/>
  <c r="J16" s="1"/>
  <c r="E17"/>
  <c r="C20" s="1"/>
  <c r="I5"/>
  <c r="J5" s="1"/>
  <c r="I9"/>
  <c r="J9" s="1"/>
  <c r="I13"/>
  <c r="J13" s="1"/>
  <c r="I14"/>
  <c r="J14" s="1"/>
  <c r="G17"/>
  <c r="B20" s="1"/>
  <c r="K43" l="1"/>
  <c r="K31"/>
  <c r="D20"/>
  <c r="K38"/>
  <c r="K37"/>
  <c r="K34"/>
  <c r="K28"/>
  <c r="J44"/>
  <c r="K42"/>
  <c r="K35"/>
  <c r="K32"/>
  <c r="K29"/>
  <c r="I17"/>
  <c r="J3"/>
  <c r="K36"/>
  <c r="K33"/>
  <c r="K30"/>
  <c r="K40"/>
  <c r="K44" l="1"/>
  <c r="I18"/>
  <c r="E20"/>
  <c r="J17"/>
  <c r="C89" l="1"/>
  <c r="C88"/>
  <c r="C86"/>
  <c r="C84"/>
  <c r="C83"/>
  <c r="C82"/>
  <c r="C81"/>
  <c r="C80"/>
  <c r="C79"/>
  <c r="C78"/>
  <c r="C77"/>
  <c r="C76"/>
  <c r="C75"/>
  <c r="A75"/>
  <c r="C74"/>
  <c r="O63"/>
  <c r="N63"/>
  <c r="M63"/>
  <c r="L63"/>
  <c r="H63"/>
  <c r="C63"/>
  <c r="A66" s="1"/>
  <c r="G62"/>
  <c r="F62"/>
  <c r="H84" s="1"/>
  <c r="E62"/>
  <c r="I84" s="1"/>
  <c r="D62"/>
  <c r="A62"/>
  <c r="G61"/>
  <c r="F61"/>
  <c r="H83" s="1"/>
  <c r="E61"/>
  <c r="I83" s="1"/>
  <c r="D61"/>
  <c r="A61"/>
  <c r="G60"/>
  <c r="F60"/>
  <c r="H82" s="1"/>
  <c r="E60"/>
  <c r="I82" s="1"/>
  <c r="D60"/>
  <c r="E82" s="1"/>
  <c r="A60"/>
  <c r="G59"/>
  <c r="F59"/>
  <c r="H81" s="1"/>
  <c r="E59"/>
  <c r="I81" s="1"/>
  <c r="D59"/>
  <c r="A59"/>
  <c r="G58"/>
  <c r="F58"/>
  <c r="H80" s="1"/>
  <c r="E58"/>
  <c r="I80" s="1"/>
  <c r="D58"/>
  <c r="A58"/>
  <c r="G57"/>
  <c r="F57"/>
  <c r="H79" s="1"/>
  <c r="E57"/>
  <c r="I79" s="1"/>
  <c r="D57"/>
  <c r="E79" s="1"/>
  <c r="A57"/>
  <c r="G56"/>
  <c r="F56"/>
  <c r="H78" s="1"/>
  <c r="E56"/>
  <c r="I78" s="1"/>
  <c r="D56"/>
  <c r="E78" s="1"/>
  <c r="A56"/>
  <c r="G55"/>
  <c r="F55"/>
  <c r="H77" s="1"/>
  <c r="E55"/>
  <c r="I77" s="1"/>
  <c r="D55"/>
  <c r="A55"/>
  <c r="G54"/>
  <c r="F54"/>
  <c r="H76" s="1"/>
  <c r="E54"/>
  <c r="I76" s="1"/>
  <c r="D54"/>
  <c r="A54"/>
  <c r="G53"/>
  <c r="F53"/>
  <c r="H75" s="1"/>
  <c r="E53"/>
  <c r="I75" s="1"/>
  <c r="D53"/>
  <c r="E75" s="1"/>
  <c r="A53"/>
  <c r="G52"/>
  <c r="F52"/>
  <c r="H74" s="1"/>
  <c r="E52"/>
  <c r="I74" s="1"/>
  <c r="D52"/>
  <c r="A52"/>
  <c r="G51"/>
  <c r="F51"/>
  <c r="H86" s="1"/>
  <c r="E51"/>
  <c r="I86" s="1"/>
  <c r="D51"/>
  <c r="E86" s="1"/>
  <c r="A51"/>
  <c r="G50"/>
  <c r="D89" s="1"/>
  <c r="F50"/>
  <c r="H89" s="1"/>
  <c r="E50"/>
  <c r="I89" s="1"/>
  <c r="D50"/>
  <c r="A50"/>
  <c r="G49"/>
  <c r="D88" s="1"/>
  <c r="F49"/>
  <c r="H88" s="1"/>
  <c r="E49"/>
  <c r="I88" s="1"/>
  <c r="D49"/>
  <c r="A49"/>
  <c r="A78" l="1"/>
  <c r="A79" s="1"/>
  <c r="A81" s="1"/>
  <c r="A76"/>
  <c r="A77" s="1"/>
  <c r="I49"/>
  <c r="J49" s="1"/>
  <c r="I55"/>
  <c r="J55" s="1"/>
  <c r="I59"/>
  <c r="J59" s="1"/>
  <c r="C90"/>
  <c r="I62"/>
  <c r="J62" s="1"/>
  <c r="I52"/>
  <c r="J52" s="1"/>
  <c r="I54"/>
  <c r="J54" s="1"/>
  <c r="J79"/>
  <c r="I58"/>
  <c r="J58" s="1"/>
  <c r="I61"/>
  <c r="J61" s="1"/>
  <c r="E74"/>
  <c r="J74" s="1"/>
  <c r="E76"/>
  <c r="J76" s="1"/>
  <c r="E84"/>
  <c r="J84" s="1"/>
  <c r="J89"/>
  <c r="E81"/>
  <c r="J81" s="1"/>
  <c r="K81" s="1"/>
  <c r="E63"/>
  <c r="C66" s="1"/>
  <c r="I50"/>
  <c r="J50" s="1"/>
  <c r="E77"/>
  <c r="J77" s="1"/>
  <c r="E83"/>
  <c r="J83" s="1"/>
  <c r="I53"/>
  <c r="J53" s="1"/>
  <c r="E80"/>
  <c r="J80" s="1"/>
  <c r="J78"/>
  <c r="J88"/>
  <c r="J75"/>
  <c r="A80"/>
  <c r="A82" s="1"/>
  <c r="A84" s="1"/>
  <c r="A86" s="1"/>
  <c r="A88" s="1"/>
  <c r="A89" s="1"/>
  <c r="J86"/>
  <c r="I90"/>
  <c r="J82"/>
  <c r="I60"/>
  <c r="J60" s="1"/>
  <c r="D63"/>
  <c r="I56"/>
  <c r="J56" s="1"/>
  <c r="I57"/>
  <c r="J57" s="1"/>
  <c r="G63"/>
  <c r="B66" s="1"/>
  <c r="I51"/>
  <c r="J51" s="1"/>
  <c r="F63"/>
  <c r="C132"/>
  <c r="C133"/>
  <c r="C110"/>
  <c r="A113" s="1"/>
  <c r="H110"/>
  <c r="K84" l="1"/>
  <c r="K88"/>
  <c r="K83"/>
  <c r="K80"/>
  <c r="K76"/>
  <c r="K75"/>
  <c r="D66"/>
  <c r="K74"/>
  <c r="K77"/>
  <c r="K86"/>
  <c r="K89"/>
  <c r="K82"/>
  <c r="K79"/>
  <c r="A83"/>
  <c r="I63"/>
  <c r="J90"/>
  <c r="G65"/>
  <c r="K78"/>
  <c r="N110"/>
  <c r="M110"/>
  <c r="L110"/>
  <c r="G109"/>
  <c r="F109"/>
  <c r="H133" s="1"/>
  <c r="E109"/>
  <c r="I133" s="1"/>
  <c r="D109"/>
  <c r="A109"/>
  <c r="E133" l="1"/>
  <c r="J133" s="1"/>
  <c r="I109"/>
  <c r="J109" s="1"/>
  <c r="K90"/>
  <c r="E66"/>
  <c r="J63"/>
  <c r="I64"/>
  <c r="K133" l="1"/>
  <c r="C138"/>
  <c r="C137"/>
  <c r="C135"/>
  <c r="C131"/>
  <c r="C130"/>
  <c r="C129"/>
  <c r="C128"/>
  <c r="C127"/>
  <c r="C126"/>
  <c r="C125"/>
  <c r="C124"/>
  <c r="C123"/>
  <c r="C122"/>
  <c r="A122"/>
  <c r="A123" s="1"/>
  <c r="A124" s="1"/>
  <c r="A125" s="1"/>
  <c r="A126" s="1"/>
  <c r="A127" s="1"/>
  <c r="C121"/>
  <c r="O110"/>
  <c r="G108"/>
  <c r="F108"/>
  <c r="H132" s="1"/>
  <c r="E108"/>
  <c r="I132" s="1"/>
  <c r="D108"/>
  <c r="A108"/>
  <c r="G107"/>
  <c r="F107"/>
  <c r="E107"/>
  <c r="D107"/>
  <c r="A107"/>
  <c r="G106"/>
  <c r="F106"/>
  <c r="H130" s="1"/>
  <c r="E106"/>
  <c r="I130" s="1"/>
  <c r="D106"/>
  <c r="E130" s="1"/>
  <c r="A106"/>
  <c r="G105"/>
  <c r="F105"/>
  <c r="H129" s="1"/>
  <c r="E105"/>
  <c r="I129" s="1"/>
  <c r="D105"/>
  <c r="E129" s="1"/>
  <c r="A105"/>
  <c r="G104"/>
  <c r="F104"/>
  <c r="H128" s="1"/>
  <c r="E104"/>
  <c r="I128" s="1"/>
  <c r="D104"/>
  <c r="E128" s="1"/>
  <c r="A104"/>
  <c r="G103"/>
  <c r="F103"/>
  <c r="H127" s="1"/>
  <c r="E103"/>
  <c r="I127" s="1"/>
  <c r="D103"/>
  <c r="E127" s="1"/>
  <c r="A103"/>
  <c r="G102"/>
  <c r="F102"/>
  <c r="H126" s="1"/>
  <c r="E102"/>
  <c r="I126" s="1"/>
  <c r="D102"/>
  <c r="E126" s="1"/>
  <c r="A102"/>
  <c r="G101"/>
  <c r="F101"/>
  <c r="H125" s="1"/>
  <c r="E101"/>
  <c r="I125" s="1"/>
  <c r="D101"/>
  <c r="E125" s="1"/>
  <c r="A101"/>
  <c r="G100"/>
  <c r="F100"/>
  <c r="H124" s="1"/>
  <c r="E100"/>
  <c r="I124" s="1"/>
  <c r="D100"/>
  <c r="E124" s="1"/>
  <c r="A100"/>
  <c r="G99"/>
  <c r="F99"/>
  <c r="H123" s="1"/>
  <c r="E99"/>
  <c r="I123" s="1"/>
  <c r="D99"/>
  <c r="A99"/>
  <c r="G98"/>
  <c r="F98"/>
  <c r="H122" s="1"/>
  <c r="E98"/>
  <c r="I122" s="1"/>
  <c r="D98"/>
  <c r="E122" s="1"/>
  <c r="A98"/>
  <c r="G97"/>
  <c r="F97"/>
  <c r="H121" s="1"/>
  <c r="E97"/>
  <c r="D97"/>
  <c r="E121" s="1"/>
  <c r="A97"/>
  <c r="G96"/>
  <c r="F96"/>
  <c r="H135" s="1"/>
  <c r="E96"/>
  <c r="I135" s="1"/>
  <c r="D96"/>
  <c r="E135" s="1"/>
  <c r="A96"/>
  <c r="G95"/>
  <c r="D138" s="1"/>
  <c r="F95"/>
  <c r="H138" s="1"/>
  <c r="E95"/>
  <c r="I138" s="1"/>
  <c r="D95"/>
  <c r="A95"/>
  <c r="G94"/>
  <c r="F94"/>
  <c r="E94"/>
  <c r="I137" s="1"/>
  <c r="D94"/>
  <c r="A94"/>
  <c r="A143"/>
  <c r="D143"/>
  <c r="E143"/>
  <c r="F143"/>
  <c r="G143"/>
  <c r="A144"/>
  <c r="D144"/>
  <c r="E144"/>
  <c r="F144"/>
  <c r="G144"/>
  <c r="A145"/>
  <c r="D145"/>
  <c r="E145"/>
  <c r="F145"/>
  <c r="G145"/>
  <c r="G12" i="95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C5"/>
  <c r="G31" l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G140" s="1"/>
  <c r="G141" s="1"/>
  <c r="G142" s="1"/>
  <c r="G143" s="1"/>
  <c r="G144" s="1"/>
  <c r="G145" s="1"/>
  <c r="G146" s="1"/>
  <c r="G147" s="1"/>
  <c r="G148" s="1"/>
  <c r="G149" s="1"/>
  <c r="G150" s="1"/>
  <c r="G151" s="1"/>
  <c r="G152" s="1"/>
  <c r="G153" s="1"/>
  <c r="G154" s="1"/>
  <c r="G155" s="1"/>
  <c r="G156" s="1"/>
  <c r="G157" s="1"/>
  <c r="G158" s="1"/>
  <c r="G159" s="1"/>
  <c r="G160" s="1"/>
  <c r="G161" s="1"/>
  <c r="G162" s="1"/>
  <c r="G163" s="1"/>
  <c r="G164" s="1"/>
  <c r="G165" s="1"/>
  <c r="G166" s="1"/>
  <c r="G167" s="1"/>
  <c r="G168" s="1"/>
  <c r="G169" s="1"/>
  <c r="G170" s="1"/>
  <c r="G171" s="1"/>
  <c r="G172" s="1"/>
  <c r="G173" s="1"/>
  <c r="G174" s="1"/>
  <c r="G175" s="1"/>
  <c r="G176" s="1"/>
  <c r="G177" s="1"/>
  <c r="G178" s="1"/>
  <c r="G179" s="1"/>
  <c r="G180" s="1"/>
  <c r="G181" s="1"/>
  <c r="G182" s="1"/>
  <c r="G183" s="1"/>
  <c r="G184" s="1"/>
  <c r="G185" s="1"/>
  <c r="G29"/>
  <c r="G30" s="1"/>
  <c r="D110" i="16"/>
  <c r="C139"/>
  <c r="D137"/>
  <c r="G110"/>
  <c r="J138"/>
  <c r="I108"/>
  <c r="E132"/>
  <c r="J132" s="1"/>
  <c r="I144"/>
  <c r="J144" s="1"/>
  <c r="F110"/>
  <c r="I121"/>
  <c r="J121" s="1"/>
  <c r="E110"/>
  <c r="C113" s="1"/>
  <c r="I131"/>
  <c r="H131"/>
  <c r="J126"/>
  <c r="J122"/>
  <c r="J127"/>
  <c r="I145"/>
  <c r="J145" s="1"/>
  <c r="I143"/>
  <c r="J143" s="1"/>
  <c r="I95"/>
  <c r="J95" s="1"/>
  <c r="I99"/>
  <c r="J99" s="1"/>
  <c r="I103"/>
  <c r="J103" s="1"/>
  <c r="I107"/>
  <c r="J107" s="1"/>
  <c r="E123"/>
  <c r="J123" s="1"/>
  <c r="E131"/>
  <c r="I94"/>
  <c r="J94" s="1"/>
  <c r="A128"/>
  <c r="A130" s="1"/>
  <c r="A133" s="1"/>
  <c r="A135" s="1"/>
  <c r="A137" s="1"/>
  <c r="A138" s="1"/>
  <c r="A129"/>
  <c r="J130"/>
  <c r="J125"/>
  <c r="J129"/>
  <c r="J128"/>
  <c r="J124"/>
  <c r="J135"/>
  <c r="I96"/>
  <c r="J96" s="1"/>
  <c r="I100"/>
  <c r="J100" s="1"/>
  <c r="I104"/>
  <c r="J104" s="1"/>
  <c r="J108"/>
  <c r="I97"/>
  <c r="I101"/>
  <c r="J101" s="1"/>
  <c r="I105"/>
  <c r="J105" s="1"/>
  <c r="I98"/>
  <c r="J98" s="1"/>
  <c r="I102"/>
  <c r="J102" s="1"/>
  <c r="I106"/>
  <c r="J106" s="1"/>
  <c r="B113"/>
  <c r="H137"/>
  <c r="J137" s="1"/>
  <c r="K138" l="1"/>
  <c r="K132"/>
  <c r="I139"/>
  <c r="A131"/>
  <c r="A132"/>
  <c r="D113"/>
  <c r="J97"/>
  <c r="I110"/>
  <c r="J131"/>
  <c r="J139" s="1"/>
  <c r="G112"/>
  <c r="K137"/>
  <c r="K127"/>
  <c r="K125"/>
  <c r="K123"/>
  <c r="K130"/>
  <c r="K135"/>
  <c r="K124"/>
  <c r="K129"/>
  <c r="K128"/>
  <c r="K122"/>
  <c r="K121"/>
  <c r="K126"/>
  <c r="K131" l="1"/>
  <c r="I111"/>
  <c r="K139"/>
  <c r="J110"/>
  <c r="E113"/>
  <c r="C6" i="95" l="1"/>
  <c r="C185" i="16" l="1"/>
  <c r="C184"/>
  <c r="C182"/>
  <c r="C180"/>
  <c r="C179"/>
  <c r="C178"/>
  <c r="C177"/>
  <c r="C176"/>
  <c r="C175"/>
  <c r="C174"/>
  <c r="C173"/>
  <c r="C172"/>
  <c r="C171"/>
  <c r="C170"/>
  <c r="A170"/>
  <c r="A171" s="1"/>
  <c r="A172" s="1"/>
  <c r="A173" s="1"/>
  <c r="A174" s="1"/>
  <c r="A175" s="1"/>
  <c r="C169"/>
  <c r="O158"/>
  <c r="N158"/>
  <c r="M158"/>
  <c r="L158"/>
  <c r="H158"/>
  <c r="C158"/>
  <c r="A161" s="1"/>
  <c r="G157"/>
  <c r="F157"/>
  <c r="H180" s="1"/>
  <c r="E157"/>
  <c r="I180" s="1"/>
  <c r="D157"/>
  <c r="A157"/>
  <c r="G156"/>
  <c r="F156"/>
  <c r="H179" s="1"/>
  <c r="E156"/>
  <c r="I179" s="1"/>
  <c r="D156"/>
  <c r="A156"/>
  <c r="G155"/>
  <c r="F155"/>
  <c r="H178" s="1"/>
  <c r="E155"/>
  <c r="I178" s="1"/>
  <c r="D155"/>
  <c r="E178" s="1"/>
  <c r="A155"/>
  <c r="G154"/>
  <c r="F154"/>
  <c r="H177" s="1"/>
  <c r="E154"/>
  <c r="I177" s="1"/>
  <c r="D154"/>
  <c r="E177" s="1"/>
  <c r="A154"/>
  <c r="G153"/>
  <c r="F153"/>
  <c r="H176" s="1"/>
  <c r="E153"/>
  <c r="I176" s="1"/>
  <c r="D153"/>
  <c r="A153"/>
  <c r="G152"/>
  <c r="F152"/>
  <c r="H175" s="1"/>
  <c r="E152"/>
  <c r="I175" s="1"/>
  <c r="D152"/>
  <c r="A152"/>
  <c r="G151"/>
  <c r="F151"/>
  <c r="H174" s="1"/>
  <c r="E151"/>
  <c r="I174" s="1"/>
  <c r="D151"/>
  <c r="E174" s="1"/>
  <c r="A151"/>
  <c r="G150"/>
  <c r="F150"/>
  <c r="H173" s="1"/>
  <c r="E150"/>
  <c r="I173" s="1"/>
  <c r="D150"/>
  <c r="E173" s="1"/>
  <c r="A150"/>
  <c r="G149"/>
  <c r="F149"/>
  <c r="H172" s="1"/>
  <c r="E149"/>
  <c r="I172" s="1"/>
  <c r="D149"/>
  <c r="A149"/>
  <c r="G148"/>
  <c r="F148"/>
  <c r="H171" s="1"/>
  <c r="E148"/>
  <c r="I171" s="1"/>
  <c r="D148"/>
  <c r="A148"/>
  <c r="G147"/>
  <c r="F147"/>
  <c r="H170" s="1"/>
  <c r="E147"/>
  <c r="I170" s="1"/>
  <c r="D147"/>
  <c r="E170" s="1"/>
  <c r="A147"/>
  <c r="G146"/>
  <c r="F146"/>
  <c r="H169" s="1"/>
  <c r="E146"/>
  <c r="I169" s="1"/>
  <c r="D146"/>
  <c r="A146"/>
  <c r="H182"/>
  <c r="I182"/>
  <c r="E182"/>
  <c r="D185"/>
  <c r="H185"/>
  <c r="I185"/>
  <c r="D184"/>
  <c r="I184"/>
  <c r="E180" l="1"/>
  <c r="J180" s="1"/>
  <c r="I157"/>
  <c r="C186"/>
  <c r="I146"/>
  <c r="J146" s="1"/>
  <c r="J170"/>
  <c r="I149"/>
  <c r="J149" s="1"/>
  <c r="J174"/>
  <c r="I153"/>
  <c r="J153" s="1"/>
  <c r="J178"/>
  <c r="J157"/>
  <c r="E172"/>
  <c r="J172" s="1"/>
  <c r="F158"/>
  <c r="I148"/>
  <c r="J148" s="1"/>
  <c r="I152"/>
  <c r="J152" s="1"/>
  <c r="I156"/>
  <c r="J156" s="1"/>
  <c r="E179"/>
  <c r="J179" s="1"/>
  <c r="E176"/>
  <c r="J176" s="1"/>
  <c r="J185"/>
  <c r="A176"/>
  <c r="A178" s="1"/>
  <c r="A180" s="1"/>
  <c r="A182" s="1"/>
  <c r="A184" s="1"/>
  <c r="A185" s="1"/>
  <c r="A177"/>
  <c r="A179" s="1"/>
  <c r="J177"/>
  <c r="J182"/>
  <c r="I186"/>
  <c r="J173"/>
  <c r="I154"/>
  <c r="J154" s="1"/>
  <c r="E158"/>
  <c r="C161" s="1"/>
  <c r="E171"/>
  <c r="J171" s="1"/>
  <c r="E175"/>
  <c r="J175" s="1"/>
  <c r="I150"/>
  <c r="J150" s="1"/>
  <c r="D158"/>
  <c r="I155"/>
  <c r="J155" s="1"/>
  <c r="G158"/>
  <c r="B161" s="1"/>
  <c r="E169"/>
  <c r="J169" s="1"/>
  <c r="H184"/>
  <c r="J184" s="1"/>
  <c r="I147"/>
  <c r="J147" s="1"/>
  <c r="I151"/>
  <c r="J151" s="1"/>
  <c r="C233"/>
  <c r="C232"/>
  <c r="C230"/>
  <c r="C223"/>
  <c r="C224"/>
  <c r="C225"/>
  <c r="C226"/>
  <c r="C222"/>
  <c r="C227"/>
  <c r="C228"/>
  <c r="C218"/>
  <c r="C219"/>
  <c r="C217"/>
  <c r="G192"/>
  <c r="D233" s="1"/>
  <c r="G193"/>
  <c r="G194"/>
  <c r="G195"/>
  <c r="F192"/>
  <c r="H233" s="1"/>
  <c r="F193"/>
  <c r="H230" s="1"/>
  <c r="F194"/>
  <c r="H217" s="1"/>
  <c r="F195"/>
  <c r="F196"/>
  <c r="F197"/>
  <c r="F198"/>
  <c r="F199"/>
  <c r="F200"/>
  <c r="F201"/>
  <c r="F202"/>
  <c r="F203"/>
  <c r="F204"/>
  <c r="H227" s="1"/>
  <c r="F205"/>
  <c r="F191"/>
  <c r="H232" s="1"/>
  <c r="E192"/>
  <c r="I233" s="1"/>
  <c r="E193"/>
  <c r="I230" s="1"/>
  <c r="E194"/>
  <c r="I217" s="1"/>
  <c r="E195"/>
  <c r="E196"/>
  <c r="E197"/>
  <c r="E198"/>
  <c r="E199"/>
  <c r="E200"/>
  <c r="E201"/>
  <c r="E202"/>
  <c r="E203"/>
  <c r="E204"/>
  <c r="I227" s="1"/>
  <c r="E205"/>
  <c r="E191"/>
  <c r="I232" s="1"/>
  <c r="D197"/>
  <c r="D198"/>
  <c r="D199"/>
  <c r="E222" s="1"/>
  <c r="D200"/>
  <c r="E223" s="1"/>
  <c r="D201"/>
  <c r="E224" s="1"/>
  <c r="D202"/>
  <c r="E225" s="1"/>
  <c r="D203"/>
  <c r="E226" s="1"/>
  <c r="D204"/>
  <c r="E227" s="1"/>
  <c r="D205"/>
  <c r="E228" s="1"/>
  <c r="D192"/>
  <c r="D193"/>
  <c r="E230" s="1"/>
  <c r="D194"/>
  <c r="E217" s="1"/>
  <c r="D195"/>
  <c r="E218" s="1"/>
  <c r="D196"/>
  <c r="E219" s="1"/>
  <c r="D191"/>
  <c r="A192"/>
  <c r="A193"/>
  <c r="A194"/>
  <c r="A195"/>
  <c r="A196"/>
  <c r="A197"/>
  <c r="A198"/>
  <c r="A199"/>
  <c r="A200"/>
  <c r="A201"/>
  <c r="A202"/>
  <c r="A203"/>
  <c r="A204"/>
  <c r="A205"/>
  <c r="A191"/>
  <c r="G204"/>
  <c r="K176" l="1"/>
  <c r="K180"/>
  <c r="K179"/>
  <c r="D161"/>
  <c r="K178"/>
  <c r="K184"/>
  <c r="G160"/>
  <c r="K175"/>
  <c r="K172"/>
  <c r="K171"/>
  <c r="K173"/>
  <c r="K185"/>
  <c r="K182"/>
  <c r="K169"/>
  <c r="J186"/>
  <c r="K177"/>
  <c r="K174"/>
  <c r="K170"/>
  <c r="I158"/>
  <c r="J227"/>
  <c r="I204"/>
  <c r="J204" s="1"/>
  <c r="J158" l="1"/>
  <c r="I159"/>
  <c r="E161"/>
  <c r="K186"/>
  <c r="K227"/>
  <c r="C221" l="1"/>
  <c r="C220"/>
  <c r="A218"/>
  <c r="A219" s="1"/>
  <c r="A220" s="1"/>
  <c r="A221" s="1"/>
  <c r="A222" s="1"/>
  <c r="A223" s="1"/>
  <c r="O206"/>
  <c r="N206"/>
  <c r="M206"/>
  <c r="L206"/>
  <c r="H206"/>
  <c r="C206"/>
  <c r="A209" s="1"/>
  <c r="G205"/>
  <c r="H228"/>
  <c r="I228"/>
  <c r="G203"/>
  <c r="H226"/>
  <c r="I226"/>
  <c r="G202"/>
  <c r="H225"/>
  <c r="I225"/>
  <c r="G201"/>
  <c r="H224"/>
  <c r="I224"/>
  <c r="G200"/>
  <c r="H223"/>
  <c r="I223"/>
  <c r="G199"/>
  <c r="H222"/>
  <c r="I222"/>
  <c r="G198"/>
  <c r="H221"/>
  <c r="I221"/>
  <c r="E221"/>
  <c r="G197"/>
  <c r="H220"/>
  <c r="I220"/>
  <c r="E220"/>
  <c r="G196"/>
  <c r="H219"/>
  <c r="I219"/>
  <c r="H218"/>
  <c r="I218"/>
  <c r="G191"/>
  <c r="D232" s="1"/>
  <c r="A240"/>
  <c r="D240"/>
  <c r="E240"/>
  <c r="F240"/>
  <c r="H265" s="1"/>
  <c r="G240"/>
  <c r="A241"/>
  <c r="D241"/>
  <c r="E241"/>
  <c r="I279" s="1"/>
  <c r="F241"/>
  <c r="G241"/>
  <c r="D279" s="1"/>
  <c r="A242"/>
  <c r="D242"/>
  <c r="E242"/>
  <c r="F242"/>
  <c r="G242"/>
  <c r="D280" s="1"/>
  <c r="A243"/>
  <c r="D243"/>
  <c r="E277" s="1"/>
  <c r="E243"/>
  <c r="F243"/>
  <c r="H277" s="1"/>
  <c r="G243"/>
  <c r="A244"/>
  <c r="D244"/>
  <c r="E244"/>
  <c r="F244"/>
  <c r="H266" s="1"/>
  <c r="G244"/>
  <c r="A245"/>
  <c r="D245"/>
  <c r="E267" s="1"/>
  <c r="E245"/>
  <c r="F245"/>
  <c r="G245"/>
  <c r="A246"/>
  <c r="D246"/>
  <c r="E268" s="1"/>
  <c r="E246"/>
  <c r="F246"/>
  <c r="H268" s="1"/>
  <c r="G246"/>
  <c r="A247"/>
  <c r="D247"/>
  <c r="E247"/>
  <c r="F247"/>
  <c r="H269" s="1"/>
  <c r="G247"/>
  <c r="A248"/>
  <c r="D248"/>
  <c r="E248"/>
  <c r="I270" s="1"/>
  <c r="F248"/>
  <c r="H270" s="1"/>
  <c r="G248"/>
  <c r="A249"/>
  <c r="D249"/>
  <c r="E249"/>
  <c r="I271" s="1"/>
  <c r="F249"/>
  <c r="H271" s="1"/>
  <c r="G249"/>
  <c r="A250"/>
  <c r="D250"/>
  <c r="E272" s="1"/>
  <c r="E250"/>
  <c r="F250"/>
  <c r="G250"/>
  <c r="A251"/>
  <c r="D251"/>
  <c r="E273" s="1"/>
  <c r="E251"/>
  <c r="F251"/>
  <c r="H273" s="1"/>
  <c r="G251"/>
  <c r="A252"/>
  <c r="D252"/>
  <c r="E252"/>
  <c r="I274" s="1"/>
  <c r="F252"/>
  <c r="H274" s="1"/>
  <c r="G252"/>
  <c r="A253"/>
  <c r="D253"/>
  <c r="E275" s="1"/>
  <c r="E253"/>
  <c r="F253"/>
  <c r="G253"/>
  <c r="C254"/>
  <c r="A257" s="1"/>
  <c r="H254"/>
  <c r="L254"/>
  <c r="M254"/>
  <c r="N254"/>
  <c r="O254"/>
  <c r="C265"/>
  <c r="E265"/>
  <c r="I265"/>
  <c r="A266"/>
  <c r="A267" s="1"/>
  <c r="A268" s="1"/>
  <c r="A269" s="1"/>
  <c r="A270" s="1"/>
  <c r="A271" s="1"/>
  <c r="C266"/>
  <c r="E266"/>
  <c r="I266"/>
  <c r="C267"/>
  <c r="H267"/>
  <c r="C268"/>
  <c r="C269"/>
  <c r="E269"/>
  <c r="I269"/>
  <c r="C270"/>
  <c r="E270"/>
  <c r="C271"/>
  <c r="C272"/>
  <c r="H272"/>
  <c r="C273"/>
  <c r="I273"/>
  <c r="C274"/>
  <c r="E274"/>
  <c r="C275"/>
  <c r="H275"/>
  <c r="C277"/>
  <c r="I277"/>
  <c r="C279"/>
  <c r="C280"/>
  <c r="H280"/>
  <c r="I253" l="1"/>
  <c r="J253" s="1"/>
  <c r="I245"/>
  <c r="J245" s="1"/>
  <c r="J266"/>
  <c r="I241"/>
  <c r="J241" s="1"/>
  <c r="I275"/>
  <c r="J274"/>
  <c r="I249"/>
  <c r="J249" s="1"/>
  <c r="I248"/>
  <c r="J248" s="1"/>
  <c r="G206"/>
  <c r="B209" s="1"/>
  <c r="I194"/>
  <c r="J194" s="1"/>
  <c r="I192"/>
  <c r="J192" s="1"/>
  <c r="I193"/>
  <c r="J193" s="1"/>
  <c r="C234"/>
  <c r="I234"/>
  <c r="J218"/>
  <c r="J222"/>
  <c r="J226"/>
  <c r="J233"/>
  <c r="A225"/>
  <c r="A227" s="1"/>
  <c r="A224"/>
  <c r="A226" s="1"/>
  <c r="A228" s="1"/>
  <c r="A230" s="1"/>
  <c r="A232" s="1"/>
  <c r="A233" s="1"/>
  <c r="J221"/>
  <c r="J225"/>
  <c r="J232"/>
  <c r="J220"/>
  <c r="J224"/>
  <c r="J219"/>
  <c r="J223"/>
  <c r="J228"/>
  <c r="I191"/>
  <c r="I195"/>
  <c r="J195" s="1"/>
  <c r="I199"/>
  <c r="J199" s="1"/>
  <c r="I203"/>
  <c r="J203" s="1"/>
  <c r="F206"/>
  <c r="J217"/>
  <c r="K217" s="1"/>
  <c r="I196"/>
  <c r="J196" s="1"/>
  <c r="I200"/>
  <c r="J200" s="1"/>
  <c r="I205"/>
  <c r="J205" s="1"/>
  <c r="E206"/>
  <c r="C209" s="1"/>
  <c r="I197"/>
  <c r="J197" s="1"/>
  <c r="I201"/>
  <c r="J201" s="1"/>
  <c r="D206"/>
  <c r="J230"/>
  <c r="I198"/>
  <c r="J198" s="1"/>
  <c r="I202"/>
  <c r="J202" s="1"/>
  <c r="J275"/>
  <c r="K275" s="1"/>
  <c r="J273"/>
  <c r="J270"/>
  <c r="I242"/>
  <c r="J242" s="1"/>
  <c r="H279"/>
  <c r="J279" s="1"/>
  <c r="J277"/>
  <c r="E271"/>
  <c r="J271" s="1"/>
  <c r="K271" s="1"/>
  <c r="I267"/>
  <c r="C281"/>
  <c r="E254"/>
  <c r="C257" s="1"/>
  <c r="I252"/>
  <c r="J252" s="1"/>
  <c r="I250"/>
  <c r="J250" s="1"/>
  <c r="I246"/>
  <c r="J246" s="1"/>
  <c r="D254"/>
  <c r="I240"/>
  <c r="J240" s="1"/>
  <c r="J267"/>
  <c r="K267" s="1"/>
  <c r="J269"/>
  <c r="G254"/>
  <c r="B257" s="1"/>
  <c r="D257" s="1"/>
  <c r="I244"/>
  <c r="J244" s="1"/>
  <c r="I243"/>
  <c r="J243" s="1"/>
  <c r="A273"/>
  <c r="A272"/>
  <c r="A274" s="1"/>
  <c r="A275" s="1"/>
  <c r="A277" s="1"/>
  <c r="A279" s="1"/>
  <c r="A280" s="1"/>
  <c r="K270"/>
  <c r="K274"/>
  <c r="I272"/>
  <c r="J272" s="1"/>
  <c r="I268"/>
  <c r="J268" s="1"/>
  <c r="J265"/>
  <c r="F254"/>
  <c r="I251"/>
  <c r="J251" s="1"/>
  <c r="I247"/>
  <c r="J247" s="1"/>
  <c r="I280"/>
  <c r="J280" s="1"/>
  <c r="K272" l="1"/>
  <c r="G256"/>
  <c r="K230"/>
  <c r="K233"/>
  <c r="K280"/>
  <c r="K279"/>
  <c r="K268"/>
  <c r="K232"/>
  <c r="D209"/>
  <c r="G208"/>
  <c r="K223"/>
  <c r="K228"/>
  <c r="K224"/>
  <c r="K221"/>
  <c r="K226"/>
  <c r="J191"/>
  <c r="I206"/>
  <c r="K225"/>
  <c r="J234"/>
  <c r="K219"/>
  <c r="K218"/>
  <c r="K220"/>
  <c r="K222"/>
  <c r="K277"/>
  <c r="K266"/>
  <c r="I281"/>
  <c r="K265"/>
  <c r="J281"/>
  <c r="K273"/>
  <c r="I254"/>
  <c r="K269"/>
  <c r="K234" l="1"/>
  <c r="I207"/>
  <c r="E209"/>
  <c r="J206"/>
  <c r="K281"/>
  <c r="I255"/>
  <c r="E257"/>
  <c r="J254"/>
  <c r="C326"/>
  <c r="C325"/>
  <c r="C323"/>
  <c r="C321"/>
  <c r="C320"/>
  <c r="C319"/>
  <c r="C318"/>
  <c r="C317"/>
  <c r="C316"/>
  <c r="C315"/>
  <c r="C314"/>
  <c r="C313"/>
  <c r="C312"/>
  <c r="C311"/>
  <c r="A312"/>
  <c r="A313" s="1"/>
  <c r="A314" s="1"/>
  <c r="A315" s="1"/>
  <c r="A316" s="1"/>
  <c r="A317" s="1"/>
  <c r="O300"/>
  <c r="N300"/>
  <c r="M300"/>
  <c r="L300"/>
  <c r="H300"/>
  <c r="C300"/>
  <c r="A303" s="1"/>
  <c r="G299"/>
  <c r="F299"/>
  <c r="H321" s="1"/>
  <c r="E299"/>
  <c r="I321" s="1"/>
  <c r="D299"/>
  <c r="E321" s="1"/>
  <c r="A299"/>
  <c r="G298"/>
  <c r="F298"/>
  <c r="H320" s="1"/>
  <c r="E298"/>
  <c r="I320" s="1"/>
  <c r="D298"/>
  <c r="A298"/>
  <c r="G297"/>
  <c r="F297"/>
  <c r="H319" s="1"/>
  <c r="E297"/>
  <c r="I319" s="1"/>
  <c r="D297"/>
  <c r="E319" s="1"/>
  <c r="A297"/>
  <c r="G296"/>
  <c r="F296"/>
  <c r="H318" s="1"/>
  <c r="E296"/>
  <c r="I318" s="1"/>
  <c r="D296"/>
  <c r="E318" s="1"/>
  <c r="A296"/>
  <c r="G295"/>
  <c r="F295"/>
  <c r="H317" s="1"/>
  <c r="E295"/>
  <c r="I317" s="1"/>
  <c r="D295"/>
  <c r="E317" s="1"/>
  <c r="A295"/>
  <c r="G294"/>
  <c r="F294"/>
  <c r="H316" s="1"/>
  <c r="E294"/>
  <c r="I316" s="1"/>
  <c r="D294"/>
  <c r="A294"/>
  <c r="G293"/>
  <c r="F293"/>
  <c r="H315" s="1"/>
  <c r="E293"/>
  <c r="I315" s="1"/>
  <c r="D293"/>
  <c r="E315" s="1"/>
  <c r="A293"/>
  <c r="G292"/>
  <c r="F292"/>
  <c r="H314" s="1"/>
  <c r="E292"/>
  <c r="I314" s="1"/>
  <c r="D292"/>
  <c r="E314" s="1"/>
  <c r="A292"/>
  <c r="G291"/>
  <c r="F291"/>
  <c r="H313" s="1"/>
  <c r="E291"/>
  <c r="I313" s="1"/>
  <c r="D291"/>
  <c r="E313" s="1"/>
  <c r="A291"/>
  <c r="G290"/>
  <c r="F290"/>
  <c r="H312" s="1"/>
  <c r="E290"/>
  <c r="I312" s="1"/>
  <c r="D290"/>
  <c r="A290"/>
  <c r="G289"/>
  <c r="F289"/>
  <c r="H323" s="1"/>
  <c r="E289"/>
  <c r="I323" s="1"/>
  <c r="D289"/>
  <c r="E323" s="1"/>
  <c r="A289"/>
  <c r="G288"/>
  <c r="D326" s="1"/>
  <c r="F288"/>
  <c r="H326" s="1"/>
  <c r="E288"/>
  <c r="I326" s="1"/>
  <c r="D288"/>
  <c r="A288"/>
  <c r="G287"/>
  <c r="D325" s="1"/>
  <c r="F287"/>
  <c r="H325" s="1"/>
  <c r="E287"/>
  <c r="I325" s="1"/>
  <c r="D287"/>
  <c r="A287"/>
  <c r="G286"/>
  <c r="F286"/>
  <c r="H311" s="1"/>
  <c r="E286"/>
  <c r="I311" s="1"/>
  <c r="D286"/>
  <c r="E311" s="1"/>
  <c r="A286"/>
  <c r="E342"/>
  <c r="G300" l="1"/>
  <c r="B303" s="1"/>
  <c r="I288"/>
  <c r="J288" s="1"/>
  <c r="I287"/>
  <c r="J287" s="1"/>
  <c r="C327"/>
  <c r="J326"/>
  <c r="I290"/>
  <c r="J290" s="1"/>
  <c r="J314"/>
  <c r="I294"/>
  <c r="J294" s="1"/>
  <c r="J318"/>
  <c r="I298"/>
  <c r="J298" s="1"/>
  <c r="F300"/>
  <c r="J311"/>
  <c r="I327"/>
  <c r="J323"/>
  <c r="J315"/>
  <c r="J319"/>
  <c r="A319"/>
  <c r="A318"/>
  <c r="A320" s="1"/>
  <c r="A321" s="1"/>
  <c r="A323" s="1"/>
  <c r="A325" s="1"/>
  <c r="A326" s="1"/>
  <c r="J325"/>
  <c r="K325" s="1"/>
  <c r="J313"/>
  <c r="J317"/>
  <c r="J321"/>
  <c r="I291"/>
  <c r="J291" s="1"/>
  <c r="I295"/>
  <c r="J295" s="1"/>
  <c r="I299"/>
  <c r="J299" s="1"/>
  <c r="E300"/>
  <c r="C303" s="1"/>
  <c r="E312"/>
  <c r="J312" s="1"/>
  <c r="E316"/>
  <c r="J316" s="1"/>
  <c r="K316" s="1"/>
  <c r="E320"/>
  <c r="J320" s="1"/>
  <c r="I292"/>
  <c r="J292" s="1"/>
  <c r="I296"/>
  <c r="J296" s="1"/>
  <c r="D300"/>
  <c r="I289"/>
  <c r="J289" s="1"/>
  <c r="I293"/>
  <c r="J293" s="1"/>
  <c r="I297"/>
  <c r="J297" s="1"/>
  <c r="I286"/>
  <c r="J286" s="1"/>
  <c r="N347"/>
  <c r="M347"/>
  <c r="O347"/>
  <c r="L347"/>
  <c r="D344"/>
  <c r="D303" l="1"/>
  <c r="K312"/>
  <c r="K326"/>
  <c r="K321"/>
  <c r="G302"/>
  <c r="K320"/>
  <c r="I300"/>
  <c r="K318"/>
  <c r="K311"/>
  <c r="K323"/>
  <c r="K315"/>
  <c r="J327"/>
  <c r="K313"/>
  <c r="K317"/>
  <c r="K314"/>
  <c r="K319"/>
  <c r="J300" l="1"/>
  <c r="I301"/>
  <c r="E303"/>
  <c r="K327"/>
  <c r="C374" l="1"/>
  <c r="C373"/>
  <c r="C371"/>
  <c r="C369"/>
  <c r="C368"/>
  <c r="C367"/>
  <c r="C366"/>
  <c r="C365"/>
  <c r="C364"/>
  <c r="C363"/>
  <c r="C362"/>
  <c r="C361"/>
  <c r="C360"/>
  <c r="C359"/>
  <c r="A359"/>
  <c r="A360" s="1"/>
  <c r="A361" s="1"/>
  <c r="A362" s="1"/>
  <c r="A363" s="1"/>
  <c r="A364" s="1"/>
  <c r="A365" s="1"/>
  <c r="C358"/>
  <c r="H347"/>
  <c r="C347"/>
  <c r="A350" s="1"/>
  <c r="G346"/>
  <c r="F346"/>
  <c r="H369" s="1"/>
  <c r="E346"/>
  <c r="I369" s="1"/>
  <c r="D346"/>
  <c r="E369" s="1"/>
  <c r="A346"/>
  <c r="G345"/>
  <c r="F345"/>
  <c r="H368" s="1"/>
  <c r="E345"/>
  <c r="I368" s="1"/>
  <c r="D345"/>
  <c r="A345"/>
  <c r="G344"/>
  <c r="F344"/>
  <c r="H367" s="1"/>
  <c r="E344"/>
  <c r="A344"/>
  <c r="G343"/>
  <c r="F343"/>
  <c r="H366" s="1"/>
  <c r="E343"/>
  <c r="I366" s="1"/>
  <c r="D343"/>
  <c r="E366" s="1"/>
  <c r="A343"/>
  <c r="G342"/>
  <c r="F342"/>
  <c r="H365" s="1"/>
  <c r="I365"/>
  <c r="D342"/>
  <c r="E365" s="1"/>
  <c r="A342"/>
  <c r="G341"/>
  <c r="F341"/>
  <c r="H364" s="1"/>
  <c r="E341"/>
  <c r="I364" s="1"/>
  <c r="D341"/>
  <c r="A341"/>
  <c r="G340"/>
  <c r="F340"/>
  <c r="H363" s="1"/>
  <c r="E340"/>
  <c r="I363" s="1"/>
  <c r="D340"/>
  <c r="E363" s="1"/>
  <c r="A340"/>
  <c r="G339"/>
  <c r="F339"/>
  <c r="H362" s="1"/>
  <c r="E339"/>
  <c r="I362" s="1"/>
  <c r="D339"/>
  <c r="E362" s="1"/>
  <c r="A339"/>
  <c r="G338"/>
  <c r="F338"/>
  <c r="H361" s="1"/>
  <c r="E338"/>
  <c r="I361" s="1"/>
  <c r="D338"/>
  <c r="E361" s="1"/>
  <c r="A338"/>
  <c r="G337"/>
  <c r="F337"/>
  <c r="H360" s="1"/>
  <c r="E337"/>
  <c r="I360" s="1"/>
  <c r="D337"/>
  <c r="A337"/>
  <c r="G336"/>
  <c r="F336"/>
  <c r="H371" s="1"/>
  <c r="E336"/>
  <c r="I371" s="1"/>
  <c r="D336"/>
  <c r="E371" s="1"/>
  <c r="A336"/>
  <c r="G335"/>
  <c r="D374" s="1"/>
  <c r="F335"/>
  <c r="H374" s="1"/>
  <c r="E335"/>
  <c r="I374" s="1"/>
  <c r="D335"/>
  <c r="A335"/>
  <c r="G334"/>
  <c r="D373" s="1"/>
  <c r="F334"/>
  <c r="H373" s="1"/>
  <c r="E334"/>
  <c r="I373" s="1"/>
  <c r="D334"/>
  <c r="A334"/>
  <c r="G333"/>
  <c r="F333"/>
  <c r="H359" s="1"/>
  <c r="E333"/>
  <c r="I359" s="1"/>
  <c r="D333"/>
  <c r="E359" s="1"/>
  <c r="A333"/>
  <c r="G332"/>
  <c r="F332"/>
  <c r="E332"/>
  <c r="I358" s="1"/>
  <c r="D332"/>
  <c r="E358" s="1"/>
  <c r="A332"/>
  <c r="I367" l="1"/>
  <c r="I375" s="1"/>
  <c r="I344"/>
  <c r="J344" s="1"/>
  <c r="I337"/>
  <c r="J337" s="1"/>
  <c r="J363"/>
  <c r="G347"/>
  <c r="B350" s="1"/>
  <c r="C375"/>
  <c r="I345"/>
  <c r="J345" s="1"/>
  <c r="J371"/>
  <c r="I341"/>
  <c r="J341" s="1"/>
  <c r="I335"/>
  <c r="J335" s="1"/>
  <c r="F347"/>
  <c r="I334"/>
  <c r="J334" s="1"/>
  <c r="E367"/>
  <c r="H358"/>
  <c r="J374"/>
  <c r="J362"/>
  <c r="J366"/>
  <c r="J358"/>
  <c r="J373"/>
  <c r="J361"/>
  <c r="J365"/>
  <c r="J369"/>
  <c r="J359"/>
  <c r="A367"/>
  <c r="A366"/>
  <c r="A368" s="1"/>
  <c r="A369" s="1"/>
  <c r="A371" s="1"/>
  <c r="A373" s="1"/>
  <c r="A374" s="1"/>
  <c r="I339"/>
  <c r="J339" s="1"/>
  <c r="D347"/>
  <c r="I338"/>
  <c r="J338" s="1"/>
  <c r="I342"/>
  <c r="J342" s="1"/>
  <c r="I346"/>
  <c r="J346" s="1"/>
  <c r="E347"/>
  <c r="C350" s="1"/>
  <c r="E360"/>
  <c r="J360" s="1"/>
  <c r="E364"/>
  <c r="J364" s="1"/>
  <c r="E368"/>
  <c r="J368" s="1"/>
  <c r="I343"/>
  <c r="J343" s="1"/>
  <c r="I332"/>
  <c r="I336"/>
  <c r="J336" s="1"/>
  <c r="I340"/>
  <c r="J340" s="1"/>
  <c r="I333"/>
  <c r="J333" s="1"/>
  <c r="C422"/>
  <c r="C421"/>
  <c r="C419"/>
  <c r="C413"/>
  <c r="C414"/>
  <c r="C415"/>
  <c r="C416"/>
  <c r="C417"/>
  <c r="C412"/>
  <c r="C411"/>
  <c r="C410"/>
  <c r="C409"/>
  <c r="C408"/>
  <c r="C407"/>
  <c r="C406"/>
  <c r="C395"/>
  <c r="K373" l="1"/>
  <c r="D350"/>
  <c r="J367"/>
  <c r="K367" s="1"/>
  <c r="K360"/>
  <c r="K368"/>
  <c r="K374"/>
  <c r="K364"/>
  <c r="G349"/>
  <c r="K358"/>
  <c r="K365"/>
  <c r="K366"/>
  <c r="K371"/>
  <c r="K369"/>
  <c r="K363"/>
  <c r="K359"/>
  <c r="I347"/>
  <c r="J332"/>
  <c r="K361"/>
  <c r="K362"/>
  <c r="C423"/>
  <c r="A393"/>
  <c r="A394"/>
  <c r="J375" l="1"/>
  <c r="K375" s="1"/>
  <c r="J347"/>
  <c r="I348"/>
  <c r="E350"/>
  <c r="A407" l="1"/>
  <c r="A408" s="1"/>
  <c r="A409" s="1"/>
  <c r="A410" s="1"/>
  <c r="A411" s="1"/>
  <c r="A412" s="1"/>
  <c r="A413" s="1"/>
  <c r="C431"/>
  <c r="E467"/>
  <c r="H395"/>
  <c r="D380"/>
  <c r="E406" s="1"/>
  <c r="D381"/>
  <c r="E407" s="1"/>
  <c r="D382"/>
  <c r="D383"/>
  <c r="D384"/>
  <c r="D385"/>
  <c r="E408" s="1"/>
  <c r="D386"/>
  <c r="E409" s="1"/>
  <c r="D387"/>
  <c r="E410" s="1"/>
  <c r="D388"/>
  <c r="E411" s="1"/>
  <c r="D389"/>
  <c r="E412" s="1"/>
  <c r="D390"/>
  <c r="E413" s="1"/>
  <c r="D391"/>
  <c r="E414" s="1"/>
  <c r="D392"/>
  <c r="E415" s="1"/>
  <c r="D393"/>
  <c r="E416" s="1"/>
  <c r="E419" l="1"/>
  <c r="A415"/>
  <c r="A414"/>
  <c r="A416" s="1"/>
  <c r="A417" s="1"/>
  <c r="A419" s="1"/>
  <c r="A421" s="1"/>
  <c r="A422" s="1"/>
  <c r="E431"/>
  <c r="G393" l="1"/>
  <c r="G392"/>
  <c r="F392"/>
  <c r="H415" s="1"/>
  <c r="E380" l="1"/>
  <c r="I406" s="1"/>
  <c r="F380"/>
  <c r="H406" s="1"/>
  <c r="G380"/>
  <c r="G381"/>
  <c r="D446" s="1"/>
  <c r="G382"/>
  <c r="A391"/>
  <c r="A392"/>
  <c r="A380"/>
  <c r="E392"/>
  <c r="I415" s="1"/>
  <c r="J415" s="1"/>
  <c r="E440"/>
  <c r="H440"/>
  <c r="C440"/>
  <c r="J406" l="1"/>
  <c r="D447"/>
  <c r="D421"/>
  <c r="I440"/>
  <c r="J440" s="1"/>
  <c r="I392"/>
  <c r="J392" s="1"/>
  <c r="I431"/>
  <c r="I380"/>
  <c r="H431"/>
  <c r="J431" l="1"/>
  <c r="K431" s="1"/>
  <c r="K406"/>
  <c r="K415"/>
  <c r="K440"/>
  <c r="J380"/>
  <c r="C447" l="1"/>
  <c r="C446"/>
  <c r="C444"/>
  <c r="C442"/>
  <c r="C441"/>
  <c r="C439"/>
  <c r="C438"/>
  <c r="C437"/>
  <c r="C436"/>
  <c r="C435"/>
  <c r="C434"/>
  <c r="C433"/>
  <c r="A433"/>
  <c r="A434" s="1"/>
  <c r="A435" s="1"/>
  <c r="A436" s="1"/>
  <c r="A437" s="1"/>
  <c r="A438" s="1"/>
  <c r="C432"/>
  <c r="A398"/>
  <c r="G394"/>
  <c r="F394"/>
  <c r="E394"/>
  <c r="D394"/>
  <c r="E417" s="1"/>
  <c r="F393"/>
  <c r="E393"/>
  <c r="E441"/>
  <c r="G391"/>
  <c r="F391"/>
  <c r="E391"/>
  <c r="G390"/>
  <c r="F390"/>
  <c r="E390"/>
  <c r="A390"/>
  <c r="G389"/>
  <c r="F389"/>
  <c r="E389"/>
  <c r="E437"/>
  <c r="A389"/>
  <c r="G388"/>
  <c r="F388"/>
  <c r="E388"/>
  <c r="E436"/>
  <c r="A388"/>
  <c r="G387"/>
  <c r="F387"/>
  <c r="E387"/>
  <c r="E435"/>
  <c r="A387"/>
  <c r="G386"/>
  <c r="F386"/>
  <c r="E386"/>
  <c r="A386"/>
  <c r="G385"/>
  <c r="F385"/>
  <c r="E385"/>
  <c r="E433"/>
  <c r="A385"/>
  <c r="G384"/>
  <c r="F384"/>
  <c r="E384"/>
  <c r="E432"/>
  <c r="A384"/>
  <c r="G383"/>
  <c r="D422" s="1"/>
  <c r="F383"/>
  <c r="E383"/>
  <c r="I422" s="1"/>
  <c r="A383"/>
  <c r="F382"/>
  <c r="E382"/>
  <c r="A382"/>
  <c r="F381"/>
  <c r="H407" s="1"/>
  <c r="E381"/>
  <c r="I407" s="1"/>
  <c r="A381"/>
  <c r="H447" l="1"/>
  <c r="H421"/>
  <c r="H432"/>
  <c r="H419"/>
  <c r="I433"/>
  <c r="I408"/>
  <c r="I434"/>
  <c r="I409"/>
  <c r="J407"/>
  <c r="I447"/>
  <c r="I421"/>
  <c r="H444"/>
  <c r="H422"/>
  <c r="J422" s="1"/>
  <c r="I432"/>
  <c r="I419"/>
  <c r="I384"/>
  <c r="J384" s="1"/>
  <c r="H433"/>
  <c r="J433" s="1"/>
  <c r="H408"/>
  <c r="J408" s="1"/>
  <c r="H434"/>
  <c r="H409"/>
  <c r="J409" s="1"/>
  <c r="I435"/>
  <c r="I410"/>
  <c r="H436"/>
  <c r="H411"/>
  <c r="I437"/>
  <c r="I412"/>
  <c r="I438"/>
  <c r="I413"/>
  <c r="H439"/>
  <c r="H414"/>
  <c r="H441"/>
  <c r="H416"/>
  <c r="I442"/>
  <c r="I417"/>
  <c r="H435"/>
  <c r="H410"/>
  <c r="I436"/>
  <c r="I411"/>
  <c r="H437"/>
  <c r="H412"/>
  <c r="H438"/>
  <c r="H413"/>
  <c r="I439"/>
  <c r="I414"/>
  <c r="I441"/>
  <c r="I416"/>
  <c r="H442"/>
  <c r="H417"/>
  <c r="A439"/>
  <c r="A441" s="1"/>
  <c r="A442" s="1"/>
  <c r="A444" s="1"/>
  <c r="A446" s="1"/>
  <c r="A447" s="1"/>
  <c r="A440"/>
  <c r="I444"/>
  <c r="I383"/>
  <c r="J383" s="1"/>
  <c r="E442"/>
  <c r="D395"/>
  <c r="F395"/>
  <c r="I446"/>
  <c r="E395"/>
  <c r="C398" s="1"/>
  <c r="G395"/>
  <c r="B398" s="1"/>
  <c r="E444"/>
  <c r="C448"/>
  <c r="I381"/>
  <c r="I382"/>
  <c r="J382" s="1"/>
  <c r="I386"/>
  <c r="J386" s="1"/>
  <c r="I390"/>
  <c r="J390" s="1"/>
  <c r="I391"/>
  <c r="J391" s="1"/>
  <c r="I393"/>
  <c r="J393" s="1"/>
  <c r="I388"/>
  <c r="J388" s="1"/>
  <c r="I387"/>
  <c r="J387" s="1"/>
  <c r="I394"/>
  <c r="J394" s="1"/>
  <c r="E434"/>
  <c r="E438"/>
  <c r="E439"/>
  <c r="H446"/>
  <c r="I389"/>
  <c r="J389" s="1"/>
  <c r="I385"/>
  <c r="J385" s="1"/>
  <c r="C467"/>
  <c r="J434" l="1"/>
  <c r="K434" s="1"/>
  <c r="J441"/>
  <c r="K441" s="1"/>
  <c r="J437"/>
  <c r="J435"/>
  <c r="K435" s="1"/>
  <c r="J417"/>
  <c r="J412"/>
  <c r="K412" s="1"/>
  <c r="J410"/>
  <c r="K410" s="1"/>
  <c r="J442"/>
  <c r="K442" s="1"/>
  <c r="J447"/>
  <c r="K447" s="1"/>
  <c r="J438"/>
  <c r="K438" s="1"/>
  <c r="J446"/>
  <c r="K446" s="1"/>
  <c r="J436"/>
  <c r="K436" s="1"/>
  <c r="J432"/>
  <c r="K432" s="1"/>
  <c r="J413"/>
  <c r="J439"/>
  <c r="K439" s="1"/>
  <c r="I423"/>
  <c r="D398"/>
  <c r="I448"/>
  <c r="K422"/>
  <c r="K407"/>
  <c r="K417"/>
  <c r="K413"/>
  <c r="J416"/>
  <c r="K416" s="1"/>
  <c r="J414"/>
  <c r="K414" s="1"/>
  <c r="J411"/>
  <c r="K411" s="1"/>
  <c r="K409"/>
  <c r="K408"/>
  <c r="J419"/>
  <c r="K419" s="1"/>
  <c r="J421"/>
  <c r="K421" s="1"/>
  <c r="G397"/>
  <c r="J444"/>
  <c r="K444" s="1"/>
  <c r="J381"/>
  <c r="I395"/>
  <c r="K437"/>
  <c r="K433"/>
  <c r="E458"/>
  <c r="E457"/>
  <c r="E456"/>
  <c r="J448" l="1"/>
  <c r="K448" s="1"/>
  <c r="I396"/>
  <c r="J423"/>
  <c r="K423" s="1"/>
  <c r="E398"/>
  <c r="J395"/>
  <c r="A457" l="1"/>
  <c r="A458" s="1"/>
  <c r="A459" s="1"/>
  <c r="A460" s="1"/>
  <c r="A461" s="1"/>
  <c r="A462" s="1"/>
  <c r="A463" s="1"/>
  <c r="A464" s="1"/>
  <c r="C470"/>
  <c r="C469"/>
  <c r="C465"/>
  <c r="C464"/>
  <c r="C463"/>
  <c r="C462"/>
  <c r="C461"/>
  <c r="C460"/>
  <c r="C459"/>
  <c r="C458"/>
  <c r="C457"/>
  <c r="C456"/>
  <c r="H465"/>
  <c r="I465"/>
  <c r="E465"/>
  <c r="H464"/>
  <c r="I464"/>
  <c r="H463"/>
  <c r="I463"/>
  <c r="E463"/>
  <c r="H462"/>
  <c r="I462"/>
  <c r="E462"/>
  <c r="H461"/>
  <c r="I461"/>
  <c r="H460"/>
  <c r="I460"/>
  <c r="E460"/>
  <c r="H459"/>
  <c r="I459"/>
  <c r="E459"/>
  <c r="H458"/>
  <c r="I458"/>
  <c r="H457"/>
  <c r="I457"/>
  <c r="H456"/>
  <c r="I456"/>
  <c r="H467"/>
  <c r="I467"/>
  <c r="H470"/>
  <c r="I470"/>
  <c r="I469"/>
  <c r="A465" l="1"/>
  <c r="A467" s="1"/>
  <c r="A469" s="1"/>
  <c r="A470" s="1"/>
  <c r="J470"/>
  <c r="J462"/>
  <c r="J465"/>
  <c r="C471"/>
  <c r="J458"/>
  <c r="J456"/>
  <c r="J471" s="1"/>
  <c r="K471" s="1"/>
  <c r="J467"/>
  <c r="I471"/>
  <c r="J459"/>
  <c r="J463"/>
  <c r="J460"/>
  <c r="J457"/>
  <c r="E464"/>
  <c r="J464" s="1"/>
  <c r="E461"/>
  <c r="J461" s="1"/>
  <c r="H469"/>
  <c r="J469" s="1"/>
  <c r="C7" i="95"/>
  <c r="D7" l="1"/>
  <c r="E6"/>
  <c r="K461" i="16"/>
  <c r="K464"/>
  <c r="K469"/>
  <c r="K465"/>
  <c r="K457"/>
  <c r="K467"/>
  <c r="K463"/>
  <c r="K458"/>
  <c r="K470"/>
  <c r="K460"/>
  <c r="K462"/>
  <c r="K456"/>
  <c r="K459"/>
  <c r="C493" l="1"/>
  <c r="C479"/>
  <c r="C488"/>
  <c r="I484" l="1"/>
  <c r="I485"/>
  <c r="I486"/>
  <c r="I487"/>
  <c r="I488"/>
  <c r="I489"/>
  <c r="I483"/>
  <c r="I482"/>
  <c r="I493"/>
  <c r="H488"/>
  <c r="E488"/>
  <c r="J488" l="1"/>
  <c r="K488" l="1"/>
  <c r="C494" l="1"/>
  <c r="C491"/>
  <c r="C489"/>
  <c r="C487"/>
  <c r="C486"/>
  <c r="C485"/>
  <c r="C484"/>
  <c r="C483"/>
  <c r="C482"/>
  <c r="C481"/>
  <c r="C480"/>
  <c r="H493"/>
  <c r="J493" s="1"/>
  <c r="C514"/>
  <c r="K493" l="1"/>
  <c r="C495"/>
  <c r="C517"/>
  <c r="J517" s="1"/>
  <c r="K517" s="1"/>
  <c r="C516"/>
  <c r="J516" s="1"/>
  <c r="K516" s="1"/>
  <c r="J514"/>
  <c r="C504"/>
  <c r="J504" s="1"/>
  <c r="C505"/>
  <c r="J505" s="1"/>
  <c r="C506"/>
  <c r="J506" s="1"/>
  <c r="C507"/>
  <c r="J507" s="1"/>
  <c r="C508"/>
  <c r="J508" s="1"/>
  <c r="C509"/>
  <c r="J509" s="1"/>
  <c r="C510"/>
  <c r="J510" s="1"/>
  <c r="C511"/>
  <c r="C512"/>
  <c r="J512" s="1"/>
  <c r="C503"/>
  <c r="J503" s="1"/>
  <c r="I518"/>
  <c r="J511"/>
  <c r="C518" l="1"/>
  <c r="J518"/>
  <c r="G519" s="1"/>
  <c r="K509" l="1"/>
  <c r="K505"/>
  <c r="K514"/>
  <c r="K512" l="1"/>
  <c r="K504"/>
  <c r="K503"/>
  <c r="K510"/>
  <c r="K506"/>
  <c r="K507"/>
  <c r="K508"/>
  <c r="K511"/>
  <c r="K518" l="1"/>
  <c r="F530" l="1"/>
  <c r="H529"/>
  <c r="F528"/>
  <c r="C538" l="1"/>
  <c r="J538" s="1"/>
  <c r="C537"/>
  <c r="J537" s="1"/>
  <c r="C536"/>
  <c r="J536" s="1"/>
  <c r="C535"/>
  <c r="J535" s="1"/>
  <c r="C534"/>
  <c r="J534" s="1"/>
  <c r="C533"/>
  <c r="J533" s="1"/>
  <c r="C532"/>
  <c r="J532" s="1"/>
  <c r="C531"/>
  <c r="J531" s="1"/>
  <c r="C530"/>
  <c r="J530" s="1"/>
  <c r="C529"/>
  <c r="J529" s="1"/>
  <c r="C528"/>
  <c r="J528" s="1"/>
  <c r="C527"/>
  <c r="J527" s="1"/>
  <c r="C540"/>
  <c r="J540" s="1"/>
  <c r="C543"/>
  <c r="J543" s="1"/>
  <c r="I544"/>
  <c r="C570"/>
  <c r="C542" l="1"/>
  <c r="J542" s="1"/>
  <c r="J544" s="1"/>
  <c r="C544" l="1"/>
  <c r="I570" l="1"/>
  <c r="J569" l="1"/>
  <c r="J568"/>
  <c r="J566"/>
  <c r="J564"/>
  <c r="J563"/>
  <c r="J562"/>
  <c r="J561"/>
  <c r="J560"/>
  <c r="J559"/>
  <c r="J558"/>
  <c r="J557"/>
  <c r="J556"/>
  <c r="J555"/>
  <c r="J554"/>
  <c r="J553"/>
  <c r="J552"/>
  <c r="J570" l="1"/>
  <c r="J589" l="1"/>
  <c r="J588"/>
  <c r="J587"/>
  <c r="J586"/>
  <c r="J585"/>
  <c r="J584"/>
  <c r="J583"/>
  <c r="J581"/>
  <c r="J578"/>
  <c r="J592"/>
  <c r="J595"/>
  <c r="J594"/>
  <c r="I596"/>
  <c r="J582"/>
  <c r="C596" l="1"/>
  <c r="J580"/>
  <c r="J579"/>
  <c r="J590"/>
  <c r="J596" l="1"/>
  <c r="F616" l="1"/>
  <c r="H616"/>
  <c r="F607"/>
  <c r="H606"/>
  <c r="F605"/>
  <c r="I622"/>
  <c r="J616" l="1"/>
  <c r="J615"/>
  <c r="J614"/>
  <c r="J613"/>
  <c r="J612"/>
  <c r="J611"/>
  <c r="J610"/>
  <c r="J609"/>
  <c r="J608"/>
  <c r="J607"/>
  <c r="J606"/>
  <c r="J605"/>
  <c r="J618"/>
  <c r="J621"/>
  <c r="J620"/>
  <c r="J604" l="1"/>
  <c r="J622" s="1"/>
  <c r="C622"/>
  <c r="I651" l="1"/>
  <c r="J645"/>
  <c r="J631" l="1"/>
  <c r="J644" l="1"/>
  <c r="J643"/>
  <c r="J642"/>
  <c r="J641"/>
  <c r="J640"/>
  <c r="J639"/>
  <c r="J638"/>
  <c r="J637"/>
  <c r="J636"/>
  <c r="J635"/>
  <c r="J634"/>
  <c r="J633"/>
  <c r="C647"/>
  <c r="J647" s="1"/>
  <c r="C650"/>
  <c r="J650" s="1"/>
  <c r="C649"/>
  <c r="J649" s="1"/>
  <c r="C678"/>
  <c r="J632" l="1"/>
  <c r="J651" s="1"/>
  <c r="C651"/>
  <c r="J691" l="1"/>
  <c r="J672" l="1"/>
  <c r="J671"/>
  <c r="J670"/>
  <c r="J669"/>
  <c r="J668"/>
  <c r="J667"/>
  <c r="J666"/>
  <c r="J665"/>
  <c r="J664"/>
  <c r="J663"/>
  <c r="J662"/>
  <c r="J661"/>
  <c r="J660"/>
  <c r="J674"/>
  <c r="J677"/>
  <c r="J676"/>
  <c r="I678"/>
  <c r="J659" l="1"/>
  <c r="J678" s="1"/>
  <c r="I706" l="1"/>
  <c r="J699" l="1"/>
  <c r="J696" l="1"/>
  <c r="J692"/>
  <c r="J688"/>
  <c r="J702"/>
  <c r="J704"/>
  <c r="J705"/>
  <c r="J698"/>
  <c r="J697"/>
  <c r="J695"/>
  <c r="J694"/>
  <c r="J693"/>
  <c r="J690"/>
  <c r="J689"/>
  <c r="J687"/>
  <c r="J700" l="1"/>
  <c r="J706" s="1"/>
  <c r="K706" s="1"/>
  <c r="C623" l="1"/>
  <c r="C597"/>
  <c r="J723"/>
  <c r="J724" l="1"/>
  <c r="J722"/>
  <c r="J721"/>
  <c r="J720"/>
  <c r="J719"/>
  <c r="J718"/>
  <c r="J717"/>
  <c r="J716"/>
  <c r="J715"/>
  <c r="J714"/>
  <c r="J728"/>
  <c r="J731"/>
  <c r="J730"/>
  <c r="J726" l="1"/>
  <c r="J725"/>
  <c r="J732" l="1"/>
  <c r="J750" l="1"/>
  <c r="F740" l="1"/>
  <c r="J774"/>
  <c r="J777"/>
  <c r="J758"/>
  <c r="J757"/>
  <c r="J756"/>
  <c r="C749" l="1"/>
  <c r="J749" s="1"/>
  <c r="C748"/>
  <c r="J748" s="1"/>
  <c r="C747"/>
  <c r="J747" s="1"/>
  <c r="C746"/>
  <c r="J746" s="1"/>
  <c r="C745"/>
  <c r="J745" s="1"/>
  <c r="J744"/>
  <c r="C743"/>
  <c r="J743" s="1"/>
  <c r="C742"/>
  <c r="J742" s="1"/>
  <c r="C741"/>
  <c r="J741" s="1"/>
  <c r="C740"/>
  <c r="J740" s="1"/>
  <c r="C752"/>
  <c r="J752" s="1"/>
  <c r="C755"/>
  <c r="J755" s="1"/>
  <c r="C754" l="1"/>
  <c r="J754" s="1"/>
  <c r="J759" s="1"/>
  <c r="J785" l="1"/>
  <c r="J784"/>
  <c r="J783"/>
  <c r="J836"/>
  <c r="J809"/>
  <c r="J808"/>
  <c r="J806"/>
  <c r="E804"/>
  <c r="J804" s="1"/>
  <c r="E803"/>
  <c r="J803" s="1"/>
  <c r="E801"/>
  <c r="J801" s="1"/>
  <c r="H800"/>
  <c r="E800"/>
  <c r="F799"/>
  <c r="E799"/>
  <c r="E798"/>
  <c r="J798" s="1"/>
  <c r="I797"/>
  <c r="H797"/>
  <c r="E797"/>
  <c r="I796"/>
  <c r="E796"/>
  <c r="H795"/>
  <c r="E795"/>
  <c r="I794"/>
  <c r="J786"/>
  <c r="J770"/>
  <c r="J782"/>
  <c r="B770" l="1"/>
  <c r="B774"/>
  <c r="B775"/>
  <c r="B768"/>
  <c r="B771"/>
  <c r="B772"/>
  <c r="B769"/>
  <c r="B773"/>
  <c r="J769"/>
  <c r="I811"/>
  <c r="J796"/>
  <c r="J779"/>
  <c r="J795"/>
  <c r="J767"/>
  <c r="J773"/>
  <c r="J768"/>
  <c r="J781"/>
  <c r="J776"/>
  <c r="J799"/>
  <c r="J797"/>
  <c r="J800"/>
  <c r="J794"/>
  <c r="J772" l="1"/>
  <c r="J771"/>
  <c r="J775"/>
  <c r="C802"/>
  <c r="J787" l="1"/>
  <c r="C811"/>
  <c r="J802"/>
  <c r="J811" s="1"/>
  <c r="K540" l="1"/>
  <c r="K527"/>
  <c r="K543"/>
  <c r="K533"/>
  <c r="K538"/>
  <c r="K537"/>
  <c r="K609" l="1"/>
  <c r="K531"/>
  <c r="K560"/>
  <c r="K534"/>
  <c r="K529"/>
  <c r="K561"/>
  <c r="K535"/>
  <c r="K530"/>
  <c r="K528"/>
  <c r="K558"/>
  <c r="K532"/>
  <c r="K562"/>
  <c r="K557"/>
  <c r="K610"/>
  <c r="K606"/>
  <c r="K621"/>
  <c r="K569"/>
  <c r="K556"/>
  <c r="K608"/>
  <c r="K563"/>
  <c r="K615"/>
  <c r="K564"/>
  <c r="K616"/>
  <c r="K611"/>
  <c r="K559"/>
  <c r="K618"/>
  <c r="K566"/>
  <c r="K542"/>
  <c r="K605"/>
  <c r="K613"/>
  <c r="K604"/>
  <c r="K612"/>
  <c r="K555"/>
  <c r="K553"/>
  <c r="K554"/>
  <c r="K607"/>
  <c r="K552"/>
  <c r="K614" l="1"/>
  <c r="K536"/>
  <c r="K620"/>
  <c r="K568"/>
  <c r="K544" l="1"/>
  <c r="K622"/>
  <c r="K759"/>
  <c r="K570"/>
  <c r="H479" l="1"/>
  <c r="H480"/>
  <c r="H491"/>
  <c r="H481"/>
  <c r="I491"/>
  <c r="H494"/>
  <c r="H485"/>
  <c r="H484"/>
  <c r="H482"/>
  <c r="H486"/>
  <c r="J486" s="1"/>
  <c r="I479"/>
  <c r="H483"/>
  <c r="I494"/>
  <c r="H487"/>
  <c r="H489"/>
  <c r="I481"/>
  <c r="E485"/>
  <c r="E484"/>
  <c r="E483"/>
  <c r="I480"/>
  <c r="E487"/>
  <c r="K486" l="1"/>
  <c r="J494"/>
  <c r="K494" s="1"/>
  <c r="J481"/>
  <c r="K481" s="1"/>
  <c r="E482"/>
  <c r="J482" s="1"/>
  <c r="K482" s="1"/>
  <c r="E480"/>
  <c r="J480" s="1"/>
  <c r="E489"/>
  <c r="J489" s="1"/>
  <c r="K489" s="1"/>
  <c r="I495"/>
  <c r="J484"/>
  <c r="J487"/>
  <c r="J483"/>
  <c r="E479"/>
  <c r="J479" s="1"/>
  <c r="J485"/>
  <c r="J491"/>
  <c r="K484" l="1"/>
  <c r="K491"/>
  <c r="K480"/>
  <c r="K479"/>
  <c r="J495"/>
  <c r="K483"/>
  <c r="K485"/>
  <c r="K487"/>
  <c r="G496" l="1"/>
  <c r="K495"/>
  <c r="G186" i="95" l="1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</calcChain>
</file>

<file path=xl/sharedStrings.xml><?xml version="1.0" encoding="utf-8"?>
<sst xmlns="http://schemas.openxmlformats.org/spreadsheetml/2006/main" count="3332" uniqueCount="584">
  <si>
    <t>Date</t>
  </si>
  <si>
    <t>Département</t>
  </si>
  <si>
    <t>Management</t>
  </si>
  <si>
    <t>Services</t>
  </si>
  <si>
    <t>Investigation</t>
  </si>
  <si>
    <t>Perrine ODIER</t>
  </si>
  <si>
    <t>Rubriques</t>
  </si>
  <si>
    <t xml:space="preserve">Montant en FCFA </t>
  </si>
  <si>
    <t>Total montant reçu</t>
  </si>
  <si>
    <t>Total montant dépensé</t>
  </si>
  <si>
    <t>Solde</t>
  </si>
  <si>
    <t>Details</t>
  </si>
  <si>
    <t>Type de dépenses</t>
  </si>
  <si>
    <t>Departement</t>
  </si>
  <si>
    <t>Received</t>
  </si>
  <si>
    <t>Spent</t>
  </si>
  <si>
    <t>Balance</t>
  </si>
  <si>
    <t>Name</t>
  </si>
  <si>
    <t>Receipt</t>
  </si>
  <si>
    <t>Donor</t>
  </si>
  <si>
    <t>Project</t>
  </si>
  <si>
    <t>Country</t>
  </si>
  <si>
    <t>Contrôle</t>
  </si>
  <si>
    <t>Code budgetaire</t>
  </si>
  <si>
    <t>BCI</t>
  </si>
  <si>
    <t>Caisse</t>
  </si>
  <si>
    <t>Herick</t>
  </si>
  <si>
    <t>Jospin</t>
  </si>
  <si>
    <t>Dalia</t>
  </si>
  <si>
    <t>P29</t>
  </si>
  <si>
    <t>I23C</t>
  </si>
  <si>
    <t>Evariste</t>
  </si>
  <si>
    <t>Ted</t>
  </si>
  <si>
    <t>Shely</t>
  </si>
  <si>
    <t>Transport</t>
  </si>
  <si>
    <t>Office Materials</t>
  </si>
  <si>
    <t>Jack-Bénisson</t>
  </si>
  <si>
    <t>Noms &amp; Prénoms</t>
  </si>
  <si>
    <t>Total reçu</t>
  </si>
  <si>
    <t>Total Dépenses</t>
  </si>
  <si>
    <t>Total versement</t>
  </si>
  <si>
    <t>Fonds Exterieur pour le projet</t>
  </si>
  <si>
    <t>Balance calculée</t>
  </si>
  <si>
    <t>Versement reçu</t>
  </si>
  <si>
    <t>Versements faits</t>
  </si>
  <si>
    <t>Dépenses</t>
  </si>
  <si>
    <t>Donations</t>
  </si>
  <si>
    <t>Banque</t>
  </si>
  <si>
    <t>Crépin</t>
  </si>
  <si>
    <t>i23c</t>
  </si>
  <si>
    <t>Perrine Odier</t>
  </si>
  <si>
    <t>TOTAL</t>
  </si>
  <si>
    <t>DIFFERENCE</t>
  </si>
  <si>
    <r>
      <t xml:space="preserve">Monnaie de tenue de compte: </t>
    </r>
    <r>
      <rPr>
        <b/>
        <sz val="10"/>
        <color theme="5"/>
        <rFont val="Arial Narrow"/>
        <family val="2"/>
      </rPr>
      <t>XAF</t>
    </r>
  </si>
  <si>
    <t>Mois</t>
  </si>
  <si>
    <t>Noms &amp; prénoms</t>
  </si>
  <si>
    <t>MONTANT RECU DE</t>
  </si>
  <si>
    <t>Transféré</t>
  </si>
  <si>
    <t>Dépensé</t>
  </si>
  <si>
    <t xml:space="preserve">Remboursement </t>
  </si>
  <si>
    <t>Caisses</t>
  </si>
  <si>
    <t>CAISSE</t>
  </si>
  <si>
    <t>CAISSE PALF</t>
  </si>
  <si>
    <t>BANQUES</t>
  </si>
  <si>
    <t>BCI-Compte principal</t>
  </si>
  <si>
    <t>BCI-sous compte</t>
  </si>
  <si>
    <t>BALANCE CAISSES ET BANQUE AU 31 AOÜT 2020</t>
  </si>
  <si>
    <t>AOÜT</t>
  </si>
  <si>
    <t>Balance au          01 AOÜT 2020</t>
  </si>
  <si>
    <t>Balance au 31 AOÜT  2020</t>
  </si>
  <si>
    <t>Hérick</t>
  </si>
  <si>
    <t>Monnaie de tenue de compte: XAF</t>
  </si>
  <si>
    <t>BALANCE CAISSES ET BANQUE AU 31 JUILLET 2020</t>
  </si>
  <si>
    <t>JUILLET</t>
  </si>
  <si>
    <t>Balance au 01
 JUILLET 2020</t>
  </si>
  <si>
    <t>Balance au 31
 JUILLET 2020</t>
  </si>
  <si>
    <t>Versement</t>
  </si>
  <si>
    <t>Christian</t>
  </si>
  <si>
    <t>Geisner</t>
  </si>
  <si>
    <t>BALANCE CAISSES ET BANQUE AU 30 Septembre  2020</t>
  </si>
  <si>
    <t>SEPTEMBRE</t>
  </si>
  <si>
    <t>Balance au          01 Septembre 2020</t>
  </si>
  <si>
    <t>N°Pièce</t>
  </si>
  <si>
    <t>Naftalie</t>
  </si>
  <si>
    <t>I73X</t>
  </si>
  <si>
    <t>I55S</t>
  </si>
  <si>
    <t>Ecart à régulariser</t>
  </si>
  <si>
    <t>Balance au 30 Septembre 2020</t>
  </si>
  <si>
    <t>BALANCE CAISSES ET BANQUE AU 31 Octobre 2020</t>
  </si>
  <si>
    <t>Balance au          01 Octobre 2020</t>
  </si>
  <si>
    <t>Balance au 31 Octobre 2020</t>
  </si>
  <si>
    <t>OCTOBRE</t>
  </si>
  <si>
    <t>Jack/Crépin</t>
  </si>
  <si>
    <t>Naftali</t>
  </si>
  <si>
    <t>Merveille</t>
  </si>
  <si>
    <t>Perrine</t>
  </si>
  <si>
    <t>BALANCE CAISSES ET BANQUE AU 30 Novembre 2020</t>
  </si>
  <si>
    <t>Balance au          01 Novembre 2020</t>
  </si>
  <si>
    <t>Balance au 30 Novembre 2020</t>
  </si>
  <si>
    <t>NOVEMBRE</t>
  </si>
  <si>
    <t>Hérick/Christian</t>
  </si>
  <si>
    <t xml:space="preserve">Ecart </t>
  </si>
  <si>
    <t>T44</t>
  </si>
  <si>
    <t>UE</t>
  </si>
  <si>
    <t>DECEMBRE</t>
  </si>
  <si>
    <t>Balance au          01 Décembre 2020</t>
  </si>
  <si>
    <t>Balance au 31 Décembre 2020</t>
  </si>
  <si>
    <t>BALANCE CAISSES ET BANQUE AU 31 Décembre 2020</t>
  </si>
  <si>
    <t>Hérick/Geisner</t>
  </si>
  <si>
    <t>JANVIER</t>
  </si>
  <si>
    <t>BALANCE CAISSES ET BANQUE AU 31 JANVIER 2021</t>
  </si>
  <si>
    <t>Balance au          01 Janvier 2021</t>
  </si>
  <si>
    <t>Balance au 31 Janvier 2021</t>
  </si>
  <si>
    <t>Hérick/Crépin</t>
  </si>
  <si>
    <t>Tiffany</t>
  </si>
  <si>
    <t>BALANCE CAISSES ET BANQUE AU 28 FEVRIER  2021</t>
  </si>
  <si>
    <t>FEVRIER</t>
  </si>
  <si>
    <t>Balance au          01 Février  2021</t>
  </si>
  <si>
    <t>Balance au 28 Février 2021</t>
  </si>
  <si>
    <t>Hérick/Geis</t>
  </si>
  <si>
    <t>BALANCE CAISSES ET BANQUE AU 31 Mars  2021</t>
  </si>
  <si>
    <t>MARS</t>
  </si>
  <si>
    <t>Balance au          01 Mars  2021</t>
  </si>
  <si>
    <t>Balance au 31 Mars 2021</t>
  </si>
  <si>
    <t>Activiste</t>
  </si>
  <si>
    <t>BALANCE CAISSES ET BANQUE AU 30 AVRIL  2021</t>
  </si>
  <si>
    <t>Balance au          01 Avril  2021</t>
  </si>
  <si>
    <t>Balance au 30 Avril 2021</t>
  </si>
  <si>
    <t>AVRIL</t>
  </si>
  <si>
    <t>Étiquettes de lignes</t>
  </si>
  <si>
    <t>Total général</t>
  </si>
  <si>
    <t>Étiquettes de colonnes</t>
  </si>
  <si>
    <t>BALANCE CAISSES ET BANQUE AU 30  Mai  2021</t>
  </si>
  <si>
    <t>Balance au          01 Mai  2021</t>
  </si>
  <si>
    <t>Balance au 30 Mai 2021</t>
  </si>
  <si>
    <t>MAI</t>
  </si>
  <si>
    <t>Somme de Spent</t>
  </si>
  <si>
    <t>Total Somme de Received</t>
  </si>
  <si>
    <t>Somme de Received</t>
  </si>
  <si>
    <t>Total Somme de Spent</t>
  </si>
  <si>
    <t>Internet</t>
  </si>
  <si>
    <t>BALANCE CAISSES ET BANQUE AU 30  Juin  2021</t>
  </si>
  <si>
    <t>Balance au 30 Juin  2021</t>
  </si>
  <si>
    <t>Balance au          01 Juin  2021</t>
  </si>
  <si>
    <t>JUIN</t>
  </si>
  <si>
    <t>BALANCE CAISSES ET BANQUE AU 31 Juillet  2021</t>
  </si>
  <si>
    <t>Balance au          01 Juillet  2021</t>
  </si>
  <si>
    <t>Balance au 31 Juillet  2021</t>
  </si>
  <si>
    <t>AOUT</t>
  </si>
  <si>
    <t>Balance au          01 Août 2021</t>
  </si>
  <si>
    <t>BALANCE CAISSES ET BANQUE AU 31 Août  2021</t>
  </si>
  <si>
    <t>Balance au 31 Août 2021</t>
  </si>
  <si>
    <t>Grace</t>
  </si>
  <si>
    <t>Godfré</t>
  </si>
  <si>
    <t>BALANCE CAISSES ET BANQUE AU 30 Septembre 2021</t>
  </si>
  <si>
    <t>Balance a   01 Septembre 2021</t>
  </si>
  <si>
    <t>Serdroque</t>
  </si>
  <si>
    <t>Travel Subsistence</t>
  </si>
  <si>
    <t>BCI-Sous Compte</t>
  </si>
  <si>
    <t>Balance a   01 Octobre 2021</t>
  </si>
  <si>
    <t>Balance au 31 Octobre 2021</t>
  </si>
  <si>
    <t>Balance au 31 Septembre 2021</t>
  </si>
  <si>
    <t>BALANCE CAISSES ET BANQUE AU 31 Octobre 2021</t>
  </si>
  <si>
    <t>Axel</t>
  </si>
  <si>
    <t>Legal</t>
  </si>
  <si>
    <t>Media</t>
  </si>
  <si>
    <t>Wildcat</t>
  </si>
  <si>
    <t>BCI-</t>
  </si>
  <si>
    <t>BALANCE 30 Novembre 2021</t>
  </si>
  <si>
    <t>BALANCE 01 Novembre 2021</t>
  </si>
  <si>
    <t>BALANCE CAISSES ET BANQUE AU 30 Novembre 2021</t>
  </si>
  <si>
    <t>TOTAL RECU EN Novembre</t>
  </si>
  <si>
    <t>Balance a   01 Novembre 2021</t>
  </si>
  <si>
    <t>B52</t>
  </si>
  <si>
    <t>TOTAL DEPENSE EN NOVEMBRE</t>
  </si>
  <si>
    <t>BALANCE 01 Décembre 2021</t>
  </si>
  <si>
    <t>TOTAL RECU EN DECEMBRE</t>
  </si>
  <si>
    <t>TOTAL DEPENSE EN DECEMBRE</t>
  </si>
  <si>
    <t>Balance a   01 Décembre 2021</t>
  </si>
  <si>
    <t>Balance au 31 Décembre 2021</t>
  </si>
  <si>
    <t>Balance au 30 Novembre 2021</t>
  </si>
  <si>
    <t>Personnel</t>
  </si>
  <si>
    <t>Telephone</t>
  </si>
  <si>
    <t>BALANCE CAISSES ET BANQUE AU 31 Décembre 2021</t>
  </si>
  <si>
    <t>BALANCE 31 Décembre 2021</t>
  </si>
  <si>
    <t>Rent &amp; Utilities</t>
  </si>
  <si>
    <t>BALANCE 01 Janvier 2022</t>
  </si>
  <si>
    <t>TOTAL DEPENSE EN JANVIER</t>
  </si>
  <si>
    <t>TOTAL RECU EN JANVIER</t>
  </si>
  <si>
    <t>BALANCE 31 Janvier 2022</t>
  </si>
  <si>
    <t>BALANCE CAISSES ET BANQUE AU 31 Janvier 2022</t>
  </si>
  <si>
    <t>Balance au 31 Janvier 2022</t>
  </si>
  <si>
    <t>Balance a   01 Janvier 2022</t>
  </si>
  <si>
    <t>Court Fees</t>
  </si>
  <si>
    <t>BALANCE 01 Février 2022</t>
  </si>
  <si>
    <t>TOTAL RECU EN FEVRIER</t>
  </si>
  <si>
    <t>TOTAL DEPENSE EN FEVRIER</t>
  </si>
  <si>
    <t>Balance a   01 Février 2022</t>
  </si>
  <si>
    <t>BALANCE CAISSES ET BANQUE AU 28 Février 2022</t>
  </si>
  <si>
    <t>Balance au 28 Février 2022</t>
  </si>
  <si>
    <t>Balance au 31 Mars 2022</t>
  </si>
  <si>
    <t>BALANCE 01 Mars 2022</t>
  </si>
  <si>
    <t>TOTAL RECU EN MARS</t>
  </si>
  <si>
    <t>BALANCE 31 MARS 2022</t>
  </si>
  <si>
    <t>BALANCE CAISSES ET BANQUE AU 31 Mars 2022</t>
  </si>
  <si>
    <t>Balance a   01 Mars 2022</t>
  </si>
  <si>
    <t xml:space="preserve">TOTAL DEPENSE EN MARS </t>
  </si>
  <si>
    <t>BALANCE 28 FEVRIER 2022</t>
  </si>
  <si>
    <t>Paule</t>
  </si>
  <si>
    <t>Hurielle</t>
  </si>
  <si>
    <t>PALF</t>
  </si>
  <si>
    <t>RALFF</t>
  </si>
  <si>
    <t>RALFF/UE</t>
  </si>
  <si>
    <t>RALFF/Wildcat</t>
  </si>
  <si>
    <t>BALANCE 01 Avril 2022</t>
  </si>
  <si>
    <t>TOTAL RECU EN AVRIL</t>
  </si>
  <si>
    <t>TOTAL DEPENSE EN AVRIL</t>
  </si>
  <si>
    <t>BALANCE 30 AVRIL 2022</t>
  </si>
  <si>
    <t>BALANCE CAISSES ET BANQUE AU 30 Avril 2022</t>
  </si>
  <si>
    <t>Balance a   01 Avril 2022</t>
  </si>
  <si>
    <t>Balance au 30 Avril 2022</t>
  </si>
  <si>
    <t>TOTAL DEPENSE EN MAI</t>
  </si>
  <si>
    <t>TOTAL RECU EN MAI</t>
  </si>
  <si>
    <t>BALANCE 01 MAI 2022</t>
  </si>
  <si>
    <t>Balance a   01 MAI 2022</t>
  </si>
  <si>
    <t>Yan</t>
  </si>
  <si>
    <t>Transfer fees</t>
  </si>
  <si>
    <t>Lawyer fees</t>
  </si>
  <si>
    <t>Trust building</t>
  </si>
  <si>
    <t>Balance au 31 MAI 2022</t>
  </si>
  <si>
    <t>BALANCE 31 MAI 2022</t>
  </si>
  <si>
    <t>BALANCE CAISSES ET BANQUE AU 31 MAI 2022</t>
  </si>
  <si>
    <t>BALANCE 01 JUIN 2022</t>
  </si>
  <si>
    <t>TOTAL RECU EN JUIN</t>
  </si>
  <si>
    <t>TOTAL DEPENSE EN JUIN</t>
  </si>
  <si>
    <t>BALANCE CAISSES ET BANQUE AU 30 JUIN 2022</t>
  </si>
  <si>
    <t>BALANCE 30 JUIN 2022</t>
  </si>
  <si>
    <t>Balance a   01 JUIN 2022</t>
  </si>
  <si>
    <t>Balance au 30 JUIN 2022</t>
  </si>
  <si>
    <t xml:space="preserve">Management </t>
  </si>
  <si>
    <t>OUI</t>
  </si>
  <si>
    <t>Office</t>
  </si>
  <si>
    <t>Office materials</t>
  </si>
  <si>
    <t>Crepin</t>
  </si>
  <si>
    <t>Operation</t>
  </si>
  <si>
    <t>Frais de transfert charden farell à Crepin</t>
  </si>
  <si>
    <t>Supplément paiement Prime de fin d'année</t>
  </si>
  <si>
    <t>Légal</t>
  </si>
  <si>
    <t>Décharge</t>
  </si>
  <si>
    <t>Relevé</t>
  </si>
  <si>
    <t>Reçu Caisse/Grace</t>
  </si>
  <si>
    <t>Reçu caisse/Merveille</t>
  </si>
  <si>
    <t>Reçu de Grace/Crépin</t>
  </si>
  <si>
    <t>Reçu de caisse/Crépin</t>
  </si>
  <si>
    <t>Retour à la caisse/Crépin</t>
  </si>
  <si>
    <t>Billet: Dolisie-Brazzaville/Crépin</t>
  </si>
  <si>
    <t>Billet: Brazzaville-Dolisie/Crépin</t>
  </si>
  <si>
    <t>Reçu de caisse/P29</t>
  </si>
  <si>
    <t>Reçu de Grace/P29</t>
  </si>
  <si>
    <t>Reçu caisse/I23C</t>
  </si>
  <si>
    <t>Achat billet Dolisie-Brazzaville (retour à Brazzaville)/I23C</t>
  </si>
  <si>
    <t>Reçu caisse/Hurielle</t>
  </si>
  <si>
    <t>CONGO</t>
  </si>
  <si>
    <t>5.6</t>
  </si>
  <si>
    <t>4.5</t>
  </si>
  <si>
    <t>5.2.2</t>
  </si>
  <si>
    <t>5.2.1</t>
  </si>
  <si>
    <t>4.3</t>
  </si>
  <si>
    <t>1.1.1.1</t>
  </si>
  <si>
    <t>1.1.1.7</t>
  </si>
  <si>
    <t>1.1.2.1</t>
  </si>
  <si>
    <t>1.1.1.4</t>
  </si>
  <si>
    <t>4.6</t>
  </si>
  <si>
    <t>2.2</t>
  </si>
  <si>
    <t>1.3.2</t>
  </si>
  <si>
    <t>4.4</t>
  </si>
  <si>
    <t>Balance a   01 JUILLET 2022</t>
  </si>
  <si>
    <t>Balance au 31JUILLET 2022</t>
  </si>
  <si>
    <t>BALANCE CAISSES ET BANQUE AU 31 JUILLET 2022</t>
  </si>
  <si>
    <t>BALANCE 01 JUILLET 2022</t>
  </si>
  <si>
    <t>TOTAL DEPENSE EN JUILLET</t>
  </si>
  <si>
    <t>BALANCE 31 JUILLET 2022</t>
  </si>
  <si>
    <t>RAPPORT FINANCIER JUILLET 2022</t>
  </si>
  <si>
    <t>Solde au 01/07/2022</t>
  </si>
  <si>
    <t>Achat 02 paquets papier bristol</t>
  </si>
  <si>
    <t>Oui</t>
  </si>
  <si>
    <t>Yan/retour caisse</t>
  </si>
  <si>
    <t>oui</t>
  </si>
  <si>
    <t>Frais de transfert argent à P29 et I23c</t>
  </si>
  <si>
    <t>Bonus mois de Juin 2022/Hurielle</t>
  </si>
  <si>
    <t>Bonus</t>
  </si>
  <si>
    <t>Bonus mois de Juin 2022/Evariste</t>
  </si>
  <si>
    <t>Frais de mission maitre Helène NANITELAMIO  du 06 au 08/07/2022 à Dolisie</t>
  </si>
  <si>
    <t>Achat 03 Bonbones d'eau minerale</t>
  </si>
  <si>
    <t>Bonus operation du 05/06/2022 à OWANDO/Crepin</t>
  </si>
  <si>
    <t>Bonus mois de juin 2022/Crepin</t>
  </si>
  <si>
    <t>Frais de traitement de dossier pour validation contrat à l'ACPE/Hurielle</t>
  </si>
  <si>
    <t>Reglement facture E²C electricité/ période Mai-Juin 2022/bureau PALF</t>
  </si>
  <si>
    <t>Frais Impression 200 cartes de visites/Tiffany</t>
  </si>
  <si>
    <t>Bonus media portant sur l'annonce de l'audience du 11/07/2022 au TGI de Brazzaville</t>
  </si>
  <si>
    <t>Frais de mission maitre Helène NANITELAMIO  du 13 au 15/07/2022 à OWANDO</t>
  </si>
  <si>
    <t>Yan/Frais d'expedition et d'acte d'appel</t>
  </si>
  <si>
    <t>Remboursement Frais loyer appartement Tiffany GOBERT mois de Juillet  2022/400USD</t>
  </si>
  <si>
    <t>Achat produit d'entretien bureau/lait sucre,javel, ajax,sucre,sac poubelle</t>
  </si>
  <si>
    <t>BCI-3654490/34</t>
  </si>
  <si>
    <t>Bonus portant sur la journée mondiale du chimpanzé</t>
  </si>
  <si>
    <t>Achat credit  teléphonique MTN/PALF/Deuxième partie Juillet 2022/Management</t>
  </si>
  <si>
    <t>Achat credit  teléphonique MTN/PALF/Deuxième partie Juillet 2022/Legal</t>
  </si>
  <si>
    <t>Achat credit  teléphonique MTN/PALF/Deuxième partie Juillet 2022/Legal Volontaire</t>
  </si>
  <si>
    <t>Achat credit  teléphonique MTN/PALF/Deuxième partie Juillet 2022/Investigation</t>
  </si>
  <si>
    <t>Achat credit  teléphonique MTN/PALF/Deuxième partie Juillet 2022/Media</t>
  </si>
  <si>
    <t>Achat credit  teléphonique Airtel/PALF/Deuxième partie Juillet 2022/Management</t>
  </si>
  <si>
    <t>Achat credit  teléphonique Airtel/PALF/Deuxième partie Juillet 2022/Legal</t>
  </si>
  <si>
    <t>Achat credit  teléphonique Airtel/PALFDeuxième partie Juillet 2022/Investigation</t>
  </si>
  <si>
    <t>Reglement facture zanne/news lettre trimestrielle</t>
  </si>
  <si>
    <t>Editing Costs</t>
  </si>
  <si>
    <t>Frais de Transfert Western Union/Facture Zanne</t>
  </si>
  <si>
    <t>Frais de transfert charden farell à I23C</t>
  </si>
  <si>
    <t>Collation depart Helène et anniversaire Juillet 2022</t>
  </si>
  <si>
    <t>Team Bulding</t>
  </si>
  <si>
    <t>Frais de transfert d'argent à P29</t>
  </si>
  <si>
    <t>Bonus media portant sur laudience du 21/07/2022 au TGI d'OYO</t>
  </si>
  <si>
    <t>BCI-3654498/34</t>
  </si>
  <si>
    <t>Frais de transfert charden farell à I23C,crepin et P29</t>
  </si>
  <si>
    <t>Merveille/Retour caisse</t>
  </si>
  <si>
    <t>Frais de transfert charden farell à P29,I23c et Evariste</t>
  </si>
  <si>
    <t>Reglement frais d' internet mois d'Août 2022/Canal Box</t>
  </si>
  <si>
    <t>Entretretien général Jardin, Bureau PALF Mois de Juillet 2022</t>
  </si>
  <si>
    <t>Frais de Test COVID Tiffany GOBERT</t>
  </si>
  <si>
    <t>Travel expenses</t>
  </si>
  <si>
    <t>Frais de transfert charden farell à p29,I23c et Hurielle</t>
  </si>
  <si>
    <t>Tiffany/retour caisse</t>
  </si>
  <si>
    <t>Bonus du mois de juillet 2022/Evariste LELOUSSI</t>
  </si>
  <si>
    <t>Bonus Media portant sur Op du 28/07/2022</t>
  </si>
  <si>
    <t>Frais bancaire mois de Juillet 2022</t>
  </si>
  <si>
    <t>Bank fees</t>
  </si>
  <si>
    <t>Retrait especes/appro caisse/bord n°3654490</t>
  </si>
  <si>
    <t>Retrait especes/appro caisse/bord n°3654498</t>
  </si>
  <si>
    <t>Paiement Honoraire Me LOCKO Christian/Mois de Juin 2022</t>
  </si>
  <si>
    <t>Paiement salaire mois de Juillet 2022/Tiffany GOBERT</t>
  </si>
  <si>
    <t>Paiement salaire mois de Aout 2022/Tiffany GOBERT</t>
  </si>
  <si>
    <t>Acompte contrat N°47 Maitre Marie Hélène/cas MABIOKO BOUKAKA Emile à Mossendjo</t>
  </si>
  <si>
    <t>Rapatrieme01100RTC00019552(fonds UE)</t>
  </si>
  <si>
    <t>Achat billet Brazzaville-Dolisie (mission pour Dolisie)/I23C</t>
  </si>
  <si>
    <t>I23C - CONGO Food allowance Mission Dolisie- Makabana- Mila mila du 2 au 9 juillet 2022</t>
  </si>
  <si>
    <t>I23C - CONGO Paiement 3 nuitées à Dolisie du 2 au 5 Juillet 2022</t>
  </si>
  <si>
    <t>Taxi Dolisie- Makabana (départ pour Makabana)/I23C</t>
  </si>
  <si>
    <t>Taxi moto Makabana-Mila mila (rencontre avec informateurs)/I23C</t>
  </si>
  <si>
    <t>Taxi moto Mila mila- Makabana (retour à Makabana)/I23C</t>
  </si>
  <si>
    <t>I23C - CONGO Paiement 2 nuitées à Makabana du 5 au 7 juillet 2022</t>
  </si>
  <si>
    <t>Taxi Makabana-Dolisie/I23C</t>
  </si>
  <si>
    <t>I23C - CONGO Paiement 2 nuitées à Dolisie du 7 au 9 juillet 2022</t>
  </si>
  <si>
    <t>Recu caisse/I23C</t>
  </si>
  <si>
    <t>I23C - CONGO Food allowance mission Pointe-Noire-Dolisie du 17 au 29 juillet 2022</t>
  </si>
  <si>
    <t>Réçu caisse/I23C</t>
  </si>
  <si>
    <t>I23C - CONGO Paiement 3 nuitées du 17 au 20 Juillet 2022 à Pointe-Noire</t>
  </si>
  <si>
    <t>Achat billet Pointe-Noire - Dolisie (départ pour Dolisie)/I23C</t>
  </si>
  <si>
    <t>I23C - CONGO Paiement 3 nuitées du 20 au 23 Juillet 2022 à Dolisie</t>
  </si>
  <si>
    <t>Achat billet Dolisie- Pointe-Noire/I23C</t>
  </si>
  <si>
    <t>I23C - CONGO Paiement Hôtel 1 nuitée du 23 au 24 Juillet 2022 à Pointe-Noire</t>
  </si>
  <si>
    <t>Reçu caisse (grâce)/I23C</t>
  </si>
  <si>
    <t>Reçu caisse (budget additionnel du 26 au 27 juillet 2022)/I23C</t>
  </si>
  <si>
    <t>Cumul frais de trust building du mois Juillet 2022/I23C</t>
  </si>
  <si>
    <t>Réçu caisse (budget supplementaire du 27 au 29 Juillet 2022)/I23C</t>
  </si>
  <si>
    <t>I23C - CONGO Paiement Hôtel 2 nuitées du 27 au 29 juillet 2022 à Dolisie</t>
  </si>
  <si>
    <t>Cumul frais de transport local du mois Juillet 2022/I23C</t>
  </si>
  <si>
    <t>versement</t>
  </si>
  <si>
    <t xml:space="preserve">Frais d'expédition </t>
  </si>
  <si>
    <t>Achat billet aller Brazzaville-Dolisie/HURIELLE</t>
  </si>
  <si>
    <t>HURIELLE - CONGO FoodAlowance du 06 au 08/07/2022 à Dolisie</t>
  </si>
  <si>
    <t>Achat du billet de retour Dolisie-Brazzaville/HURIELLE</t>
  </si>
  <si>
    <t>HURIELLE - CONGO Frais d'Hotel 02 nuitées du 06 au 08/07/2022  à Dolisie</t>
  </si>
  <si>
    <t>Frais d'Ordonance du cas NGOMBELE MOLESSASSO</t>
  </si>
  <si>
    <t>Achat billet aller Brazzaville -Dolisie/HURIELLE</t>
  </si>
  <si>
    <t>HURIELLE - CONGO FoodAlowance du 25 au 30/07/2022 à Dolisie</t>
  </si>
  <si>
    <t>Reçu de Crépin/Hurielle</t>
  </si>
  <si>
    <t>Cumul Raffraichissement avant OP à Mabakana pour autorités/Hurielle MFOULOU</t>
  </si>
  <si>
    <t>Achat nourriture pour Mandrils et Pérroquets à Dolisie</t>
  </si>
  <si>
    <t>Cumul frais de Jail Visits du mois de Juillet 2022/Hurielle MFOULOU</t>
  </si>
  <si>
    <t>Jail Visits</t>
  </si>
  <si>
    <t>HURIELLE - CONGO Frais d'hotel 03 nuitées à Dolisie du 27 au 30/07/2022</t>
  </si>
  <si>
    <t>Achat billet de retour Dolisie-Brazzaville/HURIELLE</t>
  </si>
  <si>
    <t>Cumul frais de Transport Local mois de Juillet 2022/Hurielle MFOULOU</t>
  </si>
  <si>
    <t>YAN GOMAT - CONGO Frais d'hôtel 02 nuitées du 29 juin au 1 juillet 22 à Owando</t>
  </si>
  <si>
    <t>Retour caisse/Yan GOMAT</t>
  </si>
  <si>
    <t>Reçu Caisse/Yan GOMAT</t>
  </si>
  <si>
    <t>YAN GOMAT - CONGO Food Allowance du 13 au 15 juillet 2022 à Owando</t>
  </si>
  <si>
    <t>Frais d'acte d'appel et de l'expédition de l'affaire AHOUNGA &amp; KENGONA</t>
  </si>
  <si>
    <t>YAN GOMAT - CONGO Foodallowance du 20 au 22 juillet 2022</t>
  </si>
  <si>
    <t>Cumul frais de jail visit mois de Juillet 2022/Yan GOMAT</t>
  </si>
  <si>
    <t>YAN GOMAT - CONGO Frais d'hôtel du 20 au 22 juillet 2022 à Oyo</t>
  </si>
  <si>
    <t>Cumul frais de ration mois de  juillet 2022/Yan GOMAT</t>
  </si>
  <si>
    <t>Cumul frais de transport local mois de Juillet 2022/Yan GOMAT</t>
  </si>
  <si>
    <t>Réçu de la caisse/EVARISTE</t>
  </si>
  <si>
    <t>Reçu de la caisse/EVARISTE</t>
  </si>
  <si>
    <t xml:space="preserve"> </t>
  </si>
  <si>
    <t xml:space="preserve">Achat billet Brazzaville-Dolisie /EVARISTE </t>
  </si>
  <si>
    <t xml:space="preserve">Achat boissons, buscuits et eaux minérale pour mon équipe pour une opération </t>
  </si>
  <si>
    <t xml:space="preserve">EVARISTE LELOUSSI  CONGO - Food allowance (du 25 au 29 juillet 2022) </t>
  </si>
  <si>
    <t>Reçu de Crépin/EVARISTE</t>
  </si>
  <si>
    <t>Achat carburant pour la BJ de la Gendarmerie</t>
  </si>
  <si>
    <t>Reçu de la Caisse/EVARISTE</t>
  </si>
  <si>
    <t>Frais Ration des gendarmes à Makabana avant OP( plats poullet et bouillon silure)</t>
  </si>
  <si>
    <t>EVARISTE LELOUSSI  CONGO - Frais de l'hôtel du 25 au 29 juillet 2022 (4 nuitées) à Dolisie</t>
  </si>
  <si>
    <t xml:space="preserve">Achat Billet Dolisie-Brazzaville /EVARISTE </t>
  </si>
  <si>
    <t>Cumul frais de transport local du mois de Juillet 2022/Evariste LELOUSSI</t>
  </si>
  <si>
    <t>Achat Billet Brazzaville - Dolisie /GRACE MOLENDE</t>
  </si>
  <si>
    <t>Achat Biberon, Gants,Masques,Sels d'hydratation,/Pour les Mandrils</t>
  </si>
  <si>
    <t>Achat fruit Jus , Biscuit et Eau/Pour Autorités</t>
  </si>
  <si>
    <t>Achat fruit (Banane, Papaye, Eau minerale ) Pour Mandrils</t>
  </si>
  <si>
    <t>GRACE MOLENDE - CONGO Food Allowance du 25 au 27/07/2022 à Dolisie</t>
  </si>
  <si>
    <t>Transfert à Crépin /Grace MOLENDE</t>
  </si>
  <si>
    <t>Transfert à P29/Grace MOLENDE</t>
  </si>
  <si>
    <t>Transfert à I23C /Grace MOLENDE</t>
  </si>
  <si>
    <t>Achat Billet Dolisie-Brazzaville /GRACE MOLENDE</t>
  </si>
  <si>
    <t>Cumul Frais de Transport Local du Moius de Juillet 2022/GRACE MOLENDE</t>
  </si>
  <si>
    <t>Achat billet Brazzaville - Dolisie/depart Dolisie/Merveille</t>
  </si>
  <si>
    <t>MERVEILLE - CONGO Foodallowance mission du  25 au 27/07/2022 à Dolisie</t>
  </si>
  <si>
    <t>Achat Billet Dolisie - Brazzaville/retour à brazzaville/Merveille</t>
  </si>
  <si>
    <t>Retour caisse/Merveille</t>
  </si>
  <si>
    <t>Cumul frais de transport Local mois de Juillet 2022/Merveille</t>
  </si>
  <si>
    <t>Achat billet Brazzaville-Pointe Noire/P29</t>
  </si>
  <si>
    <t>P29 - CONGO Food allowance mission du 02 au 09-07-2022</t>
  </si>
  <si>
    <t>P29 - CONGO Paiement 5 nuitées du 02 au 07-07-2022 à pointe noire</t>
  </si>
  <si>
    <t>Achat billet Pointe Noire-les saras/P29</t>
  </si>
  <si>
    <t>Achat billet les saras-Madingou/P29</t>
  </si>
  <si>
    <t>Achat billet Madingou - Brazzaville /P29</t>
  </si>
  <si>
    <t>P29 - CONGO Paiement 2 nuitées du 07 au 09-07-2022 à madingou</t>
  </si>
  <si>
    <t>Achat billet Brazzaville-dolisie/P29</t>
  </si>
  <si>
    <t xml:space="preserve">P29 - CONGO Food allowance mission du 15 au 30-07-2022 </t>
  </si>
  <si>
    <t>Frais courtier,visite appartement/Demarcheur</t>
  </si>
  <si>
    <t>Frais courtier,visite appartement</t>
  </si>
  <si>
    <t>P29 - CONGO Paiement 3 nuitées du 15 au 18-07-2022 à dolisie</t>
  </si>
  <si>
    <t>Achat billet dolisie-mbinda/P29</t>
  </si>
  <si>
    <t>Achat carburant 7litre mbinda-ekoko(aller-retour)</t>
  </si>
  <si>
    <t>Achat billet mbinda-dolisie/P29</t>
  </si>
  <si>
    <t>P29 - CONGO Paiement 4 nuitées du 18 au 22-07-2022 à mbinda</t>
  </si>
  <si>
    <t>Cumul frais de transport local du mois de juillet 2022/P29</t>
  </si>
  <si>
    <t>Cumul frais de Trust Building du mois de Juillet 2022/P29</t>
  </si>
  <si>
    <t>Achat billet dolisie-Brazzaville/P29</t>
  </si>
  <si>
    <t>P29 - CONGO Paiement 8 nuitées du 22 au 30-07-2022 à dolisie</t>
  </si>
  <si>
    <t>CREPIN IBOUILI - CCONGO Frias d'Hotel 06 Nuitées du 30/06/ au 06/07/2022 à Dolisie</t>
  </si>
  <si>
    <t>CREPIN IBOUILI - CCONGO Food-Allowance du 22/07/ au 04/08/2022 à Dolisie</t>
  </si>
  <si>
    <t>Frais d'impression de la fiche interpol</t>
  </si>
  <si>
    <t>Frais de location de 4 appartements /30000 l'unité /02 nuitées du 26 au 27/07/22 à Dolisie</t>
  </si>
  <si>
    <t>Frais achat carburant BJ autorité</t>
  </si>
  <si>
    <t>Moi à Evariste/Crépin</t>
  </si>
  <si>
    <t>Frais achat raffraichissement pour Autorités</t>
  </si>
  <si>
    <t>Moi à Hurielle/Crépin</t>
  </si>
  <si>
    <t xml:space="preserve">Bonus opération du 28/07/2022 à Makabana pour 4 agents EF </t>
  </si>
  <si>
    <t>Cumul frais de Jail visits du mois de Juillet 2022/Crépin</t>
  </si>
  <si>
    <t>Cumul frais Transport Local du mois de juillet 2022/Crépin</t>
  </si>
  <si>
    <t>Transfert Caisse/ Tiffany</t>
  </si>
  <si>
    <t>Retour caisse/ Tiffany</t>
  </si>
  <si>
    <t>Grant</t>
  </si>
  <si>
    <t>5.8</t>
  </si>
  <si>
    <t>Frais de mission maitre Marie Hélène NANITELAMIO à Oyo du 20 au 22/07/2022/Cas MOLANGO</t>
  </si>
  <si>
    <t>Frais de mission maitre Marie hélène à Mossendjo et Dolisie du 01 au 03 Aout 2022</t>
  </si>
  <si>
    <t>Frais d'achat des médicaments</t>
  </si>
  <si>
    <t>Frais d'établissement du certificat</t>
  </si>
  <si>
    <t>Cumul frais de transport local du mois de Juillet 2022/Tiffany GOBERT</t>
  </si>
  <si>
    <t>CREPIN IBOUILI - CCONGO Frias d'Hotel 04 Nuitées du 27 au 31/07/2022 à Dolisie</t>
  </si>
  <si>
    <t>Bonus opération du 28/07/2022 à Makabana pour 16 autorités (Gendarmes)</t>
  </si>
  <si>
    <t>CREPIN IBOUILI - CCONGO Frias d'Hotel 03 Nuitées du 22 au 25/07/2022 à Dolisie</t>
  </si>
  <si>
    <t>Achat billet aller de bus Brazzaville/ Owando - Yan Gomat</t>
  </si>
  <si>
    <t>Achat billet retour Owando/ Brazzaville -Yan GOMAT</t>
  </si>
  <si>
    <t xml:space="preserve">YAN GOMAT - CONGO Frais d'Hôtel du 13 au 15 juillet 2022 à Owando </t>
  </si>
  <si>
    <t>Achat billet de bus Brazzaville / Oyo -Yan GOMAT</t>
  </si>
  <si>
    <t>Achat billet de bus Oyo/ Brazzaville -Yan GOMAT</t>
  </si>
  <si>
    <t>I23C - CONGO Paiement 2 nuitées appartement Bacongo du 24 au 26 août 2022 à Dolisie</t>
  </si>
  <si>
    <t>I23C - CONGO Paiement 1 nuitée  appartement Bacongo du 26 au 27 août 2022 à Dolisie</t>
  </si>
  <si>
    <t>Achat billet Brazzaville-Pointe-Noire/I23C</t>
  </si>
  <si>
    <t>RALFF-CO3550</t>
  </si>
  <si>
    <t>RALFF-CO3551</t>
  </si>
  <si>
    <t>RALFF-CO3552</t>
  </si>
  <si>
    <t>RALFF-CO3554</t>
  </si>
  <si>
    <t>RALFF-CO3555</t>
  </si>
  <si>
    <t>RALFF-CO3556</t>
  </si>
  <si>
    <t>RALFF-CO3557</t>
  </si>
  <si>
    <t>RALFF-CO3553</t>
  </si>
  <si>
    <t>RALFF-CO3558</t>
  </si>
  <si>
    <t>RALFF-CO3559</t>
  </si>
  <si>
    <t>RALFF-CO3560</t>
  </si>
  <si>
    <t>RALFF-CO3561</t>
  </si>
  <si>
    <t>RALFF-CO3562</t>
  </si>
  <si>
    <t>RALFF-CO3563</t>
  </si>
  <si>
    <t>RALFF-CO3564</t>
  </si>
  <si>
    <t>RALFF-CO3565</t>
  </si>
  <si>
    <t>RALFF-CO3566</t>
  </si>
  <si>
    <t>RALFF-CO3567</t>
  </si>
  <si>
    <t>RALFF-CO3568</t>
  </si>
  <si>
    <t>RALFF-CO3569</t>
  </si>
  <si>
    <t>RALFF-CO3570</t>
  </si>
  <si>
    <t>RALFF-CO3571</t>
  </si>
  <si>
    <t>RALFF-CO3572</t>
  </si>
  <si>
    <t>RALFF-CO3573</t>
  </si>
  <si>
    <t>RALFF-CO3574</t>
  </si>
  <si>
    <t>RALFF-CO3575</t>
  </si>
  <si>
    <t>RALFF-CO3576</t>
  </si>
  <si>
    <t>RALFF-CO3577</t>
  </si>
  <si>
    <t>RALFF-CO3578</t>
  </si>
  <si>
    <t>RALFF-CO3579</t>
  </si>
  <si>
    <t>RALFF-CO3580</t>
  </si>
  <si>
    <t>RALFF-CO3581</t>
  </si>
  <si>
    <t>RALFF-CO3582</t>
  </si>
  <si>
    <t>RALFF-CO3583</t>
  </si>
  <si>
    <t>RALFF-CO3584</t>
  </si>
  <si>
    <t>RALFF-CO3585</t>
  </si>
  <si>
    <t>RALFF-CO3586</t>
  </si>
  <si>
    <t>RALFF-CO3587</t>
  </si>
  <si>
    <t>RALFF-CO3588</t>
  </si>
  <si>
    <t>RALFF-CO3589</t>
  </si>
  <si>
    <t>RALFF-CO3590</t>
  </si>
  <si>
    <t>RALFF-CO3591</t>
  </si>
  <si>
    <t>RALFF-CO3592</t>
  </si>
  <si>
    <t>RALFF-CO3593</t>
  </si>
  <si>
    <t>RALFF-CO3594</t>
  </si>
  <si>
    <t>RALFF-CO3595</t>
  </si>
  <si>
    <t>RALFF-CO3596</t>
  </si>
  <si>
    <t>RALFF-CO3597</t>
  </si>
  <si>
    <t>RALFF-CO3598</t>
  </si>
  <si>
    <t>RALFF-CO3599</t>
  </si>
  <si>
    <t>RALFF-CO3600</t>
  </si>
  <si>
    <t>RALFF-CO3601</t>
  </si>
  <si>
    <t>RALFF-CO3602</t>
  </si>
  <si>
    <t>RALFF-CO3603</t>
  </si>
  <si>
    <t>RALFF-CO3604</t>
  </si>
  <si>
    <t>RALFF-CO3605</t>
  </si>
  <si>
    <t>RALFF-CO3606</t>
  </si>
  <si>
    <t>RALFF-CO3607</t>
  </si>
  <si>
    <t>RALFF-CO3608</t>
  </si>
  <si>
    <t>RALFF-CO3609</t>
  </si>
  <si>
    <t>RALFF-CO3610</t>
  </si>
  <si>
    <t>RALFF-CO3611</t>
  </si>
  <si>
    <t>RALFF-CO3612</t>
  </si>
  <si>
    <t>RALFF-CO3613</t>
  </si>
  <si>
    <t>RALFF-CO3614</t>
  </si>
  <si>
    <t>RALFF-CO3615</t>
  </si>
  <si>
    <t>RALFF-CO3616</t>
  </si>
  <si>
    <t>RALFF-CO3617</t>
  </si>
  <si>
    <t>RALFF-CO3618</t>
  </si>
  <si>
    <t>RALFF-CO3619</t>
  </si>
  <si>
    <t>RALFF-CO3620</t>
  </si>
  <si>
    <t>RALFF-CO3621</t>
  </si>
  <si>
    <t>RALFF-CO3622</t>
  </si>
  <si>
    <t>RALFF-CO3623</t>
  </si>
  <si>
    <t>RALFF-CO3624</t>
  </si>
  <si>
    <t>RALFF-CO3625</t>
  </si>
  <si>
    <t>RALFF-CO3626</t>
  </si>
  <si>
    <t>RALFF-CO3627</t>
  </si>
  <si>
    <t>RALFF-CO3628</t>
  </si>
  <si>
    <t>RALFF-CO3629</t>
  </si>
  <si>
    <t>RALFF-CO3630</t>
  </si>
  <si>
    <t>RALFF-CO3631</t>
  </si>
  <si>
    <t>RALFF-CO3632</t>
  </si>
  <si>
    <t>RALFF-CO3633</t>
  </si>
  <si>
    <t>RALFF-CO3634</t>
  </si>
  <si>
    <t>RALFF-CO3635</t>
  </si>
  <si>
    <t>RALFF-CO3636</t>
  </si>
  <si>
    <t>RALFF-CO3637</t>
  </si>
  <si>
    <t>RALFF-CO3638</t>
  </si>
  <si>
    <t>RALFF-CO3639</t>
  </si>
  <si>
    <t>RALFF-CO3649</t>
  </si>
  <si>
    <t>RALFF-CO3640</t>
  </si>
  <si>
    <t>RALFF-CO3641</t>
  </si>
  <si>
    <t>RALFF-CO3642</t>
  </si>
  <si>
    <t>RALFF-CO3643</t>
  </si>
  <si>
    <t>RALFF-CO3644</t>
  </si>
  <si>
    <t>RALFF-CO3645</t>
  </si>
  <si>
    <t>RALFF-CO3646</t>
  </si>
  <si>
    <t>RALFF-CO3647</t>
  </si>
  <si>
    <t>RALFF-CO3648</t>
  </si>
  <si>
    <t>RALFF-CO3650</t>
  </si>
  <si>
    <t>RALFF-CO3651</t>
  </si>
  <si>
    <t>RALFF-CO3652</t>
  </si>
  <si>
    <t>RALFF-CO3653</t>
  </si>
  <si>
    <t>Reçu de Hurielle / P29</t>
  </si>
  <si>
    <t>Paiement CNSS deuxième trimestre /Avril,Mai et Juin 2022/Crépin IBOUILI IBOUILI</t>
  </si>
  <si>
    <t>Paiement CNSS deuxième trimestre /Avril,Mai et Juin  2022/Evariste LELOUSSI</t>
  </si>
  <si>
    <t>Paiement CNSS deuxième trimestre /Avril,Mai et Juin 202/Grace MOLENDE</t>
  </si>
  <si>
    <t>Paiement CNSS deuxième trimestre /Avril et Mai 2022/Godfre MALONGA</t>
  </si>
  <si>
    <t>Paiement CNSS deuxième trimestre /Juin 2022/Hurielle MFOULOU</t>
  </si>
  <si>
    <t>Paiement CNSS deuxième trimestre /Avril,Mai et Juin  2022/Merveille MAHANGA</t>
  </si>
  <si>
    <t>Frais bancaire AGIOS du 30 Mai au 31 Juillet 2022</t>
  </si>
</sst>
</file>

<file path=xl/styles.xml><?xml version="1.0" encoding="utf-8"?>
<styleSheet xmlns="http://schemas.openxmlformats.org/spreadsheetml/2006/main">
  <numFmts count="9">
    <numFmt numFmtId="41" formatCode="_-* #,##0\ _F_C_F_A_-;\-* #,##0\ _F_C_F_A_-;_-* &quot;-&quot;\ _F_C_F_A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[$-409]d\-mmm\-yy;@"/>
    <numFmt numFmtId="167" formatCode="[$-40C]0"/>
    <numFmt numFmtId="168" formatCode="&quot; &quot;#,##0&quot;    &quot;;&quot;-&quot;#,##0&quot;    &quot;;&quot; -&quot;#&quot;    &quot;;&quot; &quot;@&quot; &quot;"/>
    <numFmt numFmtId="169" formatCode="[$-40C]General"/>
    <numFmt numFmtId="170" formatCode="[$]d\ mmm\ yyyy;@"/>
    <numFmt numFmtId="171" formatCode="[$-10C00]d\ mmm\ yyyy;@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color rgb="FFFF0000"/>
      <name val="Calibri"/>
      <family val="2"/>
      <scheme val="minor"/>
    </font>
    <font>
      <sz val="10"/>
      <color rgb="FFFF0000"/>
      <name val="Arial Narrow"/>
      <family val="2"/>
    </font>
    <font>
      <sz val="9"/>
      <color theme="1"/>
      <name val="Arial Narrow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Arial Narrow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theme="5"/>
      <name val="Arial Narrow"/>
      <family val="2"/>
    </font>
    <font>
      <b/>
      <sz val="10"/>
      <color theme="5"/>
      <name val="Arial Narrow"/>
      <family val="2"/>
    </font>
    <font>
      <b/>
      <i/>
      <sz val="10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8"/>
      <color rgb="FFFF0000"/>
      <name val="Calibri"/>
      <family val="2"/>
      <scheme val="minor"/>
    </font>
    <font>
      <sz val="10"/>
      <color rgb="FF000000"/>
      <name val="Arial Narrow"/>
      <family val="2"/>
    </font>
    <font>
      <sz val="10"/>
      <color rgb="FF000000"/>
      <name val="Arial"/>
      <family val="2"/>
    </font>
    <font>
      <sz val="9"/>
      <color rgb="FF000000"/>
      <name val="Arial Narrow"/>
      <family val="2"/>
    </font>
    <font>
      <sz val="10"/>
      <color rgb="FFED7D31"/>
      <name val="Arial Narrow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</font>
    <font>
      <sz val="12"/>
      <color theme="1"/>
      <name val="Arial Narrow"/>
      <family val="2"/>
    </font>
    <font>
      <sz val="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Arial Narrow"/>
      <family val="2"/>
    </font>
    <font>
      <sz val="12"/>
      <name val="Arial Narrow"/>
      <family val="2"/>
    </font>
    <font>
      <sz val="12"/>
      <color theme="0"/>
      <name val="Arial Narrow"/>
      <family val="2"/>
    </font>
    <font>
      <sz val="12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sz val="11"/>
      <name val="Calibri"/>
      <family val="2"/>
      <scheme val="minor"/>
    </font>
    <font>
      <sz val="10"/>
      <color theme="1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BC2E6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AEAAAA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lightGray">
        <bgColor theme="5" tint="0.3999755851924192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10" fillId="0" borderId="0"/>
    <xf numFmtId="41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23" fillId="0" borderId="0" applyBorder="0" applyProtection="0"/>
    <xf numFmtId="9" fontId="1" fillId="0" borderId="0" applyFont="0" applyFill="0" applyBorder="0" applyAlignment="0" applyProtection="0"/>
  </cellStyleXfs>
  <cellXfs count="54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1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4" fontId="11" fillId="6" borderId="1" xfId="3" applyNumberFormat="1" applyFont="1" applyFill="1" applyBorder="1"/>
    <xf numFmtId="0" fontId="11" fillId="6" borderId="1" xfId="3" applyFont="1" applyFill="1" applyBorder="1"/>
    <xf numFmtId="0" fontId="12" fillId="0" borderId="1" xfId="0" applyFont="1" applyFill="1" applyBorder="1" applyAlignment="1"/>
    <xf numFmtId="165" fontId="0" fillId="0" borderId="0" xfId="0" applyNumberFormat="1" applyAlignment="1">
      <alignment vertical="center"/>
    </xf>
    <xf numFmtId="0" fontId="12" fillId="0" borderId="0" xfId="0" applyFont="1" applyFill="1" applyBorder="1" applyAlignment="1"/>
    <xf numFmtId="0" fontId="13" fillId="0" borderId="0" xfId="0" applyFont="1" applyBorder="1" applyAlignment="1">
      <alignment vertical="center"/>
    </xf>
    <xf numFmtId="165" fontId="14" fillId="0" borderId="0" xfId="1" applyNumberFormat="1" applyFont="1" applyBorder="1" applyProtection="1">
      <protection locked="0"/>
    </xf>
    <xf numFmtId="165" fontId="15" fillId="0" borderId="0" xfId="1" applyNumberFormat="1" applyFont="1" applyBorder="1" applyProtection="1">
      <protection locked="0"/>
    </xf>
    <xf numFmtId="165" fontId="12" fillId="0" borderId="0" xfId="0" applyNumberFormat="1" applyFont="1" applyFill="1" applyBorder="1" applyAlignment="1"/>
    <xf numFmtId="165" fontId="13" fillId="0" borderId="0" xfId="0" applyNumberFormat="1" applyFont="1" applyBorder="1" applyAlignment="1">
      <alignment vertical="center"/>
    </xf>
    <xf numFmtId="0" fontId="16" fillId="0" borderId="0" xfId="0" applyFont="1" applyAlignment="1"/>
    <xf numFmtId="0" fontId="4" fillId="0" borderId="0" xfId="0" applyFont="1" applyAlignment="1"/>
    <xf numFmtId="0" fontId="5" fillId="7" borderId="0" xfId="0" applyFont="1" applyFill="1" applyAlignment="1">
      <alignment horizontal="center"/>
    </xf>
    <xf numFmtId="0" fontId="5" fillId="0" borderId="0" xfId="0" applyFont="1" applyFill="1" applyAlignment="1"/>
    <xf numFmtId="0" fontId="4" fillId="0" borderId="0" xfId="0" applyFont="1" applyFill="1" applyAlignment="1"/>
    <xf numFmtId="165" fontId="4" fillId="0" borderId="0" xfId="1" applyNumberFormat="1" applyFont="1" applyFill="1" applyProtection="1"/>
    <xf numFmtId="165" fontId="5" fillId="0" borderId="3" xfId="1" applyNumberFormat="1" applyFont="1" applyFill="1" applyBorder="1" applyAlignment="1" applyProtection="1">
      <alignment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4" fillId="10" borderId="4" xfId="1" applyNumberFormat="1" applyFont="1" applyFill="1" applyBorder="1" applyAlignment="1" applyProtection="1">
      <alignment horizontal="center" vertical="center"/>
    </xf>
    <xf numFmtId="0" fontId="18" fillId="10" borderId="5" xfId="0" applyFont="1" applyFill="1" applyBorder="1" applyAlignment="1"/>
    <xf numFmtId="165" fontId="4" fillId="10" borderId="5" xfId="1" applyNumberFormat="1" applyFont="1" applyFill="1" applyBorder="1" applyProtection="1"/>
    <xf numFmtId="165" fontId="4" fillId="10" borderId="5" xfId="0" applyNumberFormat="1" applyFont="1" applyFill="1" applyBorder="1" applyAlignment="1"/>
    <xf numFmtId="165" fontId="4" fillId="0" borderId="3" xfId="1" applyNumberFormat="1" applyFont="1" applyBorder="1" applyProtection="1"/>
    <xf numFmtId="165" fontId="0" fillId="0" borderId="1" xfId="1" applyNumberFormat="1" applyFont="1" applyFill="1" applyBorder="1" applyProtection="1"/>
    <xf numFmtId="165" fontId="4" fillId="0" borderId="6" xfId="1" applyNumberFormat="1" applyFont="1" applyFill="1" applyBorder="1" applyProtection="1"/>
    <xf numFmtId="165" fontId="4" fillId="0" borderId="1" xfId="0" applyNumberFormat="1" applyFont="1" applyFill="1" applyBorder="1" applyAlignment="1"/>
    <xf numFmtId="165" fontId="4" fillId="0" borderId="1" xfId="1" applyNumberFormat="1" applyFont="1" applyFill="1" applyBorder="1" applyProtection="1"/>
    <xf numFmtId="165" fontId="19" fillId="0" borderId="1" xfId="1" applyNumberFormat="1" applyFont="1" applyFill="1" applyBorder="1" applyProtection="1"/>
    <xf numFmtId="165" fontId="1" fillId="0" borderId="1" xfId="1" applyNumberFormat="1" applyFont="1" applyFill="1" applyBorder="1" applyProtection="1"/>
    <xf numFmtId="165" fontId="5" fillId="10" borderId="4" xfId="1" applyNumberFormat="1" applyFont="1" applyFill="1" applyBorder="1" applyAlignment="1" applyProtection="1">
      <alignment horizontal="left"/>
    </xf>
    <xf numFmtId="165" fontId="5" fillId="10" borderId="5" xfId="1" applyNumberFormat="1" applyFont="1" applyFill="1" applyBorder="1" applyAlignment="1" applyProtection="1">
      <alignment horizontal="left"/>
    </xf>
    <xf numFmtId="165" fontId="4" fillId="10" borderId="1" xfId="0" applyNumberFormat="1" applyFont="1" applyFill="1" applyBorder="1" applyAlignment="1"/>
    <xf numFmtId="0" fontId="5" fillId="0" borderId="4" xfId="0" applyFont="1" applyFill="1" applyBorder="1" applyAlignment="1"/>
    <xf numFmtId="165" fontId="4" fillId="0" borderId="1" xfId="1" applyNumberFormat="1" applyFont="1" applyFill="1" applyBorder="1" applyAlignment="1" applyProtection="1"/>
    <xf numFmtId="165" fontId="4" fillId="0" borderId="6" xfId="1" applyNumberFormat="1" applyFont="1" applyBorder="1" applyProtection="1"/>
    <xf numFmtId="165" fontId="20" fillId="0" borderId="1" xfId="1" applyNumberFormat="1" applyFont="1" applyBorder="1" applyProtection="1"/>
    <xf numFmtId="165" fontId="20" fillId="0" borderId="0" xfId="1" applyNumberFormat="1" applyFont="1" applyProtection="1"/>
    <xf numFmtId="165" fontId="10" fillId="0" borderId="1" xfId="0" applyNumberFormat="1" applyFont="1" applyBorder="1" applyAlignment="1"/>
    <xf numFmtId="0" fontId="18" fillId="10" borderId="4" xfId="0" applyFont="1" applyFill="1" applyBorder="1" applyAlignment="1"/>
    <xf numFmtId="165" fontId="0" fillId="0" borderId="1" xfId="1" applyNumberFormat="1" applyFont="1" applyBorder="1" applyProtection="1"/>
    <xf numFmtId="165" fontId="4" fillId="0" borderId="1" xfId="0" applyNumberFormat="1" applyFont="1" applyBorder="1" applyAlignment="1"/>
    <xf numFmtId="0" fontId="0" fillId="0" borderId="1" xfId="0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" xfId="0" applyNumberFormat="1" applyBorder="1" applyAlignment="1">
      <alignment vertical="center"/>
    </xf>
    <xf numFmtId="165" fontId="16" fillId="0" borderId="6" xfId="1" applyNumberFormat="1" applyFont="1" applyBorder="1" applyProtection="1"/>
    <xf numFmtId="165" fontId="19" fillId="0" borderId="6" xfId="1" applyNumberFormat="1" applyFont="1" applyBorder="1" applyProtection="1"/>
    <xf numFmtId="165" fontId="19" fillId="0" borderId="1" xfId="1" applyNumberFormat="1" applyFont="1" applyBorder="1" applyAlignment="1" applyProtection="1">
      <alignment vertical="center"/>
    </xf>
    <xf numFmtId="165" fontId="19" fillId="5" borderId="1" xfId="1" applyNumberFormat="1" applyFont="1" applyFill="1" applyBorder="1" applyProtection="1"/>
    <xf numFmtId="165" fontId="9" fillId="0" borderId="3" xfId="1" applyNumberFormat="1" applyFont="1" applyFill="1" applyBorder="1" applyProtection="1"/>
    <xf numFmtId="165" fontId="19" fillId="5" borderId="1" xfId="1" applyNumberFormat="1" applyFont="1" applyFill="1" applyBorder="1" applyAlignment="1" applyProtection="1">
      <alignment vertical="center"/>
    </xf>
    <xf numFmtId="165" fontId="1" fillId="0" borderId="0" xfId="1" applyNumberFormat="1" applyFont="1" applyFill="1" applyProtection="1"/>
    <xf numFmtId="165" fontId="19" fillId="0" borderId="1" xfId="1" applyNumberFormat="1" applyFont="1" applyFill="1" applyBorder="1" applyAlignment="1" applyProtection="1">
      <alignment horizontal="center" vertical="center"/>
    </xf>
    <xf numFmtId="165" fontId="8" fillId="0" borderId="6" xfId="1" applyNumberFormat="1" applyFont="1" applyFill="1" applyBorder="1" applyProtection="1"/>
    <xf numFmtId="165" fontId="21" fillId="0" borderId="0" xfId="1" applyNumberFormat="1" applyFont="1" applyBorder="1" applyProtection="1">
      <protection locked="0"/>
    </xf>
    <xf numFmtId="0" fontId="6" fillId="0" borderId="1" xfId="0" applyFont="1" applyFill="1" applyBorder="1" applyAlignment="1"/>
    <xf numFmtId="0" fontId="22" fillId="0" borderId="1" xfId="0" applyFont="1" applyBorder="1" applyAlignment="1">
      <alignment vertical="center"/>
    </xf>
    <xf numFmtId="165" fontId="23" fillId="0" borderId="1" xfId="1" applyNumberFormat="1" applyFont="1" applyBorder="1" applyProtection="1">
      <protection locked="0"/>
    </xf>
    <xf numFmtId="165" fontId="24" fillId="0" borderId="1" xfId="1" applyNumberFormat="1" applyFont="1" applyBorder="1" applyProtection="1">
      <protection locked="0"/>
    </xf>
    <xf numFmtId="0" fontId="7" fillId="0" borderId="0" xfId="0" applyFont="1" applyAlignment="1">
      <alignment vertical="center"/>
    </xf>
    <xf numFmtId="0" fontId="2" fillId="7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0" fillId="10" borderId="1" xfId="0" applyFill="1" applyBorder="1" applyAlignment="1">
      <alignment vertical="center"/>
    </xf>
    <xf numFmtId="3" fontId="0" fillId="10" borderId="1" xfId="0" applyNumberForma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7" fillId="0" borderId="0" xfId="0" applyFont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5" fillId="13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24" fillId="0" borderId="0" xfId="0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165" fontId="4" fillId="0" borderId="0" xfId="1" applyNumberFormat="1" applyFont="1" applyFill="1" applyBorder="1" applyProtection="1"/>
    <xf numFmtId="165" fontId="4" fillId="17" borderId="4" xfId="1" applyNumberFormat="1" applyFont="1" applyFill="1" applyBorder="1" applyAlignment="1" applyProtection="1">
      <alignment horizontal="center" vertical="center"/>
    </xf>
    <xf numFmtId="0" fontId="18" fillId="17" borderId="5" xfId="0" applyFont="1" applyFill="1" applyBorder="1" applyAlignment="1"/>
    <xf numFmtId="165" fontId="4" fillId="17" borderId="5" xfId="1" applyNumberFormat="1" applyFont="1" applyFill="1" applyBorder="1" applyProtection="1"/>
    <xf numFmtId="165" fontId="4" fillId="17" borderId="5" xfId="0" applyNumberFormat="1" applyFont="1" applyFill="1" applyBorder="1" applyAlignment="1"/>
    <xf numFmtId="165" fontId="4" fillId="0" borderId="3" xfId="1" applyNumberFormat="1" applyFont="1" applyFill="1" applyBorder="1" applyProtection="1"/>
    <xf numFmtId="165" fontId="24" fillId="0" borderId="1" xfId="1" applyNumberFormat="1" applyFont="1" applyFill="1" applyBorder="1" applyProtection="1"/>
    <xf numFmtId="165" fontId="28" fillId="0" borderId="1" xfId="1" applyNumberFormat="1" applyFont="1" applyFill="1" applyBorder="1" applyAlignment="1" applyProtection="1">
      <alignment horizontal="center" vertical="center"/>
    </xf>
    <xf numFmtId="165" fontId="23" fillId="0" borderId="1" xfId="1" applyNumberFormat="1" applyFont="1" applyFill="1" applyBorder="1" applyProtection="1"/>
    <xf numFmtId="165" fontId="28" fillId="0" borderId="1" xfId="1" applyNumberFormat="1" applyFont="1" applyFill="1" applyBorder="1" applyProtection="1"/>
    <xf numFmtId="165" fontId="23" fillId="0" borderId="0" xfId="1" applyNumberFormat="1" applyFont="1" applyFill="1" applyBorder="1" applyProtection="1"/>
    <xf numFmtId="165" fontId="5" fillId="17" borderId="4" xfId="1" applyNumberFormat="1" applyFont="1" applyFill="1" applyBorder="1" applyAlignment="1" applyProtection="1">
      <alignment horizontal="left"/>
    </xf>
    <xf numFmtId="165" fontId="5" fillId="17" borderId="5" xfId="1" applyNumberFormat="1" applyFont="1" applyFill="1" applyBorder="1" applyAlignment="1" applyProtection="1">
      <alignment horizontal="left"/>
    </xf>
    <xf numFmtId="165" fontId="4" fillId="17" borderId="1" xfId="0" applyNumberFormat="1" applyFont="1" applyFill="1" applyBorder="1" applyAlignment="1"/>
    <xf numFmtId="165" fontId="29" fillId="0" borderId="1" xfId="1" applyNumberFormat="1" applyFont="1" applyFill="1" applyBorder="1" applyProtection="1"/>
    <xf numFmtId="3" fontId="24" fillId="0" borderId="1" xfId="0" applyNumberFormat="1" applyFont="1" applyFill="1" applyBorder="1" applyAlignment="1">
      <alignment vertical="center"/>
    </xf>
    <xf numFmtId="165" fontId="29" fillId="0" borderId="0" xfId="1" applyNumberFormat="1" applyFont="1" applyFill="1" applyBorder="1" applyProtection="1"/>
    <xf numFmtId="165" fontId="10" fillId="0" borderId="1" xfId="0" applyNumberFormat="1" applyFont="1" applyFill="1" applyBorder="1" applyAlignment="1"/>
    <xf numFmtId="0" fontId="18" fillId="17" borderId="4" xfId="0" applyFont="1" applyFill="1" applyBorder="1" applyAlignment="1"/>
    <xf numFmtId="165" fontId="30" fillId="0" borderId="3" xfId="1" applyNumberFormat="1" applyFont="1" applyFill="1" applyBorder="1" applyProtection="1"/>
    <xf numFmtId="165" fontId="28" fillId="0" borderId="6" xfId="1" applyNumberFormat="1" applyFont="1" applyFill="1" applyBorder="1" applyProtection="1"/>
    <xf numFmtId="165" fontId="28" fillId="18" borderId="1" xfId="1" applyNumberFormat="1" applyFont="1" applyFill="1" applyBorder="1" applyProtection="1"/>
    <xf numFmtId="165" fontId="28" fillId="18" borderId="1" xfId="1" applyNumberFormat="1" applyFont="1" applyFill="1" applyBorder="1" applyAlignment="1" applyProtection="1">
      <alignment vertical="center"/>
    </xf>
    <xf numFmtId="165" fontId="31" fillId="0" borderId="6" xfId="1" applyNumberFormat="1" applyFont="1" applyFill="1" applyBorder="1" applyProtection="1"/>
    <xf numFmtId="165" fontId="31" fillId="0" borderId="1" xfId="1" applyNumberFormat="1" applyFont="1" applyFill="1" applyBorder="1" applyProtection="1"/>
    <xf numFmtId="165" fontId="28" fillId="0" borderId="1" xfId="1" applyNumberFormat="1" applyFont="1" applyFill="1" applyBorder="1" applyAlignment="1" applyProtection="1">
      <alignment vertical="center"/>
    </xf>
    <xf numFmtId="165" fontId="24" fillId="0" borderId="0" xfId="0" applyNumberFormat="1" applyFont="1" applyFill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6" fillId="0" borderId="1" xfId="0" applyFont="1" applyFill="1" applyBorder="1" applyAlignment="1"/>
    <xf numFmtId="165" fontId="19" fillId="0" borderId="6" xfId="1" applyNumberFormat="1" applyFont="1" applyFill="1" applyBorder="1" applyProtection="1"/>
    <xf numFmtId="165" fontId="19" fillId="0" borderId="1" xfId="0" applyNumberFormat="1" applyFont="1" applyFill="1" applyBorder="1" applyAlignment="1"/>
    <xf numFmtId="165" fontId="7" fillId="0" borderId="0" xfId="0" applyNumberFormat="1" applyFont="1" applyAlignment="1">
      <alignment vertical="center"/>
    </xf>
    <xf numFmtId="165" fontId="8" fillId="0" borderId="6" xfId="1" applyNumberFormat="1" applyFont="1" applyBorder="1" applyProtection="1"/>
    <xf numFmtId="165" fontId="8" fillId="0" borderId="1" xfId="1" applyNumberFormat="1" applyFont="1" applyFill="1" applyBorder="1" applyProtection="1"/>
    <xf numFmtId="165" fontId="32" fillId="0" borderId="0" xfId="0" applyNumberFormat="1" applyFont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7" fillId="22" borderId="0" xfId="0" applyNumberFormat="1" applyFont="1" applyFill="1" applyAlignment="1">
      <alignment vertical="center"/>
    </xf>
    <xf numFmtId="165" fontId="4" fillId="3" borderId="3" xfId="1" applyNumberFormat="1" applyFont="1" applyFill="1" applyBorder="1" applyProtection="1"/>
    <xf numFmtId="0" fontId="12" fillId="3" borderId="1" xfId="0" applyFont="1" applyFill="1" applyBorder="1" applyAlignment="1"/>
    <xf numFmtId="165" fontId="0" fillId="3" borderId="1" xfId="1" applyNumberFormat="1" applyFont="1" applyFill="1" applyBorder="1" applyProtection="1"/>
    <xf numFmtId="165" fontId="4" fillId="3" borderId="1" xfId="1" applyNumberFormat="1" applyFont="1" applyFill="1" applyBorder="1" applyProtection="1"/>
    <xf numFmtId="165" fontId="4" fillId="3" borderId="6" xfId="1" applyNumberFormat="1" applyFont="1" applyFill="1" applyBorder="1" applyProtection="1"/>
    <xf numFmtId="0" fontId="0" fillId="3" borderId="0" xfId="0" applyFill="1" applyAlignment="1">
      <alignment vertical="center"/>
    </xf>
    <xf numFmtId="165" fontId="1" fillId="3" borderId="1" xfId="1" applyNumberFormat="1" applyFont="1" applyFill="1" applyBorder="1" applyProtection="1"/>
    <xf numFmtId="165" fontId="4" fillId="3" borderId="1" xfId="0" applyNumberFormat="1" applyFont="1" applyFill="1" applyBorder="1" applyAlignment="1"/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6" fillId="21" borderId="1" xfId="0" applyFont="1" applyFill="1" applyBorder="1" applyAlignment="1"/>
    <xf numFmtId="0" fontId="22" fillId="21" borderId="1" xfId="0" applyFont="1" applyFill="1" applyBorder="1" applyAlignment="1">
      <alignment vertical="center"/>
    </xf>
    <xf numFmtId="165" fontId="23" fillId="21" borderId="1" xfId="1" applyNumberFormat="1" applyFont="1" applyFill="1" applyBorder="1" applyProtection="1">
      <protection locked="0"/>
    </xf>
    <xf numFmtId="165" fontId="24" fillId="21" borderId="1" xfId="1" applyNumberFormat="1" applyFont="1" applyFill="1" applyBorder="1" applyProtection="1">
      <protection locked="0"/>
    </xf>
    <xf numFmtId="165" fontId="4" fillId="5" borderId="1" xfId="1" applyNumberFormat="1" applyFont="1" applyFill="1" applyBorder="1" applyProtection="1"/>
    <xf numFmtId="165" fontId="19" fillId="21" borderId="1" xfId="1" applyNumberFormat="1" applyFont="1" applyFill="1" applyBorder="1" applyProtection="1"/>
    <xf numFmtId="165" fontId="4" fillId="21" borderId="1" xfId="0" applyNumberFormat="1" applyFont="1" applyFill="1" applyBorder="1" applyAlignment="1"/>
    <xf numFmtId="165" fontId="4" fillId="0" borderId="1" xfId="1" applyNumberFormat="1" applyFont="1" applyBorder="1" applyProtection="1"/>
    <xf numFmtId="165" fontId="4" fillId="21" borderId="1" xfId="1" applyNumberFormat="1" applyFont="1" applyFill="1" applyBorder="1" applyProtection="1"/>
    <xf numFmtId="165" fontId="19" fillId="5" borderId="1" xfId="0" applyNumberFormat="1" applyFont="1" applyFill="1" applyBorder="1" applyAlignment="1"/>
    <xf numFmtId="165" fontId="19" fillId="0" borderId="1" xfId="1" applyNumberFormat="1" applyFont="1" applyBorder="1" applyProtection="1"/>
    <xf numFmtId="165" fontId="19" fillId="0" borderId="0" xfId="1" applyNumberFormat="1" applyFont="1" applyProtection="1"/>
    <xf numFmtId="0" fontId="5" fillId="0" borderId="1" xfId="0" applyFont="1" applyFill="1" applyBorder="1" applyAlignment="1"/>
    <xf numFmtId="0" fontId="5" fillId="5" borderId="1" xfId="0" applyFont="1" applyFill="1" applyBorder="1" applyAlignment="1"/>
    <xf numFmtId="0" fontId="5" fillId="21" borderId="1" xfId="0" applyFont="1" applyFill="1" applyBorder="1" applyAlignment="1"/>
    <xf numFmtId="0" fontId="19" fillId="5" borderId="1" xfId="0" applyFont="1" applyFill="1" applyBorder="1" applyAlignment="1">
      <alignment vertical="center"/>
    </xf>
    <xf numFmtId="3" fontId="19" fillId="0" borderId="1" xfId="0" applyNumberFormat="1" applyFont="1" applyBorder="1" applyAlignment="1">
      <alignment vertical="center"/>
    </xf>
    <xf numFmtId="165" fontId="19" fillId="0" borderId="3" xfId="1" applyNumberFormat="1" applyFont="1" applyFill="1" applyBorder="1" applyProtection="1"/>
    <xf numFmtId="0" fontId="33" fillId="0" borderId="0" xfId="0" applyFont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35" fillId="0" borderId="0" xfId="1" applyNumberFormat="1" applyFont="1" applyBorder="1" applyProtection="1">
      <protection locked="0"/>
    </xf>
    <xf numFmtId="165" fontId="8" fillId="0" borderId="1" xfId="1" applyNumberFormat="1" applyFont="1" applyFill="1" applyBorder="1" applyAlignment="1" applyProtection="1">
      <alignment horizontal="center" vertical="center"/>
    </xf>
    <xf numFmtId="165" fontId="8" fillId="5" borderId="1" xfId="1" applyNumberFormat="1" applyFont="1" applyFill="1" applyBorder="1" applyProtection="1"/>
    <xf numFmtId="165" fontId="8" fillId="21" borderId="1" xfId="1" applyNumberFormat="1" applyFont="1" applyFill="1" applyBorder="1" applyProtection="1"/>
    <xf numFmtId="0" fontId="8" fillId="5" borderId="1" xfId="0" applyFont="1" applyFill="1" applyBorder="1" applyAlignment="1">
      <alignment vertical="center"/>
    </xf>
    <xf numFmtId="165" fontId="8" fillId="0" borderId="1" xfId="1" applyNumberFormat="1" applyFont="1" applyBorder="1" applyProtection="1"/>
    <xf numFmtId="165" fontId="34" fillId="0" borderId="0" xfId="0" applyNumberFormat="1" applyFont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37" fillId="0" borderId="0" xfId="0" applyFont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40" fillId="0" borderId="4" xfId="0" applyFont="1" applyFill="1" applyBorder="1" applyAlignment="1"/>
    <xf numFmtId="165" fontId="19" fillId="0" borderId="1" xfId="0" applyNumberFormat="1" applyFont="1" applyBorder="1" applyAlignment="1"/>
    <xf numFmtId="0" fontId="40" fillId="0" borderId="0" xfId="0" applyFont="1" applyFill="1" applyBorder="1" applyAlignment="1"/>
    <xf numFmtId="0" fontId="40" fillId="0" borderId="1" xfId="0" applyFont="1" applyFill="1" applyBorder="1" applyAlignment="1"/>
    <xf numFmtId="165" fontId="19" fillId="0" borderId="3" xfId="1" applyNumberFormat="1" applyFont="1" applyBorder="1" applyProtection="1"/>
    <xf numFmtId="165" fontId="1" fillId="0" borderId="1" xfId="1" applyNumberFormat="1" applyFont="1" applyBorder="1" applyProtection="1"/>
    <xf numFmtId="165" fontId="19" fillId="22" borderId="1" xfId="0" applyNumberFormat="1" applyFont="1" applyFill="1" applyBorder="1" applyAlignment="1"/>
    <xf numFmtId="0" fontId="1" fillId="0" borderId="1" xfId="0" applyFont="1" applyBorder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0" fillId="0" borderId="0" xfId="0" applyNumberFormat="1"/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65" fontId="15" fillId="0" borderId="0" xfId="1" applyNumberFormat="1" applyFont="1" applyFill="1" applyBorder="1" applyProtection="1">
      <protection locked="0"/>
    </xf>
    <xf numFmtId="165" fontId="14" fillId="0" borderId="0" xfId="1" applyNumberFormat="1" applyFont="1" applyFill="1" applyBorder="1" applyProtection="1">
      <protection locked="0"/>
    </xf>
    <xf numFmtId="165" fontId="13" fillId="0" borderId="0" xfId="0" applyNumberFormat="1" applyFont="1" applyFill="1" applyBorder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vertical="center"/>
    </xf>
    <xf numFmtId="165" fontId="24" fillId="0" borderId="1" xfId="1" applyNumberFormat="1" applyFont="1" applyFill="1" applyBorder="1" applyProtection="1">
      <protection locked="0"/>
    </xf>
    <xf numFmtId="165" fontId="19" fillId="21" borderId="1" xfId="1" applyNumberFormat="1" applyFont="1" applyFill="1" applyBorder="1" applyAlignment="1" applyProtection="1">
      <alignment horizontal="center"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36" fillId="0" borderId="1" xfId="0" applyFont="1" applyFill="1" applyBorder="1" applyAlignment="1">
      <alignment horizontal="left" vertical="center"/>
    </xf>
    <xf numFmtId="167" fontId="36" fillId="0" borderId="1" xfId="2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1" xfId="0" applyFont="1" applyFill="1" applyBorder="1" applyAlignment="1">
      <alignment vertical="center"/>
    </xf>
    <xf numFmtId="14" fontId="41" fillId="0" borderId="1" xfId="3" applyNumberFormat="1" applyFont="1" applyFill="1" applyBorder="1"/>
    <xf numFmtId="165" fontId="5" fillId="0" borderId="3" xfId="1" applyNumberFormat="1" applyFont="1" applyFill="1" applyBorder="1" applyAlignment="1" applyProtection="1">
      <alignment horizontal="center" vertical="center" wrapText="1"/>
    </xf>
    <xf numFmtId="14" fontId="36" fillId="0" borderId="1" xfId="0" applyNumberFormat="1" applyFont="1" applyFill="1" applyBorder="1" applyAlignment="1">
      <alignment vertical="center"/>
    </xf>
    <xf numFmtId="0" fontId="36" fillId="5" borderId="1" xfId="0" applyFont="1" applyFill="1" applyBorder="1" applyAlignment="1">
      <alignment vertical="center"/>
    </xf>
    <xf numFmtId="0" fontId="36" fillId="19" borderId="1" xfId="0" applyFont="1" applyFill="1" applyBorder="1" applyAlignment="1">
      <alignment vertical="center"/>
    </xf>
    <xf numFmtId="0" fontId="36" fillId="23" borderId="1" xfId="0" applyFont="1" applyFill="1" applyBorder="1" applyAlignment="1">
      <alignment vertical="center"/>
    </xf>
    <xf numFmtId="3" fontId="36" fillId="0" borderId="1" xfId="1" applyNumberFormat="1" applyFont="1" applyFill="1" applyBorder="1" applyAlignment="1" applyProtection="1">
      <alignment horizontal="right" vertical="center"/>
    </xf>
    <xf numFmtId="165" fontId="36" fillId="0" borderId="1" xfId="1" applyNumberFormat="1" applyFont="1" applyFill="1" applyBorder="1" applyAlignment="1" applyProtection="1">
      <alignment vertical="center"/>
    </xf>
    <xf numFmtId="0" fontId="42" fillId="21" borderId="1" xfId="0" applyFont="1" applyFill="1" applyBorder="1" applyAlignment="1">
      <alignment vertical="center"/>
    </xf>
    <xf numFmtId="165" fontId="36" fillId="0" borderId="1" xfId="0" applyNumberFormat="1" applyFont="1" applyFill="1" applyBorder="1" applyAlignment="1">
      <alignment vertical="center"/>
    </xf>
    <xf numFmtId="165" fontId="36" fillId="0" borderId="1" xfId="1" applyNumberFormat="1" applyFont="1" applyFill="1" applyBorder="1" applyAlignment="1">
      <alignment vertical="center"/>
    </xf>
    <xf numFmtId="0" fontId="36" fillId="12" borderId="1" xfId="0" applyFont="1" applyFill="1" applyBorder="1" applyAlignment="1">
      <alignment vertical="center"/>
    </xf>
    <xf numFmtId="165" fontId="36" fillId="12" borderId="1" xfId="1" applyNumberFormat="1" applyFont="1" applyFill="1" applyBorder="1" applyAlignment="1" applyProtection="1">
      <alignment vertical="center"/>
    </xf>
    <xf numFmtId="0" fontId="36" fillId="12" borderId="1" xfId="0" applyFont="1" applyFill="1" applyBorder="1" applyAlignment="1">
      <alignment horizontal="left" vertical="center"/>
    </xf>
    <xf numFmtId="167" fontId="36" fillId="0" borderId="1" xfId="2" applyNumberFormat="1" applyFont="1" applyFill="1" applyBorder="1" applyAlignment="1">
      <alignment vertical="center" wrapText="1"/>
    </xf>
    <xf numFmtId="165" fontId="36" fillId="0" borderId="1" xfId="1" applyNumberFormat="1" applyFont="1" applyFill="1" applyBorder="1" applyAlignment="1">
      <alignment horizontal="left" vertical="center" wrapText="1"/>
    </xf>
    <xf numFmtId="165" fontId="36" fillId="0" borderId="1" xfId="0" applyNumberFormat="1" applyFont="1" applyFill="1" applyBorder="1" applyAlignment="1">
      <alignment horizontal="left"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36" fillId="0" borderId="1" xfId="1" applyNumberFormat="1" applyFont="1" applyFill="1" applyBorder="1" applyAlignment="1">
      <alignment horizontal="right" vertical="center"/>
    </xf>
    <xf numFmtId="168" fontId="36" fillId="0" borderId="1" xfId="6" applyNumberFormat="1" applyFont="1" applyFill="1" applyBorder="1" applyAlignment="1">
      <alignment horizontal="right" vertical="center" wrapText="1"/>
    </xf>
    <xf numFmtId="0" fontId="36" fillId="12" borderId="1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/>
    </xf>
    <xf numFmtId="3" fontId="34" fillId="0" borderId="0" xfId="0" applyNumberFormat="1" applyFont="1"/>
    <xf numFmtId="3" fontId="44" fillId="24" borderId="1" xfId="1" applyNumberFormat="1" applyFont="1" applyFill="1" applyBorder="1" applyAlignment="1" applyProtection="1">
      <alignment horizontal="right" vertical="center"/>
    </xf>
    <xf numFmtId="0" fontId="43" fillId="0" borderId="1" xfId="0" applyFont="1" applyFill="1" applyBorder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43" fillId="0" borderId="1" xfId="1" applyNumberFormat="1" applyFont="1" applyFill="1" applyBorder="1" applyAlignment="1">
      <alignment vertical="center"/>
    </xf>
    <xf numFmtId="0" fontId="43" fillId="0" borderId="1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horizontal="center" vertical="center"/>
    </xf>
    <xf numFmtId="3" fontId="43" fillId="0" borderId="1" xfId="1" applyNumberFormat="1" applyFont="1" applyFill="1" applyBorder="1" applyAlignment="1" applyProtection="1">
      <alignment horizontal="right" vertical="center"/>
    </xf>
    <xf numFmtId="0" fontId="0" fillId="25" borderId="0" xfId="0" applyFill="1" applyAlignment="1">
      <alignment vertical="center"/>
    </xf>
    <xf numFmtId="165" fontId="2" fillId="25" borderId="0" xfId="0" applyNumberFormat="1" applyFont="1" applyFill="1" applyAlignment="1">
      <alignment vertical="center"/>
    </xf>
    <xf numFmtId="165" fontId="34" fillId="25" borderId="0" xfId="0" applyNumberFormat="1" applyFont="1" applyFill="1" applyAlignment="1">
      <alignment vertical="center"/>
    </xf>
    <xf numFmtId="165" fontId="32" fillId="25" borderId="0" xfId="0" applyNumberFormat="1" applyFont="1" applyFill="1" applyAlignment="1">
      <alignment vertical="center"/>
    </xf>
    <xf numFmtId="3" fontId="0" fillId="25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45" fillId="0" borderId="1" xfId="0" applyFont="1" applyFill="1" applyBorder="1" applyAlignment="1">
      <alignment vertical="center"/>
    </xf>
    <xf numFmtId="170" fontId="36" fillId="0" borderId="1" xfId="0" applyNumberFormat="1" applyFont="1" applyFill="1" applyBorder="1" applyAlignment="1"/>
    <xf numFmtId="170" fontId="36" fillId="0" borderId="1" xfId="2" applyNumberFormat="1" applyFont="1" applyFill="1" applyBorder="1" applyAlignment="1"/>
    <xf numFmtId="170" fontId="36" fillId="0" borderId="1" xfId="2" applyNumberFormat="1" applyFont="1" applyFill="1" applyBorder="1" applyAlignment="1">
      <alignment wrapText="1"/>
    </xf>
    <xf numFmtId="170" fontId="36" fillId="12" borderId="1" xfId="0" applyNumberFormat="1" applyFont="1" applyFill="1" applyBorder="1" applyAlignment="1"/>
    <xf numFmtId="170" fontId="43" fillId="0" borderId="1" xfId="2" applyNumberFormat="1" applyFont="1" applyFill="1" applyBorder="1" applyAlignment="1">
      <alignment wrapText="1"/>
    </xf>
    <xf numFmtId="0" fontId="36" fillId="0" borderId="1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6" fontId="5" fillId="0" borderId="11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5" fontId="5" fillId="0" borderId="11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10" fontId="34" fillId="0" borderId="0" xfId="7" applyNumberFormat="1" applyFont="1"/>
    <xf numFmtId="0" fontId="2" fillId="0" borderId="0" xfId="0" applyFont="1"/>
    <xf numFmtId="166" fontId="5" fillId="0" borderId="11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5" fontId="5" fillId="0" borderId="11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166" fontId="5" fillId="0" borderId="11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5" fontId="5" fillId="0" borderId="11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7" fontId="41" fillId="5" borderId="1" xfId="2" applyNumberFormat="1" applyFont="1" applyFill="1" applyBorder="1" applyAlignment="1">
      <alignment horizontal="left" vertical="center"/>
    </xf>
    <xf numFmtId="0" fontId="41" fillId="5" borderId="1" xfId="0" applyFont="1" applyFill="1" applyBorder="1" applyAlignment="1"/>
    <xf numFmtId="0" fontId="42" fillId="21" borderId="1" xfId="0" applyFont="1" applyFill="1" applyBorder="1" applyAlignment="1">
      <alignment horizontal="center" vertical="center"/>
    </xf>
    <xf numFmtId="165" fontId="36" fillId="0" borderId="1" xfId="0" applyNumberFormat="1" applyFont="1" applyFill="1" applyBorder="1" applyAlignment="1">
      <alignment horizontal="center" vertical="center"/>
    </xf>
    <xf numFmtId="165" fontId="45" fillId="0" borderId="1" xfId="0" applyNumberFormat="1" applyFont="1" applyFill="1" applyBorder="1" applyAlignment="1">
      <alignment horizontal="center" vertical="center"/>
    </xf>
    <xf numFmtId="167" fontId="36" fillId="0" borderId="1" xfId="2" applyNumberFormat="1" applyFont="1" applyFill="1" applyBorder="1" applyAlignment="1">
      <alignment horizontal="center" vertical="center"/>
    </xf>
    <xf numFmtId="165" fontId="43" fillId="0" borderId="1" xfId="0" applyNumberFormat="1" applyFont="1" applyFill="1" applyBorder="1" applyAlignment="1">
      <alignment horizontal="center" vertical="center"/>
    </xf>
    <xf numFmtId="0" fontId="36" fillId="0" borderId="1" xfId="2" applyFont="1" applyFill="1" applyBorder="1" applyAlignment="1">
      <alignment horizontal="center" vertical="center"/>
    </xf>
    <xf numFmtId="170" fontId="41" fillId="5" borderId="1" xfId="0" applyNumberFormat="1" applyFont="1" applyFill="1" applyBorder="1" applyAlignment="1"/>
    <xf numFmtId="0" fontId="41" fillId="5" borderId="1" xfId="0" applyFont="1" applyFill="1" applyBorder="1" applyAlignment="1">
      <alignment horizontal="center"/>
    </xf>
    <xf numFmtId="165" fontId="41" fillId="5" borderId="1" xfId="1" applyNumberFormat="1" applyFont="1" applyFill="1" applyBorder="1" applyAlignment="1">
      <alignment horizontal="right"/>
    </xf>
    <xf numFmtId="3" fontId="41" fillId="5" borderId="1" xfId="1" applyNumberFormat="1" applyFont="1" applyFill="1" applyBorder="1" applyAlignment="1" applyProtection="1">
      <alignment horizontal="right"/>
    </xf>
    <xf numFmtId="165" fontId="41" fillId="5" borderId="1" xfId="1" applyNumberFormat="1" applyFont="1" applyFill="1" applyBorder="1" applyAlignment="1" applyProtection="1"/>
    <xf numFmtId="0" fontId="41" fillId="5" borderId="1" xfId="0" applyFont="1" applyFill="1" applyBorder="1" applyAlignment="1">
      <alignment vertical="center"/>
    </xf>
    <xf numFmtId="165" fontId="41" fillId="5" borderId="1" xfId="1" applyNumberFormat="1" applyFont="1" applyFill="1" applyBorder="1" applyAlignment="1"/>
    <xf numFmtId="0" fontId="41" fillId="5" borderId="1" xfId="0" applyFont="1" applyFill="1" applyBorder="1" applyAlignment="1">
      <alignment horizontal="left"/>
    </xf>
    <xf numFmtId="0" fontId="41" fillId="5" borderId="1" xfId="0" applyFont="1" applyFill="1" applyBorder="1" applyAlignment="1">
      <alignment horizontal="center" vertical="center"/>
    </xf>
    <xf numFmtId="167" fontId="41" fillId="5" borderId="1" xfId="2" applyNumberFormat="1" applyFont="1" applyFill="1" applyBorder="1" applyAlignment="1">
      <alignment horizontal="center" vertical="center"/>
    </xf>
    <xf numFmtId="0" fontId="41" fillId="5" borderId="1" xfId="0" applyFont="1" applyFill="1" applyBorder="1" applyAlignment="1">
      <alignment horizontal="right"/>
    </xf>
    <xf numFmtId="170" fontId="41" fillId="5" borderId="1" xfId="2" applyNumberFormat="1" applyFont="1" applyFill="1" applyBorder="1" applyAlignment="1">
      <alignment wrapText="1"/>
    </xf>
    <xf numFmtId="167" fontId="41" fillId="5" borderId="1" xfId="2" applyNumberFormat="1" applyFont="1" applyFill="1" applyBorder="1" applyAlignment="1"/>
    <xf numFmtId="168" fontId="41" fillId="5" borderId="1" xfId="6" applyNumberFormat="1" applyFont="1" applyFill="1" applyBorder="1" applyAlignment="1">
      <alignment horizontal="right" wrapText="1"/>
    </xf>
    <xf numFmtId="167" fontId="41" fillId="5" borderId="1" xfId="2" applyNumberFormat="1" applyFont="1" applyFill="1" applyBorder="1" applyAlignment="1">
      <alignment wrapText="1"/>
    </xf>
    <xf numFmtId="41" fontId="41" fillId="5" borderId="1" xfId="4" applyFont="1" applyFill="1" applyBorder="1" applyAlignment="1">
      <alignment horizontal="center" wrapText="1"/>
    </xf>
    <xf numFmtId="41" fontId="41" fillId="5" borderId="1" xfId="4" applyFont="1" applyFill="1" applyBorder="1" applyAlignment="1">
      <alignment wrapText="1"/>
    </xf>
    <xf numFmtId="168" fontId="41" fillId="5" borderId="1" xfId="6" applyNumberFormat="1" applyFont="1" applyFill="1" applyBorder="1" applyAlignment="1" applyProtection="1">
      <alignment horizontal="center" wrapText="1"/>
    </xf>
    <xf numFmtId="0" fontId="41" fillId="5" borderId="1" xfId="0" applyFont="1" applyFill="1" applyBorder="1" applyAlignment="1">
      <alignment horizontal="left" vertical="center"/>
    </xf>
    <xf numFmtId="165" fontId="41" fillId="5" borderId="1" xfId="1" applyNumberFormat="1" applyFont="1" applyFill="1" applyBorder="1" applyAlignment="1">
      <alignment horizontal="center"/>
    </xf>
    <xf numFmtId="41" fontId="41" fillId="5" borderId="1" xfId="4" applyFont="1" applyFill="1" applyBorder="1" applyAlignment="1">
      <alignment horizontal="left" wrapText="1"/>
    </xf>
    <xf numFmtId="41" fontId="41" fillId="5" borderId="1" xfId="4" applyFont="1" applyFill="1" applyBorder="1" applyAlignment="1">
      <alignment horizontal="center"/>
    </xf>
    <xf numFmtId="167" fontId="41" fillId="5" borderId="1" xfId="2" applyNumberFormat="1" applyFont="1" applyFill="1" applyBorder="1" applyAlignment="1">
      <alignment vertical="center"/>
    </xf>
    <xf numFmtId="168" fontId="41" fillId="5" borderId="1" xfId="6" applyNumberFormat="1" applyFont="1" applyFill="1" applyBorder="1" applyAlignment="1">
      <alignment horizontal="right" vertical="center" wrapText="1"/>
    </xf>
    <xf numFmtId="167" fontId="41" fillId="5" borderId="1" xfId="2" applyNumberFormat="1" applyFont="1" applyFill="1" applyBorder="1" applyAlignment="1">
      <alignment vertical="center" wrapText="1"/>
    </xf>
    <xf numFmtId="0" fontId="41" fillId="5" borderId="1" xfId="2" applyFont="1" applyFill="1" applyBorder="1" applyAlignment="1" applyProtection="1">
      <alignment horizontal="center"/>
    </xf>
    <xf numFmtId="170" fontId="41" fillId="5" borderId="1" xfId="2" applyNumberFormat="1" applyFont="1" applyFill="1" applyBorder="1" applyAlignment="1" applyProtection="1">
      <alignment wrapText="1"/>
    </xf>
    <xf numFmtId="168" fontId="41" fillId="5" borderId="1" xfId="6" applyNumberFormat="1" applyFont="1" applyFill="1" applyBorder="1" applyAlignment="1" applyProtection="1">
      <alignment horizontal="right" vertical="center" wrapText="1"/>
    </xf>
    <xf numFmtId="167" fontId="41" fillId="5" borderId="1" xfId="2" applyNumberFormat="1" applyFont="1" applyFill="1" applyBorder="1" applyAlignment="1" applyProtection="1">
      <alignment vertical="center" wrapText="1"/>
    </xf>
    <xf numFmtId="0" fontId="41" fillId="5" borderId="1" xfId="0" applyFont="1" applyFill="1" applyBorder="1" applyAlignment="1">
      <alignment horizontal="right" vertical="center"/>
    </xf>
    <xf numFmtId="165" fontId="41" fillId="5" borderId="1" xfId="0" applyNumberFormat="1" applyFont="1" applyFill="1" applyBorder="1" applyAlignment="1">
      <alignment horizontal="right"/>
    </xf>
    <xf numFmtId="165" fontId="41" fillId="5" borderId="1" xfId="1" applyNumberFormat="1" applyFont="1" applyFill="1" applyBorder="1" applyAlignment="1">
      <alignment horizontal="right" vertical="center"/>
    </xf>
    <xf numFmtId="170" fontId="41" fillId="5" borderId="1" xfId="2" applyNumberFormat="1" applyFont="1" applyFill="1" applyBorder="1" applyAlignment="1"/>
    <xf numFmtId="165" fontId="41" fillId="5" borderId="1" xfId="0" applyNumberFormat="1" applyFont="1" applyFill="1" applyBorder="1" applyAlignment="1">
      <alignment horizontal="right" vertical="center"/>
    </xf>
    <xf numFmtId="169" fontId="41" fillId="5" borderId="1" xfId="2" applyNumberFormat="1" applyFont="1" applyFill="1" applyBorder="1" applyAlignment="1"/>
    <xf numFmtId="0" fontId="41" fillId="5" borderId="1" xfId="2" applyFont="1" applyFill="1" applyBorder="1" applyAlignment="1">
      <alignment vertical="center"/>
    </xf>
    <xf numFmtId="169" fontId="41" fillId="5" borderId="1" xfId="2" applyNumberFormat="1" applyFont="1" applyFill="1" applyBorder="1" applyAlignment="1">
      <alignment horizontal="center"/>
    </xf>
    <xf numFmtId="0" fontId="46" fillId="5" borderId="1" xfId="0" applyFont="1" applyFill="1" applyBorder="1" applyAlignment="1">
      <alignment vertical="center"/>
    </xf>
    <xf numFmtId="3" fontId="41" fillId="5" borderId="1" xfId="1" applyNumberFormat="1" applyFont="1" applyFill="1" applyBorder="1" applyAlignment="1" applyProtection="1">
      <alignment horizontal="center" vertical="center"/>
    </xf>
    <xf numFmtId="0" fontId="41" fillId="5" borderId="1" xfId="2" applyFont="1" applyFill="1" applyBorder="1" applyAlignment="1" applyProtection="1">
      <alignment horizontal="left"/>
    </xf>
    <xf numFmtId="3" fontId="41" fillId="5" borderId="1" xfId="1" applyNumberFormat="1" applyFont="1" applyFill="1" applyBorder="1" applyAlignment="1" applyProtection="1">
      <alignment horizontal="right" vertical="center"/>
    </xf>
    <xf numFmtId="169" fontId="41" fillId="5" borderId="1" xfId="2" applyNumberFormat="1" applyFont="1" applyFill="1" applyBorder="1" applyAlignment="1">
      <alignment horizontal="center" vertical="center"/>
    </xf>
    <xf numFmtId="165" fontId="41" fillId="5" borderId="1" xfId="1" applyNumberFormat="1" applyFont="1" applyFill="1" applyBorder="1" applyAlignment="1">
      <alignment horizontal="center" vertical="center"/>
    </xf>
    <xf numFmtId="41" fontId="41" fillId="5" borderId="1" xfId="4" applyFont="1" applyFill="1" applyBorder="1" applyAlignment="1">
      <alignment horizontal="center" vertical="center"/>
    </xf>
    <xf numFmtId="0" fontId="41" fillId="5" borderId="1" xfId="0" applyFont="1" applyFill="1" applyBorder="1"/>
    <xf numFmtId="165" fontId="41" fillId="5" borderId="1" xfId="1" applyNumberFormat="1" applyFont="1" applyFill="1" applyBorder="1" applyAlignment="1">
      <alignment vertical="center"/>
    </xf>
    <xf numFmtId="168" fontId="41" fillId="5" borderId="1" xfId="6" applyNumberFormat="1" applyFont="1" applyFill="1" applyBorder="1" applyAlignment="1">
      <alignment horizontal="right" vertical="center"/>
    </xf>
    <xf numFmtId="0" fontId="41" fillId="5" borderId="1" xfId="2" applyFont="1" applyFill="1" applyBorder="1" applyAlignment="1" applyProtection="1"/>
    <xf numFmtId="165" fontId="41" fillId="5" borderId="1" xfId="0" applyNumberFormat="1" applyFont="1" applyFill="1" applyBorder="1" applyAlignment="1">
      <alignment horizontal="center" vertical="center"/>
    </xf>
    <xf numFmtId="168" fontId="41" fillId="5" borderId="1" xfId="6" applyNumberFormat="1" applyFont="1" applyFill="1" applyBorder="1" applyAlignment="1" applyProtection="1">
      <alignment horizontal="right" wrapText="1"/>
    </xf>
    <xf numFmtId="165" fontId="41" fillId="5" borderId="1" xfId="0" applyNumberFormat="1" applyFont="1" applyFill="1" applyBorder="1" applyAlignment="1">
      <alignment horizontal="center"/>
    </xf>
    <xf numFmtId="0" fontId="41" fillId="5" borderId="1" xfId="2" applyFont="1" applyFill="1" applyBorder="1" applyAlignment="1" applyProtection="1">
      <alignment vertical="center"/>
    </xf>
    <xf numFmtId="167" fontId="41" fillId="5" borderId="1" xfId="2" applyNumberFormat="1" applyFont="1" applyFill="1" applyBorder="1" applyAlignment="1" applyProtection="1"/>
    <xf numFmtId="0" fontId="47" fillId="5" borderId="1" xfId="0" applyFont="1" applyFill="1" applyBorder="1" applyAlignment="1">
      <alignment vertical="center"/>
    </xf>
    <xf numFmtId="0" fontId="47" fillId="5" borderId="1" xfId="0" applyFont="1" applyFill="1" applyBorder="1" applyAlignment="1">
      <alignment horizontal="center" vertical="center"/>
    </xf>
    <xf numFmtId="168" fontId="41" fillId="5" borderId="1" xfId="6" applyNumberFormat="1" applyFont="1" applyFill="1" applyBorder="1" applyAlignment="1">
      <alignment horizontal="center" wrapText="1"/>
    </xf>
    <xf numFmtId="41" fontId="41" fillId="5" borderId="1" xfId="4" applyFont="1" applyFill="1" applyBorder="1" applyAlignment="1">
      <alignment horizontal="right" vertical="center"/>
    </xf>
    <xf numFmtId="167" fontId="41" fillId="5" borderId="1" xfId="2" applyNumberFormat="1" applyFont="1" applyFill="1" applyBorder="1" applyAlignment="1">
      <alignment horizontal="right" wrapText="1"/>
    </xf>
    <xf numFmtId="167" fontId="41" fillId="5" borderId="1" xfId="2" applyNumberFormat="1" applyFont="1" applyFill="1" applyBorder="1" applyAlignment="1">
      <alignment horizontal="center"/>
    </xf>
    <xf numFmtId="165" fontId="41" fillId="5" borderId="1" xfId="1" applyNumberFormat="1" applyFont="1" applyFill="1" applyBorder="1"/>
    <xf numFmtId="0" fontId="41" fillId="5" borderId="1" xfId="2" applyFont="1" applyFill="1" applyBorder="1" applyAlignment="1"/>
    <xf numFmtId="167" fontId="41" fillId="5" borderId="1" xfId="2" applyNumberFormat="1" applyFont="1" applyFill="1" applyBorder="1" applyAlignment="1" applyProtection="1">
      <alignment horizontal="center"/>
    </xf>
    <xf numFmtId="167" fontId="41" fillId="5" borderId="1" xfId="2" applyNumberFormat="1" applyFont="1" applyFill="1" applyBorder="1" applyAlignment="1" applyProtection="1">
      <alignment wrapText="1"/>
    </xf>
    <xf numFmtId="168" fontId="41" fillId="5" borderId="1" xfId="6" applyNumberFormat="1" applyFont="1" applyFill="1" applyBorder="1" applyAlignment="1">
      <alignment horizontal="center"/>
    </xf>
    <xf numFmtId="0" fontId="41" fillId="5" borderId="1" xfId="2" applyFont="1" applyFill="1" applyBorder="1" applyAlignment="1">
      <alignment horizontal="left" vertical="center"/>
    </xf>
    <xf numFmtId="41" fontId="36" fillId="0" borderId="1" xfId="4" applyFont="1" applyFill="1" applyBorder="1" applyAlignment="1" applyProtection="1">
      <alignment horizontal="center"/>
    </xf>
    <xf numFmtId="3" fontId="41" fillId="5" borderId="1" xfId="1" applyNumberFormat="1" applyFont="1" applyFill="1" applyBorder="1" applyAlignment="1" applyProtection="1">
      <alignment horizontal="center"/>
    </xf>
    <xf numFmtId="41" fontId="41" fillId="5" borderId="1" xfId="4" applyFont="1" applyFill="1" applyBorder="1" applyAlignment="1" applyProtection="1">
      <alignment horizontal="center"/>
    </xf>
    <xf numFmtId="165" fontId="36" fillId="0" borderId="1" xfId="1" applyNumberFormat="1" applyFont="1" applyFill="1" applyBorder="1" applyAlignment="1">
      <alignment horizontal="center"/>
    </xf>
    <xf numFmtId="168" fontId="36" fillId="0" borderId="1" xfId="6" applyNumberFormat="1" applyFont="1" applyFill="1" applyBorder="1" applyAlignment="1">
      <alignment horizontal="center" wrapText="1"/>
    </xf>
    <xf numFmtId="168" fontId="36" fillId="0" borderId="1" xfId="6" applyNumberFormat="1" applyFont="1" applyFill="1" applyBorder="1" applyAlignment="1">
      <alignment horizontal="center"/>
    </xf>
    <xf numFmtId="3" fontId="43" fillId="0" borderId="1" xfId="1" applyNumberFormat="1" applyFont="1" applyFill="1" applyBorder="1" applyAlignment="1" applyProtection="1">
      <alignment horizontal="center"/>
    </xf>
    <xf numFmtId="3" fontId="36" fillId="0" borderId="1" xfId="1" applyNumberFormat="1" applyFont="1" applyFill="1" applyBorder="1" applyAlignment="1" applyProtection="1">
      <alignment horizontal="center"/>
    </xf>
    <xf numFmtId="41" fontId="36" fillId="23" borderId="1" xfId="4" applyFont="1" applyFill="1" applyBorder="1" applyAlignment="1">
      <alignment horizontal="right" vertical="center"/>
    </xf>
    <xf numFmtId="41" fontId="36" fillId="5" borderId="1" xfId="4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6" fontId="5" fillId="0" borderId="11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5" fontId="5" fillId="0" borderId="11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41" fontId="41" fillId="5" borderId="1" xfId="4" applyFont="1" applyFill="1" applyBorder="1" applyAlignment="1">
      <alignment horizontal="left"/>
    </xf>
    <xf numFmtId="41" fontId="41" fillId="5" borderId="1" xfId="4" applyFont="1" applyFill="1" applyBorder="1" applyAlignment="1">
      <alignment horizontal="right"/>
    </xf>
    <xf numFmtId="41" fontId="41" fillId="5" borderId="1" xfId="4" applyFont="1" applyFill="1" applyBorder="1" applyAlignment="1" applyProtection="1">
      <alignment horizontal="right"/>
    </xf>
    <xf numFmtId="41" fontId="41" fillId="5" borderId="1" xfId="4" applyFont="1" applyFill="1" applyBorder="1" applyAlignment="1">
      <alignment horizontal="right" wrapText="1"/>
    </xf>
    <xf numFmtId="167" fontId="41" fillId="5" borderId="1" xfId="2" applyNumberFormat="1" applyFont="1" applyFill="1" applyBorder="1" applyAlignment="1">
      <alignment horizontal="right" vertical="center" wrapText="1"/>
    </xf>
    <xf numFmtId="168" fontId="41" fillId="5" borderId="1" xfId="6" applyNumberFormat="1" applyFont="1" applyFill="1" applyBorder="1" applyAlignment="1">
      <alignment vertical="center" wrapText="1"/>
    </xf>
    <xf numFmtId="0" fontId="36" fillId="0" borderId="1" xfId="0" applyFont="1" applyFill="1" applyBorder="1" applyAlignment="1">
      <alignment horizontal="right" vertical="center"/>
    </xf>
    <xf numFmtId="3" fontId="45" fillId="0" borderId="1" xfId="1" applyNumberFormat="1" applyFont="1" applyFill="1" applyBorder="1" applyAlignment="1" applyProtection="1">
      <alignment horizontal="right" vertical="center"/>
    </xf>
    <xf numFmtId="170" fontId="36" fillId="5" borderId="1" xfId="0" applyNumberFormat="1" applyFont="1" applyFill="1" applyBorder="1" applyAlignment="1"/>
    <xf numFmtId="0" fontId="36" fillId="5" borderId="1" xfId="0" applyFont="1" applyFill="1" applyBorder="1" applyAlignment="1">
      <alignment horizontal="left"/>
    </xf>
    <xf numFmtId="3" fontId="36" fillId="5" borderId="1" xfId="1" applyNumberFormat="1" applyFont="1" applyFill="1" applyBorder="1" applyAlignment="1" applyProtection="1">
      <alignment horizontal="right" vertical="center"/>
    </xf>
    <xf numFmtId="41" fontId="36" fillId="5" borderId="1" xfId="4" applyFont="1" applyFill="1" applyBorder="1" applyAlignment="1">
      <alignment horizontal="right"/>
    </xf>
    <xf numFmtId="165" fontId="36" fillId="5" borderId="1" xfId="1" applyNumberFormat="1" applyFont="1" applyFill="1" applyBorder="1" applyAlignment="1"/>
    <xf numFmtId="0" fontId="36" fillId="5" borderId="1" xfId="0" applyFont="1" applyFill="1" applyBorder="1" applyAlignment="1"/>
    <xf numFmtId="0" fontId="36" fillId="5" borderId="1" xfId="0" applyFont="1" applyFill="1" applyBorder="1" applyAlignment="1">
      <alignment horizontal="center" vertical="center"/>
    </xf>
    <xf numFmtId="0" fontId="36" fillId="5" borderId="1" xfId="2" applyFont="1" applyFill="1" applyBorder="1" applyAlignment="1" applyProtection="1">
      <alignment horizontal="left"/>
    </xf>
    <xf numFmtId="0" fontId="36" fillId="5" borderId="1" xfId="0" applyFont="1" applyFill="1" applyBorder="1" applyAlignment="1">
      <alignment horizontal="right" vertical="center"/>
    </xf>
    <xf numFmtId="165" fontId="36" fillId="5" borderId="1" xfId="0" applyNumberFormat="1" applyFont="1" applyFill="1" applyBorder="1" applyAlignment="1">
      <alignment horizontal="right"/>
    </xf>
    <xf numFmtId="0" fontId="36" fillId="5" borderId="1" xfId="0" applyFont="1" applyFill="1" applyBorder="1" applyAlignment="1">
      <alignment horizontal="left" vertical="center"/>
    </xf>
    <xf numFmtId="0" fontId="36" fillId="5" borderId="1" xfId="0" applyFont="1" applyFill="1" applyBorder="1" applyAlignment="1">
      <alignment horizontal="center"/>
    </xf>
    <xf numFmtId="0" fontId="36" fillId="5" borderId="1" xfId="0" applyFont="1" applyFill="1" applyBorder="1" applyAlignment="1">
      <alignment horizontal="right"/>
    </xf>
    <xf numFmtId="165" fontId="36" fillId="5" borderId="1" xfId="1" applyNumberFormat="1" applyFont="1" applyFill="1" applyBorder="1" applyAlignment="1">
      <alignment horizontal="right"/>
    </xf>
    <xf numFmtId="167" fontId="36" fillId="5" borderId="1" xfId="2" applyNumberFormat="1" applyFont="1" applyFill="1" applyBorder="1" applyAlignment="1">
      <alignment vertical="center"/>
    </xf>
    <xf numFmtId="170" fontId="36" fillId="5" borderId="1" xfId="2" applyNumberFormat="1" applyFont="1" applyFill="1" applyBorder="1" applyAlignment="1">
      <alignment wrapText="1"/>
    </xf>
    <xf numFmtId="167" fontId="36" fillId="5" borderId="1" xfId="2" applyNumberFormat="1" applyFont="1" applyFill="1" applyBorder="1" applyAlignment="1"/>
    <xf numFmtId="168" fontId="36" fillId="5" borderId="1" xfId="6" applyNumberFormat="1" applyFont="1" applyFill="1" applyBorder="1" applyAlignment="1">
      <alignment horizontal="right" wrapText="1"/>
    </xf>
    <xf numFmtId="167" fontId="36" fillId="5" borderId="1" xfId="2" applyNumberFormat="1" applyFont="1" applyFill="1" applyBorder="1" applyAlignment="1">
      <alignment wrapText="1"/>
    </xf>
    <xf numFmtId="41" fontId="36" fillId="5" borderId="1" xfId="4" applyFont="1" applyFill="1" applyBorder="1" applyAlignment="1">
      <alignment horizontal="left" wrapText="1"/>
    </xf>
    <xf numFmtId="165" fontId="36" fillId="5" borderId="1" xfId="1" applyNumberFormat="1" applyFont="1" applyFill="1" applyBorder="1" applyAlignment="1">
      <alignment vertical="center"/>
    </xf>
    <xf numFmtId="165" fontId="36" fillId="5" borderId="1" xfId="1" applyNumberFormat="1" applyFont="1" applyFill="1" applyBorder="1" applyAlignment="1">
      <alignment horizontal="right" vertical="center"/>
    </xf>
    <xf numFmtId="168" fontId="36" fillId="5" borderId="1" xfId="6" applyNumberFormat="1" applyFont="1" applyFill="1" applyBorder="1" applyAlignment="1">
      <alignment horizontal="right" vertical="center" wrapText="1"/>
    </xf>
    <xf numFmtId="167" fontId="36" fillId="5" borderId="1" xfId="2" applyNumberFormat="1" applyFont="1" applyFill="1" applyBorder="1" applyAlignment="1">
      <alignment vertical="center" wrapText="1"/>
    </xf>
    <xf numFmtId="167" fontId="36" fillId="5" borderId="1" xfId="2" applyNumberFormat="1" applyFont="1" applyFill="1" applyBorder="1" applyAlignment="1" applyProtection="1">
      <alignment vertical="center"/>
    </xf>
    <xf numFmtId="168" fontId="36" fillId="5" borderId="1" xfId="6" applyNumberFormat="1" applyFont="1" applyFill="1" applyBorder="1" applyAlignment="1" applyProtection="1">
      <alignment horizontal="right" vertical="center" wrapText="1"/>
    </xf>
    <xf numFmtId="167" fontId="36" fillId="5" borderId="1" xfId="2" applyNumberFormat="1" applyFont="1" applyFill="1" applyBorder="1" applyAlignment="1" applyProtection="1">
      <alignment vertical="center" wrapText="1"/>
    </xf>
    <xf numFmtId="169" fontId="36" fillId="5" borderId="1" xfId="2" applyNumberFormat="1" applyFont="1" applyFill="1" applyBorder="1" applyAlignment="1"/>
    <xf numFmtId="41" fontId="36" fillId="5" borderId="1" xfId="4" applyFont="1" applyFill="1" applyBorder="1" applyAlignment="1">
      <alignment horizontal="left"/>
    </xf>
    <xf numFmtId="41" fontId="36" fillId="5" borderId="1" xfId="4" applyFont="1" applyFill="1" applyBorder="1" applyAlignment="1" applyProtection="1">
      <alignment horizontal="right"/>
    </xf>
    <xf numFmtId="167" fontId="36" fillId="5" borderId="1" xfId="2" applyNumberFormat="1" applyFont="1" applyFill="1" applyBorder="1" applyAlignment="1">
      <alignment horizontal="right" wrapText="1"/>
    </xf>
    <xf numFmtId="3" fontId="36" fillId="5" borderId="1" xfId="1" applyNumberFormat="1" applyFont="1" applyFill="1" applyBorder="1" applyAlignment="1" applyProtection="1">
      <alignment horizontal="right"/>
    </xf>
    <xf numFmtId="167" fontId="36" fillId="5" borderId="1" xfId="0" applyNumberFormat="1" applyFont="1" applyFill="1" applyBorder="1" applyAlignment="1">
      <alignment vertical="center"/>
    </xf>
    <xf numFmtId="168" fontId="36" fillId="5" borderId="1" xfId="6" applyNumberFormat="1" applyFont="1" applyFill="1" applyBorder="1" applyAlignment="1" applyProtection="1">
      <alignment horizontal="right" wrapText="1"/>
    </xf>
    <xf numFmtId="0" fontId="36" fillId="5" borderId="1" xfId="0" applyFont="1" applyFill="1" applyBorder="1"/>
    <xf numFmtId="167" fontId="36" fillId="5" borderId="1" xfId="2" applyNumberFormat="1" applyFont="1" applyFill="1" applyBorder="1" applyAlignment="1" applyProtection="1"/>
    <xf numFmtId="170" fontId="36" fillId="5" borderId="1" xfId="2" applyNumberFormat="1" applyFont="1" applyFill="1" applyBorder="1" applyAlignment="1"/>
    <xf numFmtId="165" fontId="36" fillId="5" borderId="1" xfId="0" applyNumberFormat="1" applyFont="1" applyFill="1" applyBorder="1" applyAlignment="1">
      <alignment horizontal="right" vertical="center"/>
    </xf>
    <xf numFmtId="0" fontId="36" fillId="5" borderId="1" xfId="2" applyFont="1" applyFill="1" applyBorder="1" applyAlignment="1">
      <alignment vertical="center"/>
    </xf>
    <xf numFmtId="41" fontId="36" fillId="5" borderId="1" xfId="4" applyFont="1" applyFill="1" applyBorder="1" applyAlignment="1">
      <alignment horizontal="right" wrapText="1"/>
    </xf>
    <xf numFmtId="169" fontId="36" fillId="5" borderId="1" xfId="2" applyNumberFormat="1" applyFont="1" applyFill="1" applyBorder="1" applyAlignment="1">
      <alignment horizontal="center"/>
    </xf>
    <xf numFmtId="168" fontId="36" fillId="5" borderId="1" xfId="6" applyNumberFormat="1" applyFont="1" applyFill="1" applyBorder="1" applyAlignment="1">
      <alignment wrapText="1"/>
    </xf>
    <xf numFmtId="167" fontId="36" fillId="5" borderId="1" xfId="2" applyNumberFormat="1" applyFont="1" applyFill="1" applyBorder="1" applyAlignment="1">
      <alignment horizontal="right"/>
    </xf>
    <xf numFmtId="0" fontId="36" fillId="5" borderId="1" xfId="2" applyFont="1" applyFill="1" applyBorder="1" applyAlignment="1" applyProtection="1"/>
    <xf numFmtId="165" fontId="36" fillId="5" borderId="1" xfId="1" applyNumberFormat="1" applyFont="1" applyFill="1" applyBorder="1" applyAlignment="1">
      <alignment horizontal="left"/>
    </xf>
    <xf numFmtId="167" fontId="36" fillId="5" borderId="1" xfId="2" applyNumberFormat="1" applyFont="1" applyFill="1" applyBorder="1" applyAlignment="1">
      <alignment horizontal="left" vertical="center"/>
    </xf>
    <xf numFmtId="167" fontId="36" fillId="5" borderId="1" xfId="2" applyNumberFormat="1" applyFont="1" applyFill="1" applyBorder="1" applyAlignment="1">
      <alignment vertical="top"/>
    </xf>
    <xf numFmtId="169" fontId="36" fillId="5" borderId="1" xfId="2" applyNumberFormat="1" applyFont="1" applyFill="1" applyBorder="1" applyAlignment="1">
      <alignment horizontal="left" vertical="top"/>
    </xf>
    <xf numFmtId="168" fontId="36" fillId="5" borderId="1" xfId="6" applyNumberFormat="1" applyFont="1" applyFill="1" applyBorder="1" applyAlignment="1">
      <alignment horizontal="right" vertical="top"/>
    </xf>
    <xf numFmtId="165" fontId="36" fillId="5" borderId="1" xfId="0" applyNumberFormat="1" applyFont="1" applyFill="1" applyBorder="1" applyAlignment="1">
      <alignment horizontal="left"/>
    </xf>
    <xf numFmtId="166" fontId="5" fillId="0" borderId="11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5" fontId="5" fillId="0" borderId="11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1" fontId="41" fillId="5" borderId="1" xfId="4" applyFont="1" applyFill="1" applyBorder="1" applyAlignment="1"/>
    <xf numFmtId="165" fontId="41" fillId="5" borderId="1" xfId="0" applyNumberFormat="1" applyFont="1" applyFill="1" applyBorder="1" applyAlignment="1"/>
    <xf numFmtId="41" fontId="36" fillId="5" borderId="1" xfId="4" applyFont="1" applyFill="1" applyBorder="1" applyAlignment="1">
      <alignment horizontal="left" vertical="center" wrapText="1"/>
    </xf>
    <xf numFmtId="168" fontId="36" fillId="5" borderId="1" xfId="6" applyNumberFormat="1" applyFont="1" applyFill="1" applyBorder="1" applyAlignment="1">
      <alignment horizontal="right" vertical="top" wrapText="1"/>
    </xf>
    <xf numFmtId="168" fontId="36" fillId="5" borderId="1" xfId="6" applyNumberFormat="1" applyFont="1" applyFill="1" applyBorder="1" applyAlignment="1">
      <alignment horizontal="right"/>
    </xf>
    <xf numFmtId="0" fontId="48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168" fontId="36" fillId="5" borderId="1" xfId="6" applyNumberFormat="1" applyFont="1" applyFill="1" applyBorder="1" applyAlignment="1">
      <alignment horizontal="right" vertical="center"/>
    </xf>
    <xf numFmtId="0" fontId="36" fillId="5" borderId="1" xfId="2" applyFont="1" applyFill="1" applyBorder="1" applyAlignment="1" applyProtection="1">
      <alignment vertical="center"/>
    </xf>
    <xf numFmtId="168" fontId="36" fillId="5" borderId="1" xfId="6" applyNumberFormat="1" applyFont="1" applyFill="1" applyBorder="1" applyAlignment="1" applyProtection="1">
      <alignment vertical="center" wrapText="1"/>
    </xf>
    <xf numFmtId="165" fontId="36" fillId="5" borderId="1" xfId="0" applyNumberFormat="1" applyFont="1" applyFill="1" applyBorder="1" applyAlignment="1">
      <alignment horizontal="left" vertical="center"/>
    </xf>
    <xf numFmtId="168" fontId="36" fillId="5" borderId="1" xfId="6" applyNumberFormat="1" applyFont="1" applyFill="1" applyBorder="1" applyAlignment="1" applyProtection="1">
      <alignment horizontal="center" wrapText="1"/>
    </xf>
    <xf numFmtId="0" fontId="36" fillId="5" borderId="1" xfId="2" applyFont="1" applyFill="1" applyBorder="1" applyAlignment="1">
      <alignment horizontal="right"/>
    </xf>
    <xf numFmtId="168" fontId="36" fillId="5" borderId="1" xfId="6" applyNumberFormat="1" applyFont="1" applyFill="1" applyBorder="1" applyAlignment="1">
      <alignment horizontal="left" vertical="center" wrapText="1"/>
    </xf>
    <xf numFmtId="41" fontId="36" fillId="5" borderId="1" xfId="4" applyFont="1" applyFill="1" applyBorder="1" applyAlignment="1" applyProtection="1">
      <alignment horizontal="right" wrapText="1"/>
    </xf>
    <xf numFmtId="168" fontId="36" fillId="5" borderId="1" xfId="6" applyNumberFormat="1" applyFont="1" applyFill="1" applyBorder="1" applyAlignment="1">
      <alignment vertical="center" wrapText="1"/>
    </xf>
    <xf numFmtId="41" fontId="36" fillId="5" borderId="1" xfId="4" applyFont="1" applyFill="1" applyBorder="1" applyAlignment="1">
      <alignment horizontal="left" vertical="center"/>
    </xf>
    <xf numFmtId="171" fontId="36" fillId="0" borderId="1" xfId="0" applyNumberFormat="1" applyFont="1" applyFill="1" applyBorder="1" applyAlignment="1"/>
    <xf numFmtId="171" fontId="36" fillId="0" borderId="1" xfId="0" applyNumberFormat="1" applyFont="1" applyBorder="1" applyAlignment="1">
      <alignment vertical="center"/>
    </xf>
    <xf numFmtId="0" fontId="41" fillId="0" borderId="1" xfId="0" applyFont="1" applyFill="1" applyBorder="1" applyAlignment="1">
      <alignment vertical="center"/>
    </xf>
    <xf numFmtId="0" fontId="25" fillId="0" borderId="1" xfId="0" applyFont="1" applyBorder="1" applyAlignment="1">
      <alignment vertical="center"/>
    </xf>
    <xf numFmtId="165" fontId="41" fillId="0" borderId="1" xfId="0" applyNumberFormat="1" applyFont="1" applyFill="1" applyBorder="1" applyAlignment="1">
      <alignment vertical="center"/>
    </xf>
    <xf numFmtId="0" fontId="36" fillId="0" borderId="1" xfId="0" applyFont="1" applyFill="1" applyBorder="1" applyAlignment="1"/>
    <xf numFmtId="0" fontId="36" fillId="0" borderId="1" xfId="0" applyFont="1" applyBorder="1" applyAlignment="1">
      <alignment vertical="center"/>
    </xf>
    <xf numFmtId="171" fontId="41" fillId="5" borderId="1" xfId="0" applyNumberFormat="1" applyFont="1" applyFill="1" applyBorder="1" applyAlignment="1"/>
    <xf numFmtId="171" fontId="36" fillId="5" borderId="1" xfId="0" applyNumberFormat="1" applyFont="1" applyFill="1" applyBorder="1" applyAlignment="1"/>
    <xf numFmtId="171" fontId="36" fillId="5" borderId="1" xfId="2" applyNumberFormat="1" applyFont="1" applyFill="1" applyBorder="1" applyAlignment="1">
      <alignment wrapText="1"/>
    </xf>
    <xf numFmtId="171" fontId="36" fillId="5" borderId="1" xfId="2" applyNumberFormat="1" applyFont="1" applyFill="1" applyBorder="1" applyAlignment="1"/>
    <xf numFmtId="171" fontId="41" fillId="5" borderId="1" xfId="2" applyNumberFormat="1" applyFont="1" applyFill="1" applyBorder="1" applyAlignment="1"/>
    <xf numFmtId="171" fontId="41" fillId="5" borderId="1" xfId="2" applyNumberFormat="1" applyFont="1" applyFill="1" applyBorder="1" applyAlignment="1">
      <alignment wrapText="1"/>
    </xf>
    <xf numFmtId="171" fontId="36" fillId="5" borderId="1" xfId="2" applyNumberFormat="1" applyFont="1" applyFill="1" applyBorder="1" applyAlignment="1" applyProtection="1">
      <alignment wrapText="1"/>
    </xf>
    <xf numFmtId="171" fontId="41" fillId="5" borderId="1" xfId="0" applyNumberFormat="1" applyFont="1" applyFill="1" applyBorder="1" applyAlignment="1">
      <alignment vertical="center"/>
    </xf>
    <xf numFmtId="3" fontId="36" fillId="12" borderId="1" xfId="1" applyNumberFormat="1" applyFont="1" applyFill="1" applyBorder="1" applyAlignment="1" applyProtection="1">
      <alignment horizontal="right" vertical="center"/>
    </xf>
    <xf numFmtId="167" fontId="36" fillId="5" borderId="1" xfId="2" applyNumberFormat="1" applyFont="1" applyFill="1" applyBorder="1" applyAlignment="1" applyProtection="1">
      <alignment horizontal="right" vertical="center" wrapText="1"/>
    </xf>
    <xf numFmtId="167" fontId="36" fillId="5" borderId="1" xfId="2" applyNumberFormat="1" applyFont="1" applyFill="1" applyBorder="1" applyAlignment="1">
      <alignment horizontal="right" vertical="center" wrapText="1"/>
    </xf>
    <xf numFmtId="41" fontId="36" fillId="0" borderId="1" xfId="4" applyFont="1" applyFill="1" applyBorder="1" applyAlignment="1" applyProtection="1">
      <alignment horizontal="right"/>
    </xf>
    <xf numFmtId="41" fontId="36" fillId="12" borderId="1" xfId="4" applyFont="1" applyFill="1" applyBorder="1" applyAlignment="1" applyProtection="1">
      <alignment horizontal="right"/>
    </xf>
    <xf numFmtId="41" fontId="41" fillId="0" borderId="1" xfId="4" applyFont="1" applyFill="1" applyBorder="1" applyAlignment="1" applyProtection="1">
      <alignment horizontal="right"/>
    </xf>
    <xf numFmtId="168" fontId="36" fillId="5" borderId="1" xfId="6" applyNumberFormat="1" applyFont="1" applyFill="1" applyBorder="1" applyAlignment="1" applyProtection="1">
      <alignment wrapText="1"/>
    </xf>
    <xf numFmtId="0" fontId="41" fillId="0" borderId="1" xfId="0" applyFont="1" applyFill="1" applyBorder="1" applyAlignment="1"/>
    <xf numFmtId="0" fontId="36" fillId="0" borderId="1" xfId="0" applyFont="1" applyFill="1" applyBorder="1" applyAlignment="1">
      <alignment horizontal="left"/>
    </xf>
    <xf numFmtId="165" fontId="36" fillId="0" borderId="1" xfId="1" applyNumberFormat="1" applyFont="1" applyFill="1" applyBorder="1" applyAlignment="1">
      <alignment horizontal="right"/>
    </xf>
    <xf numFmtId="41" fontId="36" fillId="5" borderId="1" xfId="4" applyFont="1" applyFill="1" applyBorder="1" applyAlignment="1">
      <alignment horizontal="center" wrapText="1"/>
    </xf>
    <xf numFmtId="171" fontId="36" fillId="0" borderId="1" xfId="2" applyNumberFormat="1" applyFont="1" applyFill="1" applyBorder="1" applyAlignment="1">
      <alignment wrapText="1"/>
    </xf>
    <xf numFmtId="167" fontId="36" fillId="0" borderId="1" xfId="2" applyNumberFormat="1" applyFont="1" applyFill="1" applyBorder="1" applyAlignment="1"/>
    <xf numFmtId="168" fontId="36" fillId="0" borderId="1" xfId="6" applyNumberFormat="1" applyFont="1" applyFill="1" applyBorder="1" applyAlignment="1">
      <alignment horizontal="right" wrapText="1"/>
    </xf>
    <xf numFmtId="167" fontId="36" fillId="0" borderId="1" xfId="2" applyNumberFormat="1" applyFont="1" applyFill="1" applyBorder="1" applyAlignment="1">
      <alignment wrapText="1"/>
    </xf>
    <xf numFmtId="41" fontId="36" fillId="5" borderId="1" xfId="4" applyFont="1" applyFill="1" applyBorder="1" applyAlignment="1">
      <alignment wrapText="1"/>
    </xf>
    <xf numFmtId="0" fontId="7" fillId="0" borderId="0" xfId="0" applyNumberFormat="1" applyFont="1"/>
    <xf numFmtId="171" fontId="41" fillId="0" borderId="1" xfId="0" applyNumberFormat="1" applyFont="1" applyBorder="1" applyAlignment="1">
      <alignment vertical="center"/>
    </xf>
    <xf numFmtId="0" fontId="41" fillId="0" borderId="1" xfId="0" applyFont="1" applyBorder="1" applyAlignment="1">
      <alignment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6" fontId="5" fillId="0" borderId="11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5" fontId="5" fillId="0" borderId="11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/>
    </xf>
    <xf numFmtId="0" fontId="5" fillId="14" borderId="7" xfId="0" applyFont="1" applyFill="1" applyBorder="1" applyAlignment="1">
      <alignment horizontal="center" vertical="center"/>
    </xf>
    <xf numFmtId="0" fontId="5" fillId="14" borderId="8" xfId="0" applyFont="1" applyFill="1" applyBorder="1" applyAlignment="1">
      <alignment horizontal="center" vertical="center"/>
    </xf>
    <xf numFmtId="0" fontId="5" fillId="15" borderId="11" xfId="0" applyFont="1" applyFill="1" applyBorder="1" applyAlignment="1">
      <alignment horizontal="center" vertical="center"/>
    </xf>
    <xf numFmtId="0" fontId="5" fillId="15" borderId="3" xfId="0" applyFont="1" applyFill="1" applyBorder="1" applyAlignment="1">
      <alignment horizontal="center" vertical="center"/>
    </xf>
    <xf numFmtId="0" fontId="5" fillId="16" borderId="11" xfId="0" applyFont="1" applyFill="1" applyBorder="1" applyAlignment="1">
      <alignment horizontal="center" vertical="center"/>
    </xf>
    <xf numFmtId="0" fontId="5" fillId="16" borderId="3" xfId="0" applyFont="1" applyFill="1" applyBorder="1" applyAlignment="1">
      <alignment horizontal="center" vertical="center"/>
    </xf>
    <xf numFmtId="0" fontId="36" fillId="20" borderId="1" xfId="0" applyFont="1" applyFill="1" applyBorder="1" applyAlignment="1">
      <alignment horizontal="center" vertical="center"/>
    </xf>
    <xf numFmtId="0" fontId="36" fillId="20" borderId="1" xfId="0" applyFont="1" applyFill="1" applyBorder="1" applyAlignment="1">
      <alignment horizontal="right" vertical="center"/>
    </xf>
    <xf numFmtId="41" fontId="36" fillId="20" borderId="1" xfId="4" applyFont="1" applyFill="1" applyBorder="1" applyAlignment="1">
      <alignment horizontal="right" vertical="center"/>
    </xf>
    <xf numFmtId="0" fontId="36" fillId="20" borderId="1" xfId="0" applyFont="1" applyFill="1" applyBorder="1" applyAlignment="1">
      <alignment horizontal="left" vertical="center"/>
    </xf>
    <xf numFmtId="0" fontId="43" fillId="20" borderId="1" xfId="0" applyFont="1" applyFill="1" applyBorder="1" applyAlignment="1">
      <alignment horizontal="center" vertical="center"/>
    </xf>
  </cellXfs>
  <cellStyles count="8">
    <cellStyle name="Excel Built-in Comma" xfId="6"/>
    <cellStyle name="Excel Built-in Normal" xfId="2"/>
    <cellStyle name="Milliers" xfId="1" builtinId="3"/>
    <cellStyle name="Milliers [0]" xfId="4" builtinId="6"/>
    <cellStyle name="Milliers 3" xfId="5"/>
    <cellStyle name="Normal" xfId="0" builtinId="0"/>
    <cellStyle name="Normal_Total expenses by date" xfId="3"/>
    <cellStyle name="Pourcentage" xfId="7" builtinId="5"/>
  </cellStyles>
  <dxfs count="1">
    <dxf>
      <font>
        <color rgb="FFFF0000"/>
      </font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COMPTA_CREPIN%20du%2031-08-2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Fichier%20comptable-ted%20(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ralff\AppData\Local\Microsoft\Windows\INetCache\Content.Outlook\BTO9MOI8\RAPPORT%20FINANCIER%20JUILLET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Fichier_comptable_Dalia_au_21_Aout_2020%20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Comptabilit&#233;%20Evariste%20du%2021%20ao&#251;t%202020%20vf%20OK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Compta_21_08_20_%20Herick%20_Harmonis&#233;e(3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Comptabilit&#233;%20i23c%20au%2019%20Ao&#251;t%202020%20corrig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COMPTA%20PALF%20JB%20actualis&#233;e%20ce%2021.08.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Fichier_%20comptable_%20Jospin%20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P29-Comptabilit&#233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Fichier%20comptable-Shely%20A%20(1)%20(1)O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TA_CREPIN"/>
      <sheetName val="Type de dépenses"/>
      <sheetName val="Liste1"/>
      <sheetName val="COMPTA_CREPIN (2)"/>
      <sheetName val="Feuil2"/>
    </sheetNames>
    <sheetDataSet>
      <sheetData sheetId="0" refreshError="1">
        <row r="3050">
          <cell r="F3050">
            <v>1500</v>
          </cell>
        </row>
        <row r="3051">
          <cell r="F3051">
            <v>1500</v>
          </cell>
        </row>
        <row r="3052">
          <cell r="F3052">
            <v>1000</v>
          </cell>
        </row>
        <row r="3053">
          <cell r="F3053">
            <v>1000</v>
          </cell>
        </row>
        <row r="3054">
          <cell r="F3054">
            <v>1000</v>
          </cell>
        </row>
        <row r="3055">
          <cell r="F3055">
            <v>1500</v>
          </cell>
        </row>
        <row r="3056">
          <cell r="F3056">
            <v>1500</v>
          </cell>
        </row>
        <row r="3057">
          <cell r="F3057">
            <v>1000</v>
          </cell>
        </row>
        <row r="3058">
          <cell r="F3058">
            <v>1000</v>
          </cell>
        </row>
        <row r="3059">
          <cell r="F3059">
            <v>2000</v>
          </cell>
        </row>
        <row r="3060">
          <cell r="F3060">
            <v>1000</v>
          </cell>
        </row>
        <row r="3061">
          <cell r="F3061">
            <v>1000</v>
          </cell>
        </row>
        <row r="3062">
          <cell r="F3062">
            <v>1500</v>
          </cell>
        </row>
        <row r="3063">
          <cell r="F3063">
            <v>1500</v>
          </cell>
        </row>
        <row r="3064">
          <cell r="F3064">
            <v>1000</v>
          </cell>
        </row>
        <row r="3065">
          <cell r="F3065">
            <v>1000</v>
          </cell>
        </row>
        <row r="3066">
          <cell r="F3066">
            <v>1500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compta ted"/>
    </sheetNames>
    <sheetDataSet>
      <sheetData sheetId="0" refreshError="1"/>
      <sheetData sheetId="1" refreshError="1">
        <row r="11">
          <cell r="E11">
            <v>10000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NOR"/>
      <sheetName val="Feuil31"/>
      <sheetName val="DATAS"/>
      <sheetName val="COMPTE  PRINCIPAL"/>
      <sheetName val="RAPPROCHEMENT CP"/>
      <sheetName val="SOUS -COMPTE"/>
      <sheetName val="RAPPROCHEMENT SC"/>
      <sheetName val="CAISSE"/>
      <sheetName val="POURCENTAGE PROJECT"/>
      <sheetName val="TABLEA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I3">
            <v>705838</v>
          </cell>
        </row>
        <row r="16">
          <cell r="I16">
            <v>17673343.99927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pta Dalia"/>
      <sheetName val="Type de dépenses"/>
      <sheetName val="Feuil3"/>
      <sheetName val="Compta Dalia (2)"/>
      <sheetName val="Feuil1"/>
    </sheetNames>
    <sheetDataSet>
      <sheetData sheetId="0" refreshError="1"/>
      <sheetData sheetId="1" refreshError="1"/>
      <sheetData sheetId="2" refreshError="1"/>
      <sheetData sheetId="3" refreshError="1">
        <row r="1905">
          <cell r="F1905">
            <v>15000</v>
          </cell>
        </row>
        <row r="1908">
          <cell r="E1908">
            <v>15000</v>
          </cell>
        </row>
        <row r="1909">
          <cell r="E1909">
            <v>50000</v>
          </cell>
        </row>
        <row r="1911">
          <cell r="E1911">
            <v>44600</v>
          </cell>
        </row>
        <row r="1917">
          <cell r="E1917">
            <v>10000</v>
          </cell>
        </row>
        <row r="1919">
          <cell r="F1919">
            <v>1635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pta"/>
      <sheetName val="Feuil2"/>
      <sheetName val="Type de dépenses"/>
      <sheetName val="compta (2)"/>
      <sheetName val="Feuil1"/>
      <sheetName val="compta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556">
          <cell r="E2556">
            <v>10000</v>
          </cell>
        </row>
        <row r="2557">
          <cell r="E2557">
            <v>10000</v>
          </cell>
        </row>
        <row r="2558">
          <cell r="E2558">
            <v>10000</v>
          </cell>
        </row>
        <row r="2559">
          <cell r="F2559">
            <v>21000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mpta"/>
      <sheetName val="Feuil2"/>
      <sheetName val="Feuil3"/>
      <sheetName val="compta (2)"/>
      <sheetName val="Feuil1"/>
    </sheetNames>
    <sheetDataSet>
      <sheetData sheetId="0" refreshError="1"/>
      <sheetData sheetId="1" refreshError="1"/>
      <sheetData sheetId="2" refreshError="1"/>
      <sheetData sheetId="3" refreshError="1">
        <row r="2521">
          <cell r="E2521">
            <v>60000</v>
          </cell>
        </row>
        <row r="2522">
          <cell r="F2522">
            <v>180000</v>
          </cell>
        </row>
        <row r="2523">
          <cell r="F2523">
            <v>120000</v>
          </cell>
        </row>
        <row r="2524">
          <cell r="F2524">
            <v>2700</v>
          </cell>
        </row>
        <row r="2525">
          <cell r="E2525">
            <v>25000</v>
          </cell>
        </row>
        <row r="2526">
          <cell r="F2526">
            <v>15000</v>
          </cell>
        </row>
        <row r="2527">
          <cell r="E2527">
            <v>30000</v>
          </cell>
        </row>
        <row r="2528">
          <cell r="F2528">
            <v>15000</v>
          </cell>
        </row>
        <row r="2529">
          <cell r="E2529">
            <v>210000</v>
          </cell>
        </row>
        <row r="2530">
          <cell r="F2530">
            <v>10000</v>
          </cell>
        </row>
        <row r="2531">
          <cell r="F2531">
            <v>60000</v>
          </cell>
        </row>
        <row r="2532">
          <cell r="F2532">
            <v>4500</v>
          </cell>
        </row>
        <row r="2533">
          <cell r="F2533">
            <v>125000</v>
          </cell>
        </row>
        <row r="2534">
          <cell r="F2534">
            <v>49900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COMPTA_I23C"/>
      <sheetName val="Feuil2"/>
      <sheetName val="Feuil1"/>
      <sheetName val="COMPTA_I23C (2)"/>
      <sheetName val="Cumul transport"/>
      <sheetName val="ACHAT BOISSON"/>
      <sheetName val="Cumul transport (2)"/>
      <sheetName val="Cumul transport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171">
          <cell r="E4171">
            <v>90000</v>
          </cell>
        </row>
        <row r="4172">
          <cell r="E4172">
            <v>100000</v>
          </cell>
        </row>
        <row r="4174">
          <cell r="E4174">
            <v>100000</v>
          </cell>
        </row>
        <row r="4178">
          <cell r="E4178">
            <v>20000</v>
          </cell>
        </row>
        <row r="4180">
          <cell r="E4180">
            <v>150000</v>
          </cell>
        </row>
        <row r="4181">
          <cell r="E4181">
            <v>235000</v>
          </cell>
        </row>
      </sheetData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1 (2)"/>
      <sheetName val="cumul transport local"/>
      <sheetName val="Feuil2"/>
      <sheetName val="Feuil3"/>
    </sheetNames>
    <sheetDataSet>
      <sheetData sheetId="0" refreshError="1"/>
      <sheetData sheetId="1" refreshError="1">
        <row r="2684">
          <cell r="E2684">
            <v>110000</v>
          </cell>
        </row>
        <row r="2689">
          <cell r="E2689">
            <v>40000</v>
          </cell>
        </row>
        <row r="2691">
          <cell r="E2691">
            <v>125000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mpta Jospin"/>
      <sheetName val="Feuil1"/>
      <sheetName val="Compta Jospin (2)"/>
      <sheetName val="Feuil4"/>
    </sheetNames>
    <sheetDataSet>
      <sheetData sheetId="0" refreshError="1"/>
      <sheetData sheetId="1" refreshError="1"/>
      <sheetData sheetId="2" refreshError="1">
        <row r="1583">
          <cell r="E1583">
            <v>15000</v>
          </cell>
        </row>
        <row r="1584">
          <cell r="E1584">
            <v>40000</v>
          </cell>
        </row>
        <row r="1587">
          <cell r="E1587">
            <v>41400</v>
          </cell>
        </row>
        <row r="1592">
          <cell r="F1592">
            <v>950</v>
          </cell>
        </row>
      </sheetData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COMPT-P29"/>
      <sheetName val="Feuil2"/>
      <sheetName val="Feuil1"/>
      <sheetName val="COMPT-P29 (2)"/>
      <sheetName val="cumul transport local"/>
      <sheetName val="Cumul achat bois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0">
          <cell r="E190">
            <v>40000</v>
          </cell>
        </row>
        <row r="191">
          <cell r="E191">
            <v>110000</v>
          </cell>
        </row>
        <row r="196">
          <cell r="E196">
            <v>116600</v>
          </cell>
        </row>
        <row r="201">
          <cell r="E201">
            <v>25000</v>
          </cell>
        </row>
        <row r="202">
          <cell r="E202">
            <v>150000</v>
          </cell>
        </row>
        <row r="204">
          <cell r="E204">
            <v>214000</v>
          </cell>
        </row>
        <row r="207">
          <cell r="E207">
            <v>100000</v>
          </cell>
        </row>
        <row r="215">
          <cell r="E215">
            <v>100000</v>
          </cell>
        </row>
      </sheetData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compta shely"/>
      <sheetName val="Feuil3"/>
    </sheetNames>
    <sheetDataSet>
      <sheetData sheetId="0" refreshError="1"/>
      <sheetData sheetId="1" refreshError="1">
        <row r="90">
          <cell r="E90">
            <v>10000</v>
          </cell>
        </row>
        <row r="97">
          <cell r="E97">
            <v>5000</v>
          </cell>
        </row>
        <row r="100">
          <cell r="E100">
            <v>10000</v>
          </cell>
        </row>
      </sheetData>
      <sheetData sheetId="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J2018-3" refreshedDate="44777.626992592595" createdVersion="3" refreshedVersion="3" minRefreshableVersion="3" recordCount="263">
  <cacheSource type="worksheet">
    <worksheetSource ref="A11:O276" sheet="DATA JUILLET 2022"/>
  </cacheSource>
  <cacheFields count="15">
    <cacheField name="Date" numFmtId="171">
      <sharedItems containsSemiMixedTypes="0" containsNonDate="0" containsDate="1" containsString="0" minDate="2022-07-01T00:00:00" maxDate="2022-08-01T00:00:00"/>
    </cacheField>
    <cacheField name="Details" numFmtId="0">
      <sharedItems/>
    </cacheField>
    <cacheField name="Type de dépenses" numFmtId="0">
      <sharedItems containsBlank="1" count="20">
        <m/>
        <s v="Office materials"/>
        <s v="Versement"/>
        <s v="Bank fees"/>
        <s v="Transport"/>
        <s v="Travel Subsistence"/>
        <s v="Transfer fees"/>
        <s v="Bonus"/>
        <s v="Lawyer fees"/>
        <s v="Court Fees"/>
        <s v="Personnel"/>
        <s v="Rent &amp; Utilities"/>
        <s v="Telephone"/>
        <s v="Editing Costs"/>
        <s v="Jail Visits"/>
        <s v="Internet"/>
        <s v="Services"/>
        <s v="Travel expenses"/>
        <s v="Trust building"/>
        <s v="Grant"/>
      </sharedItems>
    </cacheField>
    <cacheField name="Departement" numFmtId="0">
      <sharedItems containsBlank="1"/>
    </cacheField>
    <cacheField name="Received" numFmtId="0">
      <sharedItems containsString="0" containsBlank="1" containsNumber="1" containsInteger="1" minValue="2500" maxValue="20402887" count="42">
        <m/>
        <n v="50000"/>
        <n v="8000"/>
        <n v="20000"/>
        <n v="253000"/>
        <n v="10000"/>
        <n v="82000"/>
        <n v="15000"/>
        <n v="104000"/>
        <n v="113000"/>
        <n v="40000"/>
        <n v="85000"/>
        <n v="2000000"/>
        <n v="4000"/>
        <n v="214000"/>
        <n v="110000"/>
        <n v="108000"/>
        <n v="91000"/>
        <n v="112000"/>
        <n v="112500"/>
        <n v="2100000"/>
        <n v="92000"/>
        <n v="114000"/>
        <n v="389000"/>
        <n v="81000"/>
        <n v="289000"/>
        <n v="1320000"/>
        <n v="60000"/>
        <n v="153000"/>
        <n v="35000"/>
        <n v="13000"/>
        <n v="28000"/>
        <n v="30000"/>
        <n v="22500"/>
        <n v="235000"/>
        <n v="2500"/>
        <n v="56000"/>
        <n v="200000"/>
        <n v="20402887"/>
        <n v="88000"/>
        <n v="154000"/>
        <n v="25000"/>
      </sharedItems>
    </cacheField>
    <cacheField name="Spent" numFmtId="0">
      <sharedItems containsString="0" containsBlank="1" containsNumber="1" containsInteger="1" minValue="300" maxValue="2100000" count="105">
        <m/>
        <n v="6000"/>
        <n v="8000"/>
        <n v="20000"/>
        <n v="14701"/>
        <n v="10000"/>
        <n v="30000"/>
        <n v="50000"/>
        <n v="13000"/>
        <n v="253000"/>
        <n v="7590"/>
        <n v="70000"/>
        <n v="104000"/>
        <n v="113000"/>
        <n v="5425"/>
        <n v="76000"/>
        <n v="82000"/>
        <n v="13500"/>
        <n v="15000"/>
        <n v="45000"/>
        <n v="23345"/>
        <n v="5000"/>
        <n v="90000"/>
        <n v="40000"/>
        <n v="75000"/>
        <n v="7000"/>
        <n v="10500"/>
        <n v="63660"/>
        <n v="47000"/>
        <n v="221500"/>
        <n v="124669"/>
        <n v="167724"/>
        <n v="215485"/>
        <n v="51747"/>
        <n v="8050"/>
        <n v="150000"/>
        <n v="85000"/>
        <n v="249485"/>
        <n v="35300"/>
        <n v="4000"/>
        <n v="214000"/>
        <n v="2000000"/>
        <n v="110000"/>
        <n v="7500"/>
        <n v="120000"/>
        <n v="91000"/>
        <n v="175000"/>
        <n v="11386"/>
        <n v="108000"/>
        <n v="3240"/>
        <n v="49843"/>
        <n v="112500"/>
        <n v="2815"/>
        <n v="112000"/>
        <n v="35000"/>
        <n v="16000"/>
        <n v="289000"/>
        <n v="153000"/>
        <n v="60000"/>
        <n v="1320000"/>
        <n v="81000"/>
        <n v="92000"/>
        <n v="114000"/>
        <n v="389000"/>
        <n v="15060"/>
        <n v="2100000"/>
        <n v="1311914"/>
        <n v="130000"/>
        <n v="9500"/>
        <n v="13535"/>
        <n v="8350"/>
        <n v="2200"/>
        <n v="300"/>
        <n v="235000"/>
        <n v="28000"/>
        <n v="48000"/>
        <n v="47500"/>
        <n v="240000"/>
        <n v="22500"/>
        <n v="6750"/>
        <n v="56000"/>
        <n v="5280"/>
        <n v="45050"/>
        <n v="2500"/>
        <n v="70500"/>
        <n v="30100"/>
        <n v="18000"/>
        <n v="154000"/>
        <n v="88000"/>
        <n v="8160"/>
        <n v="200000"/>
        <n v="2000"/>
        <n v="19000"/>
        <n v="58500"/>
        <n v="88200"/>
        <n v="80000"/>
        <n v="160000"/>
        <n v="12500"/>
        <n v="25000"/>
        <n v="24000"/>
        <n v="39400"/>
        <n v="23700"/>
        <n v="32000"/>
        <n v="88490"/>
        <n v="47900"/>
      </sharedItems>
    </cacheField>
    <cacheField name="Balance" numFmtId="165">
      <sharedItems containsSemiMixedTypes="0" containsString="0" containsNumber="1" containsInteger="1" minValue="3367412" maxValue="24695574"/>
    </cacheField>
    <cacheField name="Name" numFmtId="0">
      <sharedItems containsBlank="1" count="13">
        <m/>
        <s v="Caisse"/>
        <s v="BCI-Sous Compte"/>
        <s v="i23c"/>
        <s v="Hurielle"/>
        <s v="Yan"/>
        <s v="P29"/>
        <s v="Tiffany"/>
        <s v="Crépin"/>
        <s v="BCI"/>
        <s v="Evariste"/>
        <s v="Merveille"/>
        <s v="Grace"/>
      </sharedItems>
    </cacheField>
    <cacheField name="Receipt" numFmtId="0">
      <sharedItems containsBlank="1" containsMixedTypes="1" containsNumber="1" containsInteger="1" minValue="3654490" maxValue="3667229"/>
    </cacheField>
    <cacheField name="Donor" numFmtId="0">
      <sharedItems containsBlank="1" count="4">
        <m/>
        <s v="Wildcat"/>
        <s v="UE"/>
        <s v=" "/>
      </sharedItems>
    </cacheField>
    <cacheField name="Project" numFmtId="0">
      <sharedItems containsBlank="1"/>
    </cacheField>
    <cacheField name="Country" numFmtId="0">
      <sharedItems containsBlank="1"/>
    </cacheField>
    <cacheField name="N°Pièce" numFmtId="0">
      <sharedItems containsNonDate="0" containsString="0" containsBlank="1"/>
    </cacheField>
    <cacheField name="Code budgetaire" numFmtId="0">
      <sharedItems containsBlank="1"/>
    </cacheField>
    <cacheField name="Contrôle" numFmtId="0">
      <sharedItems containsNonDate="0" containsString="0" containsBlank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J2018-3" refreshedDate="44777.626993981481" createdVersion="3" refreshedVersion="3" minRefreshableVersion="3" recordCount="373">
  <cacheSource type="worksheet">
    <worksheetSource ref="A11:O386" sheet="DATA JUILLET 2022"/>
  </cacheSource>
  <cacheFields count="15">
    <cacheField name="Date" numFmtId="0">
      <sharedItems containsNonDate="0" containsDate="1" containsString="0" containsBlank="1" minDate="2022-07-01T00:00:00" maxDate="2022-08-01T00:00:00"/>
    </cacheField>
    <cacheField name="Details" numFmtId="0">
      <sharedItems containsBlank="1"/>
    </cacheField>
    <cacheField name="Type de dépenses" numFmtId="0">
      <sharedItems containsBlank="1"/>
    </cacheField>
    <cacheField name="Departement" numFmtId="0">
      <sharedItems containsBlank="1"/>
    </cacheField>
    <cacheField name="Received" numFmtId="0">
      <sharedItems containsString="0" containsBlank="1" containsNumber="1" containsInteger="1" minValue="2500" maxValue="20402887"/>
    </cacheField>
    <cacheField name="Spent" numFmtId="0">
      <sharedItems containsString="0" containsBlank="1" containsNumber="1" containsInteger="1" minValue="300" maxValue="2100000"/>
    </cacheField>
    <cacheField name="Balance" numFmtId="165">
      <sharedItems containsString="0" containsBlank="1" containsNumber="1" containsInteger="1" minValue="3367412" maxValue="24695574"/>
    </cacheField>
    <cacheField name="Name" numFmtId="0">
      <sharedItems containsBlank="1"/>
    </cacheField>
    <cacheField name="Receipt" numFmtId="0">
      <sharedItems containsBlank="1" containsMixedTypes="1" containsNumber="1" containsInteger="1" minValue="3654490" maxValue="3667229"/>
    </cacheField>
    <cacheField name="Donor" numFmtId="0">
      <sharedItems containsBlank="1" count="4">
        <m/>
        <s v="Wildcat"/>
        <s v="UE"/>
        <s v=" "/>
      </sharedItems>
    </cacheField>
    <cacheField name="Project" numFmtId="0">
      <sharedItems containsBlank="1" count="4">
        <m/>
        <s v="RALFF"/>
        <s v="PALF"/>
        <s v="UE" u="1"/>
      </sharedItems>
    </cacheField>
    <cacheField name="Country" numFmtId="0">
      <sharedItems containsBlank="1"/>
    </cacheField>
    <cacheField name="N°Pièce" numFmtId="0">
      <sharedItems containsNonDate="0" containsString="0" containsBlank="1"/>
    </cacheField>
    <cacheField name="Code budgetaire" numFmtId="0">
      <sharedItems containsBlank="1"/>
    </cacheField>
    <cacheField name="Contrôle" numFmtId="0">
      <sharedItems containsNonDate="0" containsString="0" containsBlank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CJ2018-3" refreshedDate="44777.626995949075" createdVersion="3" refreshedVersion="3" minRefreshableVersion="3" recordCount="301">
  <cacheSource type="worksheet">
    <worksheetSource ref="A11:O314" sheet="DATA JUILLET 2022"/>
  </cacheSource>
  <cacheFields count="15">
    <cacheField name="Date" numFmtId="0">
      <sharedItems containsNonDate="0" containsDate="1" containsString="0" containsBlank="1" minDate="2022-07-01T00:00:00" maxDate="2022-08-01T00:00:00"/>
    </cacheField>
    <cacheField name="Details" numFmtId="0">
      <sharedItems containsBlank="1"/>
    </cacheField>
    <cacheField name="Type de dépenses" numFmtId="0">
      <sharedItems containsBlank="1" count="24">
        <m/>
        <s v="Office materials"/>
        <s v="Versement"/>
        <s v="Bank fees"/>
        <s v="Transport"/>
        <s v="Travel Subsistence"/>
        <s v="Transfer fees"/>
        <s v="Bonus"/>
        <s v="Lawyer fees"/>
        <s v="Court Fees"/>
        <s v="Personnel"/>
        <s v="Rent &amp; Utilities"/>
        <s v="Telephone"/>
        <s v="Editing Costs"/>
        <s v="Jail Visits"/>
        <s v="Internet"/>
        <s v="Services"/>
        <s v="Travel expenses"/>
        <s v="Trust building"/>
        <s v="Grant"/>
        <s v="Bonus " u="1"/>
        <s v="Personnel " u="1"/>
        <s v="Flight" u="1"/>
        <s v="Equipement" u="1"/>
      </sharedItems>
    </cacheField>
    <cacheField name="Departement" numFmtId="0">
      <sharedItems containsBlank="1"/>
    </cacheField>
    <cacheField name="Received" numFmtId="0">
      <sharedItems containsString="0" containsBlank="1" containsNumber="1" containsInteger="1" minValue="2500" maxValue="20402887"/>
    </cacheField>
    <cacheField name="Spent" numFmtId="0">
      <sharedItems containsString="0" containsBlank="1" containsNumber="1" containsInteger="1" minValue="300" maxValue="2100000"/>
    </cacheField>
    <cacheField name="Balance" numFmtId="165">
      <sharedItems containsString="0" containsBlank="1" containsNumber="1" containsInteger="1" minValue="3367412" maxValue="24695574"/>
    </cacheField>
    <cacheField name="Name" numFmtId="0">
      <sharedItems containsBlank="1" count="13">
        <m/>
        <s v="Caisse"/>
        <s v="BCI-Sous Compte"/>
        <s v="i23c"/>
        <s v="Hurielle"/>
        <s v="Yan"/>
        <s v="P29"/>
        <s v="Tiffany"/>
        <s v="Crépin"/>
        <s v="BCI"/>
        <s v="Evariste"/>
        <s v="Merveille"/>
        <s v="Grace"/>
      </sharedItems>
    </cacheField>
    <cacheField name="Receipt" numFmtId="0">
      <sharedItems containsBlank="1" containsMixedTypes="1" containsNumber="1" containsInteger="1" minValue="3654490" maxValue="3667229"/>
    </cacheField>
    <cacheField name="Donor" numFmtId="0">
      <sharedItems containsBlank="1" count="4">
        <m/>
        <s v="Wildcat"/>
        <s v="UE"/>
        <s v=" "/>
      </sharedItems>
    </cacheField>
    <cacheField name="Project" numFmtId="0">
      <sharedItems containsBlank="1"/>
    </cacheField>
    <cacheField name="Country" numFmtId="0">
      <sharedItems containsBlank="1"/>
    </cacheField>
    <cacheField name="N°Pièce" numFmtId="0">
      <sharedItems containsNonDate="0" containsString="0" containsBlank="1"/>
    </cacheField>
    <cacheField name="Code budgetaire" numFmtId="0">
      <sharedItems containsBlank="1"/>
    </cacheField>
    <cacheField name="Contrôle" numFmtId="0">
      <sharedItems containsNonDate="0" containsString="0"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3">
  <r>
    <d v="2022-07-01T00:00:00"/>
    <s v="Solde au 01/07/2022"/>
    <x v="0"/>
    <m/>
    <x v="0"/>
    <x v="0"/>
    <n v="11968765"/>
    <x v="0"/>
    <m/>
    <x v="0"/>
    <m/>
    <m/>
    <m/>
    <m/>
    <m/>
  </r>
  <r>
    <d v="2022-07-01T00:00:00"/>
    <s v="Achat 02 paquets papier bristol"/>
    <x v="1"/>
    <s v="Office"/>
    <x v="0"/>
    <x v="1"/>
    <n v="11962765"/>
    <x v="1"/>
    <s v="Oui"/>
    <x v="1"/>
    <s v="RALFF"/>
    <s v="CONGO"/>
    <m/>
    <s v="4.3"/>
    <m/>
  </r>
  <r>
    <d v="2022-07-01T00:00:00"/>
    <s v="Hurielle"/>
    <x v="2"/>
    <m/>
    <x v="0"/>
    <x v="2"/>
    <n v="11954765"/>
    <x v="1"/>
    <m/>
    <x v="0"/>
    <m/>
    <m/>
    <m/>
    <m/>
    <m/>
  </r>
  <r>
    <d v="2022-07-01T00:00:00"/>
    <s v="Tiffany"/>
    <x v="2"/>
    <m/>
    <x v="0"/>
    <x v="3"/>
    <n v="11934765"/>
    <x v="1"/>
    <m/>
    <x v="0"/>
    <m/>
    <m/>
    <m/>
    <m/>
    <m/>
  </r>
  <r>
    <d v="2022-07-01T00:00:00"/>
    <s v="Yan/retour caisse"/>
    <x v="2"/>
    <m/>
    <x v="1"/>
    <x v="0"/>
    <n v="11984765"/>
    <x v="1"/>
    <m/>
    <x v="0"/>
    <m/>
    <m/>
    <m/>
    <m/>
    <m/>
  </r>
  <r>
    <d v="2022-07-01T00:00:00"/>
    <s v="Frais bancaire mois de Juillet 2022"/>
    <x v="3"/>
    <s v="Office"/>
    <x v="0"/>
    <x v="4"/>
    <n v="11970064"/>
    <x v="2"/>
    <s v="Relevé"/>
    <x v="2"/>
    <s v="RALFF"/>
    <s v="CONGO"/>
    <m/>
    <s v="5.6"/>
    <m/>
  </r>
  <r>
    <d v="2022-07-01T00:00:00"/>
    <s v="Achat billet Brazzaville-Dolisie (mission pour Dolisie)/I23C"/>
    <x v="4"/>
    <s v="Investigation"/>
    <x v="0"/>
    <x v="5"/>
    <n v="11960064"/>
    <x v="3"/>
    <s v="Oui"/>
    <x v="1"/>
    <s v="RALFF"/>
    <s v="CONGO"/>
    <m/>
    <s v="2.2"/>
    <m/>
  </r>
  <r>
    <d v="2022-07-01T00:00:00"/>
    <s v="Reçu caisse/Hurielle"/>
    <x v="2"/>
    <m/>
    <x v="2"/>
    <x v="0"/>
    <n v="11968064"/>
    <x v="4"/>
    <m/>
    <x v="0"/>
    <m/>
    <m/>
    <m/>
    <m/>
    <m/>
  </r>
  <r>
    <d v="2022-07-01T00:00:00"/>
    <s v="YAN GOMAT - CONGO Frais d'hôtel 02 nuitées du 29 juin au 1 juillet 22 à Owando"/>
    <x v="5"/>
    <s v="Legal"/>
    <x v="0"/>
    <x v="6"/>
    <n v="11938064"/>
    <x v="5"/>
    <s v="Oui"/>
    <x v="1"/>
    <s v="PALF"/>
    <s v="CONGO"/>
    <m/>
    <m/>
    <m/>
  </r>
  <r>
    <d v="2022-07-01T00:00:00"/>
    <s v="Retour caisse/Yan GOMAT"/>
    <x v="2"/>
    <m/>
    <x v="0"/>
    <x v="7"/>
    <n v="11888064"/>
    <x v="5"/>
    <m/>
    <x v="0"/>
    <m/>
    <m/>
    <m/>
    <m/>
    <m/>
  </r>
  <r>
    <d v="2022-07-01T00:00:00"/>
    <s v="Achat billet Brazzaville-Pointe Noire/P29"/>
    <x v="4"/>
    <s v="Investigation"/>
    <x v="0"/>
    <x v="8"/>
    <n v="11875064"/>
    <x v="6"/>
    <s v="Oui"/>
    <x v="1"/>
    <s v="RALFF"/>
    <s v="CONGO"/>
    <m/>
    <s v="2.2"/>
    <m/>
  </r>
  <r>
    <d v="2022-07-01T00:00:00"/>
    <s v="Transfert Caisse/ Tiffany"/>
    <x v="2"/>
    <m/>
    <x v="3"/>
    <x v="0"/>
    <n v="11895064"/>
    <x v="7"/>
    <m/>
    <x v="0"/>
    <m/>
    <m/>
    <m/>
    <m/>
    <m/>
  </r>
  <r>
    <d v="2022-07-02T00:00:00"/>
    <s v="Crepin"/>
    <x v="2"/>
    <m/>
    <x v="0"/>
    <x v="9"/>
    <n v="11642064"/>
    <x v="1"/>
    <m/>
    <x v="0"/>
    <m/>
    <m/>
    <m/>
    <m/>
    <m/>
  </r>
  <r>
    <d v="2022-07-02T00:00:00"/>
    <s v="Frais de transfert charden farell à Crepin"/>
    <x v="6"/>
    <s v="Office"/>
    <x v="0"/>
    <x v="10"/>
    <n v="11634474"/>
    <x v="1"/>
    <s v="Oui"/>
    <x v="1"/>
    <s v="RALFF"/>
    <s v="CONGO"/>
    <m/>
    <s v="5.6"/>
    <m/>
  </r>
  <r>
    <d v="2022-07-02T00:00:00"/>
    <s v="I23C - CONGO Food allowance Mission Dolisie- Makabana- Mila mila du 2 au 9 juillet 2022"/>
    <x v="5"/>
    <s v="Investigation"/>
    <x v="0"/>
    <x v="11"/>
    <n v="11564474"/>
    <x v="3"/>
    <s v="Décharge"/>
    <x v="1"/>
    <s v="RALFF"/>
    <s v="CONGO"/>
    <m/>
    <s v="1.3.2"/>
    <m/>
  </r>
  <r>
    <d v="2022-07-02T00:00:00"/>
    <s v="P29 - CONGO Food allowance mission du 02 au 09-07-2022"/>
    <x v="5"/>
    <s v="Investigation"/>
    <x v="0"/>
    <x v="11"/>
    <n v="11494474"/>
    <x v="6"/>
    <s v="Décharge"/>
    <x v="1"/>
    <s v="RALFF"/>
    <s v="CONGO"/>
    <m/>
    <s v="1.3.2"/>
    <m/>
  </r>
  <r>
    <d v="2022-07-02T00:00:00"/>
    <s v="Reçu de caisse/Crépin"/>
    <x v="2"/>
    <m/>
    <x v="4"/>
    <x v="0"/>
    <n v="11747474"/>
    <x v="8"/>
    <m/>
    <x v="0"/>
    <m/>
    <m/>
    <m/>
    <m/>
    <m/>
  </r>
  <r>
    <d v="2022-07-05T00:00:00"/>
    <s v="P29"/>
    <x v="2"/>
    <m/>
    <x v="0"/>
    <x v="12"/>
    <n v="11643474"/>
    <x v="1"/>
    <m/>
    <x v="0"/>
    <m/>
    <m/>
    <m/>
    <m/>
    <m/>
  </r>
  <r>
    <d v="2022-07-05T00:00:00"/>
    <s v="I23C"/>
    <x v="2"/>
    <m/>
    <x v="0"/>
    <x v="13"/>
    <n v="11530474"/>
    <x v="1"/>
    <m/>
    <x v="0"/>
    <m/>
    <m/>
    <m/>
    <m/>
    <m/>
  </r>
  <r>
    <d v="2022-07-05T00:00:00"/>
    <s v="Frais de transfert argent à P29 et I23c"/>
    <x v="6"/>
    <s v="Office"/>
    <x v="0"/>
    <x v="14"/>
    <n v="11525049"/>
    <x v="1"/>
    <s v="Oui"/>
    <x v="1"/>
    <s v="RALFF"/>
    <s v="CONGO"/>
    <m/>
    <s v="5.6"/>
    <m/>
  </r>
  <r>
    <d v="2022-07-05T00:00:00"/>
    <s v="Hurielle"/>
    <x v="2"/>
    <m/>
    <x v="0"/>
    <x v="5"/>
    <n v="11515049"/>
    <x v="1"/>
    <m/>
    <x v="0"/>
    <m/>
    <m/>
    <m/>
    <m/>
    <m/>
  </r>
  <r>
    <d v="2022-07-05T00:00:00"/>
    <s v="Bonus mois de Juin 2022/Hurielle"/>
    <x v="7"/>
    <s v="Legal"/>
    <x v="0"/>
    <x v="5"/>
    <n v="11505049"/>
    <x v="1"/>
    <s v="Décharge"/>
    <x v="1"/>
    <s v="PALF"/>
    <s v="CONGO"/>
    <m/>
    <m/>
    <m/>
  </r>
  <r>
    <d v="2022-07-05T00:00:00"/>
    <s v="Bonus mois de Juin 2022/Evariste"/>
    <x v="7"/>
    <s v="Media"/>
    <x v="0"/>
    <x v="3"/>
    <n v="11485049"/>
    <x v="1"/>
    <s v="Décharge"/>
    <x v="1"/>
    <s v="PALF"/>
    <s v="CONGO"/>
    <m/>
    <m/>
    <m/>
  </r>
  <r>
    <d v="2022-07-05T00:00:00"/>
    <s v="Frais de mission maitre Helène NANITELAMIO  du 06 au 08/07/2022 à Dolisie"/>
    <x v="8"/>
    <s v="Legal"/>
    <x v="0"/>
    <x v="15"/>
    <n v="11409049"/>
    <x v="1"/>
    <s v="Oui"/>
    <x v="1"/>
    <s v="RALFF"/>
    <s v="CONGO"/>
    <m/>
    <s v="5.2.2"/>
    <m/>
  </r>
  <r>
    <d v="2022-07-05T00:00:00"/>
    <s v="Hurielle"/>
    <x v="2"/>
    <m/>
    <x v="0"/>
    <x v="16"/>
    <n v="11327049"/>
    <x v="1"/>
    <m/>
    <x v="0"/>
    <m/>
    <m/>
    <m/>
    <m/>
    <m/>
  </r>
  <r>
    <d v="2022-07-05T00:00:00"/>
    <s v="Achat 03 Bonbones d'eau minerale"/>
    <x v="1"/>
    <s v="Office"/>
    <x v="0"/>
    <x v="17"/>
    <n v="11313549"/>
    <x v="1"/>
    <s v="Oui"/>
    <x v="1"/>
    <s v="RALFF"/>
    <s v="CONGO"/>
    <m/>
    <s v="4.3"/>
    <m/>
  </r>
  <r>
    <d v="2022-07-05T00:00:00"/>
    <s v="Yan"/>
    <x v="2"/>
    <m/>
    <x v="0"/>
    <x v="18"/>
    <n v="11298549"/>
    <x v="1"/>
    <m/>
    <x v="0"/>
    <m/>
    <m/>
    <m/>
    <m/>
    <m/>
  </r>
  <r>
    <d v="2022-07-05T00:00:00"/>
    <s v="I23C - CONGO Paiement 3 nuitées à Dolisie du 2 au 5 Juillet 2022"/>
    <x v="5"/>
    <s v="Investigation"/>
    <x v="0"/>
    <x v="19"/>
    <n v="11253549"/>
    <x v="3"/>
    <s v="Oui"/>
    <x v="1"/>
    <s v="RALFF"/>
    <s v="CONGO"/>
    <m/>
    <s v="1.3.2"/>
    <m/>
  </r>
  <r>
    <d v="2022-07-05T00:00:00"/>
    <s v="Taxi Dolisie- Makabana (départ pour Makabana)/I23C"/>
    <x v="4"/>
    <s v="Investigation"/>
    <x v="0"/>
    <x v="5"/>
    <n v="11243549"/>
    <x v="3"/>
    <s v="Oui"/>
    <x v="1"/>
    <s v="RALFF"/>
    <s v="CONGO"/>
    <m/>
    <s v="2.2"/>
    <m/>
  </r>
  <r>
    <d v="2022-07-05T00:00:00"/>
    <s v="Reçu caisse/Hurielle"/>
    <x v="2"/>
    <m/>
    <x v="5"/>
    <x v="0"/>
    <n v="11253549"/>
    <x v="4"/>
    <m/>
    <x v="0"/>
    <m/>
    <m/>
    <m/>
    <m/>
    <m/>
  </r>
  <r>
    <d v="2022-07-05T00:00:00"/>
    <s v="Frais d'expédition "/>
    <x v="9"/>
    <s v="Legal"/>
    <x v="0"/>
    <x v="5"/>
    <n v="11243549"/>
    <x v="4"/>
    <s v="Oui"/>
    <x v="1"/>
    <s v="PALF"/>
    <s v="CONGO"/>
    <m/>
    <m/>
    <m/>
  </r>
  <r>
    <d v="2022-07-05T00:00:00"/>
    <s v="Reçu caisse/Hurielle"/>
    <x v="2"/>
    <m/>
    <x v="6"/>
    <x v="0"/>
    <n v="11325549"/>
    <x v="4"/>
    <m/>
    <x v="0"/>
    <m/>
    <m/>
    <m/>
    <m/>
    <m/>
  </r>
  <r>
    <d v="2022-07-05T00:00:00"/>
    <s v="Achat billet aller Brazzaville-Dolisie/HURIELLE"/>
    <x v="4"/>
    <s v="Legal"/>
    <x v="0"/>
    <x v="5"/>
    <n v="11315549"/>
    <x v="4"/>
    <s v="Oui"/>
    <x v="1"/>
    <s v="RALFF"/>
    <s v="CONGO"/>
    <m/>
    <s v="2.2"/>
    <m/>
  </r>
  <r>
    <d v="2022-07-05T00:00:00"/>
    <s v="Reçu Caisse/Yan GOMAT"/>
    <x v="2"/>
    <m/>
    <x v="7"/>
    <x v="0"/>
    <n v="11330549"/>
    <x v="5"/>
    <m/>
    <x v="0"/>
    <m/>
    <m/>
    <m/>
    <m/>
    <m/>
  </r>
  <r>
    <d v="2022-07-05T00:00:00"/>
    <s v="Billet: Dolisie-Brazzaville/Crépin"/>
    <x v="4"/>
    <s v="Management"/>
    <x v="0"/>
    <x v="5"/>
    <n v="11320549"/>
    <x v="8"/>
    <s v="Oui"/>
    <x v="1"/>
    <s v="RALFF"/>
    <s v="CONGO"/>
    <m/>
    <s v="2.2"/>
    <m/>
  </r>
  <r>
    <d v="2022-07-05T00:00:00"/>
    <s v="Reçu de caisse/P29"/>
    <x v="2"/>
    <m/>
    <x v="8"/>
    <x v="0"/>
    <n v="11424549"/>
    <x v="6"/>
    <m/>
    <x v="0"/>
    <m/>
    <m/>
    <m/>
    <m/>
    <m/>
  </r>
  <r>
    <d v="2022-07-05T00:00:00"/>
    <s v="Reçu caisse/I23C"/>
    <x v="2"/>
    <m/>
    <x v="9"/>
    <x v="0"/>
    <n v="11537549"/>
    <x v="3"/>
    <m/>
    <x v="0"/>
    <m/>
    <m/>
    <m/>
    <m/>
    <m/>
  </r>
  <r>
    <d v="2022-07-06T00:00:00"/>
    <s v="Crepin"/>
    <x v="2"/>
    <m/>
    <x v="10"/>
    <x v="0"/>
    <n v="11577549"/>
    <x v="1"/>
    <m/>
    <x v="0"/>
    <m/>
    <m/>
    <m/>
    <m/>
    <m/>
  </r>
  <r>
    <d v="2022-07-06T00:00:00"/>
    <s v="Bonus operation du 05/06/2022 à OWANDO/Crepin"/>
    <x v="7"/>
    <s v="Operation"/>
    <x v="0"/>
    <x v="6"/>
    <n v="11547549"/>
    <x v="1"/>
    <s v="Décharge"/>
    <x v="1"/>
    <s v="PALF"/>
    <s v="CONGO"/>
    <m/>
    <m/>
    <m/>
  </r>
  <r>
    <d v="2022-07-06T00:00:00"/>
    <s v="Bonus mois de juin 2022/Crepin"/>
    <x v="7"/>
    <s v="Legal"/>
    <x v="0"/>
    <x v="7"/>
    <n v="11497549"/>
    <x v="1"/>
    <s v="Décharge"/>
    <x v="1"/>
    <s v="PALF"/>
    <s v="CONGO"/>
    <m/>
    <m/>
    <m/>
  </r>
  <r>
    <d v="2022-07-06T00:00:00"/>
    <s v="Frais bancaire mois de Juillet 2022"/>
    <x v="3"/>
    <s v="Office"/>
    <x v="0"/>
    <x v="20"/>
    <n v="11474204"/>
    <x v="9"/>
    <s v="Relevé"/>
    <x v="1"/>
    <s v="PALF"/>
    <s v="CONGO"/>
    <m/>
    <m/>
    <m/>
  </r>
  <r>
    <d v="2022-07-06T00:00:00"/>
    <s v="Taxi moto Makabana-Mila mila (rencontre avec informateurs)/I23C"/>
    <x v="4"/>
    <s v="Investigation"/>
    <x v="0"/>
    <x v="21"/>
    <n v="11469204"/>
    <x v="3"/>
    <s v="Oui"/>
    <x v="1"/>
    <s v="RALFF"/>
    <s v="CONGO"/>
    <m/>
    <s v="2.2"/>
    <m/>
  </r>
  <r>
    <d v="2022-07-06T00:00:00"/>
    <s v="Taxi moto Mila mila- Makabana (retour à Makabana)/I23C"/>
    <x v="4"/>
    <s v="Investigation"/>
    <x v="0"/>
    <x v="21"/>
    <n v="11464204"/>
    <x v="3"/>
    <s v="Oui"/>
    <x v="1"/>
    <s v="RALFF"/>
    <s v="CONGO"/>
    <m/>
    <s v="2.2"/>
    <m/>
  </r>
  <r>
    <d v="2022-07-06T00:00:00"/>
    <s v="HURIELLE - CONGO FoodAlowance du 06 au 08/07/2022 à Dolisie"/>
    <x v="5"/>
    <s v="Legal"/>
    <x v="0"/>
    <x v="3"/>
    <n v="11444204"/>
    <x v="4"/>
    <s v="Décharge"/>
    <x v="1"/>
    <s v="RALFF"/>
    <s v="CONGO"/>
    <m/>
    <s v="1.3.2"/>
    <m/>
  </r>
  <r>
    <d v="2022-07-06T00:00:00"/>
    <s v="CREPIN IBOUILI - CCONGO Frias d'Hotel 06 Nuitées du 30/06/ au 06/07/2022 à Dolisie"/>
    <x v="5"/>
    <s v="Management"/>
    <x v="0"/>
    <x v="22"/>
    <n v="11354204"/>
    <x v="8"/>
    <s v="Oui"/>
    <x v="1"/>
    <s v="RALFF"/>
    <s v="CONGO"/>
    <m/>
    <s v="1.3.2"/>
    <m/>
  </r>
  <r>
    <d v="2022-07-06T00:00:00"/>
    <s v="Retour à la caisse/Crépin"/>
    <x v="2"/>
    <m/>
    <x v="0"/>
    <x v="23"/>
    <n v="11314204"/>
    <x v="8"/>
    <m/>
    <x v="0"/>
    <m/>
    <m/>
    <m/>
    <m/>
    <m/>
  </r>
  <r>
    <d v="2022-07-07T00:00:00"/>
    <s v="I23C - CONGO Paiement 2 nuitées à Makabana du 5 au 7 juillet 2022"/>
    <x v="5"/>
    <s v="Investigation"/>
    <x v="0"/>
    <x v="6"/>
    <n v="11284204"/>
    <x v="3"/>
    <s v="Oui"/>
    <x v="1"/>
    <s v="RALFF"/>
    <s v="CONGO"/>
    <m/>
    <s v="1.3.2"/>
    <m/>
  </r>
  <r>
    <d v="2022-07-07T00:00:00"/>
    <s v="Taxi Makabana-Dolisie/I23C"/>
    <x v="4"/>
    <s v="Investigation"/>
    <x v="0"/>
    <x v="5"/>
    <n v="11274204"/>
    <x v="3"/>
    <s v="Oui"/>
    <x v="1"/>
    <s v="RALFF"/>
    <s v="CONGO"/>
    <m/>
    <s v="2.2"/>
    <m/>
  </r>
  <r>
    <d v="2022-07-07T00:00:00"/>
    <s v="Achat du billet de retour Dolisie-Brazzaville/HURIELLE"/>
    <x v="4"/>
    <s v="Legal"/>
    <x v="0"/>
    <x v="5"/>
    <n v="11264204"/>
    <x v="4"/>
    <s v="Oui"/>
    <x v="1"/>
    <s v="RALFF"/>
    <s v="CONGO"/>
    <m/>
    <s v="2.2"/>
    <m/>
  </r>
  <r>
    <d v="2022-07-07T00:00:00"/>
    <s v="P29 - CONGO Paiement 5 nuitées du 02 au 07-07-2022 à pointe noire"/>
    <x v="5"/>
    <s v="Investigation"/>
    <x v="0"/>
    <x v="24"/>
    <n v="11189204"/>
    <x v="6"/>
    <s v="Oui"/>
    <x v="1"/>
    <s v="RALFF"/>
    <s v="CONGO"/>
    <m/>
    <s v="1.3.2"/>
    <m/>
  </r>
  <r>
    <d v="2022-07-07T00:00:00"/>
    <s v="Achat billet Pointe Noire-les saras/P29"/>
    <x v="4"/>
    <s v="Investigation"/>
    <x v="0"/>
    <x v="21"/>
    <n v="11184204"/>
    <x v="6"/>
    <s v="Oui"/>
    <x v="1"/>
    <s v="RALFF"/>
    <s v="CONGO"/>
    <m/>
    <s v="2.2"/>
    <m/>
  </r>
  <r>
    <d v="2022-07-07T00:00:00"/>
    <s v="Achat billet les saras-Madingou/P29"/>
    <x v="4"/>
    <s v="Investigation"/>
    <x v="0"/>
    <x v="25"/>
    <n v="11177204"/>
    <x v="6"/>
    <s v="Oui"/>
    <x v="1"/>
    <s v="RALFF"/>
    <s v="CONGO"/>
    <m/>
    <s v="2.2"/>
    <m/>
  </r>
  <r>
    <d v="2022-07-08T00:00:00"/>
    <s v="Frais de traitement de dossier pour validation contrat à l'ACPE/Hurielle"/>
    <x v="10"/>
    <s v="Legal"/>
    <x v="0"/>
    <x v="26"/>
    <n v="11166704"/>
    <x v="1"/>
    <s v="Oui"/>
    <x v="1"/>
    <s v="PALF"/>
    <s v="CONGO"/>
    <m/>
    <m/>
    <m/>
  </r>
  <r>
    <d v="2022-07-08T00:00:00"/>
    <s v="Reglement facture E²C electricité/ période Mai-Juin 2022/bureau PALF"/>
    <x v="11"/>
    <s v="Office"/>
    <x v="0"/>
    <x v="27"/>
    <n v="11103044"/>
    <x v="1"/>
    <s v="Oui"/>
    <x v="1"/>
    <s v="RALFF"/>
    <s v="CONGO"/>
    <m/>
    <s v="4.4"/>
    <m/>
  </r>
  <r>
    <d v="2022-07-08T00:00:00"/>
    <s v="Evariste"/>
    <x v="2"/>
    <m/>
    <x v="0"/>
    <x v="18"/>
    <n v="11088044"/>
    <x v="1"/>
    <m/>
    <x v="0"/>
    <m/>
    <m/>
    <m/>
    <m/>
    <m/>
  </r>
  <r>
    <d v="2022-07-08T00:00:00"/>
    <s v="Frais Impression 200 cartes de visites/Tiffany"/>
    <x v="1"/>
    <s v="Office"/>
    <x v="0"/>
    <x v="6"/>
    <n v="11058044"/>
    <x v="1"/>
    <s v="Oui"/>
    <x v="1"/>
    <s v="PALF"/>
    <s v="CONGO"/>
    <m/>
    <m/>
    <m/>
  </r>
  <r>
    <d v="2022-07-08T00:00:00"/>
    <s v="Achat billet Dolisie-Brazzaville (retour à Brazzaville)/I23C"/>
    <x v="4"/>
    <s v="Investigation"/>
    <x v="0"/>
    <x v="5"/>
    <n v="11048044"/>
    <x v="3"/>
    <s v="Oui"/>
    <x v="1"/>
    <s v="RALFF"/>
    <s v="CONGO"/>
    <m/>
    <s v="2.2"/>
    <m/>
  </r>
  <r>
    <d v="2022-07-08T00:00:00"/>
    <s v="HURIELLE - CONGO Frais d'Hotel 02 nuitées du 06 au 08/07/2022  à Dolisie"/>
    <x v="5"/>
    <s v="Legal"/>
    <x v="0"/>
    <x v="6"/>
    <n v="11018044"/>
    <x v="4"/>
    <s v="Oui"/>
    <x v="1"/>
    <s v="RALFF"/>
    <s v="CONGO"/>
    <m/>
    <s v="1.3.2"/>
    <m/>
  </r>
  <r>
    <d v="2022-07-08T00:00:00"/>
    <s v="Réçu de la caisse/EVARISTE"/>
    <x v="2"/>
    <m/>
    <x v="7"/>
    <x v="0"/>
    <n v="11033044"/>
    <x v="10"/>
    <m/>
    <x v="0"/>
    <m/>
    <m/>
    <m/>
    <m/>
    <m/>
  </r>
  <r>
    <d v="2022-07-09T00:00:00"/>
    <s v="I23C - CONGO Paiement 2 nuitées à Dolisie du 7 au 9 juillet 2022"/>
    <x v="5"/>
    <s v="Investigation"/>
    <x v="0"/>
    <x v="6"/>
    <n v="11003044"/>
    <x v="3"/>
    <s v="Oui"/>
    <x v="1"/>
    <s v="RALFF"/>
    <s v="CONGO"/>
    <m/>
    <s v="1.3.2"/>
    <m/>
  </r>
  <r>
    <d v="2022-07-09T00:00:00"/>
    <s v="Achat billet Madingou - Brazzaville /P29"/>
    <x v="4"/>
    <s v="Investigation"/>
    <x v="0"/>
    <x v="2"/>
    <n v="10995044"/>
    <x v="6"/>
    <s v="Oui"/>
    <x v="1"/>
    <s v="RALFF"/>
    <s v="CONGO"/>
    <m/>
    <s v="2.2"/>
    <m/>
  </r>
  <r>
    <d v="2022-07-09T00:00:00"/>
    <s v="P29 - CONGO Paiement 2 nuitées du 07 au 09-07-2022 à madingou"/>
    <x v="5"/>
    <s v="Investigation"/>
    <x v="0"/>
    <x v="6"/>
    <n v="10965044"/>
    <x v="6"/>
    <s v="Oui"/>
    <x v="1"/>
    <s v="RALFF"/>
    <s v="CONGO"/>
    <m/>
    <s v="1.3.2"/>
    <m/>
  </r>
  <r>
    <d v="2022-07-11T00:00:00"/>
    <s v="Bonus media portant sur l'annonce de l'audience du 11/07/2022 au TGI de Brazzaville"/>
    <x v="7"/>
    <s v="Media"/>
    <x v="0"/>
    <x v="28"/>
    <n v="10918044"/>
    <x v="1"/>
    <s v="Décharge"/>
    <x v="1"/>
    <s v="PALF"/>
    <s v="CONGO"/>
    <m/>
    <m/>
    <m/>
  </r>
  <r>
    <d v="2022-07-11T00:00:00"/>
    <s v="Paiement CNSS prémier trimestre /Avril,Mai et Juin 2022/Crépin IBOUILI IBOUILI"/>
    <x v="10"/>
    <s v="Legal"/>
    <x v="0"/>
    <x v="29"/>
    <n v="10696544"/>
    <x v="2"/>
    <n v="3667211"/>
    <x v="1"/>
    <s v="RALFF"/>
    <s v="CONGO"/>
    <m/>
    <s v="1.1.1.7"/>
    <m/>
  </r>
  <r>
    <d v="2022-07-11T00:00:00"/>
    <s v="Paiement CNSS prémier trimestre /Avril,Mai et Juin  2022/Evariste LELOUSSI"/>
    <x v="10"/>
    <s v="Media"/>
    <x v="0"/>
    <x v="30"/>
    <n v="10571875"/>
    <x v="2"/>
    <n v="3667211"/>
    <x v="1"/>
    <s v="RALFF"/>
    <s v="CONGO"/>
    <m/>
    <s v="1.1.1.4"/>
    <m/>
  </r>
  <r>
    <d v="2022-07-11T00:00:00"/>
    <s v="Paiement CNSS prémier trimestre /Avril,Mai et Juin  2022/Merveille MAHANGA"/>
    <x v="10"/>
    <s v="Management"/>
    <x v="0"/>
    <x v="31"/>
    <n v="10404151"/>
    <x v="2"/>
    <n v="3667211"/>
    <x v="1"/>
    <s v="RALFF"/>
    <s v="CONGO"/>
    <m/>
    <s v="1.1.2.1"/>
    <m/>
  </r>
  <r>
    <d v="2022-07-11T00:00:00"/>
    <s v="Paiement CNSS prémier trimestre /Avril,Mai et Juin 202/Grace MOLENDE"/>
    <x v="10"/>
    <s v="Management"/>
    <x v="0"/>
    <x v="32"/>
    <n v="10188666"/>
    <x v="2"/>
    <n v="3667211"/>
    <x v="1"/>
    <s v="RALFF"/>
    <s v="CONGO"/>
    <m/>
    <s v="1.1.2.1"/>
    <m/>
  </r>
  <r>
    <d v="2022-07-11T00:00:00"/>
    <s v="Paiement CNSS prémier trimestre /Avril et Mai 2022/Godfre MALONGA"/>
    <x v="10"/>
    <s v="Legal"/>
    <x v="0"/>
    <x v="33"/>
    <n v="10136919"/>
    <x v="2"/>
    <n v="3667211"/>
    <x v="1"/>
    <s v="RALFF"/>
    <s v="CONGO"/>
    <m/>
    <s v="1.1.1.7"/>
    <m/>
  </r>
  <r>
    <d v="2022-07-11T00:00:00"/>
    <s v="Paiement CNSS prémier trimestre /Juin 2022/Hurielle MFOULOU"/>
    <x v="10"/>
    <s v="Legal"/>
    <x v="0"/>
    <x v="34"/>
    <n v="10128869"/>
    <x v="2"/>
    <n v="3667211"/>
    <x v="1"/>
    <s v="RALFF"/>
    <s v="CONGO"/>
    <m/>
    <s v="1.1.1.7"/>
    <m/>
  </r>
  <r>
    <d v="2022-07-11T00:00:00"/>
    <s v="Paiement Honoraire Me LOCKO Christian/Mois de Juin 2022"/>
    <x v="8"/>
    <s v="Legal"/>
    <x v="0"/>
    <x v="35"/>
    <n v="9978869"/>
    <x v="2"/>
    <n v="3667210"/>
    <x v="2"/>
    <s v="RALFF"/>
    <s v="CONGO"/>
    <m/>
    <s v="5.2.1"/>
    <m/>
  </r>
  <r>
    <d v="2022-07-12T00:00:00"/>
    <s v="Frais de mission maitre Helène NANITELAMIO  du 13 au 15/07/2022 à OWANDO"/>
    <x v="8"/>
    <s v="Legal"/>
    <x v="0"/>
    <x v="15"/>
    <n v="9902869"/>
    <x v="1"/>
    <s v="Oui"/>
    <x v="1"/>
    <s v="RALFF"/>
    <s v="CONGO"/>
    <m/>
    <s v="5.2.2"/>
    <m/>
  </r>
  <r>
    <d v="2022-07-12T00:00:00"/>
    <s v="Yan"/>
    <x v="2"/>
    <m/>
    <x v="0"/>
    <x v="36"/>
    <n v="9817869"/>
    <x v="1"/>
    <m/>
    <x v="0"/>
    <m/>
    <m/>
    <m/>
    <m/>
    <m/>
  </r>
  <r>
    <d v="2022-07-12T00:00:00"/>
    <s v="Yan"/>
    <x v="2"/>
    <m/>
    <x v="0"/>
    <x v="18"/>
    <n v="9802869"/>
    <x v="1"/>
    <m/>
    <x v="0"/>
    <m/>
    <m/>
    <m/>
    <m/>
    <m/>
  </r>
  <r>
    <d v="2022-07-12T00:00:00"/>
    <s v="Yan/Frais d'expedition et d'acte d'appel"/>
    <x v="2"/>
    <m/>
    <x v="0"/>
    <x v="23"/>
    <n v="9762869"/>
    <x v="1"/>
    <m/>
    <x v="0"/>
    <m/>
    <m/>
    <m/>
    <m/>
    <m/>
  </r>
  <r>
    <d v="2022-07-12T00:00:00"/>
    <s v="Reçu Caisse/Yan GOMAT"/>
    <x v="2"/>
    <m/>
    <x v="11"/>
    <x v="0"/>
    <n v="9847869"/>
    <x v="5"/>
    <m/>
    <x v="0"/>
    <m/>
    <m/>
    <m/>
    <m/>
    <m/>
  </r>
  <r>
    <d v="2022-07-12T00:00:00"/>
    <s v="Reçu Caisse/Yan GOMAT"/>
    <x v="2"/>
    <m/>
    <x v="10"/>
    <x v="0"/>
    <n v="9887869"/>
    <x v="5"/>
    <m/>
    <x v="0"/>
    <m/>
    <m/>
    <m/>
    <m/>
    <m/>
  </r>
  <r>
    <d v="2022-07-12T00:00:00"/>
    <s v="Reçu Caisse/Yan GOMAT"/>
    <x v="2"/>
    <m/>
    <x v="7"/>
    <x v="0"/>
    <n v="9902869"/>
    <x v="5"/>
    <m/>
    <x v="0"/>
    <m/>
    <m/>
    <m/>
    <m/>
    <m/>
  </r>
  <r>
    <d v="2022-07-12T00:00:00"/>
    <s v="Achat billet aller de bus Brazzaville/ Owando"/>
    <x v="4"/>
    <s v="Legal"/>
    <x v="0"/>
    <x v="5"/>
    <n v="9892869"/>
    <x v="5"/>
    <s v="Oui"/>
    <x v="1"/>
    <s v="PALF"/>
    <s v="CONGO"/>
    <m/>
    <m/>
    <m/>
  </r>
  <r>
    <d v="2022-07-13T00:00:00"/>
    <s v="Remboursement Frais loyer appartement Tiffany GOBERT mois de Juillet  2022/400USD"/>
    <x v="10"/>
    <s v="Management"/>
    <x v="0"/>
    <x v="37"/>
    <n v="9643384"/>
    <x v="1"/>
    <s v="Oui"/>
    <x v="1"/>
    <s v="PALF"/>
    <s v="CONGO"/>
    <m/>
    <m/>
    <m/>
  </r>
  <r>
    <d v="2022-07-13T00:00:00"/>
    <s v="Achat produit d'entretien bureau/lait sucre,javel, ajax,sucre,sac poubelle"/>
    <x v="1"/>
    <s v="Office"/>
    <x v="0"/>
    <x v="38"/>
    <n v="9608084"/>
    <x v="1"/>
    <s v="Oui"/>
    <x v="2"/>
    <s v="RALFF"/>
    <s v="CONGO"/>
    <m/>
    <s v="4.3"/>
    <m/>
  </r>
  <r>
    <d v="2022-07-13T00:00:00"/>
    <s v="YAN GOMAT - CONGO Food Allowance du 13 au 15 juillet 2022 à Owando"/>
    <x v="5"/>
    <s v="Legal"/>
    <x v="0"/>
    <x v="3"/>
    <n v="9588084"/>
    <x v="5"/>
    <s v="Décharge"/>
    <x v="1"/>
    <s v="PALF"/>
    <s v="CONGO"/>
    <m/>
    <m/>
    <m/>
  </r>
  <r>
    <d v="2022-07-14T00:00:00"/>
    <s v="I23C"/>
    <x v="2"/>
    <m/>
    <x v="0"/>
    <x v="5"/>
    <n v="9578084"/>
    <x v="1"/>
    <m/>
    <x v="0"/>
    <m/>
    <m/>
    <m/>
    <m/>
    <m/>
  </r>
  <r>
    <d v="2022-07-14T00:00:00"/>
    <s v="BCI-3654490/34"/>
    <x v="2"/>
    <m/>
    <x v="12"/>
    <x v="0"/>
    <n v="11578084"/>
    <x v="1"/>
    <m/>
    <x v="0"/>
    <m/>
    <m/>
    <m/>
    <m/>
    <m/>
  </r>
  <r>
    <d v="2022-07-14T00:00:00"/>
    <s v="Hurielle"/>
    <x v="2"/>
    <m/>
    <x v="0"/>
    <x v="39"/>
    <n v="11574084"/>
    <x v="1"/>
    <m/>
    <x v="0"/>
    <m/>
    <m/>
    <m/>
    <m/>
    <m/>
  </r>
  <r>
    <d v="2022-07-14T00:00:00"/>
    <s v="P29"/>
    <x v="2"/>
    <m/>
    <x v="0"/>
    <x v="40"/>
    <n v="11360084"/>
    <x v="1"/>
    <m/>
    <x v="0"/>
    <m/>
    <m/>
    <m/>
    <m/>
    <m/>
  </r>
  <r>
    <d v="2022-07-14T00:00:00"/>
    <s v="Retrait especes/appro caisse/bord n°3654490"/>
    <x v="2"/>
    <m/>
    <x v="0"/>
    <x v="41"/>
    <n v="9360084"/>
    <x v="9"/>
    <s v="Relevé"/>
    <x v="0"/>
    <m/>
    <m/>
    <m/>
    <m/>
    <m/>
  </r>
  <r>
    <d v="2022-07-14T00:00:00"/>
    <s v="Reçu caisse/I23C"/>
    <x v="2"/>
    <m/>
    <x v="5"/>
    <x v="0"/>
    <n v="9370084"/>
    <x v="3"/>
    <m/>
    <x v="0"/>
    <m/>
    <m/>
    <m/>
    <m/>
    <m/>
  </r>
  <r>
    <d v="2022-07-14T00:00:00"/>
    <s v="Reçu caisse/Hurielle"/>
    <x v="2"/>
    <m/>
    <x v="13"/>
    <x v="0"/>
    <n v="9374084"/>
    <x v="4"/>
    <m/>
    <x v="0"/>
    <m/>
    <m/>
    <m/>
    <m/>
    <m/>
  </r>
  <r>
    <d v="2022-07-14T00:00:00"/>
    <s v="Frais d'acte d'appel et de l'expédition de l'affaire AHOUNGA &amp; KENGONA"/>
    <x v="9"/>
    <s v="Legal"/>
    <x v="0"/>
    <x v="6"/>
    <n v="9344084"/>
    <x v="5"/>
    <s v="Oui"/>
    <x v="1"/>
    <s v="PALF"/>
    <s v="CONGO"/>
    <m/>
    <m/>
    <m/>
  </r>
  <r>
    <d v="2022-07-14T00:00:00"/>
    <s v="Achat billet retour Owando/ Brazzaville"/>
    <x v="4"/>
    <s v="Legal"/>
    <x v="0"/>
    <x v="5"/>
    <n v="9334084"/>
    <x v="5"/>
    <s v="Oui"/>
    <x v="1"/>
    <s v="PALF"/>
    <s v="CONGO"/>
    <m/>
    <m/>
    <m/>
  </r>
  <r>
    <d v="2022-07-14T00:00:00"/>
    <s v="Achat billet Brazzaville-dolisie/P29"/>
    <x v="4"/>
    <s v="Investigation"/>
    <x v="0"/>
    <x v="5"/>
    <n v="9324084"/>
    <x v="6"/>
    <s v="Oui"/>
    <x v="1"/>
    <s v="RALFF"/>
    <s v="CONGO"/>
    <m/>
    <s v="2.2"/>
    <m/>
  </r>
  <r>
    <d v="2022-07-14T00:00:00"/>
    <s v="Reçu de caisse/P29"/>
    <x v="2"/>
    <m/>
    <x v="14"/>
    <x v="0"/>
    <n v="9538084"/>
    <x v="6"/>
    <m/>
    <x v="0"/>
    <m/>
    <m/>
    <m/>
    <m/>
    <m/>
  </r>
  <r>
    <d v="2022-07-15T00:00:00"/>
    <s v="I23C"/>
    <x v="2"/>
    <m/>
    <x v="0"/>
    <x v="42"/>
    <n v="9428084"/>
    <x v="1"/>
    <m/>
    <x v="0"/>
    <m/>
    <m/>
    <m/>
    <m/>
    <m/>
  </r>
  <r>
    <d v="2022-07-15T00:00:00"/>
    <s v="Bonus portant sur la journée mondiale du chimpanzé"/>
    <x v="7"/>
    <s v="Media"/>
    <x v="0"/>
    <x v="28"/>
    <n v="9381084"/>
    <x v="1"/>
    <s v="Décharge"/>
    <x v="1"/>
    <s v="PALF"/>
    <s v="CONGO"/>
    <m/>
    <m/>
    <m/>
  </r>
  <r>
    <d v="2022-07-15T00:00:00"/>
    <s v="Merveille"/>
    <x v="2"/>
    <m/>
    <x v="0"/>
    <x v="18"/>
    <n v="9366084"/>
    <x v="1"/>
    <m/>
    <x v="0"/>
    <m/>
    <m/>
    <m/>
    <m/>
    <m/>
  </r>
  <r>
    <d v="2022-07-15T00:00:00"/>
    <s v="Achat credit  teléphonique MTN/PALF/Deuxième partie Juillet 2022/Management"/>
    <x v="12"/>
    <s v="Management "/>
    <x v="0"/>
    <x v="3"/>
    <n v="9346084"/>
    <x v="1"/>
    <s v="Oui"/>
    <x v="1"/>
    <s v="RALFF"/>
    <s v="CONGO"/>
    <m/>
    <s v="4.6"/>
    <m/>
  </r>
  <r>
    <d v="2022-07-15T00:00:00"/>
    <s v="Achat credit  teléphonique MTN/PALF/Deuxième partie Juillet 2022/Legal"/>
    <x v="12"/>
    <s v="Legal"/>
    <x v="0"/>
    <x v="18"/>
    <n v="9331084"/>
    <x v="1"/>
    <s v="Oui"/>
    <x v="1"/>
    <s v="RALFF"/>
    <s v="CONGO"/>
    <m/>
    <s v="4.6"/>
    <m/>
  </r>
  <r>
    <d v="2022-07-15T00:00:00"/>
    <s v="Achat credit  teléphonique MTN/PALF/Deuxième partie Juillet 2022/Legal Volontaire"/>
    <x v="12"/>
    <s v="Legal"/>
    <x v="0"/>
    <x v="21"/>
    <n v="9326084"/>
    <x v="1"/>
    <s v="Oui"/>
    <x v="1"/>
    <s v="PALF"/>
    <s v="CONGO"/>
    <m/>
    <m/>
    <m/>
  </r>
  <r>
    <d v="2022-07-15T00:00:00"/>
    <s v="Achat credit  teléphonique MTN/PALF/Deuxième partie Juillet 2022/Investigation"/>
    <x v="12"/>
    <s v="Investigation"/>
    <x v="0"/>
    <x v="3"/>
    <n v="9306084"/>
    <x v="1"/>
    <s v="Oui"/>
    <x v="1"/>
    <s v="RALFF"/>
    <s v="CONGO"/>
    <m/>
    <s v="4.6"/>
    <m/>
  </r>
  <r>
    <d v="2022-07-15T00:00:00"/>
    <s v="Achat credit  teléphonique MTN/PALF/Deuxième partie Juillet 2022/Media"/>
    <x v="12"/>
    <s v="Media"/>
    <x v="0"/>
    <x v="5"/>
    <n v="9296084"/>
    <x v="1"/>
    <s v="Oui"/>
    <x v="1"/>
    <s v="RALFF"/>
    <s v="CONGO"/>
    <m/>
    <s v="4.6"/>
    <m/>
  </r>
  <r>
    <d v="2022-07-15T00:00:00"/>
    <s v="Achat credit  teléphonique Airtel/PALF/Deuxième partie Juillet 2022/Management"/>
    <x v="12"/>
    <s v="Management "/>
    <x v="0"/>
    <x v="5"/>
    <n v="9286084"/>
    <x v="1"/>
    <s v="Oui"/>
    <x v="1"/>
    <s v="RALFF"/>
    <s v="CONGO"/>
    <m/>
    <s v="4.6"/>
    <m/>
  </r>
  <r>
    <d v="2022-07-15T00:00:00"/>
    <s v="Achat credit  teléphonique Airtel/PALF/Deuxième partie Juillet 2022/Legal"/>
    <x v="12"/>
    <s v="Legal"/>
    <x v="0"/>
    <x v="21"/>
    <n v="9281084"/>
    <x v="1"/>
    <s v="Oui"/>
    <x v="1"/>
    <s v="RALFF"/>
    <s v="CONGO"/>
    <m/>
    <s v="4.6"/>
    <m/>
  </r>
  <r>
    <d v="2022-07-15T00:00:00"/>
    <s v="Achat credit  teléphonique Airtel/PALFDeuxième partie Juillet 2022/Investigation"/>
    <x v="12"/>
    <s v="Investigation"/>
    <x v="0"/>
    <x v="5"/>
    <n v="9271084"/>
    <x v="1"/>
    <s v="Oui"/>
    <x v="1"/>
    <s v="RALFF"/>
    <s v="CONGO"/>
    <m/>
    <s v="4.6"/>
    <m/>
  </r>
  <r>
    <d v="2022-07-15T00:00:00"/>
    <s v="Recu caisse/I23C"/>
    <x v="2"/>
    <m/>
    <x v="15"/>
    <x v="0"/>
    <n v="9381084"/>
    <x v="3"/>
    <m/>
    <x v="0"/>
    <m/>
    <m/>
    <m/>
    <m/>
    <m/>
  </r>
  <r>
    <d v="2022-07-15T00:00:00"/>
    <s v="Achat billet Brazza-Pointe-Noire/I23C"/>
    <x v="4"/>
    <s v="Investigation"/>
    <x v="0"/>
    <x v="8"/>
    <n v="9368084"/>
    <x v="3"/>
    <s v="Oui"/>
    <x v="1"/>
    <s v="RALFF"/>
    <s v="CONGO"/>
    <m/>
    <s v="2.2"/>
    <m/>
  </r>
  <r>
    <d v="2022-07-15T00:00:00"/>
    <s v="YAN GOMAT - CONGO Frais d'Hôtel du 13 au 15 juillet 2022"/>
    <x v="5"/>
    <s v="Legal"/>
    <x v="0"/>
    <x v="6"/>
    <n v="9338084"/>
    <x v="5"/>
    <s v="Oui"/>
    <x v="1"/>
    <s v="PALF"/>
    <s v="CONGO"/>
    <m/>
    <m/>
    <m/>
  </r>
  <r>
    <d v="2022-07-15T00:00:00"/>
    <s v="Reçu caisse/Merveille"/>
    <x v="2"/>
    <m/>
    <x v="7"/>
    <x v="0"/>
    <n v="9353084"/>
    <x v="11"/>
    <m/>
    <x v="0"/>
    <m/>
    <m/>
    <m/>
    <m/>
    <m/>
  </r>
  <r>
    <d v="2022-07-15T00:00:00"/>
    <s v="P29 - CONGO Food allowance mission du 15 au 30-07-2022 "/>
    <x v="5"/>
    <s v="Investigation"/>
    <x v="0"/>
    <x v="35"/>
    <n v="9203084"/>
    <x v="6"/>
    <s v="Décharge"/>
    <x v="1"/>
    <s v="RALFF"/>
    <s v="CONGO"/>
    <m/>
    <s v="1.3.2"/>
    <m/>
  </r>
  <r>
    <d v="2022-07-16T00:00:00"/>
    <s v="Frais courtier,visite appartement/Demarcheur"/>
    <x v="4"/>
    <s v="Investigation"/>
    <x v="0"/>
    <x v="43"/>
    <n v="9195584"/>
    <x v="6"/>
    <s v="Oui"/>
    <x v="1"/>
    <s v="PALF"/>
    <s v="CONGO"/>
    <m/>
    <m/>
    <m/>
  </r>
  <r>
    <d v="2022-07-17T00:00:00"/>
    <s v="I23C - CONGO Food allowance mission Pointe-Noire-Dolisie du 17 au 29 juillet 2022"/>
    <x v="5"/>
    <s v="Investigation"/>
    <x v="0"/>
    <x v="44"/>
    <n v="9075584"/>
    <x v="3"/>
    <s v="Décharge"/>
    <x v="1"/>
    <s v="RALFF"/>
    <s v="CONGO"/>
    <m/>
    <s v="1.3.2"/>
    <m/>
  </r>
  <r>
    <d v="2022-07-17T00:00:00"/>
    <s v="Frais courtier,visite appartement"/>
    <x v="4"/>
    <s v="Investigation"/>
    <x v="0"/>
    <x v="39"/>
    <n v="9071584"/>
    <x v="6"/>
    <s v="Oui"/>
    <x v="1"/>
    <s v="PALF"/>
    <s v="CONGO"/>
    <m/>
    <m/>
    <m/>
  </r>
  <r>
    <d v="2022-07-18T00:00:00"/>
    <s v="Hurielle"/>
    <x v="2"/>
    <m/>
    <x v="0"/>
    <x v="7"/>
    <n v="9021584"/>
    <x v="1"/>
    <m/>
    <x v="0"/>
    <m/>
    <m/>
    <m/>
    <m/>
    <m/>
  </r>
  <r>
    <d v="2022-07-18T00:00:00"/>
    <s v="Reçu caisse/Hurielle"/>
    <x v="2"/>
    <m/>
    <x v="1"/>
    <x v="0"/>
    <n v="9071584"/>
    <x v="4"/>
    <m/>
    <x v="0"/>
    <m/>
    <m/>
    <m/>
    <m/>
    <m/>
  </r>
  <r>
    <d v="2022-07-18T00:00:00"/>
    <s v="P29 - CONGO Paiement 3 nuitées du 15 au 18-07-2022 à dolisie"/>
    <x v="5"/>
    <s v="Investigation"/>
    <x v="0"/>
    <x v="19"/>
    <n v="9026584"/>
    <x v="6"/>
    <s v="Oui"/>
    <x v="1"/>
    <s v="RALFF"/>
    <s v="CONGO"/>
    <m/>
    <s v="1.3.2"/>
    <m/>
  </r>
  <r>
    <d v="2022-07-18T00:00:00"/>
    <s v="Achat billet dolisie-mbinda/P29"/>
    <x v="4"/>
    <s v="Investigation"/>
    <x v="0"/>
    <x v="18"/>
    <n v="9011584"/>
    <x v="6"/>
    <s v="Oui"/>
    <x v="1"/>
    <s v="RALFF"/>
    <s v="CONGO"/>
    <m/>
    <s v="2.2"/>
    <m/>
  </r>
  <r>
    <d v="2022-07-19T00:00:00"/>
    <s v="Yan"/>
    <x v="2"/>
    <m/>
    <x v="0"/>
    <x v="45"/>
    <n v="8920584"/>
    <x v="1"/>
    <m/>
    <x v="0"/>
    <m/>
    <m/>
    <m/>
    <m/>
    <m/>
  </r>
  <r>
    <d v="2022-07-19T00:00:00"/>
    <s v="Yan/retour caisse"/>
    <x v="2"/>
    <m/>
    <x v="5"/>
    <x v="0"/>
    <n v="8930584"/>
    <x v="1"/>
    <m/>
    <x v="0"/>
    <m/>
    <m/>
    <m/>
    <m/>
    <m/>
  </r>
  <r>
    <d v="2022-07-19T00:00:00"/>
    <s v="Frais de mission maitre Marie Hélène NANITELAMIO à Oyo du 20 au 22/07/2022/Cas MOLANGO"/>
    <x v="8"/>
    <s v="Legal"/>
    <x v="0"/>
    <x v="11"/>
    <n v="8860584"/>
    <x v="1"/>
    <s v="Oui"/>
    <x v="1"/>
    <s v="RALFF"/>
    <s v="CONGO"/>
    <m/>
    <s v="5.2.2"/>
    <m/>
  </r>
  <r>
    <d v="2022-07-19T00:00:00"/>
    <s v="Reglement facture zanne/news lettre trimestrielle"/>
    <x v="13"/>
    <s v="Office"/>
    <x v="0"/>
    <x v="46"/>
    <n v="8685584"/>
    <x v="1"/>
    <s v="Oui"/>
    <x v="2"/>
    <s v="RALFF"/>
    <s v="CONGO"/>
    <m/>
    <s v="5.8"/>
    <m/>
  </r>
  <r>
    <d v="2022-07-19T00:00:00"/>
    <s v="Frais de Transfert Western Union/Facture Zanne"/>
    <x v="6"/>
    <s v="Office"/>
    <x v="0"/>
    <x v="47"/>
    <n v="8674198"/>
    <x v="1"/>
    <s v="Oui"/>
    <x v="1"/>
    <s v="RALFF"/>
    <s v="CONGO"/>
    <m/>
    <s v="5.6"/>
    <m/>
  </r>
  <r>
    <d v="2022-07-19T00:00:00"/>
    <s v="I23C"/>
    <x v="2"/>
    <m/>
    <x v="0"/>
    <x v="48"/>
    <n v="8566198"/>
    <x v="1"/>
    <m/>
    <x v="0"/>
    <m/>
    <m/>
    <m/>
    <m/>
    <m/>
  </r>
  <r>
    <d v="2022-07-19T00:00:00"/>
    <s v="Frais de transfert charden farell à I23C"/>
    <x v="6"/>
    <s v="Office"/>
    <x v="0"/>
    <x v="49"/>
    <n v="8562958"/>
    <x v="1"/>
    <s v="Oui"/>
    <x v="1"/>
    <s v="RALFF"/>
    <s v="CONGO"/>
    <m/>
    <s v="5.6"/>
    <m/>
  </r>
  <r>
    <d v="2022-07-19T00:00:00"/>
    <s v="Collation depart Helène et anniversaire Juillet 2022"/>
    <x v="10"/>
    <s v="Team Bulding"/>
    <x v="0"/>
    <x v="50"/>
    <n v="8513115"/>
    <x v="1"/>
    <s v="Oui"/>
    <x v="1"/>
    <s v="PALF"/>
    <s v="CONGO"/>
    <m/>
    <m/>
    <m/>
  </r>
  <r>
    <d v="2022-07-19T00:00:00"/>
    <s v="Réçu caisse/I23C"/>
    <x v="2"/>
    <m/>
    <x v="16"/>
    <x v="0"/>
    <n v="8621115"/>
    <x v="3"/>
    <m/>
    <x v="0"/>
    <m/>
    <m/>
    <m/>
    <m/>
    <m/>
  </r>
  <r>
    <d v="2022-07-19T00:00:00"/>
    <s v="Frais d'Ordonance du cas NGOMBELE MOLESSASSO"/>
    <x v="9"/>
    <s v="Legal"/>
    <x v="0"/>
    <x v="7"/>
    <n v="8571115"/>
    <x v="4"/>
    <s v="Oui"/>
    <x v="1"/>
    <s v="PALF"/>
    <s v="CONGO"/>
    <m/>
    <m/>
    <m/>
  </r>
  <r>
    <d v="2022-07-19T00:00:00"/>
    <s v="Retour caisse/Yan GOMAT"/>
    <x v="2"/>
    <m/>
    <x v="0"/>
    <x v="5"/>
    <n v="8561115"/>
    <x v="5"/>
    <m/>
    <x v="0"/>
    <m/>
    <m/>
    <m/>
    <m/>
    <m/>
  </r>
  <r>
    <d v="2022-07-19T00:00:00"/>
    <s v="Reçu Caisse/Yan GOMAT"/>
    <x v="2"/>
    <m/>
    <x v="17"/>
    <x v="0"/>
    <n v="8652115"/>
    <x v="5"/>
    <m/>
    <x v="0"/>
    <m/>
    <m/>
    <m/>
    <m/>
    <m/>
  </r>
  <r>
    <d v="2022-07-19T00:00:00"/>
    <s v="Achat billet de bus Brazzaville / Oyo"/>
    <x v="4"/>
    <s v="Legal"/>
    <x v="0"/>
    <x v="25"/>
    <n v="8645115"/>
    <x v="5"/>
    <s v="Oui"/>
    <x v="1"/>
    <s v="PALF"/>
    <s v="CONGO"/>
    <m/>
    <m/>
    <m/>
  </r>
  <r>
    <d v="2022-07-20T00:00:00"/>
    <s v="Evariste"/>
    <x v="2"/>
    <m/>
    <x v="0"/>
    <x v="5"/>
    <n v="8635115"/>
    <x v="1"/>
    <m/>
    <x v="0"/>
    <m/>
    <m/>
    <m/>
    <m/>
    <m/>
  </r>
  <r>
    <d v="2022-07-20T00:00:00"/>
    <s v="I23C - CONGO Paiement 3 nuitées du 17 au 20 Juillet 2022 à Pointe-Noire"/>
    <x v="5"/>
    <s v="Investigation"/>
    <x v="0"/>
    <x v="19"/>
    <n v="8590115"/>
    <x v="3"/>
    <s v="Oui"/>
    <x v="1"/>
    <s v="RALFF"/>
    <s v="CONGO"/>
    <m/>
    <s v="1.3.2"/>
    <m/>
  </r>
  <r>
    <d v="2022-07-20T00:00:00"/>
    <s v="Achat billet Pointe-Noire - Dolisie (départ pour Dolisie)/I23C"/>
    <x v="4"/>
    <s v="Investigation"/>
    <x v="0"/>
    <x v="21"/>
    <n v="8585115"/>
    <x v="3"/>
    <s v="Oui"/>
    <x v="1"/>
    <s v="RALFF"/>
    <s v="CONGO"/>
    <m/>
    <s v="2.2"/>
    <m/>
  </r>
  <r>
    <d v="2022-07-20T00:00:00"/>
    <s v="YAN GOMAT - CONGO Foodallowance du 20 au 22 juillet 2022"/>
    <x v="5"/>
    <s v="Legal"/>
    <x v="0"/>
    <x v="3"/>
    <n v="8565115"/>
    <x v="5"/>
    <s v="Décharge"/>
    <x v="1"/>
    <s v="PALF"/>
    <s v="CONGO"/>
    <m/>
    <m/>
    <m/>
  </r>
  <r>
    <d v="2022-07-20T00:00:00"/>
    <s v="Reçu de la caisse/EVARISTE"/>
    <x v="2"/>
    <m/>
    <x v="5"/>
    <x v="0"/>
    <n v="8575115"/>
    <x v="10"/>
    <m/>
    <x v="0"/>
    <m/>
    <m/>
    <m/>
    <m/>
    <m/>
  </r>
  <r>
    <d v="2022-07-20T00:00:00"/>
    <s v="Achat carburant 7litre mbinda-ekoko(aller-retour)"/>
    <x v="4"/>
    <s v="Investigation"/>
    <x v="0"/>
    <x v="25"/>
    <n v="8568115"/>
    <x v="6"/>
    <s v="Oui"/>
    <x v="1"/>
    <s v="RALFF"/>
    <s v="CONGO"/>
    <m/>
    <s v="2.2"/>
    <m/>
  </r>
  <r>
    <d v="2022-07-21T00:00:00"/>
    <s v="P29"/>
    <x v="2"/>
    <m/>
    <x v="0"/>
    <x v="51"/>
    <n v="8455615"/>
    <x v="1"/>
    <m/>
    <x v="0"/>
    <m/>
    <m/>
    <m/>
    <m/>
    <m/>
  </r>
  <r>
    <d v="2022-07-21T00:00:00"/>
    <s v="Frais de transfert d'argent à P29"/>
    <x v="6"/>
    <s v="Office"/>
    <x v="0"/>
    <x v="52"/>
    <n v="8452800"/>
    <x v="1"/>
    <s v="Oui"/>
    <x v="1"/>
    <s v="RALFF"/>
    <s v="CONGO"/>
    <m/>
    <s v="5.6"/>
    <m/>
  </r>
  <r>
    <d v="2022-07-21T00:00:00"/>
    <s v="Crepin"/>
    <x v="2"/>
    <m/>
    <x v="0"/>
    <x v="53"/>
    <n v="8340800"/>
    <x v="1"/>
    <m/>
    <x v="0"/>
    <m/>
    <m/>
    <m/>
    <m/>
    <m/>
  </r>
  <r>
    <d v="2022-07-21T00:00:00"/>
    <s v="Bonus media portant sur laudience du 21/07/2022 au TGI d'OYO"/>
    <x v="7"/>
    <s v="Media"/>
    <x v="0"/>
    <x v="54"/>
    <n v="8305800"/>
    <x v="1"/>
    <s v="Décharge"/>
    <x v="1"/>
    <s v="PALF"/>
    <s v="CONGO"/>
    <m/>
    <m/>
    <m/>
  </r>
  <r>
    <d v="2022-07-21T00:00:00"/>
    <s v="Cumul frais de jail visit mois de Juillet 2022/Yan GOMAT"/>
    <x v="14"/>
    <s v="Legal"/>
    <x v="0"/>
    <x v="55"/>
    <n v="8289800"/>
    <x v="5"/>
    <s v="Décharge"/>
    <x v="1"/>
    <s v="PALF"/>
    <s v="CONGO"/>
    <m/>
    <m/>
    <m/>
  </r>
  <r>
    <d v="2022-07-21T00:00:00"/>
    <s v="Reçu de caisse/Crépin"/>
    <x v="2"/>
    <m/>
    <x v="18"/>
    <x v="0"/>
    <n v="8401800"/>
    <x v="8"/>
    <m/>
    <x v="0"/>
    <m/>
    <m/>
    <m/>
    <m/>
    <m/>
  </r>
  <r>
    <d v="2022-07-21T00:00:00"/>
    <s v="Billet: Brazzaville-Dolisie/Crépin"/>
    <x v="4"/>
    <s v="Management"/>
    <x v="0"/>
    <x v="5"/>
    <n v="8391800"/>
    <x v="8"/>
    <s v="Oui"/>
    <x v="1"/>
    <s v="RALFF"/>
    <s v="CONGO"/>
    <m/>
    <s v="2.2"/>
    <m/>
  </r>
  <r>
    <d v="2022-07-21T00:00:00"/>
    <s v="Reçu de caisse/P29"/>
    <x v="2"/>
    <m/>
    <x v="19"/>
    <x v="0"/>
    <n v="8504300"/>
    <x v="6"/>
    <m/>
    <x v="0"/>
    <m/>
    <m/>
    <m/>
    <m/>
    <m/>
  </r>
  <r>
    <d v="2022-07-22T00:00:00"/>
    <s v="Crepin"/>
    <x v="2"/>
    <m/>
    <x v="0"/>
    <x v="56"/>
    <n v="8215300"/>
    <x v="1"/>
    <m/>
    <x v="0"/>
    <m/>
    <m/>
    <m/>
    <m/>
    <m/>
  </r>
  <r>
    <d v="2022-07-22T00:00:00"/>
    <s v="I23C"/>
    <x v="2"/>
    <m/>
    <x v="0"/>
    <x v="57"/>
    <n v="8062300"/>
    <x v="1"/>
    <m/>
    <x v="0"/>
    <m/>
    <m/>
    <m/>
    <m/>
    <m/>
  </r>
  <r>
    <d v="2022-07-22T00:00:00"/>
    <s v="P29"/>
    <x v="2"/>
    <m/>
    <x v="0"/>
    <x v="58"/>
    <n v="8002300"/>
    <x v="1"/>
    <m/>
    <x v="0"/>
    <m/>
    <m/>
    <m/>
    <m/>
    <m/>
  </r>
  <r>
    <d v="2022-07-22T00:00:00"/>
    <s v="Tiffany"/>
    <x v="2"/>
    <m/>
    <x v="0"/>
    <x v="59"/>
    <n v="6682300"/>
    <x v="1"/>
    <m/>
    <x v="0"/>
    <m/>
    <m/>
    <m/>
    <m/>
    <m/>
  </r>
  <r>
    <d v="2022-07-22T00:00:00"/>
    <s v="BCI-3654498/34"/>
    <x v="2"/>
    <m/>
    <x v="20"/>
    <x v="0"/>
    <n v="8782300"/>
    <x v="1"/>
    <m/>
    <x v="0"/>
    <m/>
    <m/>
    <m/>
    <m/>
    <m/>
  </r>
  <r>
    <d v="2022-07-22T00:00:00"/>
    <s v="Merveille"/>
    <x v="2"/>
    <m/>
    <x v="0"/>
    <x v="60"/>
    <n v="8701300"/>
    <x v="1"/>
    <m/>
    <x v="0"/>
    <m/>
    <m/>
    <m/>
    <m/>
    <m/>
  </r>
  <r>
    <d v="2022-07-22T00:00:00"/>
    <s v="Hurielle"/>
    <x v="2"/>
    <m/>
    <x v="0"/>
    <x v="61"/>
    <n v="8609300"/>
    <x v="1"/>
    <m/>
    <x v="0"/>
    <m/>
    <m/>
    <m/>
    <m/>
    <m/>
  </r>
  <r>
    <d v="2022-07-22T00:00:00"/>
    <s v="Evariste"/>
    <x v="2"/>
    <m/>
    <x v="0"/>
    <x v="62"/>
    <n v="8495300"/>
    <x v="1"/>
    <m/>
    <x v="0"/>
    <m/>
    <m/>
    <m/>
    <m/>
    <m/>
  </r>
  <r>
    <d v="2022-07-22T00:00:00"/>
    <s v="Grace"/>
    <x v="2"/>
    <m/>
    <x v="0"/>
    <x v="63"/>
    <n v="8106300"/>
    <x v="1"/>
    <m/>
    <x v="0"/>
    <m/>
    <m/>
    <m/>
    <m/>
    <m/>
  </r>
  <r>
    <d v="2022-07-22T00:00:00"/>
    <s v="Frais de transfert charden farell à I23C,crepin et P29"/>
    <x v="6"/>
    <s v="Office"/>
    <x v="0"/>
    <x v="64"/>
    <n v="8091240"/>
    <x v="1"/>
    <s v="Oui"/>
    <x v="1"/>
    <s v="RALFF"/>
    <s v="CONGO"/>
    <m/>
    <s v="5.6"/>
    <m/>
  </r>
  <r>
    <d v="2022-07-22T00:00:00"/>
    <s v="Retrait especes/appro caisse/bord n°3654498"/>
    <x v="2"/>
    <m/>
    <x v="0"/>
    <x v="65"/>
    <n v="5991240"/>
    <x v="9"/>
    <n v="3654490"/>
    <x v="0"/>
    <m/>
    <m/>
    <m/>
    <m/>
    <m/>
  </r>
  <r>
    <d v="2022-07-22T00:00:00"/>
    <s v="Paiement salaire mois de Juillet 2022/Tiffany GOBERT"/>
    <x v="10"/>
    <s v="Management"/>
    <x v="0"/>
    <x v="66"/>
    <n v="4679326"/>
    <x v="2"/>
    <n v="3667212"/>
    <x v="1"/>
    <s v="RALFF"/>
    <s v="CONGO"/>
    <m/>
    <s v="1.1.1.1"/>
    <m/>
  </r>
  <r>
    <d v="2022-07-22T00:00:00"/>
    <s v="Paiement salaire mois de Aout 2022/Tiffany GOBERT"/>
    <x v="10"/>
    <s v="Management"/>
    <x v="0"/>
    <x v="66"/>
    <n v="3367412"/>
    <x v="2"/>
    <n v="3667221"/>
    <x v="1"/>
    <s v="RALFF"/>
    <s v="CONGO"/>
    <m/>
    <s v="1.1.1.1"/>
    <m/>
  </r>
  <r>
    <d v="2022-07-22T00:00:00"/>
    <s v="Reçu caisse/Hurielle"/>
    <x v="2"/>
    <m/>
    <x v="21"/>
    <x v="0"/>
    <n v="3459412"/>
    <x v="4"/>
    <m/>
    <x v="0"/>
    <m/>
    <m/>
    <m/>
    <m/>
    <m/>
  </r>
  <r>
    <d v="2022-07-22T00:00:00"/>
    <s v="Achat billet de bus Oyo/ Brazzaville"/>
    <x v="4"/>
    <s v="Legal"/>
    <x v="0"/>
    <x v="25"/>
    <n v="3452412"/>
    <x v="5"/>
    <s v="Oui"/>
    <x v="1"/>
    <s v="PALF"/>
    <s v="CONGO"/>
    <m/>
    <m/>
    <m/>
  </r>
  <r>
    <d v="2022-07-22T00:00:00"/>
    <s v="YAN GOMAT - CONGO Frais d'hôtel du 20 au 22 juillet 2022 à Oyo"/>
    <x v="5"/>
    <s v="Legal"/>
    <x v="0"/>
    <x v="6"/>
    <n v="3422412"/>
    <x v="5"/>
    <s v="Oui"/>
    <x v="1"/>
    <s v="PALF"/>
    <s v="CONGO"/>
    <m/>
    <m/>
    <m/>
  </r>
  <r>
    <d v="2022-07-22T00:00:00"/>
    <s v="Reçu de la caisse/EVARISTE"/>
    <x v="2"/>
    <m/>
    <x v="22"/>
    <x v="0"/>
    <n v="3536412"/>
    <x v="10"/>
    <m/>
    <x v="3"/>
    <m/>
    <m/>
    <m/>
    <m/>
    <m/>
  </r>
  <r>
    <d v="2022-07-22T00:00:00"/>
    <s v="Reçu Caisse/Grace"/>
    <x v="2"/>
    <m/>
    <x v="23"/>
    <x v="0"/>
    <n v="3925412"/>
    <x v="12"/>
    <m/>
    <x v="0"/>
    <m/>
    <m/>
    <m/>
    <m/>
    <m/>
  </r>
  <r>
    <d v="2022-07-22T00:00:00"/>
    <s v="Reçu caisse/Merveille"/>
    <x v="2"/>
    <m/>
    <x v="24"/>
    <x v="0"/>
    <n v="4006412"/>
    <x v="11"/>
    <m/>
    <x v="0"/>
    <m/>
    <m/>
    <m/>
    <m/>
    <m/>
  </r>
  <r>
    <d v="2022-07-22T00:00:00"/>
    <s v="Achat billet mbinda-dolisie/P29"/>
    <x v="4"/>
    <s v="Investigation"/>
    <x v="0"/>
    <x v="18"/>
    <n v="3991412"/>
    <x v="6"/>
    <s v="Oui"/>
    <x v="1"/>
    <s v="RALFF"/>
    <s v="CONGO"/>
    <m/>
    <s v="2.2"/>
    <m/>
  </r>
  <r>
    <d v="2022-07-22T00:00:00"/>
    <s v="P29 - CONGO Paiement 4 nuitées du 18 au 22-07-2022 à mbinda"/>
    <x v="5"/>
    <s v="Investigation"/>
    <x v="0"/>
    <x v="23"/>
    <n v="3951412"/>
    <x v="6"/>
    <s v="Oui"/>
    <x v="1"/>
    <s v="RALFF"/>
    <s v="CONGO"/>
    <m/>
    <s v="1.3.2"/>
    <m/>
  </r>
  <r>
    <d v="2022-07-22T00:00:00"/>
    <s v="CREPIN IBOUILI - CCONGO Food-Allowance du 22/07/ au 04/08/2022 à Dolisie"/>
    <x v="5"/>
    <s v="Management"/>
    <x v="0"/>
    <x v="67"/>
    <n v="3821412"/>
    <x v="8"/>
    <s v="Décharge"/>
    <x v="1"/>
    <s v="RALFF"/>
    <s v="CONGO"/>
    <m/>
    <s v="1.3.2"/>
    <m/>
  </r>
  <r>
    <d v="2022-07-22T00:00:00"/>
    <s v="Reçu de caisse/Crépin"/>
    <x v="2"/>
    <m/>
    <x v="25"/>
    <x v="0"/>
    <n v="4110412"/>
    <x v="8"/>
    <m/>
    <x v="0"/>
    <m/>
    <m/>
    <m/>
    <m/>
    <m/>
  </r>
  <r>
    <d v="2022-07-22T00:00:00"/>
    <s v="Transfert Caisse/ Tiffany"/>
    <x v="2"/>
    <m/>
    <x v="26"/>
    <x v="0"/>
    <n v="5430412"/>
    <x v="7"/>
    <m/>
    <x v="0"/>
    <m/>
    <m/>
    <m/>
    <m/>
    <m/>
  </r>
  <r>
    <d v="2022-07-22T00:00:00"/>
    <s v="Reçu de caisse/P29"/>
    <x v="2"/>
    <m/>
    <x v="27"/>
    <x v="0"/>
    <n v="5490412"/>
    <x v="6"/>
    <m/>
    <x v="0"/>
    <m/>
    <m/>
    <m/>
    <m/>
    <m/>
  </r>
  <r>
    <d v="2022-07-23T00:00:00"/>
    <s v="I23C - CONGO Paiement 3 nuitées du 20 au 23 Juillet 2022 à Dolisie"/>
    <x v="5"/>
    <s v="Investigation"/>
    <x v="0"/>
    <x v="19"/>
    <n v="5445412"/>
    <x v="3"/>
    <s v="Oui"/>
    <x v="1"/>
    <s v="RALFF"/>
    <s v="CONGO"/>
    <m/>
    <s v="1.3.2"/>
    <m/>
  </r>
  <r>
    <d v="2022-07-23T00:00:00"/>
    <s v="Achat billet Dolisie- Pointe-Noire/I23C"/>
    <x v="4"/>
    <s v="Investigation"/>
    <x v="0"/>
    <x v="21"/>
    <n v="5440412"/>
    <x v="3"/>
    <s v="Oui"/>
    <x v="1"/>
    <s v="RALFF"/>
    <s v="CONGO"/>
    <m/>
    <s v="2.2"/>
    <m/>
  </r>
  <r>
    <d v="2022-07-23T00:00:00"/>
    <s v="Reçu caisse/I23C"/>
    <x v="2"/>
    <m/>
    <x v="28"/>
    <x v="0"/>
    <n v="5593412"/>
    <x v="3"/>
    <m/>
    <x v="0"/>
    <m/>
    <m/>
    <m/>
    <m/>
    <m/>
  </r>
  <r>
    <d v="2022-07-24T00:00:00"/>
    <s v="I23C - CONGO Paiement Hôtel 1 nuitée du 23 au 24 Juillet 2022 à Pointe-Noire"/>
    <x v="5"/>
    <s v="Investigation"/>
    <x v="0"/>
    <x v="18"/>
    <n v="5578412"/>
    <x v="3"/>
    <s v="Oui"/>
    <x v="1"/>
    <s v="RALFF"/>
    <s v="CONGO"/>
    <m/>
    <s v="1.3.2"/>
    <m/>
  </r>
  <r>
    <d v="2022-07-24T00:00:00"/>
    <s v="Achat billet Pointe-Noire - Dolisie (départ pour Dolisie)/I23C"/>
    <x v="4"/>
    <s v="Investigation"/>
    <x v="0"/>
    <x v="21"/>
    <n v="5573412"/>
    <x v="3"/>
    <s v="Oui"/>
    <x v="1"/>
    <s v="RALFF"/>
    <s v="CONGO"/>
    <m/>
    <s v="2.2"/>
    <m/>
  </r>
  <r>
    <d v="2022-07-24T00:00:00"/>
    <s v="I23C - CONGO Paiement 2 nuitées appartement Bacongo du 24 au 26 août 2022"/>
    <x v="5"/>
    <s v="Operation"/>
    <x v="0"/>
    <x v="11"/>
    <n v="5503412"/>
    <x v="3"/>
    <s v="Oui"/>
    <x v="1"/>
    <s v="PALF"/>
    <s v="CONGO"/>
    <m/>
    <m/>
    <m/>
  </r>
  <r>
    <d v="2022-07-24T00:00:00"/>
    <s v="Achat billet aller Brazzaville -Dolisie/HURIELLE"/>
    <x v="4"/>
    <s v="Legal"/>
    <x v="0"/>
    <x v="5"/>
    <n v="5493412"/>
    <x v="4"/>
    <s v="Oui"/>
    <x v="1"/>
    <s v="RALFF"/>
    <s v="CONGO"/>
    <m/>
    <s v="2.2"/>
    <m/>
  </r>
  <r>
    <d v="2022-07-24T00:00:00"/>
    <s v="Achat billet Brazzaville-Dolisie /EVARISTE "/>
    <x v="4"/>
    <s v="Media"/>
    <x v="0"/>
    <x v="5"/>
    <n v="5483412"/>
    <x v="10"/>
    <s v="Oui"/>
    <x v="1"/>
    <s v="RALFF"/>
    <s v="CONGO"/>
    <m/>
    <s v="2.2"/>
    <m/>
  </r>
  <r>
    <d v="2022-07-24T00:00:00"/>
    <s v="Achat Billet Brazzaville - Dolisie /GRACE MOLENDE"/>
    <x v="4"/>
    <s v="Management"/>
    <x v="0"/>
    <x v="5"/>
    <n v="5473412"/>
    <x v="12"/>
    <s v="Oui"/>
    <x v="1"/>
    <s v="RALFF"/>
    <s v="CONGO"/>
    <m/>
    <s v="2.2"/>
    <m/>
  </r>
  <r>
    <d v="2022-07-24T00:00:00"/>
    <s v="Achat billet Brazzaville - Dolisie/depart Dolisie/Merveille"/>
    <x v="4"/>
    <s v="Management"/>
    <x v="0"/>
    <x v="5"/>
    <n v="5463412"/>
    <x v="11"/>
    <s v="Oui"/>
    <x v="1"/>
    <s v="RALFF"/>
    <s v="CONGO"/>
    <m/>
    <s v="2.2"/>
    <m/>
  </r>
  <r>
    <d v="2022-07-25T00:00:00"/>
    <s v="HURIELLE - CONGO FoodAlowance du 25 au 30/07/2022 à Dolisie"/>
    <x v="5"/>
    <s v="Legal"/>
    <x v="0"/>
    <x v="7"/>
    <n v="5413412"/>
    <x v="4"/>
    <s v="Décharge"/>
    <x v="1"/>
    <s v="RALFF"/>
    <s v="CONGO"/>
    <m/>
    <s v="1.3.2"/>
    <m/>
  </r>
  <r>
    <d v="2022-07-25T00:00:00"/>
    <s v="Achat boissons, buscuits et eaux minérale pour mon équipe pour une opération "/>
    <x v="5"/>
    <s v="Operation"/>
    <x v="0"/>
    <x v="68"/>
    <n v="5403912"/>
    <x v="10"/>
    <s v="Oui"/>
    <x v="1"/>
    <s v="PALF"/>
    <s v="CONGO"/>
    <m/>
    <m/>
    <m/>
  </r>
  <r>
    <d v="2022-07-25T00:00:00"/>
    <s v="EVARISTE LELOUSSI  CONGO - Food allowance (du 25 au 29 juillet 2022) "/>
    <x v="5"/>
    <s v="Media"/>
    <x v="0"/>
    <x v="23"/>
    <n v="5363912"/>
    <x v="10"/>
    <s v="Décharge"/>
    <x v="1"/>
    <s v="RALFF"/>
    <s v="CONGO"/>
    <m/>
    <s v="1.3.2"/>
    <m/>
  </r>
  <r>
    <d v="2022-07-25T00:00:00"/>
    <s v="Achat Biberon, Gants,Masques,Sels d'hydratation,/Pour les Mandrils"/>
    <x v="1"/>
    <s v="Office"/>
    <x v="0"/>
    <x v="69"/>
    <n v="5350377"/>
    <x v="12"/>
    <s v="Oui"/>
    <x v="1"/>
    <s v="PALF"/>
    <s v="CONGO"/>
    <m/>
    <m/>
    <m/>
  </r>
  <r>
    <d v="2022-07-25T00:00:00"/>
    <s v="Achat fruit Jus , Biscuit et Eau/Pour Autorités"/>
    <x v="5"/>
    <s v="Operation"/>
    <x v="0"/>
    <x v="70"/>
    <n v="5342027"/>
    <x v="12"/>
    <s v="Oui"/>
    <x v="1"/>
    <s v="PALF"/>
    <s v="CONGO"/>
    <m/>
    <m/>
    <m/>
  </r>
  <r>
    <d v="2022-07-25T00:00:00"/>
    <s v="Achat fruit (Banane, Papaye, Eau minerale ) Pour Mandrils"/>
    <x v="1"/>
    <s v="Office"/>
    <x v="0"/>
    <x v="71"/>
    <n v="5339827"/>
    <x v="12"/>
    <s v="Oui"/>
    <x v="1"/>
    <s v="PALF"/>
    <s v="CONGO"/>
    <m/>
    <m/>
    <m/>
  </r>
  <r>
    <d v="2022-07-25T00:00:00"/>
    <s v="GRACE MOLENDE - CONGO Food Allowance du 25 au 27/07/2022 à Dolisie"/>
    <x v="5"/>
    <s v="Management"/>
    <x v="0"/>
    <x v="3"/>
    <n v="5319827"/>
    <x v="12"/>
    <s v="Décharge"/>
    <x v="1"/>
    <s v="RALFF"/>
    <s v="CONGO"/>
    <m/>
    <s v="1.3.2"/>
    <m/>
  </r>
  <r>
    <d v="2022-07-25T00:00:00"/>
    <s v="MERVEILLE - CONGO Foodallowance mission du  25 au 27/07/2022 à Dolisie"/>
    <x v="5"/>
    <s v="Management"/>
    <x v="0"/>
    <x v="3"/>
    <n v="5299827"/>
    <x v="11"/>
    <s v="Décharge"/>
    <x v="1"/>
    <s v="RALFF"/>
    <s v="CONGO"/>
    <m/>
    <s v="1.3.2"/>
    <m/>
  </r>
  <r>
    <d v="2022-07-25T00:00:00"/>
    <s v="Frais d'impression de la fiche interpol"/>
    <x v="1"/>
    <s v="Office"/>
    <x v="0"/>
    <x v="72"/>
    <n v="5299527"/>
    <x v="8"/>
    <s v="Oui"/>
    <x v="1"/>
    <s v="PALF"/>
    <s v="CONGO"/>
    <m/>
    <m/>
    <m/>
  </r>
  <r>
    <d v="2022-07-25T00:00:00"/>
    <s v="CREPIN IBOUILI - CCONGO Frias d'Hotel 03 Nuitées du 22 au 25/07/2022"/>
    <x v="5"/>
    <s v="Management"/>
    <x v="0"/>
    <x v="19"/>
    <n v="5254527"/>
    <x v="8"/>
    <s v="Oui"/>
    <x v="1"/>
    <s v="RALFF"/>
    <s v="CONGO"/>
    <m/>
    <s v="1.3.2"/>
    <m/>
  </r>
  <r>
    <d v="2022-07-26T00:00:00"/>
    <s v="I23C - CONGO Paiement 1 nuitée appart du 26 au 27 août 2022"/>
    <x v="5"/>
    <s v="Operation"/>
    <x v="0"/>
    <x v="54"/>
    <n v="5219527"/>
    <x v="3"/>
    <s v="Oui"/>
    <x v="1"/>
    <s v="PALF"/>
    <s v="CONGO"/>
    <m/>
    <m/>
    <m/>
  </r>
  <r>
    <d v="2022-07-26T00:00:00"/>
    <s v="Reçu caisse (grâce)/I23C"/>
    <x v="2"/>
    <m/>
    <x v="29"/>
    <x v="0"/>
    <n v="5254527"/>
    <x v="3"/>
    <m/>
    <x v="0"/>
    <m/>
    <m/>
    <m/>
    <m/>
    <m/>
  </r>
  <r>
    <d v="2022-07-26T00:00:00"/>
    <s v="Reçu caisse (budget additionnel du 26 au 27 juillet 2022)/I23C"/>
    <x v="2"/>
    <m/>
    <x v="30"/>
    <x v="0"/>
    <n v="5267527"/>
    <x v="3"/>
    <m/>
    <x v="0"/>
    <m/>
    <m/>
    <m/>
    <m/>
    <m/>
  </r>
  <r>
    <d v="2022-07-26T00:00:00"/>
    <s v="Transfert à Crépin /Grace MOLENDE"/>
    <x v="2"/>
    <m/>
    <x v="0"/>
    <x v="73"/>
    <n v="5032527"/>
    <x v="12"/>
    <m/>
    <x v="0"/>
    <m/>
    <m/>
    <m/>
    <m/>
    <m/>
  </r>
  <r>
    <d v="2022-07-26T00:00:00"/>
    <s v="Transfert à P29/Grace MOLENDE"/>
    <x v="2"/>
    <m/>
    <x v="0"/>
    <x v="74"/>
    <n v="5004527"/>
    <x v="12"/>
    <m/>
    <x v="0"/>
    <m/>
    <m/>
    <m/>
    <m/>
    <m/>
  </r>
  <r>
    <d v="2022-07-26T00:00:00"/>
    <s v="Transfert à I23C /Grace MOLENDE"/>
    <x v="2"/>
    <m/>
    <x v="0"/>
    <x v="75"/>
    <n v="4956527"/>
    <x v="12"/>
    <m/>
    <x v="0"/>
    <m/>
    <m/>
    <m/>
    <m/>
    <m/>
  </r>
  <r>
    <d v="2022-07-26T00:00:00"/>
    <s v="Reçu de Grace/P29"/>
    <x v="2"/>
    <m/>
    <x v="31"/>
    <x v="0"/>
    <n v="4984527"/>
    <x v="6"/>
    <m/>
    <x v="0"/>
    <m/>
    <m/>
    <m/>
    <m/>
    <m/>
  </r>
  <r>
    <d v="2022-07-27T00:00:00"/>
    <s v="Merveille/Retour caisse"/>
    <x v="2"/>
    <m/>
    <x v="32"/>
    <x v="0"/>
    <n v="5014527"/>
    <x v="1"/>
    <m/>
    <x v="0"/>
    <m/>
    <m/>
    <m/>
    <m/>
    <m/>
  </r>
  <r>
    <d v="2022-07-27T00:00:00"/>
    <s v="Reçu de Crépin/EVARISTE"/>
    <x v="2"/>
    <m/>
    <x v="33"/>
    <x v="0"/>
    <n v="5037027"/>
    <x v="10"/>
    <m/>
    <x v="0"/>
    <m/>
    <m/>
    <m/>
    <m/>
    <m/>
  </r>
  <r>
    <d v="2022-07-27T00:00:00"/>
    <s v="Achat carburant pour la BJ de la Gendarmerie"/>
    <x v="4"/>
    <s v="Operation"/>
    <x v="0"/>
    <x v="76"/>
    <n v="4989527"/>
    <x v="10"/>
    <s v="Oui"/>
    <x v="1"/>
    <s v="PALF"/>
    <s v="CONGO"/>
    <m/>
    <m/>
    <m/>
  </r>
  <r>
    <d v="2022-07-27T00:00:00"/>
    <s v="Achat Billet Dolisie-Brazzaville /GRACE MOLENDE"/>
    <x v="4"/>
    <s v="Management"/>
    <x v="0"/>
    <x v="5"/>
    <n v="4979527"/>
    <x v="12"/>
    <s v="Oui"/>
    <x v="1"/>
    <s v="RALFF"/>
    <s v="CONGO"/>
    <m/>
    <s v="2.2"/>
    <m/>
  </r>
  <r>
    <d v="2022-07-27T00:00:00"/>
    <s v="Achat Billet Dolisie - Brazzaville/retour à brazzaville/Merveille"/>
    <x v="4"/>
    <s v="Management"/>
    <x v="0"/>
    <x v="5"/>
    <n v="4969527"/>
    <x v="11"/>
    <s v="Oui"/>
    <x v="1"/>
    <s v="RALFF"/>
    <s v="CONGO"/>
    <m/>
    <s v="2.2"/>
    <m/>
  </r>
  <r>
    <d v="2022-07-27T00:00:00"/>
    <s v="Retour caisse/Merveille"/>
    <x v="2"/>
    <m/>
    <x v="0"/>
    <x v="6"/>
    <n v="4939527"/>
    <x v="11"/>
    <m/>
    <x v="0"/>
    <m/>
    <m/>
    <m/>
    <m/>
    <m/>
  </r>
  <r>
    <d v="2022-07-27T00:00:00"/>
    <s v="Reçu de Grace/Crépin"/>
    <x v="2"/>
    <m/>
    <x v="34"/>
    <x v="0"/>
    <n v="5174527"/>
    <x v="8"/>
    <m/>
    <x v="0"/>
    <m/>
    <m/>
    <m/>
    <m/>
    <m/>
  </r>
  <r>
    <d v="2022-07-27T00:00:00"/>
    <s v="Frais de location de 4 appartements /30000 l'unité /02 nuitées du 26 au 27/07/22 à Dolisie"/>
    <x v="5"/>
    <s v="Operation"/>
    <x v="0"/>
    <x v="77"/>
    <n v="4934527"/>
    <x v="8"/>
    <s v="Oui"/>
    <x v="1"/>
    <s v="PALF"/>
    <s v="CONGO"/>
    <m/>
    <m/>
    <m/>
  </r>
  <r>
    <d v="2022-07-27T00:00:00"/>
    <s v="Frais achat carburant BJ autorité"/>
    <x v="4"/>
    <s v="Operation"/>
    <x v="0"/>
    <x v="76"/>
    <n v="4887027"/>
    <x v="8"/>
    <s v="Oui"/>
    <x v="1"/>
    <s v="PALF"/>
    <s v="CONGO"/>
    <m/>
    <m/>
    <m/>
  </r>
  <r>
    <d v="2022-07-27T00:00:00"/>
    <s v="Moi à Evariste/Crépin"/>
    <x v="2"/>
    <m/>
    <x v="0"/>
    <x v="78"/>
    <n v="4864527"/>
    <x v="8"/>
    <m/>
    <x v="0"/>
    <m/>
    <m/>
    <m/>
    <m/>
    <m/>
  </r>
  <r>
    <d v="2022-07-27T00:00:00"/>
    <s v="Frais achat raffraichissement pour Autorités"/>
    <x v="5"/>
    <s v="Operation"/>
    <x v="0"/>
    <x v="79"/>
    <n v="4857777"/>
    <x v="8"/>
    <s v="Oui"/>
    <x v="1"/>
    <s v="PALF"/>
    <s v="CONGO"/>
    <m/>
    <m/>
    <m/>
  </r>
  <r>
    <d v="2022-07-28T00:00:00"/>
    <s v="I23C"/>
    <x v="2"/>
    <m/>
    <x v="0"/>
    <x v="58"/>
    <n v="4797777"/>
    <x v="1"/>
    <m/>
    <x v="0"/>
    <m/>
    <m/>
    <m/>
    <m/>
    <m/>
  </r>
  <r>
    <d v="2022-07-28T00:00:00"/>
    <s v="P29"/>
    <x v="2"/>
    <m/>
    <x v="0"/>
    <x v="58"/>
    <n v="4737777"/>
    <x v="1"/>
    <m/>
    <x v="0"/>
    <m/>
    <m/>
    <m/>
    <m/>
    <m/>
  </r>
  <r>
    <d v="2022-07-28T00:00:00"/>
    <s v="Evariste"/>
    <x v="2"/>
    <m/>
    <x v="0"/>
    <x v="80"/>
    <n v="4681777"/>
    <x v="1"/>
    <m/>
    <x v="0"/>
    <m/>
    <m/>
    <m/>
    <m/>
    <m/>
  </r>
  <r>
    <d v="2022-07-28T00:00:00"/>
    <s v="Frais de transfert charden farell à P29,I23c et Evariste"/>
    <x v="6"/>
    <s v="Office"/>
    <x v="0"/>
    <x v="81"/>
    <n v="4676497"/>
    <x v="1"/>
    <s v="Oui"/>
    <x v="1"/>
    <s v="RALFF"/>
    <s v="CONGO"/>
    <m/>
    <s v="5.6"/>
    <m/>
  </r>
  <r>
    <d v="2022-07-28T00:00:00"/>
    <s v="Reglement frais d' internet mois d'Août 2022/Canal Box"/>
    <x v="15"/>
    <s v="Office"/>
    <x v="0"/>
    <x v="82"/>
    <n v="4631447"/>
    <x v="1"/>
    <s v="Oui"/>
    <x v="1"/>
    <s v="RALFF"/>
    <s v="CONGO"/>
    <m/>
    <s v="4.5"/>
    <m/>
  </r>
  <r>
    <d v="2022-07-28T00:00:00"/>
    <s v="Entretretien général Jardin, Bureau PALF Mois de Juillet 2022"/>
    <x v="16"/>
    <s v="Office"/>
    <x v="0"/>
    <x v="3"/>
    <n v="4611447"/>
    <x v="1"/>
    <s v="Oui"/>
    <x v="1"/>
    <s v="PALF"/>
    <s v="CONGO"/>
    <m/>
    <m/>
    <m/>
  </r>
  <r>
    <d v="2022-07-28T00:00:00"/>
    <s v="Yan"/>
    <x v="2"/>
    <m/>
    <x v="0"/>
    <x v="83"/>
    <n v="4608947"/>
    <x v="1"/>
    <m/>
    <x v="0"/>
    <m/>
    <m/>
    <m/>
    <m/>
    <m/>
  </r>
  <r>
    <d v="2022-07-28T00:00:00"/>
    <s v="Frais de Test COVID Tiffany GOBERT"/>
    <x v="17"/>
    <s v="Office"/>
    <x v="0"/>
    <x v="3"/>
    <n v="4588947"/>
    <x v="1"/>
    <s v="Oui"/>
    <x v="1"/>
    <s v="PALF"/>
    <s v="CONGO"/>
    <m/>
    <m/>
    <m/>
  </r>
  <r>
    <d v="2022-07-28T00:00:00"/>
    <s v="Cumul frais de trust building du mois Juillet 2022/I23C"/>
    <x v="18"/>
    <s v="Investigation"/>
    <x v="0"/>
    <x v="84"/>
    <n v="4518447"/>
    <x v="3"/>
    <s v="Décharge"/>
    <x v="1"/>
    <s v="PALF"/>
    <s v="CONGO"/>
    <m/>
    <m/>
    <m/>
  </r>
  <r>
    <d v="2022-07-28T00:00:00"/>
    <s v="Réçu caisse (budget supplementaire du 27 au 29 Juillet 2022)/I23C"/>
    <x v="2"/>
    <m/>
    <x v="27"/>
    <x v="0"/>
    <n v="4578447"/>
    <x v="3"/>
    <m/>
    <x v="0"/>
    <m/>
    <m/>
    <m/>
    <m/>
    <m/>
  </r>
  <r>
    <d v="2022-07-28T00:00:00"/>
    <s v="Reçu de Crépin/Hurielle"/>
    <x v="2"/>
    <m/>
    <x v="3"/>
    <x v="0"/>
    <n v="4598447"/>
    <x v="4"/>
    <m/>
    <x v="0"/>
    <m/>
    <m/>
    <m/>
    <m/>
    <m/>
  </r>
  <r>
    <d v="2022-07-28T00:00:00"/>
    <s v="Cumul Raffraichissement avant OP à Mabakana pour autorités/Hurielle MFOULOU"/>
    <x v="5"/>
    <s v="Operation"/>
    <x v="0"/>
    <x v="85"/>
    <n v="4568347"/>
    <x v="4"/>
    <s v="Oui"/>
    <x v="1"/>
    <s v="PALF"/>
    <s v="CONGO"/>
    <m/>
    <m/>
    <m/>
  </r>
  <r>
    <d v="2022-07-28T00:00:00"/>
    <s v="Retour caisse/Yan GOMAT"/>
    <x v="2"/>
    <m/>
    <x v="35"/>
    <x v="0"/>
    <n v="4570847"/>
    <x v="5"/>
    <m/>
    <x v="0"/>
    <m/>
    <m/>
    <m/>
    <m/>
    <m/>
  </r>
  <r>
    <d v="2022-07-28T00:00:00"/>
    <s v="Reçu de la Caisse/EVARISTE"/>
    <x v="2"/>
    <m/>
    <x v="36"/>
    <x v="0"/>
    <n v="4626847"/>
    <x v="10"/>
    <m/>
    <x v="0"/>
    <m/>
    <m/>
    <m/>
    <m/>
    <m/>
  </r>
  <r>
    <d v="2022-07-28T00:00:00"/>
    <s v="Frais Ration des gendarmes à Makabana avant OP( plats poullet et bouillon silure)"/>
    <x v="5"/>
    <s v="Operation"/>
    <x v="0"/>
    <x v="86"/>
    <n v="4608847"/>
    <x v="10"/>
    <s v="Oui"/>
    <x v="1"/>
    <s v="PALF"/>
    <s v="CONGO"/>
    <m/>
    <m/>
    <m/>
  </r>
  <r>
    <d v="2022-07-28T00:00:00"/>
    <s v="Moi à Hurielle/Crépin"/>
    <x v="2"/>
    <m/>
    <x v="0"/>
    <x v="3"/>
    <n v="4588847"/>
    <x v="8"/>
    <m/>
    <x v="0"/>
    <m/>
    <m/>
    <m/>
    <m/>
    <m/>
  </r>
  <r>
    <d v="2022-07-28T00:00:00"/>
    <s v="Reçu de caisse/P29"/>
    <x v="2"/>
    <m/>
    <x v="27"/>
    <x v="0"/>
    <n v="4648847"/>
    <x v="6"/>
    <m/>
    <x v="0"/>
    <m/>
    <m/>
    <m/>
    <m/>
    <m/>
  </r>
  <r>
    <d v="2022-07-29T00:00:00"/>
    <s v="Crepin"/>
    <x v="2"/>
    <m/>
    <x v="0"/>
    <x v="87"/>
    <n v="4494847"/>
    <x v="1"/>
    <m/>
    <x v="0"/>
    <m/>
    <m/>
    <m/>
    <m/>
    <m/>
  </r>
  <r>
    <d v="2022-07-29T00:00:00"/>
    <s v="Hurielle"/>
    <x v="2"/>
    <m/>
    <x v="0"/>
    <x v="88"/>
    <n v="4406847"/>
    <x v="1"/>
    <m/>
    <x v="0"/>
    <m/>
    <m/>
    <m/>
    <m/>
    <m/>
  </r>
  <r>
    <d v="2022-07-29T00:00:00"/>
    <s v="P29"/>
    <x v="2"/>
    <m/>
    <x v="0"/>
    <x v="6"/>
    <n v="4376847"/>
    <x v="1"/>
    <m/>
    <x v="0"/>
    <m/>
    <m/>
    <m/>
    <m/>
    <m/>
  </r>
  <r>
    <d v="2022-07-29T00:00:00"/>
    <s v="Frais de transfert charden farell à p29,I23c et Hurielle"/>
    <x v="6"/>
    <s v="Office"/>
    <x v="0"/>
    <x v="89"/>
    <n v="4368687"/>
    <x v="1"/>
    <s v="Oui"/>
    <x v="1"/>
    <s v="RALFF"/>
    <s v="CONGO"/>
    <m/>
    <s v="5.6"/>
    <m/>
  </r>
  <r>
    <d v="2022-07-29T00:00:00"/>
    <s v="Tiffany/retour caisse"/>
    <x v="2"/>
    <m/>
    <x v="37"/>
    <x v="0"/>
    <n v="4568687"/>
    <x v="1"/>
    <m/>
    <x v="0"/>
    <m/>
    <m/>
    <m/>
    <m/>
    <m/>
  </r>
  <r>
    <d v="2022-07-29T00:00:00"/>
    <s v="Frais de mission maitre Marie hélène à Mossendjo et Dolisie du 01 au 03 Aout 2022"/>
    <x v="8"/>
    <s v="Legal"/>
    <x v="0"/>
    <x v="15"/>
    <n v="4492687"/>
    <x v="1"/>
    <s v="Oui"/>
    <x v="1"/>
    <s v="RALFF"/>
    <s v="CONGO"/>
    <m/>
    <s v="5.2.2"/>
    <m/>
  </r>
  <r>
    <d v="2022-07-29T00:00:00"/>
    <s v="Acompte contrat N°47 Maitre Marie Hélène/cas MABIOKO BOUKAKA Emile à Mossendjo"/>
    <x v="8"/>
    <s v="Legal"/>
    <x v="0"/>
    <x v="90"/>
    <n v="4292687"/>
    <x v="2"/>
    <n v="3667229"/>
    <x v="2"/>
    <s v="RALFF"/>
    <s v="CONGO"/>
    <m/>
    <s v="5.2.2"/>
    <m/>
  </r>
  <r>
    <d v="2022-07-29T00:00:00"/>
    <s v="Rapatrieme01100RTC00019552(fonds UE)"/>
    <x v="19"/>
    <m/>
    <x v="38"/>
    <x v="0"/>
    <n v="24695574"/>
    <x v="0"/>
    <s v="Relevé"/>
    <x v="2"/>
    <m/>
    <m/>
    <m/>
    <m/>
    <m/>
  </r>
  <r>
    <d v="2022-07-29T00:00:00"/>
    <s v="I23C - CONGO Paiement Hôtel 2 nuitées du 27 au 29 juillet 2022 à Dolisie"/>
    <x v="5"/>
    <s v="Investigation"/>
    <x v="0"/>
    <x v="6"/>
    <n v="24665574"/>
    <x v="3"/>
    <s v="Oui"/>
    <x v="1"/>
    <s v="RALFF"/>
    <s v="CONGO"/>
    <m/>
    <s v="1.3.2"/>
    <m/>
  </r>
  <r>
    <d v="2022-07-29T00:00:00"/>
    <s v="Achat billet Dolisie-Brazzaville (retour à Brazzaville)/I23C"/>
    <x v="4"/>
    <s v="Investigation"/>
    <x v="0"/>
    <x v="5"/>
    <n v="24655574"/>
    <x v="3"/>
    <s v="Oui"/>
    <x v="1"/>
    <s v="RALFF"/>
    <s v="CONGO"/>
    <m/>
    <s v="2.2"/>
    <m/>
  </r>
  <r>
    <d v="2022-07-29T00:00:00"/>
    <s v="Cumul frais de transport local du mois Juillet 2022/I23C"/>
    <x v="4"/>
    <s v="Investigation"/>
    <x v="0"/>
    <x v="45"/>
    <n v="24564574"/>
    <x v="3"/>
    <s v="Décharge"/>
    <x v="1"/>
    <s v="RALFF"/>
    <s v="CONGO"/>
    <m/>
    <s v="2.2"/>
    <m/>
  </r>
  <r>
    <d v="2022-07-29T00:00:00"/>
    <s v="Achat nourriture pour Mandrils et Pérroquets à Dolisie"/>
    <x v="5"/>
    <s v="Operation"/>
    <x v="0"/>
    <x v="91"/>
    <n v="24562574"/>
    <x v="4"/>
    <s v="Oui"/>
    <x v="1"/>
    <s v="PALF"/>
    <s v="CONGO"/>
    <m/>
    <m/>
    <m/>
  </r>
  <r>
    <d v="2022-07-29T00:00:00"/>
    <s v="Reçu caisse/Hurielle"/>
    <x v="2"/>
    <m/>
    <x v="39"/>
    <x v="0"/>
    <n v="24650574"/>
    <x v="4"/>
    <m/>
    <x v="0"/>
    <m/>
    <m/>
    <m/>
    <m/>
    <m/>
  </r>
  <r>
    <d v="2022-07-29T00:00:00"/>
    <s v="Cumul frais de Jail Visits du mois de Juillet 2022/Hurielle MFOULOU"/>
    <x v="14"/>
    <s v="Legal"/>
    <x v="0"/>
    <x v="92"/>
    <n v="24631574"/>
    <x v="4"/>
    <s v="Décharge"/>
    <x v="1"/>
    <s v="PALF"/>
    <s v="CONGO"/>
    <m/>
    <m/>
    <m/>
  </r>
  <r>
    <d v="2022-07-29T00:00:00"/>
    <s v="Cumul frais de ration mois de  juillet 2022/Yan GOMAT"/>
    <x v="5"/>
    <s v="Legal"/>
    <x v="0"/>
    <x v="18"/>
    <n v="24616574"/>
    <x v="5"/>
    <s v="Décharge"/>
    <x v="1"/>
    <s v="PALF"/>
    <s v="CONGO"/>
    <m/>
    <m/>
    <m/>
  </r>
  <r>
    <d v="2022-07-29T00:00:00"/>
    <s v="Cumul frais de transport local mois de Juillet 2022/Yan GOMAT"/>
    <x v="4"/>
    <s v="Legal"/>
    <x v="0"/>
    <x v="93"/>
    <n v="24558074"/>
    <x v="5"/>
    <s v="Décharge"/>
    <x v="1"/>
    <s v="PALF"/>
    <s v="CONGO"/>
    <m/>
    <m/>
    <m/>
  </r>
  <r>
    <d v="2022-07-29T00:00:00"/>
    <s v="EVARISTE LELOUSSI  CONGO - Frais de l'hôtel du 25 au 29 juillet 2022 (4 nuitées) à Dolisie"/>
    <x v="5"/>
    <s v="Media"/>
    <x v="0"/>
    <x v="58"/>
    <n v="24498074"/>
    <x v="10"/>
    <s v="Oui"/>
    <x v="1"/>
    <s v="RALFF"/>
    <s v="CONGO"/>
    <m/>
    <s v="1.3.2"/>
    <m/>
  </r>
  <r>
    <d v="2022-07-29T00:00:00"/>
    <s v="Achat Billet Dolisie-Brazzaville /EVARISTE "/>
    <x v="4"/>
    <s v="Media"/>
    <x v="0"/>
    <x v="5"/>
    <n v="24488074"/>
    <x v="10"/>
    <s v="Oui"/>
    <x v="1"/>
    <s v="RALFF"/>
    <s v="CONGO"/>
    <m/>
    <s v="2.2"/>
    <m/>
  </r>
  <r>
    <d v="2022-07-29T00:00:00"/>
    <s v="Cumul frais de transport local du mois de juillet 2022/P29"/>
    <x v="4"/>
    <s v="Investigation"/>
    <x v="0"/>
    <x v="94"/>
    <n v="24399874"/>
    <x v="6"/>
    <s v="Décharge"/>
    <x v="1"/>
    <s v="RALFF"/>
    <s v="CONGO"/>
    <m/>
    <s v="2.2"/>
    <m/>
  </r>
  <r>
    <d v="2022-07-29T00:00:00"/>
    <s v="Cumul frais de Trust Building du mois de Juillet 2022/P29"/>
    <x v="18"/>
    <s v="Investigation"/>
    <x v="0"/>
    <x v="95"/>
    <n v="24319874"/>
    <x v="6"/>
    <s v="Décharge"/>
    <x v="1"/>
    <s v="PALF"/>
    <s v="CONGO"/>
    <m/>
    <m/>
    <m/>
  </r>
  <r>
    <d v="2022-07-29T00:00:00"/>
    <s v="Achat billet dolisie-Brazzaville/P29"/>
    <x v="4"/>
    <s v="Investigation"/>
    <x v="0"/>
    <x v="5"/>
    <n v="24309874"/>
    <x v="6"/>
    <s v="Oui"/>
    <x v="1"/>
    <s v="RALFF"/>
    <s v="CONGO"/>
    <m/>
    <s v="2.2"/>
    <m/>
  </r>
  <r>
    <d v="2022-07-29T00:00:00"/>
    <s v="Reçu de caisse/Crépin"/>
    <x v="2"/>
    <m/>
    <x v="40"/>
    <x v="0"/>
    <n v="24463874"/>
    <x v="8"/>
    <m/>
    <x v="0"/>
    <m/>
    <m/>
    <m/>
    <m/>
    <m/>
  </r>
  <r>
    <d v="2022-07-29T00:00:00"/>
    <s v="Bonus opération du 28/07/2022 à Makabana pour 4 agents EF "/>
    <x v="7"/>
    <s v="Operation"/>
    <x v="0"/>
    <x v="23"/>
    <n v="24423874"/>
    <x v="8"/>
    <s v="Oui"/>
    <x v="1"/>
    <s v="PALF"/>
    <s v="CONGO"/>
    <m/>
    <m/>
    <m/>
  </r>
  <r>
    <d v="2022-07-29T00:00:00"/>
    <s v="Bonus opération du 28/07/2022 à Makabana pour 160000"/>
    <x v="7"/>
    <s v="Operation"/>
    <x v="0"/>
    <x v="96"/>
    <n v="24263874"/>
    <x v="8"/>
    <s v="Oui"/>
    <x v="1"/>
    <s v="PALF"/>
    <s v="CONGO"/>
    <m/>
    <m/>
    <m/>
  </r>
  <r>
    <d v="2022-07-29T00:00:00"/>
    <s v="Cumul frais de transport local du mois de Juillet 2022"/>
    <x v="4"/>
    <s v="Management"/>
    <x v="0"/>
    <x v="97"/>
    <n v="24251374"/>
    <x v="7"/>
    <s v="Décharge"/>
    <x v="2"/>
    <s v="RALFF"/>
    <s v="CONGO"/>
    <m/>
    <s v="2.2"/>
    <m/>
  </r>
  <r>
    <d v="2022-07-29T00:00:00"/>
    <s v="Retour caisse/ Tiffany"/>
    <x v="2"/>
    <m/>
    <x v="0"/>
    <x v="90"/>
    <n v="24051374"/>
    <x v="7"/>
    <m/>
    <x v="0"/>
    <m/>
    <m/>
    <m/>
    <m/>
    <m/>
  </r>
  <r>
    <d v="2022-07-29T00:00:00"/>
    <s v="Reçu de caisse/P29"/>
    <x v="2"/>
    <m/>
    <x v="32"/>
    <x v="0"/>
    <n v="24081374"/>
    <x v="6"/>
    <m/>
    <x v="0"/>
    <m/>
    <m/>
    <m/>
    <m/>
    <m/>
  </r>
  <r>
    <d v="2022-07-30T00:00:00"/>
    <s v="Bonus du mois de juillet 2022/Evariste LELOUSSI"/>
    <x v="7"/>
    <s v="Media"/>
    <x v="0"/>
    <x v="3"/>
    <n v="24061374"/>
    <x v="1"/>
    <s v="Décharge"/>
    <x v="1"/>
    <s v="PALF"/>
    <s v="CONGO"/>
    <m/>
    <m/>
    <m/>
  </r>
  <r>
    <d v="2022-07-30T00:00:00"/>
    <s v="Evariste"/>
    <x v="2"/>
    <m/>
    <x v="0"/>
    <x v="98"/>
    <n v="24036374"/>
    <x v="1"/>
    <m/>
    <x v="0"/>
    <m/>
    <m/>
    <m/>
    <m/>
    <m/>
  </r>
  <r>
    <d v="2022-07-30T00:00:00"/>
    <s v="Bonus Media portant sur Op du 28/07/2022"/>
    <x v="7"/>
    <s v="Media"/>
    <x v="0"/>
    <x v="99"/>
    <n v="24012374"/>
    <x v="1"/>
    <s v="Décharge"/>
    <x v="1"/>
    <s v="PALF"/>
    <s v="CONGO"/>
    <m/>
    <m/>
    <m/>
  </r>
  <r>
    <d v="2022-07-30T00:00:00"/>
    <s v="HURIELLE - CONGO Frais d'hotel 03 nuitées à Dolisie du 27 au 30/07/2022"/>
    <x v="5"/>
    <s v="Legal"/>
    <x v="0"/>
    <x v="19"/>
    <n v="23967374"/>
    <x v="4"/>
    <s v="Oui"/>
    <x v="1"/>
    <s v="RALFF"/>
    <s v="CONGO"/>
    <m/>
    <s v="1.3.2"/>
    <m/>
  </r>
  <r>
    <d v="2022-07-30T00:00:00"/>
    <s v="Achat billet de retour Dolisie-Brazzaville/HURIELLE"/>
    <x v="4"/>
    <s v="Legal"/>
    <x v="0"/>
    <x v="5"/>
    <n v="23957374"/>
    <x v="4"/>
    <s v="Oui"/>
    <x v="1"/>
    <s v="RALFF"/>
    <s v="CONGO"/>
    <m/>
    <s v="2.2"/>
    <m/>
  </r>
  <r>
    <d v="2022-07-30T00:00:00"/>
    <s v="Cumul frais de Transport Local mois de Juillet 2022/Hurielle MFOULOU"/>
    <x v="4"/>
    <s v="Legal"/>
    <x v="0"/>
    <x v="100"/>
    <n v="23917974"/>
    <x v="4"/>
    <s v="Décharge"/>
    <x v="1"/>
    <s v="RALFF"/>
    <s v="CONGO"/>
    <m/>
    <s v="2.2"/>
    <m/>
  </r>
  <r>
    <d v="2022-07-30T00:00:00"/>
    <s v="Reçu de la Caisse/EVARISTE"/>
    <x v="2"/>
    <m/>
    <x v="41"/>
    <x v="0"/>
    <n v="23942974"/>
    <x v="10"/>
    <m/>
    <x v="0"/>
    <m/>
    <m/>
    <m/>
    <m/>
    <m/>
  </r>
  <r>
    <d v="2022-07-30T00:00:00"/>
    <s v="Cumul frais de transport local du mois de Juillet 2022/Evariste LELOUSSI"/>
    <x v="4"/>
    <s v="Media"/>
    <x v="0"/>
    <x v="19"/>
    <n v="23897974"/>
    <x v="10"/>
    <s v="Décharge"/>
    <x v="1"/>
    <s v="RALFF"/>
    <s v="CONGO"/>
    <m/>
    <s v="2.2"/>
    <m/>
  </r>
  <r>
    <d v="2022-07-30T00:00:00"/>
    <s v="Cumul Frais de Transport Local du Moius de Juillet 2022/GRACE MOLENDE"/>
    <x v="4"/>
    <s v="Management"/>
    <x v="0"/>
    <x v="101"/>
    <n v="23874274"/>
    <x v="12"/>
    <s v="Décharge"/>
    <x v="1"/>
    <s v="RALFF"/>
    <s v="CONGO"/>
    <m/>
    <s v="2.2"/>
    <m/>
  </r>
  <r>
    <d v="2022-07-30T00:00:00"/>
    <s v="Cumul frais de transport Local mois de Juillet 2022/Merveille"/>
    <x v="4"/>
    <s v="Management"/>
    <x v="0"/>
    <x v="102"/>
    <n v="23842274"/>
    <x v="11"/>
    <s v="Décharge"/>
    <x v="1"/>
    <s v="RALFF"/>
    <s v="CONGO"/>
    <m/>
    <s v="2.2"/>
    <m/>
  </r>
  <r>
    <d v="2022-07-30T00:00:00"/>
    <s v="P29 - CONGO Paiement 8 nuitées du 22 au 30-07-2022 à dolisie"/>
    <x v="5"/>
    <s v="Investigation"/>
    <x v="0"/>
    <x v="44"/>
    <n v="23722274"/>
    <x v="6"/>
    <s v="Oui"/>
    <x v="1"/>
    <s v="RALFF"/>
    <s v="CONGO"/>
    <m/>
    <s v="1.3.2"/>
    <m/>
  </r>
  <r>
    <d v="2022-07-31T00:00:00"/>
    <s v="Cumul frais de Jail visits du mois de Juillet 2022/Crépin"/>
    <x v="14"/>
    <s v="Legal"/>
    <x v="0"/>
    <x v="103"/>
    <n v="23633784"/>
    <x v="8"/>
    <s v="Décharge"/>
    <x v="1"/>
    <s v="PALF"/>
    <s v="CONGO"/>
    <m/>
    <m/>
    <m/>
  </r>
  <r>
    <d v="2022-07-31T00:00:00"/>
    <s v="Cumul frais Transport Local du mois de juillet 2022/Crépin"/>
    <x v="4"/>
    <s v="Management"/>
    <x v="0"/>
    <x v="104"/>
    <n v="23585884"/>
    <x v="8"/>
    <s v="Décharge"/>
    <x v="1"/>
    <s v="RALFF"/>
    <s v="CONGO"/>
    <m/>
    <s v="2.2"/>
    <m/>
  </r>
  <r>
    <d v="2022-07-31T00:00:00"/>
    <s v="CREPIN IBOUILI - CCONGO Frias d'Hotel 04 Nuitées du 27 au 31/07/2022"/>
    <x v="5"/>
    <s v="Management"/>
    <x v="0"/>
    <x v="58"/>
    <n v="23525884"/>
    <x v="8"/>
    <s v="Oui"/>
    <x v="1"/>
    <s v="RALFF"/>
    <s v="CONGO"/>
    <m/>
    <s v="1.3.2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73">
  <r>
    <d v="2022-07-01T00:00:00"/>
    <s v="Solde au 01/07/2022"/>
    <m/>
    <m/>
    <m/>
    <m/>
    <n v="11968765"/>
    <m/>
    <m/>
    <x v="0"/>
    <x v="0"/>
    <m/>
    <m/>
    <m/>
    <m/>
  </r>
  <r>
    <d v="2022-07-01T00:00:00"/>
    <s v="Achat 02 paquets papier bristol"/>
    <s v="Office materials"/>
    <s v="Office"/>
    <m/>
    <n v="6000"/>
    <n v="11962765"/>
    <s v="Caisse"/>
    <s v="Oui"/>
    <x v="1"/>
    <x v="1"/>
    <s v="CONGO"/>
    <m/>
    <s v="4.3"/>
    <m/>
  </r>
  <r>
    <d v="2022-07-01T00:00:00"/>
    <s v="Hurielle"/>
    <s v="Versement"/>
    <m/>
    <m/>
    <n v="8000"/>
    <n v="11954765"/>
    <s v="Caisse"/>
    <m/>
    <x v="0"/>
    <x v="0"/>
    <m/>
    <m/>
    <m/>
    <m/>
  </r>
  <r>
    <d v="2022-07-01T00:00:00"/>
    <s v="Tiffany"/>
    <s v="Versement"/>
    <m/>
    <m/>
    <n v="20000"/>
    <n v="11934765"/>
    <s v="Caisse"/>
    <m/>
    <x v="0"/>
    <x v="0"/>
    <m/>
    <m/>
    <m/>
    <m/>
  </r>
  <r>
    <d v="2022-07-01T00:00:00"/>
    <s v="Yan/retour caisse"/>
    <s v="Versement"/>
    <m/>
    <n v="50000"/>
    <m/>
    <n v="11984765"/>
    <s v="Caisse"/>
    <m/>
    <x v="0"/>
    <x v="0"/>
    <m/>
    <m/>
    <m/>
    <m/>
  </r>
  <r>
    <d v="2022-07-01T00:00:00"/>
    <s v="Frais bancaire mois de Juillet 2022"/>
    <s v="Bank fees"/>
    <s v="Office"/>
    <m/>
    <n v="14701"/>
    <n v="11970064"/>
    <s v="BCI-Sous Compte"/>
    <s v="Relevé"/>
    <x v="2"/>
    <x v="1"/>
    <s v="CONGO"/>
    <m/>
    <s v="5.6"/>
    <m/>
  </r>
  <r>
    <d v="2022-07-01T00:00:00"/>
    <s v="Achat billet Brazzaville-Dolisie (mission pour Dolisie)/I23C"/>
    <s v="Transport"/>
    <s v="Investigation"/>
    <m/>
    <n v="10000"/>
    <n v="11960064"/>
    <s v="i23c"/>
    <s v="Oui"/>
    <x v="1"/>
    <x v="1"/>
    <s v="CONGO"/>
    <m/>
    <s v="2.2"/>
    <m/>
  </r>
  <r>
    <d v="2022-07-01T00:00:00"/>
    <s v="Reçu caisse/Hurielle"/>
    <s v="Versement"/>
    <m/>
    <n v="8000"/>
    <m/>
    <n v="11968064"/>
    <s v="Hurielle"/>
    <m/>
    <x v="0"/>
    <x v="0"/>
    <m/>
    <m/>
    <m/>
    <m/>
  </r>
  <r>
    <d v="2022-07-01T00:00:00"/>
    <s v="YAN GOMAT - CONGO Frais d'hôtel 02 nuitées du 29 juin au 1 juillet 22 à Owando"/>
    <s v="Travel Subsistence"/>
    <s v="Legal"/>
    <m/>
    <n v="30000"/>
    <n v="11938064"/>
    <s v="Yan"/>
    <s v="Oui"/>
    <x v="1"/>
    <x v="2"/>
    <s v="CONGO"/>
    <m/>
    <m/>
    <m/>
  </r>
  <r>
    <d v="2022-07-01T00:00:00"/>
    <s v="Retour caisse/Yan GOMAT"/>
    <s v="Versement"/>
    <m/>
    <m/>
    <n v="50000"/>
    <n v="11888064"/>
    <s v="Yan"/>
    <m/>
    <x v="0"/>
    <x v="0"/>
    <m/>
    <m/>
    <m/>
    <m/>
  </r>
  <r>
    <d v="2022-07-01T00:00:00"/>
    <s v="Achat billet Brazzaville-Pointe Noire/P29"/>
    <s v="Transport"/>
    <s v="Investigation"/>
    <m/>
    <n v="13000"/>
    <n v="11875064"/>
    <s v="P29"/>
    <s v="Oui"/>
    <x v="1"/>
    <x v="1"/>
    <s v="CONGO"/>
    <m/>
    <s v="2.2"/>
    <m/>
  </r>
  <r>
    <d v="2022-07-01T00:00:00"/>
    <s v="Transfert Caisse/ Tiffany"/>
    <s v="Versement"/>
    <m/>
    <n v="20000"/>
    <m/>
    <n v="11895064"/>
    <s v="Tiffany"/>
    <m/>
    <x v="0"/>
    <x v="0"/>
    <m/>
    <m/>
    <m/>
    <m/>
  </r>
  <r>
    <d v="2022-07-02T00:00:00"/>
    <s v="Crepin"/>
    <s v="Versement"/>
    <m/>
    <m/>
    <n v="253000"/>
    <n v="11642064"/>
    <s v="Caisse"/>
    <m/>
    <x v="0"/>
    <x v="0"/>
    <m/>
    <m/>
    <m/>
    <m/>
  </r>
  <r>
    <d v="2022-07-02T00:00:00"/>
    <s v="Frais de transfert charden farell à Crepin"/>
    <s v="Transfer fees"/>
    <s v="Office"/>
    <m/>
    <n v="7590"/>
    <n v="11634474"/>
    <s v="Caisse"/>
    <s v="Oui"/>
    <x v="1"/>
    <x v="1"/>
    <s v="CONGO"/>
    <m/>
    <s v="5.6"/>
    <m/>
  </r>
  <r>
    <d v="2022-07-02T00:00:00"/>
    <s v="I23C - CONGO Food allowance Mission Dolisie- Makabana- Mila mila du 2 au 9 juillet 2022"/>
    <s v="Travel Subsistence"/>
    <s v="Investigation"/>
    <m/>
    <n v="70000"/>
    <n v="11564474"/>
    <s v="i23c"/>
    <s v="Décharge"/>
    <x v="1"/>
    <x v="1"/>
    <s v="CONGO"/>
    <m/>
    <s v="1.3.2"/>
    <m/>
  </r>
  <r>
    <d v="2022-07-02T00:00:00"/>
    <s v="P29 - CONGO Food allowance mission du 02 au 09-07-2022"/>
    <s v="Travel Subsistence"/>
    <s v="Investigation"/>
    <m/>
    <n v="70000"/>
    <n v="11494474"/>
    <s v="P29"/>
    <s v="Décharge"/>
    <x v="1"/>
    <x v="1"/>
    <s v="CONGO"/>
    <m/>
    <s v="1.3.2"/>
    <m/>
  </r>
  <r>
    <d v="2022-07-02T00:00:00"/>
    <s v="Reçu de caisse/Crépin"/>
    <s v="Versement"/>
    <m/>
    <n v="253000"/>
    <m/>
    <n v="11747474"/>
    <s v="Crépin"/>
    <m/>
    <x v="0"/>
    <x v="0"/>
    <m/>
    <m/>
    <m/>
    <m/>
  </r>
  <r>
    <d v="2022-07-05T00:00:00"/>
    <s v="P29"/>
    <s v="Versement"/>
    <m/>
    <m/>
    <n v="104000"/>
    <n v="11643474"/>
    <s v="Caisse"/>
    <m/>
    <x v="0"/>
    <x v="0"/>
    <m/>
    <m/>
    <m/>
    <m/>
  </r>
  <r>
    <d v="2022-07-05T00:00:00"/>
    <s v="I23C"/>
    <s v="Versement"/>
    <m/>
    <m/>
    <n v="113000"/>
    <n v="11530474"/>
    <s v="Caisse"/>
    <m/>
    <x v="0"/>
    <x v="0"/>
    <m/>
    <m/>
    <m/>
    <m/>
  </r>
  <r>
    <d v="2022-07-05T00:00:00"/>
    <s v="Frais de transfert argent à P29 et I23c"/>
    <s v="Transfer fees"/>
    <s v="Office"/>
    <m/>
    <n v="5425"/>
    <n v="11525049"/>
    <s v="Caisse"/>
    <s v="Oui"/>
    <x v="1"/>
    <x v="1"/>
    <s v="CONGO"/>
    <m/>
    <s v="5.6"/>
    <m/>
  </r>
  <r>
    <d v="2022-07-05T00:00:00"/>
    <s v="Hurielle"/>
    <s v="Versement"/>
    <m/>
    <m/>
    <n v="10000"/>
    <n v="11515049"/>
    <s v="Caisse"/>
    <m/>
    <x v="0"/>
    <x v="0"/>
    <m/>
    <m/>
    <m/>
    <m/>
  </r>
  <r>
    <d v="2022-07-05T00:00:00"/>
    <s v="Bonus mois de Juin 2022/Hurielle"/>
    <s v="Bonus"/>
    <s v="Legal"/>
    <m/>
    <n v="10000"/>
    <n v="11505049"/>
    <s v="Caisse"/>
    <s v="Décharge"/>
    <x v="1"/>
    <x v="2"/>
    <s v="CONGO"/>
    <m/>
    <m/>
    <m/>
  </r>
  <r>
    <d v="2022-07-05T00:00:00"/>
    <s v="Bonus mois de Juin 2022/Evariste"/>
    <s v="Bonus"/>
    <s v="Media"/>
    <m/>
    <n v="20000"/>
    <n v="11485049"/>
    <s v="Caisse"/>
    <s v="Décharge"/>
    <x v="1"/>
    <x v="2"/>
    <s v="CONGO"/>
    <m/>
    <m/>
    <m/>
  </r>
  <r>
    <d v="2022-07-05T00:00:00"/>
    <s v="Frais de mission maitre Helène NANITELAMIO  du 06 au 08/07/2022 à Dolisie"/>
    <s v="Lawyer fees"/>
    <s v="Legal"/>
    <m/>
    <n v="76000"/>
    <n v="11409049"/>
    <s v="Caisse"/>
    <s v="Oui"/>
    <x v="1"/>
    <x v="1"/>
    <s v="CONGO"/>
    <m/>
    <s v="5.2.2"/>
    <m/>
  </r>
  <r>
    <d v="2022-07-05T00:00:00"/>
    <s v="Hurielle"/>
    <s v="Versement"/>
    <m/>
    <m/>
    <n v="82000"/>
    <n v="11327049"/>
    <s v="Caisse"/>
    <m/>
    <x v="0"/>
    <x v="0"/>
    <m/>
    <m/>
    <m/>
    <m/>
  </r>
  <r>
    <d v="2022-07-05T00:00:00"/>
    <s v="Achat 03 Bonbones d'eau minerale"/>
    <s v="Office materials"/>
    <s v="Office"/>
    <m/>
    <n v="13500"/>
    <n v="11313549"/>
    <s v="Caisse"/>
    <s v="Oui"/>
    <x v="1"/>
    <x v="1"/>
    <s v="CONGO"/>
    <m/>
    <s v="4.3"/>
    <m/>
  </r>
  <r>
    <d v="2022-07-05T00:00:00"/>
    <s v="Yan"/>
    <s v="Versement"/>
    <m/>
    <m/>
    <n v="15000"/>
    <n v="11298549"/>
    <s v="Caisse"/>
    <m/>
    <x v="0"/>
    <x v="0"/>
    <m/>
    <m/>
    <m/>
    <m/>
  </r>
  <r>
    <d v="2022-07-05T00:00:00"/>
    <s v="I23C - CONGO Paiement 3 nuitées à Dolisie du 2 au 5 Juillet 2022"/>
    <s v="Travel Subsistence"/>
    <s v="Investigation"/>
    <m/>
    <n v="45000"/>
    <n v="11253549"/>
    <s v="i23c"/>
    <s v="Oui"/>
    <x v="1"/>
    <x v="1"/>
    <s v="CONGO"/>
    <m/>
    <s v="1.3.2"/>
    <m/>
  </r>
  <r>
    <d v="2022-07-05T00:00:00"/>
    <s v="Taxi Dolisie- Makabana (départ pour Makabana)/I23C"/>
    <s v="Transport"/>
    <s v="Investigation"/>
    <m/>
    <n v="10000"/>
    <n v="11243549"/>
    <s v="i23c"/>
    <s v="Oui"/>
    <x v="1"/>
    <x v="1"/>
    <s v="CONGO"/>
    <m/>
    <s v="2.2"/>
    <m/>
  </r>
  <r>
    <d v="2022-07-05T00:00:00"/>
    <s v="Reçu caisse/Hurielle"/>
    <s v="Versement"/>
    <m/>
    <n v="10000"/>
    <m/>
    <n v="11253549"/>
    <s v="Hurielle"/>
    <m/>
    <x v="0"/>
    <x v="0"/>
    <m/>
    <m/>
    <m/>
    <m/>
  </r>
  <r>
    <d v="2022-07-05T00:00:00"/>
    <s v="Frais d'expédition "/>
    <s v="Court Fees"/>
    <s v="Legal"/>
    <m/>
    <n v="10000"/>
    <n v="11243549"/>
    <s v="Hurielle"/>
    <s v="Oui"/>
    <x v="1"/>
    <x v="2"/>
    <s v="CONGO"/>
    <m/>
    <m/>
    <m/>
  </r>
  <r>
    <d v="2022-07-05T00:00:00"/>
    <s v="Reçu caisse/Hurielle"/>
    <s v="Versement"/>
    <m/>
    <n v="82000"/>
    <m/>
    <n v="11325549"/>
    <s v="Hurielle"/>
    <m/>
    <x v="0"/>
    <x v="0"/>
    <m/>
    <m/>
    <m/>
    <m/>
  </r>
  <r>
    <d v="2022-07-05T00:00:00"/>
    <s v="Achat billet aller Brazzaville-Dolisie/HURIELLE"/>
    <s v="Transport"/>
    <s v="Legal"/>
    <m/>
    <n v="10000"/>
    <n v="11315549"/>
    <s v="Hurielle"/>
    <s v="Oui"/>
    <x v="1"/>
    <x v="1"/>
    <s v="CONGO"/>
    <m/>
    <s v="2.2"/>
    <m/>
  </r>
  <r>
    <d v="2022-07-05T00:00:00"/>
    <s v="Reçu Caisse/Yan GOMAT"/>
    <s v="Versement"/>
    <m/>
    <n v="15000"/>
    <m/>
    <n v="11330549"/>
    <s v="Yan"/>
    <m/>
    <x v="0"/>
    <x v="0"/>
    <m/>
    <m/>
    <m/>
    <m/>
  </r>
  <r>
    <d v="2022-07-05T00:00:00"/>
    <s v="Billet: Dolisie-Brazzaville/Crépin"/>
    <s v="Transport"/>
    <s v="Management"/>
    <m/>
    <n v="10000"/>
    <n v="11320549"/>
    <s v="Crépin"/>
    <s v="Oui"/>
    <x v="1"/>
    <x v="1"/>
    <s v="CONGO"/>
    <m/>
    <s v="2.2"/>
    <m/>
  </r>
  <r>
    <d v="2022-07-05T00:00:00"/>
    <s v="Reçu de caisse/P29"/>
    <s v="Versement"/>
    <m/>
    <n v="104000"/>
    <m/>
    <n v="11424549"/>
    <s v="P29"/>
    <m/>
    <x v="0"/>
    <x v="0"/>
    <m/>
    <m/>
    <m/>
    <m/>
  </r>
  <r>
    <d v="2022-07-05T00:00:00"/>
    <s v="Reçu caisse/I23C"/>
    <s v="Versement"/>
    <m/>
    <n v="113000"/>
    <m/>
    <n v="11537549"/>
    <s v="i23c"/>
    <m/>
    <x v="0"/>
    <x v="0"/>
    <m/>
    <m/>
    <m/>
    <m/>
  </r>
  <r>
    <d v="2022-07-06T00:00:00"/>
    <s v="Crepin"/>
    <s v="Versement"/>
    <m/>
    <n v="40000"/>
    <m/>
    <n v="11577549"/>
    <s v="Caisse"/>
    <m/>
    <x v="0"/>
    <x v="0"/>
    <m/>
    <m/>
    <m/>
    <m/>
  </r>
  <r>
    <d v="2022-07-06T00:00:00"/>
    <s v="Bonus operation du 05/06/2022 à OWANDO/Crepin"/>
    <s v="Bonus"/>
    <s v="Operation"/>
    <m/>
    <n v="30000"/>
    <n v="11547549"/>
    <s v="Caisse"/>
    <s v="Décharge"/>
    <x v="1"/>
    <x v="2"/>
    <s v="CONGO"/>
    <m/>
    <m/>
    <m/>
  </r>
  <r>
    <d v="2022-07-06T00:00:00"/>
    <s v="Bonus mois de juin 2022/Crepin"/>
    <s v="Bonus"/>
    <s v="Legal"/>
    <m/>
    <n v="50000"/>
    <n v="11497549"/>
    <s v="Caisse"/>
    <s v="Décharge"/>
    <x v="1"/>
    <x v="2"/>
    <s v="CONGO"/>
    <m/>
    <m/>
    <m/>
  </r>
  <r>
    <d v="2022-07-06T00:00:00"/>
    <s v="Frais bancaire mois de Juillet 2022"/>
    <s v="Bank fees"/>
    <s v="Office"/>
    <m/>
    <n v="23345"/>
    <n v="11474204"/>
    <s v="BCI"/>
    <s v="Relevé"/>
    <x v="1"/>
    <x v="2"/>
    <s v="CONGO"/>
    <m/>
    <m/>
    <m/>
  </r>
  <r>
    <d v="2022-07-06T00:00:00"/>
    <s v="Taxi moto Makabana-Mila mila (rencontre avec informateurs)/I23C"/>
    <s v="Transport"/>
    <s v="Investigation"/>
    <m/>
    <n v="5000"/>
    <n v="11469204"/>
    <s v="i23c"/>
    <s v="Oui"/>
    <x v="1"/>
    <x v="1"/>
    <s v="CONGO"/>
    <m/>
    <s v="2.2"/>
    <m/>
  </r>
  <r>
    <d v="2022-07-06T00:00:00"/>
    <s v="Taxi moto Mila mila- Makabana (retour à Makabana)/I23C"/>
    <s v="Transport"/>
    <s v="Investigation"/>
    <m/>
    <n v="5000"/>
    <n v="11464204"/>
    <s v="i23c"/>
    <s v="Oui"/>
    <x v="1"/>
    <x v="1"/>
    <s v="CONGO"/>
    <m/>
    <s v="2.2"/>
    <m/>
  </r>
  <r>
    <d v="2022-07-06T00:00:00"/>
    <s v="HURIELLE - CONGO FoodAlowance du 06 au 08/07/2022 à Dolisie"/>
    <s v="Travel Subsistence"/>
    <s v="Legal"/>
    <m/>
    <n v="20000"/>
    <n v="11444204"/>
    <s v="Hurielle"/>
    <s v="Décharge"/>
    <x v="1"/>
    <x v="1"/>
    <s v="CONGO"/>
    <m/>
    <s v="1.3.2"/>
    <m/>
  </r>
  <r>
    <d v="2022-07-06T00:00:00"/>
    <s v="CREPIN IBOUILI - CCONGO Frias d'Hotel 06 Nuitées du 30/06/ au 06/07/2022 à Dolisie"/>
    <s v="Travel Subsistence"/>
    <s v="Management"/>
    <m/>
    <n v="90000"/>
    <n v="11354204"/>
    <s v="Crépin"/>
    <s v="Oui"/>
    <x v="1"/>
    <x v="1"/>
    <s v="CONGO"/>
    <m/>
    <s v="1.3.2"/>
    <m/>
  </r>
  <r>
    <d v="2022-07-06T00:00:00"/>
    <s v="Retour à la caisse/Crépin"/>
    <s v="Versement"/>
    <m/>
    <m/>
    <n v="40000"/>
    <n v="11314204"/>
    <s v="Crépin"/>
    <m/>
    <x v="0"/>
    <x v="0"/>
    <m/>
    <m/>
    <m/>
    <m/>
  </r>
  <r>
    <d v="2022-07-07T00:00:00"/>
    <s v="I23C - CONGO Paiement 2 nuitées à Makabana du 5 au 7 juillet 2022"/>
    <s v="Travel Subsistence"/>
    <s v="Investigation"/>
    <m/>
    <n v="30000"/>
    <n v="11284204"/>
    <s v="i23c"/>
    <s v="Oui"/>
    <x v="1"/>
    <x v="1"/>
    <s v="CONGO"/>
    <m/>
    <s v="1.3.2"/>
    <m/>
  </r>
  <r>
    <d v="2022-07-07T00:00:00"/>
    <s v="Taxi Makabana-Dolisie/I23C"/>
    <s v="Transport"/>
    <s v="Investigation"/>
    <m/>
    <n v="10000"/>
    <n v="11274204"/>
    <s v="i23c"/>
    <s v="Oui"/>
    <x v="1"/>
    <x v="1"/>
    <s v="CONGO"/>
    <m/>
    <s v="2.2"/>
    <m/>
  </r>
  <r>
    <d v="2022-07-07T00:00:00"/>
    <s v="Achat du billet de retour Dolisie-Brazzaville/HURIELLE"/>
    <s v="Transport"/>
    <s v="Legal"/>
    <m/>
    <n v="10000"/>
    <n v="11264204"/>
    <s v="Hurielle"/>
    <s v="Oui"/>
    <x v="1"/>
    <x v="1"/>
    <s v="CONGO"/>
    <m/>
    <s v="2.2"/>
    <m/>
  </r>
  <r>
    <d v="2022-07-07T00:00:00"/>
    <s v="P29 - CONGO Paiement 5 nuitées du 02 au 07-07-2022 à pointe noire"/>
    <s v="Travel Subsistence"/>
    <s v="Investigation"/>
    <m/>
    <n v="75000"/>
    <n v="11189204"/>
    <s v="P29"/>
    <s v="Oui"/>
    <x v="1"/>
    <x v="1"/>
    <s v="CONGO"/>
    <m/>
    <s v="1.3.2"/>
    <m/>
  </r>
  <r>
    <d v="2022-07-07T00:00:00"/>
    <s v="Achat billet Pointe Noire-les saras/P29"/>
    <s v="Transport"/>
    <s v="Investigation"/>
    <m/>
    <n v="5000"/>
    <n v="11184204"/>
    <s v="P29"/>
    <s v="Oui"/>
    <x v="1"/>
    <x v="1"/>
    <s v="CONGO"/>
    <m/>
    <s v="2.2"/>
    <m/>
  </r>
  <r>
    <d v="2022-07-07T00:00:00"/>
    <s v="Achat billet les saras-Madingou/P29"/>
    <s v="Transport"/>
    <s v="Investigation"/>
    <m/>
    <n v="7000"/>
    <n v="11177204"/>
    <s v="P29"/>
    <s v="Oui"/>
    <x v="1"/>
    <x v="1"/>
    <s v="CONGO"/>
    <m/>
    <s v="2.2"/>
    <m/>
  </r>
  <r>
    <d v="2022-07-08T00:00:00"/>
    <s v="Frais de traitement de dossier pour validation contrat à l'ACPE/Hurielle"/>
    <s v="Personnel"/>
    <s v="Legal"/>
    <m/>
    <n v="10500"/>
    <n v="11166704"/>
    <s v="Caisse"/>
    <s v="Oui"/>
    <x v="1"/>
    <x v="2"/>
    <s v="CONGO"/>
    <m/>
    <m/>
    <m/>
  </r>
  <r>
    <d v="2022-07-08T00:00:00"/>
    <s v="Reglement facture E²C electricité/ période Mai-Juin 2022/bureau PALF"/>
    <s v="Rent &amp; Utilities"/>
    <s v="Office"/>
    <m/>
    <n v="63660"/>
    <n v="11103044"/>
    <s v="Caisse"/>
    <s v="Oui"/>
    <x v="1"/>
    <x v="1"/>
    <s v="CONGO"/>
    <m/>
    <s v="4.4"/>
    <m/>
  </r>
  <r>
    <d v="2022-07-08T00:00:00"/>
    <s v="Evariste"/>
    <s v="Versement"/>
    <m/>
    <m/>
    <n v="15000"/>
    <n v="11088044"/>
    <s v="Caisse"/>
    <m/>
    <x v="0"/>
    <x v="0"/>
    <m/>
    <m/>
    <m/>
    <m/>
  </r>
  <r>
    <d v="2022-07-08T00:00:00"/>
    <s v="Frais Impression 200 cartes de visites/Tiffany"/>
    <s v="Office materials"/>
    <s v="Office"/>
    <m/>
    <n v="30000"/>
    <n v="11058044"/>
    <s v="Caisse"/>
    <s v="Oui"/>
    <x v="1"/>
    <x v="2"/>
    <s v="CONGO"/>
    <m/>
    <m/>
    <m/>
  </r>
  <r>
    <d v="2022-07-08T00:00:00"/>
    <s v="Achat billet Dolisie-Brazzaville (retour à Brazzaville)/I23C"/>
    <s v="Transport"/>
    <s v="Investigation"/>
    <m/>
    <n v="10000"/>
    <n v="11048044"/>
    <s v="i23c"/>
    <s v="Oui"/>
    <x v="1"/>
    <x v="1"/>
    <s v="CONGO"/>
    <m/>
    <s v="2.2"/>
    <m/>
  </r>
  <r>
    <d v="2022-07-08T00:00:00"/>
    <s v="HURIELLE - CONGO Frais d'Hotel 02 nuitées du 06 au 08/07/2022  à Dolisie"/>
    <s v="Travel Subsistence"/>
    <s v="Legal"/>
    <m/>
    <n v="30000"/>
    <n v="11018044"/>
    <s v="Hurielle"/>
    <s v="Oui"/>
    <x v="1"/>
    <x v="1"/>
    <s v="CONGO"/>
    <m/>
    <s v="1.3.2"/>
    <m/>
  </r>
  <r>
    <d v="2022-07-08T00:00:00"/>
    <s v="Réçu de la caisse/EVARISTE"/>
    <s v="Versement"/>
    <m/>
    <n v="15000"/>
    <m/>
    <n v="11033044"/>
    <s v="Evariste"/>
    <m/>
    <x v="0"/>
    <x v="0"/>
    <m/>
    <m/>
    <m/>
    <m/>
  </r>
  <r>
    <d v="2022-07-09T00:00:00"/>
    <s v="I23C - CONGO Paiement 2 nuitées à Dolisie du 7 au 9 juillet 2022"/>
    <s v="Travel Subsistence"/>
    <s v="Investigation"/>
    <m/>
    <n v="30000"/>
    <n v="11003044"/>
    <s v="i23c"/>
    <s v="Oui"/>
    <x v="1"/>
    <x v="1"/>
    <s v="CONGO"/>
    <m/>
    <s v="1.3.2"/>
    <m/>
  </r>
  <r>
    <d v="2022-07-09T00:00:00"/>
    <s v="Achat billet Madingou - Brazzaville /P29"/>
    <s v="Transport"/>
    <s v="Investigation"/>
    <m/>
    <n v="8000"/>
    <n v="10995044"/>
    <s v="P29"/>
    <s v="Oui"/>
    <x v="1"/>
    <x v="1"/>
    <s v="CONGO"/>
    <m/>
    <s v="2.2"/>
    <m/>
  </r>
  <r>
    <d v="2022-07-09T00:00:00"/>
    <s v="P29 - CONGO Paiement 2 nuitées du 07 au 09-07-2022 à madingou"/>
    <s v="Travel Subsistence"/>
    <s v="Investigation"/>
    <m/>
    <n v="30000"/>
    <n v="10965044"/>
    <s v="P29"/>
    <s v="Oui"/>
    <x v="1"/>
    <x v="1"/>
    <s v="CONGO"/>
    <m/>
    <s v="1.3.2"/>
    <m/>
  </r>
  <r>
    <d v="2022-07-11T00:00:00"/>
    <s v="Bonus media portant sur l'annonce de l'audience du 11/07/2022 au TGI de Brazzaville"/>
    <s v="Bonus"/>
    <s v="Media"/>
    <m/>
    <n v="47000"/>
    <n v="10918044"/>
    <s v="Caisse"/>
    <s v="Décharge"/>
    <x v="1"/>
    <x v="2"/>
    <s v="CONGO"/>
    <m/>
    <m/>
    <m/>
  </r>
  <r>
    <d v="2022-07-11T00:00:00"/>
    <s v="Paiement CNSS prémier trimestre /Avril,Mai et Juin 2022/Crépin IBOUILI IBOUILI"/>
    <s v="Personnel"/>
    <s v="Legal"/>
    <m/>
    <n v="221500"/>
    <n v="10696544"/>
    <s v="BCI-Sous Compte"/>
    <n v="3667211"/>
    <x v="1"/>
    <x v="1"/>
    <s v="CONGO"/>
    <m/>
    <s v="1.1.1.7"/>
    <m/>
  </r>
  <r>
    <d v="2022-07-11T00:00:00"/>
    <s v="Paiement CNSS prémier trimestre /Avril,Mai et Juin  2022/Evariste LELOUSSI"/>
    <s v="Personnel"/>
    <s v="Media"/>
    <m/>
    <n v="124669"/>
    <n v="10571875"/>
    <s v="BCI-Sous Compte"/>
    <n v="3667211"/>
    <x v="1"/>
    <x v="1"/>
    <s v="CONGO"/>
    <m/>
    <s v="1.1.1.4"/>
    <m/>
  </r>
  <r>
    <d v="2022-07-11T00:00:00"/>
    <s v="Paiement CNSS prémier trimestre /Avril,Mai et Juin  2022/Merveille MAHANGA"/>
    <s v="Personnel"/>
    <s v="Management"/>
    <m/>
    <n v="167724"/>
    <n v="10404151"/>
    <s v="BCI-Sous Compte"/>
    <n v="3667211"/>
    <x v="1"/>
    <x v="1"/>
    <s v="CONGO"/>
    <m/>
    <s v="1.1.2.1"/>
    <m/>
  </r>
  <r>
    <d v="2022-07-11T00:00:00"/>
    <s v="Paiement CNSS prémier trimestre /Avril,Mai et Juin 202/Grace MOLENDE"/>
    <s v="Personnel"/>
    <s v="Management"/>
    <m/>
    <n v="215485"/>
    <n v="10188666"/>
    <s v="BCI-Sous Compte"/>
    <n v="3667211"/>
    <x v="1"/>
    <x v="1"/>
    <s v="CONGO"/>
    <m/>
    <s v="1.1.2.1"/>
    <m/>
  </r>
  <r>
    <d v="2022-07-11T00:00:00"/>
    <s v="Paiement CNSS prémier trimestre /Avril et Mai 2022/Godfre MALONGA"/>
    <s v="Personnel"/>
    <s v="Legal"/>
    <m/>
    <n v="51747"/>
    <n v="10136919"/>
    <s v="BCI-Sous Compte"/>
    <n v="3667211"/>
    <x v="1"/>
    <x v="1"/>
    <s v="CONGO"/>
    <m/>
    <s v="1.1.1.7"/>
    <m/>
  </r>
  <r>
    <d v="2022-07-11T00:00:00"/>
    <s v="Paiement CNSS prémier trimestre /Juin 2022/Hurielle MFOULOU"/>
    <s v="Personnel"/>
    <s v="Legal"/>
    <m/>
    <n v="8050"/>
    <n v="10128869"/>
    <s v="BCI-Sous Compte"/>
    <n v="3667211"/>
    <x v="1"/>
    <x v="1"/>
    <s v="CONGO"/>
    <m/>
    <s v="1.1.1.7"/>
    <m/>
  </r>
  <r>
    <d v="2022-07-11T00:00:00"/>
    <s v="Paiement Honoraire Me LOCKO Christian/Mois de Juin 2022"/>
    <s v="Lawyer fees"/>
    <s v="Legal"/>
    <m/>
    <n v="150000"/>
    <n v="9978869"/>
    <s v="BCI-Sous Compte"/>
    <n v="3667210"/>
    <x v="2"/>
    <x v="1"/>
    <s v="CONGO"/>
    <m/>
    <s v="5.2.1"/>
    <m/>
  </r>
  <r>
    <d v="2022-07-12T00:00:00"/>
    <s v="Frais de mission maitre Helène NANITELAMIO  du 13 au 15/07/2022 à OWANDO"/>
    <s v="Lawyer fees"/>
    <s v="Legal"/>
    <m/>
    <n v="76000"/>
    <n v="9902869"/>
    <s v="Caisse"/>
    <s v="Oui"/>
    <x v="1"/>
    <x v="1"/>
    <s v="CONGO"/>
    <m/>
    <s v="5.2.2"/>
    <m/>
  </r>
  <r>
    <d v="2022-07-12T00:00:00"/>
    <s v="Yan"/>
    <s v="Versement"/>
    <m/>
    <m/>
    <n v="85000"/>
    <n v="9817869"/>
    <s v="Caisse"/>
    <m/>
    <x v="0"/>
    <x v="0"/>
    <m/>
    <m/>
    <m/>
    <m/>
  </r>
  <r>
    <d v="2022-07-12T00:00:00"/>
    <s v="Yan"/>
    <s v="Versement"/>
    <m/>
    <m/>
    <n v="15000"/>
    <n v="9802869"/>
    <s v="Caisse"/>
    <m/>
    <x v="0"/>
    <x v="0"/>
    <m/>
    <m/>
    <m/>
    <m/>
  </r>
  <r>
    <d v="2022-07-12T00:00:00"/>
    <s v="Yan/Frais d'expedition et d'acte d'appel"/>
    <s v="Versement"/>
    <m/>
    <m/>
    <n v="40000"/>
    <n v="9762869"/>
    <s v="Caisse"/>
    <m/>
    <x v="0"/>
    <x v="0"/>
    <m/>
    <m/>
    <m/>
    <m/>
  </r>
  <r>
    <d v="2022-07-12T00:00:00"/>
    <s v="Reçu Caisse/Yan GOMAT"/>
    <s v="Versement"/>
    <m/>
    <n v="85000"/>
    <m/>
    <n v="9847869"/>
    <s v="Yan"/>
    <m/>
    <x v="0"/>
    <x v="0"/>
    <m/>
    <m/>
    <m/>
    <m/>
  </r>
  <r>
    <d v="2022-07-12T00:00:00"/>
    <s v="Reçu Caisse/Yan GOMAT"/>
    <s v="Versement"/>
    <m/>
    <n v="40000"/>
    <m/>
    <n v="9887869"/>
    <s v="Yan"/>
    <m/>
    <x v="0"/>
    <x v="0"/>
    <m/>
    <m/>
    <m/>
    <m/>
  </r>
  <r>
    <d v="2022-07-12T00:00:00"/>
    <s v="Reçu Caisse/Yan GOMAT"/>
    <s v="Versement"/>
    <m/>
    <n v="15000"/>
    <m/>
    <n v="9902869"/>
    <s v="Yan"/>
    <m/>
    <x v="0"/>
    <x v="0"/>
    <m/>
    <m/>
    <m/>
    <m/>
  </r>
  <r>
    <d v="2022-07-12T00:00:00"/>
    <s v="Achat billet aller de bus Brazzaville/ Owando"/>
    <s v="Transport"/>
    <s v="Legal"/>
    <m/>
    <n v="10000"/>
    <n v="9892869"/>
    <s v="Yan"/>
    <s v="Oui"/>
    <x v="1"/>
    <x v="2"/>
    <s v="CONGO"/>
    <m/>
    <m/>
    <m/>
  </r>
  <r>
    <d v="2022-07-13T00:00:00"/>
    <s v="Remboursement Frais loyer appartement Tiffany GOBERT mois de Juillet  2022/400USD"/>
    <s v="Personnel"/>
    <s v="Management"/>
    <m/>
    <n v="249485"/>
    <n v="9643384"/>
    <s v="Caisse"/>
    <s v="Oui"/>
    <x v="1"/>
    <x v="2"/>
    <s v="CONGO"/>
    <m/>
    <m/>
    <m/>
  </r>
  <r>
    <d v="2022-07-13T00:00:00"/>
    <s v="Achat produit d'entretien bureau/lait sucre,javel, ajax,sucre,sac poubelle"/>
    <s v="Office materials"/>
    <s v="Office"/>
    <m/>
    <n v="35300"/>
    <n v="9608084"/>
    <s v="Caisse"/>
    <s v="Oui"/>
    <x v="2"/>
    <x v="1"/>
    <s v="CONGO"/>
    <m/>
    <s v="4.3"/>
    <m/>
  </r>
  <r>
    <d v="2022-07-13T00:00:00"/>
    <s v="YAN GOMAT - CONGO Food Allowance du 13 au 15 juillet 2022 à Owando"/>
    <s v="Travel Subsistence"/>
    <s v="Legal"/>
    <m/>
    <n v="20000"/>
    <n v="9588084"/>
    <s v="Yan"/>
    <s v="Décharge"/>
    <x v="1"/>
    <x v="2"/>
    <s v="CONGO"/>
    <m/>
    <m/>
    <m/>
  </r>
  <r>
    <d v="2022-07-14T00:00:00"/>
    <s v="I23C"/>
    <s v="Versement"/>
    <m/>
    <m/>
    <n v="10000"/>
    <n v="9578084"/>
    <s v="Caisse"/>
    <m/>
    <x v="0"/>
    <x v="0"/>
    <m/>
    <m/>
    <m/>
    <m/>
  </r>
  <r>
    <d v="2022-07-14T00:00:00"/>
    <s v="BCI-3654490/34"/>
    <s v="Versement"/>
    <m/>
    <n v="2000000"/>
    <m/>
    <n v="11578084"/>
    <s v="Caisse"/>
    <m/>
    <x v="0"/>
    <x v="0"/>
    <m/>
    <m/>
    <m/>
    <m/>
  </r>
  <r>
    <d v="2022-07-14T00:00:00"/>
    <s v="Hurielle"/>
    <s v="Versement"/>
    <m/>
    <m/>
    <n v="4000"/>
    <n v="11574084"/>
    <s v="Caisse"/>
    <m/>
    <x v="0"/>
    <x v="0"/>
    <m/>
    <m/>
    <m/>
    <m/>
  </r>
  <r>
    <d v="2022-07-14T00:00:00"/>
    <s v="P29"/>
    <s v="Versement"/>
    <m/>
    <m/>
    <n v="214000"/>
    <n v="11360084"/>
    <s v="Caisse"/>
    <m/>
    <x v="0"/>
    <x v="0"/>
    <m/>
    <m/>
    <m/>
    <m/>
  </r>
  <r>
    <d v="2022-07-14T00:00:00"/>
    <s v="Retrait especes/appro caisse/bord n°3654490"/>
    <s v="Versement"/>
    <m/>
    <m/>
    <n v="2000000"/>
    <n v="9360084"/>
    <s v="BCI"/>
    <s v="Relevé"/>
    <x v="0"/>
    <x v="0"/>
    <m/>
    <m/>
    <m/>
    <m/>
  </r>
  <r>
    <d v="2022-07-14T00:00:00"/>
    <s v="Reçu caisse/I23C"/>
    <s v="Versement"/>
    <m/>
    <n v="10000"/>
    <m/>
    <n v="9370084"/>
    <s v="i23c"/>
    <m/>
    <x v="0"/>
    <x v="0"/>
    <m/>
    <m/>
    <m/>
    <m/>
  </r>
  <r>
    <d v="2022-07-14T00:00:00"/>
    <s v="Reçu caisse/Hurielle"/>
    <s v="Versement"/>
    <m/>
    <n v="4000"/>
    <m/>
    <n v="9374084"/>
    <s v="Hurielle"/>
    <m/>
    <x v="0"/>
    <x v="0"/>
    <m/>
    <m/>
    <m/>
    <m/>
  </r>
  <r>
    <d v="2022-07-14T00:00:00"/>
    <s v="Frais d'acte d'appel et de l'expédition de l'affaire AHOUNGA &amp; KENGONA"/>
    <s v="Court Fees"/>
    <s v="Legal"/>
    <m/>
    <n v="30000"/>
    <n v="9344084"/>
    <s v="Yan"/>
    <s v="Oui"/>
    <x v="1"/>
    <x v="2"/>
    <s v="CONGO"/>
    <m/>
    <m/>
    <m/>
  </r>
  <r>
    <d v="2022-07-14T00:00:00"/>
    <s v="Achat billet retour Owando/ Brazzaville"/>
    <s v="Transport"/>
    <s v="Legal"/>
    <m/>
    <n v="10000"/>
    <n v="9334084"/>
    <s v="Yan"/>
    <s v="Oui"/>
    <x v="1"/>
    <x v="2"/>
    <s v="CONGO"/>
    <m/>
    <m/>
    <m/>
  </r>
  <r>
    <d v="2022-07-14T00:00:00"/>
    <s v="Achat billet Brazzaville-dolisie/P29"/>
    <s v="Transport"/>
    <s v="Investigation"/>
    <m/>
    <n v="10000"/>
    <n v="9324084"/>
    <s v="P29"/>
    <s v="Oui"/>
    <x v="1"/>
    <x v="1"/>
    <s v="CONGO"/>
    <m/>
    <s v="2.2"/>
    <m/>
  </r>
  <r>
    <d v="2022-07-14T00:00:00"/>
    <s v="Reçu de caisse/P29"/>
    <s v="Versement"/>
    <m/>
    <n v="214000"/>
    <m/>
    <n v="9538084"/>
    <s v="P29"/>
    <m/>
    <x v="0"/>
    <x v="0"/>
    <m/>
    <m/>
    <m/>
    <m/>
  </r>
  <r>
    <d v="2022-07-15T00:00:00"/>
    <s v="I23C"/>
    <s v="Versement"/>
    <m/>
    <m/>
    <n v="110000"/>
    <n v="9428084"/>
    <s v="Caisse"/>
    <m/>
    <x v="0"/>
    <x v="0"/>
    <m/>
    <m/>
    <m/>
    <m/>
  </r>
  <r>
    <d v="2022-07-15T00:00:00"/>
    <s v="Bonus portant sur la journée mondiale du chimpanzé"/>
    <s v="Bonus"/>
    <s v="Media"/>
    <m/>
    <n v="47000"/>
    <n v="9381084"/>
    <s v="Caisse"/>
    <s v="Décharge"/>
    <x v="1"/>
    <x v="2"/>
    <s v="CONGO"/>
    <m/>
    <m/>
    <m/>
  </r>
  <r>
    <d v="2022-07-15T00:00:00"/>
    <s v="Merveille"/>
    <s v="Versement"/>
    <m/>
    <m/>
    <n v="15000"/>
    <n v="9366084"/>
    <s v="Caisse"/>
    <m/>
    <x v="0"/>
    <x v="0"/>
    <m/>
    <m/>
    <m/>
    <m/>
  </r>
  <r>
    <d v="2022-07-15T00:00:00"/>
    <s v="Achat credit  teléphonique MTN/PALF/Deuxième partie Juillet 2022/Management"/>
    <s v="Telephone"/>
    <s v="Management "/>
    <m/>
    <n v="20000"/>
    <n v="9346084"/>
    <s v="Caisse"/>
    <s v="Oui"/>
    <x v="1"/>
    <x v="1"/>
    <s v="CONGO"/>
    <m/>
    <s v="4.6"/>
    <m/>
  </r>
  <r>
    <d v="2022-07-15T00:00:00"/>
    <s v="Achat credit  teléphonique MTN/PALF/Deuxième partie Juillet 2022/Legal"/>
    <s v="Telephone"/>
    <s v="Legal"/>
    <m/>
    <n v="15000"/>
    <n v="9331084"/>
    <s v="Caisse"/>
    <s v="Oui"/>
    <x v="1"/>
    <x v="1"/>
    <s v="CONGO"/>
    <m/>
    <s v="4.6"/>
    <m/>
  </r>
  <r>
    <d v="2022-07-15T00:00:00"/>
    <s v="Achat credit  teléphonique MTN/PALF/Deuxième partie Juillet 2022/Legal Volontaire"/>
    <s v="Telephone"/>
    <s v="Legal"/>
    <m/>
    <n v="5000"/>
    <n v="9326084"/>
    <s v="Caisse"/>
    <s v="Oui"/>
    <x v="1"/>
    <x v="2"/>
    <s v="CONGO"/>
    <m/>
    <m/>
    <m/>
  </r>
  <r>
    <d v="2022-07-15T00:00:00"/>
    <s v="Achat credit  teléphonique MTN/PALF/Deuxième partie Juillet 2022/Investigation"/>
    <s v="Telephone"/>
    <s v="Investigation"/>
    <m/>
    <n v="20000"/>
    <n v="9306084"/>
    <s v="Caisse"/>
    <s v="Oui"/>
    <x v="1"/>
    <x v="1"/>
    <s v="CONGO"/>
    <m/>
    <s v="4.6"/>
    <m/>
  </r>
  <r>
    <d v="2022-07-15T00:00:00"/>
    <s v="Achat credit  teléphonique MTN/PALF/Deuxième partie Juillet 2022/Media"/>
    <s v="Telephone"/>
    <s v="Media"/>
    <m/>
    <n v="10000"/>
    <n v="9296084"/>
    <s v="Caisse"/>
    <s v="Oui"/>
    <x v="1"/>
    <x v="1"/>
    <s v="CONGO"/>
    <m/>
    <s v="4.6"/>
    <m/>
  </r>
  <r>
    <d v="2022-07-15T00:00:00"/>
    <s v="Achat credit  teléphonique Airtel/PALF/Deuxième partie Juillet 2022/Management"/>
    <s v="Telephone"/>
    <s v="Management "/>
    <m/>
    <n v="10000"/>
    <n v="9286084"/>
    <s v="Caisse"/>
    <s v="Oui"/>
    <x v="1"/>
    <x v="1"/>
    <s v="CONGO"/>
    <m/>
    <s v="4.6"/>
    <m/>
  </r>
  <r>
    <d v="2022-07-15T00:00:00"/>
    <s v="Achat credit  teléphonique Airtel/PALF/Deuxième partie Juillet 2022/Legal"/>
    <s v="Telephone"/>
    <s v="Legal"/>
    <m/>
    <n v="5000"/>
    <n v="9281084"/>
    <s v="Caisse"/>
    <s v="Oui"/>
    <x v="1"/>
    <x v="1"/>
    <s v="CONGO"/>
    <m/>
    <s v="4.6"/>
    <m/>
  </r>
  <r>
    <d v="2022-07-15T00:00:00"/>
    <s v="Achat credit  teléphonique Airtel/PALFDeuxième partie Juillet 2022/Investigation"/>
    <s v="Telephone"/>
    <s v="Investigation"/>
    <m/>
    <n v="10000"/>
    <n v="9271084"/>
    <s v="Caisse"/>
    <s v="Oui"/>
    <x v="1"/>
    <x v="1"/>
    <s v="CONGO"/>
    <m/>
    <s v="4.6"/>
    <m/>
  </r>
  <r>
    <d v="2022-07-15T00:00:00"/>
    <s v="Recu caisse/I23C"/>
    <s v="Versement"/>
    <m/>
    <n v="110000"/>
    <m/>
    <n v="9381084"/>
    <s v="i23c"/>
    <m/>
    <x v="0"/>
    <x v="0"/>
    <m/>
    <m/>
    <m/>
    <m/>
  </r>
  <r>
    <d v="2022-07-15T00:00:00"/>
    <s v="Achat billet Brazza-Pointe-Noire/I23C"/>
    <s v="Transport"/>
    <s v="Investigation"/>
    <m/>
    <n v="13000"/>
    <n v="9368084"/>
    <s v="i23c"/>
    <s v="Oui"/>
    <x v="1"/>
    <x v="1"/>
    <s v="CONGO"/>
    <m/>
    <s v="2.2"/>
    <m/>
  </r>
  <r>
    <d v="2022-07-15T00:00:00"/>
    <s v="YAN GOMAT - CONGO Frais d'Hôtel du 13 au 15 juillet 2022"/>
    <s v="Travel Subsistence"/>
    <s v="Legal"/>
    <m/>
    <n v="30000"/>
    <n v="9338084"/>
    <s v="Yan"/>
    <s v="Oui"/>
    <x v="1"/>
    <x v="2"/>
    <s v="CONGO"/>
    <m/>
    <m/>
    <m/>
  </r>
  <r>
    <d v="2022-07-15T00:00:00"/>
    <s v="Reçu caisse/Merveille"/>
    <s v="Versement"/>
    <m/>
    <n v="15000"/>
    <m/>
    <n v="9353084"/>
    <s v="Merveille"/>
    <m/>
    <x v="0"/>
    <x v="0"/>
    <m/>
    <m/>
    <m/>
    <m/>
  </r>
  <r>
    <d v="2022-07-15T00:00:00"/>
    <s v="P29 - CONGO Food allowance mission du 15 au 30-07-2022 "/>
    <s v="Travel Subsistence"/>
    <s v="Investigation"/>
    <m/>
    <n v="150000"/>
    <n v="9203084"/>
    <s v="P29"/>
    <s v="Décharge"/>
    <x v="1"/>
    <x v="1"/>
    <s v="CONGO"/>
    <m/>
    <s v="1.3.2"/>
    <m/>
  </r>
  <r>
    <d v="2022-07-16T00:00:00"/>
    <s v="Frais courtier,visite appartement/Demarcheur"/>
    <s v="Transport"/>
    <s v="Investigation"/>
    <m/>
    <n v="7500"/>
    <n v="9195584"/>
    <s v="P29"/>
    <s v="Oui"/>
    <x v="1"/>
    <x v="2"/>
    <s v="CONGO"/>
    <m/>
    <m/>
    <m/>
  </r>
  <r>
    <d v="2022-07-17T00:00:00"/>
    <s v="I23C - CONGO Food allowance mission Pointe-Noire-Dolisie du 17 au 29 juillet 2022"/>
    <s v="Travel Subsistence"/>
    <s v="Investigation"/>
    <m/>
    <n v="120000"/>
    <n v="9075584"/>
    <s v="i23c"/>
    <s v="Décharge"/>
    <x v="1"/>
    <x v="1"/>
    <s v="CONGO"/>
    <m/>
    <s v="1.3.2"/>
    <m/>
  </r>
  <r>
    <d v="2022-07-17T00:00:00"/>
    <s v="Frais courtier,visite appartement"/>
    <s v="Transport"/>
    <s v="Investigation"/>
    <m/>
    <n v="4000"/>
    <n v="9071584"/>
    <s v="P29"/>
    <s v="Oui"/>
    <x v="1"/>
    <x v="2"/>
    <s v="CONGO"/>
    <m/>
    <m/>
    <m/>
  </r>
  <r>
    <d v="2022-07-18T00:00:00"/>
    <s v="Hurielle"/>
    <s v="Versement"/>
    <m/>
    <m/>
    <n v="50000"/>
    <n v="9021584"/>
    <s v="Caisse"/>
    <m/>
    <x v="0"/>
    <x v="0"/>
    <m/>
    <m/>
    <m/>
    <m/>
  </r>
  <r>
    <d v="2022-07-18T00:00:00"/>
    <s v="Reçu caisse/Hurielle"/>
    <s v="Versement"/>
    <m/>
    <n v="50000"/>
    <m/>
    <n v="9071584"/>
    <s v="Hurielle"/>
    <m/>
    <x v="0"/>
    <x v="0"/>
    <m/>
    <m/>
    <m/>
    <m/>
  </r>
  <r>
    <d v="2022-07-18T00:00:00"/>
    <s v="P29 - CONGO Paiement 3 nuitées du 15 au 18-07-2022 à dolisie"/>
    <s v="Travel Subsistence"/>
    <s v="Investigation"/>
    <m/>
    <n v="45000"/>
    <n v="9026584"/>
    <s v="P29"/>
    <s v="Oui"/>
    <x v="1"/>
    <x v="1"/>
    <s v="CONGO"/>
    <m/>
    <s v="1.3.2"/>
    <m/>
  </r>
  <r>
    <d v="2022-07-18T00:00:00"/>
    <s v="Achat billet dolisie-mbinda/P29"/>
    <s v="Transport"/>
    <s v="Investigation"/>
    <m/>
    <n v="15000"/>
    <n v="9011584"/>
    <s v="P29"/>
    <s v="Oui"/>
    <x v="1"/>
    <x v="1"/>
    <s v="CONGO"/>
    <m/>
    <s v="2.2"/>
    <m/>
  </r>
  <r>
    <d v="2022-07-19T00:00:00"/>
    <s v="Yan"/>
    <s v="Versement"/>
    <m/>
    <m/>
    <n v="91000"/>
    <n v="8920584"/>
    <s v="Caisse"/>
    <m/>
    <x v="0"/>
    <x v="0"/>
    <m/>
    <m/>
    <m/>
    <m/>
  </r>
  <r>
    <d v="2022-07-19T00:00:00"/>
    <s v="Yan/retour caisse"/>
    <s v="Versement"/>
    <m/>
    <n v="10000"/>
    <m/>
    <n v="8930584"/>
    <s v="Caisse"/>
    <m/>
    <x v="0"/>
    <x v="0"/>
    <m/>
    <m/>
    <m/>
    <m/>
  </r>
  <r>
    <d v="2022-07-19T00:00:00"/>
    <s v="Frais de mission maitre Marie Hélène NANITELAMIO à Oyo du 20 au 22/07/2022/Cas MOLANGO"/>
    <s v="Lawyer fees"/>
    <s v="Legal"/>
    <m/>
    <n v="70000"/>
    <n v="8860584"/>
    <s v="Caisse"/>
    <s v="Oui"/>
    <x v="1"/>
    <x v="1"/>
    <s v="CONGO"/>
    <m/>
    <s v="5.2.2"/>
    <m/>
  </r>
  <r>
    <d v="2022-07-19T00:00:00"/>
    <s v="Reglement facture zanne/news lettre trimestrielle"/>
    <s v="Editing Costs"/>
    <s v="Office"/>
    <m/>
    <n v="175000"/>
    <n v="8685584"/>
    <s v="Caisse"/>
    <s v="Oui"/>
    <x v="2"/>
    <x v="1"/>
    <s v="CONGO"/>
    <m/>
    <s v="5.8"/>
    <m/>
  </r>
  <r>
    <d v="2022-07-19T00:00:00"/>
    <s v="Frais de Transfert Western Union/Facture Zanne"/>
    <s v="Transfer fees"/>
    <s v="Office"/>
    <m/>
    <n v="11386"/>
    <n v="8674198"/>
    <s v="Caisse"/>
    <s v="Oui"/>
    <x v="1"/>
    <x v="1"/>
    <s v="CONGO"/>
    <m/>
    <s v="5.6"/>
    <m/>
  </r>
  <r>
    <d v="2022-07-19T00:00:00"/>
    <s v="I23C"/>
    <s v="Versement"/>
    <m/>
    <m/>
    <n v="108000"/>
    <n v="8566198"/>
    <s v="Caisse"/>
    <m/>
    <x v="0"/>
    <x v="0"/>
    <m/>
    <m/>
    <m/>
    <m/>
  </r>
  <r>
    <d v="2022-07-19T00:00:00"/>
    <s v="Frais de transfert charden farell à I23C"/>
    <s v="Transfer fees"/>
    <s v="Office"/>
    <m/>
    <n v="3240"/>
    <n v="8562958"/>
    <s v="Caisse"/>
    <s v="Oui"/>
    <x v="1"/>
    <x v="1"/>
    <s v="CONGO"/>
    <m/>
    <s v="5.6"/>
    <m/>
  </r>
  <r>
    <d v="2022-07-19T00:00:00"/>
    <s v="Collation depart Helène et anniversaire Juillet 2022"/>
    <s v="Personnel"/>
    <s v="Team Bulding"/>
    <m/>
    <n v="49843"/>
    <n v="8513115"/>
    <s v="Caisse"/>
    <s v="Oui"/>
    <x v="1"/>
    <x v="2"/>
    <s v="CONGO"/>
    <m/>
    <m/>
    <m/>
  </r>
  <r>
    <d v="2022-07-19T00:00:00"/>
    <s v="Réçu caisse/I23C"/>
    <s v="Versement"/>
    <m/>
    <n v="108000"/>
    <m/>
    <n v="8621115"/>
    <s v="i23c"/>
    <m/>
    <x v="0"/>
    <x v="0"/>
    <m/>
    <m/>
    <m/>
    <m/>
  </r>
  <r>
    <d v="2022-07-19T00:00:00"/>
    <s v="Frais d'Ordonance du cas NGOMBELE MOLESSASSO"/>
    <s v="Court Fees"/>
    <s v="Legal"/>
    <m/>
    <n v="50000"/>
    <n v="8571115"/>
    <s v="Hurielle"/>
    <s v="Oui"/>
    <x v="1"/>
    <x v="2"/>
    <s v="CONGO"/>
    <m/>
    <m/>
    <m/>
  </r>
  <r>
    <d v="2022-07-19T00:00:00"/>
    <s v="Retour caisse/Yan GOMAT"/>
    <s v="Versement"/>
    <m/>
    <m/>
    <n v="10000"/>
    <n v="8561115"/>
    <s v="Yan"/>
    <m/>
    <x v="0"/>
    <x v="0"/>
    <m/>
    <m/>
    <m/>
    <m/>
  </r>
  <r>
    <d v="2022-07-19T00:00:00"/>
    <s v="Reçu Caisse/Yan GOMAT"/>
    <s v="Versement"/>
    <m/>
    <n v="91000"/>
    <m/>
    <n v="8652115"/>
    <s v="Yan"/>
    <m/>
    <x v="0"/>
    <x v="0"/>
    <m/>
    <m/>
    <m/>
    <m/>
  </r>
  <r>
    <d v="2022-07-19T00:00:00"/>
    <s v="Achat billet de bus Brazzaville / Oyo"/>
    <s v="Transport"/>
    <s v="Legal"/>
    <m/>
    <n v="7000"/>
    <n v="8645115"/>
    <s v="Yan"/>
    <s v="Oui"/>
    <x v="1"/>
    <x v="2"/>
    <s v="CONGO"/>
    <m/>
    <m/>
    <m/>
  </r>
  <r>
    <d v="2022-07-20T00:00:00"/>
    <s v="Evariste"/>
    <s v="Versement"/>
    <m/>
    <m/>
    <n v="10000"/>
    <n v="8635115"/>
    <s v="Caisse"/>
    <m/>
    <x v="0"/>
    <x v="0"/>
    <m/>
    <m/>
    <m/>
    <m/>
  </r>
  <r>
    <d v="2022-07-20T00:00:00"/>
    <s v="I23C - CONGO Paiement 3 nuitées du 17 au 20 Juillet 2022 à Pointe-Noire"/>
    <s v="Travel Subsistence"/>
    <s v="Investigation"/>
    <m/>
    <n v="45000"/>
    <n v="8590115"/>
    <s v="i23c"/>
    <s v="Oui"/>
    <x v="1"/>
    <x v="1"/>
    <s v="CONGO"/>
    <m/>
    <s v="1.3.2"/>
    <m/>
  </r>
  <r>
    <d v="2022-07-20T00:00:00"/>
    <s v="Achat billet Pointe-Noire - Dolisie (départ pour Dolisie)/I23C"/>
    <s v="Transport"/>
    <s v="Investigation"/>
    <m/>
    <n v="5000"/>
    <n v="8585115"/>
    <s v="i23c"/>
    <s v="Oui"/>
    <x v="1"/>
    <x v="1"/>
    <s v="CONGO"/>
    <m/>
    <s v="2.2"/>
    <m/>
  </r>
  <r>
    <d v="2022-07-20T00:00:00"/>
    <s v="YAN GOMAT - CONGO Foodallowance du 20 au 22 juillet 2022"/>
    <s v="Travel Subsistence"/>
    <s v="Legal"/>
    <m/>
    <n v="20000"/>
    <n v="8565115"/>
    <s v="Yan"/>
    <s v="Décharge"/>
    <x v="1"/>
    <x v="2"/>
    <s v="CONGO"/>
    <m/>
    <m/>
    <m/>
  </r>
  <r>
    <d v="2022-07-20T00:00:00"/>
    <s v="Reçu de la caisse/EVARISTE"/>
    <s v="Versement"/>
    <m/>
    <n v="10000"/>
    <m/>
    <n v="8575115"/>
    <s v="Evariste"/>
    <m/>
    <x v="0"/>
    <x v="0"/>
    <m/>
    <m/>
    <m/>
    <m/>
  </r>
  <r>
    <d v="2022-07-20T00:00:00"/>
    <s v="Achat carburant 7litre mbinda-ekoko(aller-retour)"/>
    <s v="Transport"/>
    <s v="Investigation"/>
    <m/>
    <n v="7000"/>
    <n v="8568115"/>
    <s v="P29"/>
    <s v="Oui"/>
    <x v="1"/>
    <x v="1"/>
    <s v="CONGO"/>
    <m/>
    <s v="2.2"/>
    <m/>
  </r>
  <r>
    <d v="2022-07-21T00:00:00"/>
    <s v="P29"/>
    <s v="Versement"/>
    <m/>
    <m/>
    <n v="112500"/>
    <n v="8455615"/>
    <s v="Caisse"/>
    <m/>
    <x v="0"/>
    <x v="0"/>
    <m/>
    <m/>
    <m/>
    <m/>
  </r>
  <r>
    <d v="2022-07-21T00:00:00"/>
    <s v="Frais de transfert d'argent à P29"/>
    <s v="Transfer fees"/>
    <s v="Office"/>
    <m/>
    <n v="2815"/>
    <n v="8452800"/>
    <s v="Caisse"/>
    <s v="Oui"/>
    <x v="1"/>
    <x v="1"/>
    <s v="CONGO"/>
    <m/>
    <s v="5.6"/>
    <m/>
  </r>
  <r>
    <d v="2022-07-21T00:00:00"/>
    <s v="Crepin"/>
    <s v="Versement"/>
    <m/>
    <m/>
    <n v="112000"/>
    <n v="8340800"/>
    <s v="Caisse"/>
    <m/>
    <x v="0"/>
    <x v="0"/>
    <m/>
    <m/>
    <m/>
    <m/>
  </r>
  <r>
    <d v="2022-07-21T00:00:00"/>
    <s v="Bonus media portant sur laudience du 21/07/2022 au TGI d'OYO"/>
    <s v="Bonus"/>
    <s v="Media"/>
    <m/>
    <n v="35000"/>
    <n v="8305800"/>
    <s v="Caisse"/>
    <s v="Décharge"/>
    <x v="1"/>
    <x v="2"/>
    <s v="CONGO"/>
    <m/>
    <m/>
    <m/>
  </r>
  <r>
    <d v="2022-07-21T00:00:00"/>
    <s v="Cumul frais de jail visit mois de Juillet 2022/Yan GOMAT"/>
    <s v="Jail Visits"/>
    <s v="Legal"/>
    <m/>
    <n v="16000"/>
    <n v="8289800"/>
    <s v="Yan"/>
    <s v="Décharge"/>
    <x v="1"/>
    <x v="2"/>
    <s v="CONGO"/>
    <m/>
    <m/>
    <m/>
  </r>
  <r>
    <d v="2022-07-21T00:00:00"/>
    <s v="Reçu de caisse/Crépin"/>
    <s v="Versement"/>
    <m/>
    <n v="112000"/>
    <m/>
    <n v="8401800"/>
    <s v="Crépin"/>
    <m/>
    <x v="0"/>
    <x v="0"/>
    <m/>
    <m/>
    <m/>
    <m/>
  </r>
  <r>
    <d v="2022-07-21T00:00:00"/>
    <s v="Billet: Brazzaville-Dolisie/Crépin"/>
    <s v="Transport"/>
    <s v="Management"/>
    <m/>
    <n v="10000"/>
    <n v="8391800"/>
    <s v="Crépin"/>
    <s v="Oui"/>
    <x v="1"/>
    <x v="1"/>
    <s v="CONGO"/>
    <m/>
    <s v="2.2"/>
    <m/>
  </r>
  <r>
    <d v="2022-07-21T00:00:00"/>
    <s v="Reçu de caisse/P29"/>
    <s v="Versement"/>
    <m/>
    <n v="112500"/>
    <m/>
    <n v="8504300"/>
    <s v="P29"/>
    <m/>
    <x v="0"/>
    <x v="0"/>
    <m/>
    <m/>
    <m/>
    <m/>
  </r>
  <r>
    <d v="2022-07-22T00:00:00"/>
    <s v="Crepin"/>
    <s v="Versement"/>
    <m/>
    <m/>
    <n v="289000"/>
    <n v="8215300"/>
    <s v="Caisse"/>
    <m/>
    <x v="0"/>
    <x v="0"/>
    <m/>
    <m/>
    <m/>
    <m/>
  </r>
  <r>
    <d v="2022-07-22T00:00:00"/>
    <s v="I23C"/>
    <s v="Versement"/>
    <m/>
    <m/>
    <n v="153000"/>
    <n v="8062300"/>
    <s v="Caisse"/>
    <m/>
    <x v="0"/>
    <x v="0"/>
    <m/>
    <m/>
    <m/>
    <m/>
  </r>
  <r>
    <d v="2022-07-22T00:00:00"/>
    <s v="P29"/>
    <s v="Versement"/>
    <m/>
    <m/>
    <n v="60000"/>
    <n v="8002300"/>
    <s v="Caisse"/>
    <m/>
    <x v="0"/>
    <x v="0"/>
    <m/>
    <m/>
    <m/>
    <m/>
  </r>
  <r>
    <d v="2022-07-22T00:00:00"/>
    <s v="Tiffany"/>
    <s v="Versement"/>
    <m/>
    <m/>
    <n v="1320000"/>
    <n v="6682300"/>
    <s v="Caisse"/>
    <m/>
    <x v="0"/>
    <x v="0"/>
    <m/>
    <m/>
    <m/>
    <m/>
  </r>
  <r>
    <d v="2022-07-22T00:00:00"/>
    <s v="BCI-3654498/34"/>
    <s v="Versement"/>
    <m/>
    <n v="2100000"/>
    <m/>
    <n v="8782300"/>
    <s v="Caisse"/>
    <m/>
    <x v="0"/>
    <x v="0"/>
    <m/>
    <m/>
    <m/>
    <m/>
  </r>
  <r>
    <d v="2022-07-22T00:00:00"/>
    <s v="Merveille"/>
    <s v="Versement"/>
    <m/>
    <m/>
    <n v="81000"/>
    <n v="8701300"/>
    <s v="Caisse"/>
    <m/>
    <x v="0"/>
    <x v="0"/>
    <m/>
    <m/>
    <m/>
    <m/>
  </r>
  <r>
    <d v="2022-07-22T00:00:00"/>
    <s v="Hurielle"/>
    <s v="Versement"/>
    <m/>
    <m/>
    <n v="92000"/>
    <n v="8609300"/>
    <s v="Caisse"/>
    <m/>
    <x v="0"/>
    <x v="0"/>
    <m/>
    <m/>
    <m/>
    <m/>
  </r>
  <r>
    <d v="2022-07-22T00:00:00"/>
    <s v="Evariste"/>
    <s v="Versement"/>
    <m/>
    <m/>
    <n v="114000"/>
    <n v="8495300"/>
    <s v="Caisse"/>
    <m/>
    <x v="0"/>
    <x v="0"/>
    <m/>
    <m/>
    <m/>
    <m/>
  </r>
  <r>
    <d v="2022-07-22T00:00:00"/>
    <s v="Grace"/>
    <s v="Versement"/>
    <m/>
    <m/>
    <n v="389000"/>
    <n v="8106300"/>
    <s v="Caisse"/>
    <m/>
    <x v="0"/>
    <x v="0"/>
    <m/>
    <m/>
    <m/>
    <m/>
  </r>
  <r>
    <d v="2022-07-22T00:00:00"/>
    <s v="Frais de transfert charden farell à I23C,crepin et P29"/>
    <s v="Transfer fees"/>
    <s v="Office"/>
    <m/>
    <n v="15060"/>
    <n v="8091240"/>
    <s v="Caisse"/>
    <s v="Oui"/>
    <x v="1"/>
    <x v="1"/>
    <s v="CONGO"/>
    <m/>
    <s v="5.6"/>
    <m/>
  </r>
  <r>
    <d v="2022-07-22T00:00:00"/>
    <s v="Retrait especes/appro caisse/bord n°3654498"/>
    <s v="Versement"/>
    <m/>
    <m/>
    <n v="2100000"/>
    <n v="5991240"/>
    <s v="BCI"/>
    <n v="3654490"/>
    <x v="0"/>
    <x v="0"/>
    <m/>
    <m/>
    <m/>
    <m/>
  </r>
  <r>
    <d v="2022-07-22T00:00:00"/>
    <s v="Paiement salaire mois de Juillet 2022/Tiffany GOBERT"/>
    <s v="Personnel"/>
    <s v="Management"/>
    <m/>
    <n v="1311914"/>
    <n v="4679326"/>
    <s v="BCI-Sous Compte"/>
    <n v="3667212"/>
    <x v="1"/>
    <x v="1"/>
    <s v="CONGO"/>
    <m/>
    <s v="1.1.1.1"/>
    <m/>
  </r>
  <r>
    <d v="2022-07-22T00:00:00"/>
    <s v="Paiement salaire mois de Aout 2022/Tiffany GOBERT"/>
    <s v="Personnel"/>
    <s v="Management"/>
    <m/>
    <n v="1311914"/>
    <n v="3367412"/>
    <s v="BCI-Sous Compte"/>
    <n v="3667221"/>
    <x v="1"/>
    <x v="1"/>
    <s v="CONGO"/>
    <m/>
    <s v="1.1.1.1"/>
    <m/>
  </r>
  <r>
    <d v="2022-07-22T00:00:00"/>
    <s v="Reçu caisse/Hurielle"/>
    <s v="Versement"/>
    <m/>
    <n v="92000"/>
    <m/>
    <n v="3459412"/>
    <s v="Hurielle"/>
    <m/>
    <x v="0"/>
    <x v="0"/>
    <m/>
    <m/>
    <m/>
    <m/>
  </r>
  <r>
    <d v="2022-07-22T00:00:00"/>
    <s v="Achat billet de bus Oyo/ Brazzaville"/>
    <s v="Transport"/>
    <s v="Legal"/>
    <m/>
    <n v="7000"/>
    <n v="3452412"/>
    <s v="Yan"/>
    <s v="Oui"/>
    <x v="1"/>
    <x v="2"/>
    <s v="CONGO"/>
    <m/>
    <m/>
    <m/>
  </r>
  <r>
    <d v="2022-07-22T00:00:00"/>
    <s v="YAN GOMAT - CONGO Frais d'hôtel du 20 au 22 juillet 2022 à Oyo"/>
    <s v="Travel Subsistence"/>
    <s v="Legal"/>
    <m/>
    <n v="30000"/>
    <n v="3422412"/>
    <s v="Yan"/>
    <s v="Oui"/>
    <x v="1"/>
    <x v="2"/>
    <s v="CONGO"/>
    <m/>
    <m/>
    <m/>
  </r>
  <r>
    <d v="2022-07-22T00:00:00"/>
    <s v="Reçu de la caisse/EVARISTE"/>
    <s v="Versement"/>
    <m/>
    <n v="114000"/>
    <m/>
    <n v="3536412"/>
    <s v="Evariste"/>
    <m/>
    <x v="3"/>
    <x v="0"/>
    <m/>
    <m/>
    <m/>
    <m/>
  </r>
  <r>
    <d v="2022-07-22T00:00:00"/>
    <s v="Reçu Caisse/Grace"/>
    <s v="Versement"/>
    <m/>
    <n v="389000"/>
    <m/>
    <n v="3925412"/>
    <s v="Grace"/>
    <m/>
    <x v="0"/>
    <x v="0"/>
    <m/>
    <m/>
    <m/>
    <m/>
  </r>
  <r>
    <d v="2022-07-22T00:00:00"/>
    <s v="Reçu caisse/Merveille"/>
    <s v="Versement"/>
    <m/>
    <n v="81000"/>
    <m/>
    <n v="4006412"/>
    <s v="Merveille"/>
    <m/>
    <x v="0"/>
    <x v="0"/>
    <m/>
    <m/>
    <m/>
    <m/>
  </r>
  <r>
    <d v="2022-07-22T00:00:00"/>
    <s v="Achat billet mbinda-dolisie/P29"/>
    <s v="Transport"/>
    <s v="Investigation"/>
    <m/>
    <n v="15000"/>
    <n v="3991412"/>
    <s v="P29"/>
    <s v="Oui"/>
    <x v="1"/>
    <x v="1"/>
    <s v="CONGO"/>
    <m/>
    <s v="2.2"/>
    <m/>
  </r>
  <r>
    <d v="2022-07-22T00:00:00"/>
    <s v="P29 - CONGO Paiement 4 nuitées du 18 au 22-07-2022 à mbinda"/>
    <s v="Travel Subsistence"/>
    <s v="Investigation"/>
    <m/>
    <n v="40000"/>
    <n v="3951412"/>
    <s v="P29"/>
    <s v="Oui"/>
    <x v="1"/>
    <x v="1"/>
    <s v="CONGO"/>
    <m/>
    <s v="1.3.2"/>
    <m/>
  </r>
  <r>
    <d v="2022-07-22T00:00:00"/>
    <s v="CREPIN IBOUILI - CCONGO Food-Allowance du 22/07/ au 04/08/2022 à Dolisie"/>
    <s v="Travel Subsistence"/>
    <s v="Management"/>
    <m/>
    <n v="130000"/>
    <n v="3821412"/>
    <s v="Crépin"/>
    <s v="Décharge"/>
    <x v="1"/>
    <x v="1"/>
    <s v="CONGO"/>
    <m/>
    <s v="1.3.2"/>
    <m/>
  </r>
  <r>
    <d v="2022-07-22T00:00:00"/>
    <s v="Reçu de caisse/Crépin"/>
    <s v="Versement"/>
    <m/>
    <n v="289000"/>
    <m/>
    <n v="4110412"/>
    <s v="Crépin"/>
    <m/>
    <x v="0"/>
    <x v="0"/>
    <m/>
    <m/>
    <m/>
    <m/>
  </r>
  <r>
    <d v="2022-07-22T00:00:00"/>
    <s v="Transfert Caisse/ Tiffany"/>
    <s v="Versement"/>
    <m/>
    <n v="1320000"/>
    <m/>
    <n v="5430412"/>
    <s v="Tiffany"/>
    <m/>
    <x v="0"/>
    <x v="0"/>
    <m/>
    <m/>
    <m/>
    <m/>
  </r>
  <r>
    <d v="2022-07-22T00:00:00"/>
    <s v="Reçu de caisse/P29"/>
    <s v="Versement"/>
    <m/>
    <n v="60000"/>
    <m/>
    <n v="5490412"/>
    <s v="P29"/>
    <m/>
    <x v="0"/>
    <x v="0"/>
    <m/>
    <m/>
    <m/>
    <m/>
  </r>
  <r>
    <d v="2022-07-23T00:00:00"/>
    <s v="I23C - CONGO Paiement 3 nuitées du 20 au 23 Juillet 2022 à Dolisie"/>
    <s v="Travel Subsistence"/>
    <s v="Investigation"/>
    <m/>
    <n v="45000"/>
    <n v="5445412"/>
    <s v="i23c"/>
    <s v="Oui"/>
    <x v="1"/>
    <x v="1"/>
    <s v="CONGO"/>
    <m/>
    <s v="1.3.2"/>
    <m/>
  </r>
  <r>
    <d v="2022-07-23T00:00:00"/>
    <s v="Achat billet Dolisie- Pointe-Noire/I23C"/>
    <s v="Transport"/>
    <s v="Investigation"/>
    <m/>
    <n v="5000"/>
    <n v="5440412"/>
    <s v="i23c"/>
    <s v="Oui"/>
    <x v="1"/>
    <x v="1"/>
    <s v="CONGO"/>
    <m/>
    <s v="2.2"/>
    <m/>
  </r>
  <r>
    <d v="2022-07-23T00:00:00"/>
    <s v="Reçu caisse/I23C"/>
    <s v="Versement"/>
    <m/>
    <n v="153000"/>
    <m/>
    <n v="5593412"/>
    <s v="i23c"/>
    <m/>
    <x v="0"/>
    <x v="0"/>
    <m/>
    <m/>
    <m/>
    <m/>
  </r>
  <r>
    <d v="2022-07-24T00:00:00"/>
    <s v="I23C - CONGO Paiement Hôtel 1 nuitée du 23 au 24 Juillet 2022 à Pointe-Noire"/>
    <s v="Travel Subsistence"/>
    <s v="Investigation"/>
    <m/>
    <n v="15000"/>
    <n v="5578412"/>
    <s v="i23c"/>
    <s v="Oui"/>
    <x v="1"/>
    <x v="1"/>
    <s v="CONGO"/>
    <m/>
    <s v="1.3.2"/>
    <m/>
  </r>
  <r>
    <d v="2022-07-24T00:00:00"/>
    <s v="Achat billet Pointe-Noire - Dolisie (départ pour Dolisie)/I23C"/>
    <s v="Transport"/>
    <s v="Investigation"/>
    <m/>
    <n v="5000"/>
    <n v="5573412"/>
    <s v="i23c"/>
    <s v="Oui"/>
    <x v="1"/>
    <x v="1"/>
    <s v="CONGO"/>
    <m/>
    <s v="2.2"/>
    <m/>
  </r>
  <r>
    <d v="2022-07-24T00:00:00"/>
    <s v="I23C - CONGO Paiement 2 nuitées appartement Bacongo du 24 au 26 août 2022"/>
    <s v="Travel Subsistence"/>
    <s v="Operation"/>
    <m/>
    <n v="70000"/>
    <n v="5503412"/>
    <s v="i23c"/>
    <s v="Oui"/>
    <x v="1"/>
    <x v="2"/>
    <s v="CONGO"/>
    <m/>
    <m/>
    <m/>
  </r>
  <r>
    <d v="2022-07-24T00:00:00"/>
    <s v="Achat billet aller Brazzaville -Dolisie/HURIELLE"/>
    <s v="Transport"/>
    <s v="Legal"/>
    <m/>
    <n v="10000"/>
    <n v="5493412"/>
    <s v="Hurielle"/>
    <s v="Oui"/>
    <x v="1"/>
    <x v="1"/>
    <s v="CONGO"/>
    <m/>
    <s v="2.2"/>
    <m/>
  </r>
  <r>
    <d v="2022-07-24T00:00:00"/>
    <s v="Achat billet Brazzaville-Dolisie /EVARISTE "/>
    <s v="Transport"/>
    <s v="Media"/>
    <m/>
    <n v="10000"/>
    <n v="5483412"/>
    <s v="Evariste"/>
    <s v="Oui"/>
    <x v="1"/>
    <x v="1"/>
    <s v="CONGO"/>
    <m/>
    <s v="2.2"/>
    <m/>
  </r>
  <r>
    <d v="2022-07-24T00:00:00"/>
    <s v="Achat Billet Brazzaville - Dolisie /GRACE MOLENDE"/>
    <s v="Transport"/>
    <s v="Management"/>
    <m/>
    <n v="10000"/>
    <n v="5473412"/>
    <s v="Grace"/>
    <s v="Oui"/>
    <x v="1"/>
    <x v="1"/>
    <s v="CONGO"/>
    <m/>
    <s v="2.2"/>
    <m/>
  </r>
  <r>
    <d v="2022-07-24T00:00:00"/>
    <s v="Achat billet Brazzaville - Dolisie/depart Dolisie/Merveille"/>
    <s v="Transport"/>
    <s v="Management"/>
    <m/>
    <n v="10000"/>
    <n v="5463412"/>
    <s v="Merveille"/>
    <s v="Oui"/>
    <x v="1"/>
    <x v="1"/>
    <s v="CONGO"/>
    <m/>
    <s v="2.2"/>
    <m/>
  </r>
  <r>
    <d v="2022-07-25T00:00:00"/>
    <s v="HURIELLE - CONGO FoodAlowance du 25 au 30/07/2022 à Dolisie"/>
    <s v="Travel Subsistence"/>
    <s v="Legal"/>
    <m/>
    <n v="50000"/>
    <n v="5413412"/>
    <s v="Hurielle"/>
    <s v="Décharge"/>
    <x v="1"/>
    <x v="1"/>
    <s v="CONGO"/>
    <m/>
    <s v="1.3.2"/>
    <m/>
  </r>
  <r>
    <d v="2022-07-25T00:00:00"/>
    <s v="Achat boissons, buscuits et eaux minérale pour mon équipe pour une opération "/>
    <s v="Travel Subsistence"/>
    <s v="Operation"/>
    <m/>
    <n v="9500"/>
    <n v="5403912"/>
    <s v="Evariste"/>
    <s v="Oui"/>
    <x v="1"/>
    <x v="2"/>
    <s v="CONGO"/>
    <m/>
    <m/>
    <m/>
  </r>
  <r>
    <d v="2022-07-25T00:00:00"/>
    <s v="EVARISTE LELOUSSI  CONGO - Food allowance (du 25 au 29 juillet 2022) "/>
    <s v="Travel Subsistence"/>
    <s v="Media"/>
    <m/>
    <n v="40000"/>
    <n v="5363912"/>
    <s v="Evariste"/>
    <s v="Décharge"/>
    <x v="1"/>
    <x v="1"/>
    <s v="CONGO"/>
    <m/>
    <s v="1.3.2"/>
    <m/>
  </r>
  <r>
    <d v="2022-07-25T00:00:00"/>
    <s v="Achat Biberon, Gants,Masques,Sels d'hydratation,/Pour les Mandrils"/>
    <s v="Office materials"/>
    <s v="Office"/>
    <m/>
    <n v="13535"/>
    <n v="5350377"/>
    <s v="Grace"/>
    <s v="Oui"/>
    <x v="1"/>
    <x v="2"/>
    <s v="CONGO"/>
    <m/>
    <m/>
    <m/>
  </r>
  <r>
    <d v="2022-07-25T00:00:00"/>
    <s v="Achat fruit Jus , Biscuit et Eau/Pour Autorités"/>
    <s v="Travel Subsistence"/>
    <s v="Operation"/>
    <m/>
    <n v="8350"/>
    <n v="5342027"/>
    <s v="Grace"/>
    <s v="Oui"/>
    <x v="1"/>
    <x v="2"/>
    <s v="CONGO"/>
    <m/>
    <m/>
    <m/>
  </r>
  <r>
    <d v="2022-07-25T00:00:00"/>
    <s v="Achat fruit (Banane, Papaye, Eau minerale ) Pour Mandrils"/>
    <s v="Office materials"/>
    <s v="Office"/>
    <m/>
    <n v="2200"/>
    <n v="5339827"/>
    <s v="Grace"/>
    <s v="Oui"/>
    <x v="1"/>
    <x v="2"/>
    <s v="CONGO"/>
    <m/>
    <m/>
    <m/>
  </r>
  <r>
    <d v="2022-07-25T00:00:00"/>
    <s v="GRACE MOLENDE - CONGO Food Allowance du 25 au 27/07/2022 à Dolisie"/>
    <s v="Travel Subsistence"/>
    <s v="Management"/>
    <m/>
    <n v="20000"/>
    <n v="5319827"/>
    <s v="Grace"/>
    <s v="Décharge"/>
    <x v="1"/>
    <x v="1"/>
    <s v="CONGO"/>
    <m/>
    <s v="1.3.2"/>
    <m/>
  </r>
  <r>
    <d v="2022-07-25T00:00:00"/>
    <s v="MERVEILLE - CONGO Foodallowance mission du  25 au 27/07/2022 à Dolisie"/>
    <s v="Travel Subsistence"/>
    <s v="Management"/>
    <m/>
    <n v="20000"/>
    <n v="5299827"/>
    <s v="Merveille"/>
    <s v="Décharge"/>
    <x v="1"/>
    <x v="1"/>
    <s v="CONGO"/>
    <m/>
    <s v="1.3.2"/>
    <m/>
  </r>
  <r>
    <d v="2022-07-25T00:00:00"/>
    <s v="Frais d'impression de la fiche interpol"/>
    <s v="Office materials"/>
    <s v="Office"/>
    <m/>
    <n v="300"/>
    <n v="5299527"/>
    <s v="Crépin"/>
    <s v="Oui"/>
    <x v="1"/>
    <x v="2"/>
    <s v="CONGO"/>
    <m/>
    <m/>
    <m/>
  </r>
  <r>
    <d v="2022-07-25T00:00:00"/>
    <s v="CREPIN IBOUILI - CCONGO Frias d'Hotel 03 Nuitées du 22 au 25/07/2022"/>
    <s v="Travel Subsistence"/>
    <s v="Management"/>
    <m/>
    <n v="45000"/>
    <n v="5254527"/>
    <s v="Crépin"/>
    <s v="Oui"/>
    <x v="1"/>
    <x v="1"/>
    <s v="CONGO"/>
    <m/>
    <s v="1.3.2"/>
    <m/>
  </r>
  <r>
    <d v="2022-07-26T00:00:00"/>
    <s v="I23C - CONGO Paiement 1 nuitée appart du 26 au 27 août 2022"/>
    <s v="Travel Subsistence"/>
    <s v="Operation"/>
    <m/>
    <n v="35000"/>
    <n v="5219527"/>
    <s v="i23c"/>
    <s v="Oui"/>
    <x v="1"/>
    <x v="2"/>
    <s v="CONGO"/>
    <m/>
    <m/>
    <m/>
  </r>
  <r>
    <d v="2022-07-26T00:00:00"/>
    <s v="Reçu caisse (grâce)/I23C"/>
    <s v="Versement"/>
    <m/>
    <n v="35000"/>
    <m/>
    <n v="5254527"/>
    <s v="i23c"/>
    <m/>
    <x v="0"/>
    <x v="0"/>
    <m/>
    <m/>
    <m/>
    <m/>
  </r>
  <r>
    <d v="2022-07-26T00:00:00"/>
    <s v="Reçu caisse (budget additionnel du 26 au 27 juillet 2022)/I23C"/>
    <s v="Versement"/>
    <m/>
    <n v="13000"/>
    <m/>
    <n v="5267527"/>
    <s v="i23c"/>
    <m/>
    <x v="0"/>
    <x v="0"/>
    <m/>
    <m/>
    <m/>
    <m/>
  </r>
  <r>
    <d v="2022-07-26T00:00:00"/>
    <s v="Transfert à Crépin /Grace MOLENDE"/>
    <s v="Versement"/>
    <m/>
    <m/>
    <n v="235000"/>
    <n v="5032527"/>
    <s v="Grace"/>
    <m/>
    <x v="0"/>
    <x v="0"/>
    <m/>
    <m/>
    <m/>
    <m/>
  </r>
  <r>
    <d v="2022-07-26T00:00:00"/>
    <s v="Transfert à P29/Grace MOLENDE"/>
    <s v="Versement"/>
    <m/>
    <m/>
    <n v="28000"/>
    <n v="5004527"/>
    <s v="Grace"/>
    <m/>
    <x v="0"/>
    <x v="0"/>
    <m/>
    <m/>
    <m/>
    <m/>
  </r>
  <r>
    <d v="2022-07-26T00:00:00"/>
    <s v="Transfert à I23C /Grace MOLENDE"/>
    <s v="Versement"/>
    <m/>
    <m/>
    <n v="48000"/>
    <n v="4956527"/>
    <s v="Grace"/>
    <m/>
    <x v="0"/>
    <x v="0"/>
    <m/>
    <m/>
    <m/>
    <m/>
  </r>
  <r>
    <d v="2022-07-26T00:00:00"/>
    <s v="Reçu de Grace/P29"/>
    <s v="Versement"/>
    <m/>
    <n v="28000"/>
    <m/>
    <n v="4984527"/>
    <s v="P29"/>
    <m/>
    <x v="0"/>
    <x v="0"/>
    <m/>
    <m/>
    <m/>
    <m/>
  </r>
  <r>
    <d v="2022-07-27T00:00:00"/>
    <s v="Merveille/Retour caisse"/>
    <s v="Versement"/>
    <m/>
    <n v="30000"/>
    <m/>
    <n v="5014527"/>
    <s v="Caisse"/>
    <m/>
    <x v="0"/>
    <x v="0"/>
    <m/>
    <m/>
    <m/>
    <m/>
  </r>
  <r>
    <d v="2022-07-27T00:00:00"/>
    <s v="Reçu de Crépin/EVARISTE"/>
    <s v="Versement"/>
    <m/>
    <n v="22500"/>
    <m/>
    <n v="5037027"/>
    <s v="Evariste"/>
    <m/>
    <x v="0"/>
    <x v="0"/>
    <m/>
    <m/>
    <m/>
    <m/>
  </r>
  <r>
    <d v="2022-07-27T00:00:00"/>
    <s v="Achat carburant pour la BJ de la Gendarmerie"/>
    <s v="Transport"/>
    <s v="Operation"/>
    <m/>
    <n v="47500"/>
    <n v="4989527"/>
    <s v="Evariste"/>
    <s v="Oui"/>
    <x v="1"/>
    <x v="2"/>
    <s v="CONGO"/>
    <m/>
    <m/>
    <m/>
  </r>
  <r>
    <d v="2022-07-27T00:00:00"/>
    <s v="Achat Billet Dolisie-Brazzaville /GRACE MOLENDE"/>
    <s v="Transport"/>
    <s v="Management"/>
    <m/>
    <n v="10000"/>
    <n v="4979527"/>
    <s v="Grace"/>
    <s v="Oui"/>
    <x v="1"/>
    <x v="1"/>
    <s v="CONGO"/>
    <m/>
    <s v="2.2"/>
    <m/>
  </r>
  <r>
    <d v="2022-07-27T00:00:00"/>
    <s v="Achat Billet Dolisie - Brazzaville/retour à brazzaville/Merveille"/>
    <s v="Transport"/>
    <s v="Management"/>
    <m/>
    <n v="10000"/>
    <n v="4969527"/>
    <s v="Merveille"/>
    <s v="Oui"/>
    <x v="1"/>
    <x v="1"/>
    <s v="CONGO"/>
    <m/>
    <s v="2.2"/>
    <m/>
  </r>
  <r>
    <d v="2022-07-27T00:00:00"/>
    <s v="Retour caisse/Merveille"/>
    <s v="Versement"/>
    <m/>
    <m/>
    <n v="30000"/>
    <n v="4939527"/>
    <s v="Merveille"/>
    <m/>
    <x v="0"/>
    <x v="0"/>
    <m/>
    <m/>
    <m/>
    <m/>
  </r>
  <r>
    <d v="2022-07-27T00:00:00"/>
    <s v="Reçu de Grace/Crépin"/>
    <s v="Versement"/>
    <m/>
    <n v="235000"/>
    <m/>
    <n v="5174527"/>
    <s v="Crépin"/>
    <m/>
    <x v="0"/>
    <x v="0"/>
    <m/>
    <m/>
    <m/>
    <m/>
  </r>
  <r>
    <d v="2022-07-27T00:00:00"/>
    <s v="Frais de location de 4 appartements /30000 l'unité /02 nuitées du 26 au 27/07/22 à Dolisie"/>
    <s v="Travel Subsistence"/>
    <s v="Operation"/>
    <m/>
    <n v="240000"/>
    <n v="4934527"/>
    <s v="Crépin"/>
    <s v="Oui"/>
    <x v="1"/>
    <x v="2"/>
    <s v="CONGO"/>
    <m/>
    <m/>
    <m/>
  </r>
  <r>
    <d v="2022-07-27T00:00:00"/>
    <s v="Frais achat carburant BJ autorité"/>
    <s v="Transport"/>
    <s v="Operation"/>
    <m/>
    <n v="47500"/>
    <n v="4887027"/>
    <s v="Crépin"/>
    <s v="Oui"/>
    <x v="1"/>
    <x v="2"/>
    <s v="CONGO"/>
    <m/>
    <m/>
    <m/>
  </r>
  <r>
    <d v="2022-07-27T00:00:00"/>
    <s v="Moi à Evariste/Crépin"/>
    <s v="Versement"/>
    <m/>
    <m/>
    <n v="22500"/>
    <n v="4864527"/>
    <s v="Crépin"/>
    <m/>
    <x v="0"/>
    <x v="0"/>
    <m/>
    <m/>
    <m/>
    <m/>
  </r>
  <r>
    <d v="2022-07-27T00:00:00"/>
    <s v="Frais achat raffraichissement pour Autorités"/>
    <s v="Travel Subsistence"/>
    <s v="Operation"/>
    <m/>
    <n v="6750"/>
    <n v="4857777"/>
    <s v="Crépin"/>
    <s v="Oui"/>
    <x v="1"/>
    <x v="2"/>
    <s v="CONGO"/>
    <m/>
    <m/>
    <m/>
  </r>
  <r>
    <d v="2022-07-28T00:00:00"/>
    <s v="I23C"/>
    <s v="Versement"/>
    <m/>
    <m/>
    <n v="60000"/>
    <n v="4797777"/>
    <s v="Caisse"/>
    <m/>
    <x v="0"/>
    <x v="0"/>
    <m/>
    <m/>
    <m/>
    <m/>
  </r>
  <r>
    <d v="2022-07-28T00:00:00"/>
    <s v="P29"/>
    <s v="Versement"/>
    <m/>
    <m/>
    <n v="60000"/>
    <n v="4737777"/>
    <s v="Caisse"/>
    <m/>
    <x v="0"/>
    <x v="0"/>
    <m/>
    <m/>
    <m/>
    <m/>
  </r>
  <r>
    <d v="2022-07-28T00:00:00"/>
    <s v="Evariste"/>
    <s v="Versement"/>
    <m/>
    <m/>
    <n v="56000"/>
    <n v="4681777"/>
    <s v="Caisse"/>
    <m/>
    <x v="0"/>
    <x v="0"/>
    <m/>
    <m/>
    <m/>
    <m/>
  </r>
  <r>
    <d v="2022-07-28T00:00:00"/>
    <s v="Frais de transfert charden farell à P29,I23c et Evariste"/>
    <s v="Transfer fees"/>
    <s v="Office"/>
    <m/>
    <n v="5280"/>
    <n v="4676497"/>
    <s v="Caisse"/>
    <s v="Oui"/>
    <x v="1"/>
    <x v="1"/>
    <s v="CONGO"/>
    <m/>
    <s v="5.6"/>
    <m/>
  </r>
  <r>
    <d v="2022-07-28T00:00:00"/>
    <s v="Reglement frais d' internet mois d'Août 2022/Canal Box"/>
    <s v="Internet"/>
    <s v="Office"/>
    <m/>
    <n v="45050"/>
    <n v="4631447"/>
    <s v="Caisse"/>
    <s v="Oui"/>
    <x v="1"/>
    <x v="1"/>
    <s v="CONGO"/>
    <m/>
    <s v="4.5"/>
    <m/>
  </r>
  <r>
    <d v="2022-07-28T00:00:00"/>
    <s v="Entretretien général Jardin, Bureau PALF Mois de Juillet 2022"/>
    <s v="Services"/>
    <s v="Office"/>
    <m/>
    <n v="20000"/>
    <n v="4611447"/>
    <s v="Caisse"/>
    <s v="Oui"/>
    <x v="1"/>
    <x v="2"/>
    <s v="CONGO"/>
    <m/>
    <m/>
    <m/>
  </r>
  <r>
    <d v="2022-07-28T00:00:00"/>
    <s v="Yan"/>
    <s v="Versement"/>
    <m/>
    <m/>
    <n v="2500"/>
    <n v="4608947"/>
    <s v="Caisse"/>
    <m/>
    <x v="0"/>
    <x v="0"/>
    <m/>
    <m/>
    <m/>
    <m/>
  </r>
  <r>
    <d v="2022-07-28T00:00:00"/>
    <s v="Frais de Test COVID Tiffany GOBERT"/>
    <s v="Travel expenses"/>
    <s v="Office"/>
    <m/>
    <n v="20000"/>
    <n v="4588947"/>
    <s v="Caisse"/>
    <s v="Oui"/>
    <x v="1"/>
    <x v="2"/>
    <s v="CONGO"/>
    <m/>
    <m/>
    <m/>
  </r>
  <r>
    <d v="2022-07-28T00:00:00"/>
    <s v="Cumul frais de trust building du mois Juillet 2022/I23C"/>
    <s v="Trust building"/>
    <s v="Investigation"/>
    <m/>
    <n v="70500"/>
    <n v="4518447"/>
    <s v="i23c"/>
    <s v="Décharge"/>
    <x v="1"/>
    <x v="2"/>
    <s v="CONGO"/>
    <m/>
    <m/>
    <m/>
  </r>
  <r>
    <d v="2022-07-28T00:00:00"/>
    <s v="Réçu caisse (budget supplementaire du 27 au 29 Juillet 2022)/I23C"/>
    <s v="Versement"/>
    <m/>
    <n v="60000"/>
    <m/>
    <n v="4578447"/>
    <s v="i23c"/>
    <m/>
    <x v="0"/>
    <x v="0"/>
    <m/>
    <m/>
    <m/>
    <m/>
  </r>
  <r>
    <d v="2022-07-28T00:00:00"/>
    <s v="Reçu de Crépin/Hurielle"/>
    <s v="Versement"/>
    <m/>
    <n v="20000"/>
    <m/>
    <n v="4598447"/>
    <s v="Hurielle"/>
    <m/>
    <x v="0"/>
    <x v="0"/>
    <m/>
    <m/>
    <m/>
    <m/>
  </r>
  <r>
    <d v="2022-07-28T00:00:00"/>
    <s v="Cumul Raffraichissement avant OP à Mabakana pour autorités/Hurielle MFOULOU"/>
    <s v="Travel Subsistence"/>
    <s v="Operation"/>
    <m/>
    <n v="30100"/>
    <n v="4568347"/>
    <s v="Hurielle"/>
    <s v="Oui"/>
    <x v="1"/>
    <x v="2"/>
    <s v="CONGO"/>
    <m/>
    <m/>
    <m/>
  </r>
  <r>
    <d v="2022-07-28T00:00:00"/>
    <s v="Retour caisse/Yan GOMAT"/>
    <s v="Versement"/>
    <m/>
    <n v="2500"/>
    <m/>
    <n v="4570847"/>
    <s v="Yan"/>
    <m/>
    <x v="0"/>
    <x v="0"/>
    <m/>
    <m/>
    <m/>
    <m/>
  </r>
  <r>
    <d v="2022-07-28T00:00:00"/>
    <s v="Reçu de la Caisse/EVARISTE"/>
    <s v="Versement"/>
    <m/>
    <n v="56000"/>
    <m/>
    <n v="4626847"/>
    <s v="Evariste"/>
    <m/>
    <x v="0"/>
    <x v="0"/>
    <m/>
    <m/>
    <m/>
    <m/>
  </r>
  <r>
    <d v="2022-07-28T00:00:00"/>
    <s v="Frais Ration des gendarmes à Makabana avant OP( plats poullet et bouillon silure)"/>
    <s v="Travel Subsistence"/>
    <s v="Operation"/>
    <m/>
    <n v="18000"/>
    <n v="4608847"/>
    <s v="Evariste"/>
    <s v="Oui"/>
    <x v="1"/>
    <x v="2"/>
    <s v="CONGO"/>
    <m/>
    <m/>
    <m/>
  </r>
  <r>
    <d v="2022-07-28T00:00:00"/>
    <s v="Moi à Hurielle/Crépin"/>
    <s v="Versement"/>
    <m/>
    <m/>
    <n v="20000"/>
    <n v="4588847"/>
    <s v="Crépin"/>
    <m/>
    <x v="0"/>
    <x v="0"/>
    <m/>
    <m/>
    <m/>
    <m/>
  </r>
  <r>
    <d v="2022-07-28T00:00:00"/>
    <s v="Reçu de caisse/P29"/>
    <s v="Versement"/>
    <m/>
    <n v="60000"/>
    <m/>
    <n v="4648847"/>
    <s v="P29"/>
    <m/>
    <x v="0"/>
    <x v="0"/>
    <m/>
    <m/>
    <m/>
    <m/>
  </r>
  <r>
    <d v="2022-07-29T00:00:00"/>
    <s v="Crepin"/>
    <s v="Versement"/>
    <m/>
    <m/>
    <n v="154000"/>
    <n v="4494847"/>
    <s v="Caisse"/>
    <m/>
    <x v="0"/>
    <x v="0"/>
    <m/>
    <m/>
    <m/>
    <m/>
  </r>
  <r>
    <d v="2022-07-29T00:00:00"/>
    <s v="Hurielle"/>
    <s v="Versement"/>
    <m/>
    <m/>
    <n v="88000"/>
    <n v="4406847"/>
    <s v="Caisse"/>
    <m/>
    <x v="0"/>
    <x v="0"/>
    <m/>
    <m/>
    <m/>
    <m/>
  </r>
  <r>
    <d v="2022-07-29T00:00:00"/>
    <s v="P29"/>
    <s v="Versement"/>
    <m/>
    <m/>
    <n v="30000"/>
    <n v="4376847"/>
    <s v="Caisse"/>
    <m/>
    <x v="0"/>
    <x v="0"/>
    <m/>
    <m/>
    <m/>
    <m/>
  </r>
  <r>
    <d v="2022-07-29T00:00:00"/>
    <s v="Frais de transfert charden farell à p29,I23c et Hurielle"/>
    <s v="Transfer fees"/>
    <s v="Office"/>
    <m/>
    <n v="8160"/>
    <n v="4368687"/>
    <s v="Caisse"/>
    <s v="Oui"/>
    <x v="1"/>
    <x v="1"/>
    <s v="CONGO"/>
    <m/>
    <s v="5.6"/>
    <m/>
  </r>
  <r>
    <d v="2022-07-29T00:00:00"/>
    <s v="Tiffany/retour caisse"/>
    <s v="Versement"/>
    <m/>
    <n v="200000"/>
    <m/>
    <n v="4568687"/>
    <s v="Caisse"/>
    <m/>
    <x v="0"/>
    <x v="0"/>
    <m/>
    <m/>
    <m/>
    <m/>
  </r>
  <r>
    <d v="2022-07-29T00:00:00"/>
    <s v="Frais de mission maitre Marie hélène à Mossendjo et Dolisie du 01 au 03 Aout 2022"/>
    <s v="Lawyer fees"/>
    <s v="Legal"/>
    <m/>
    <n v="76000"/>
    <n v="4492687"/>
    <s v="Caisse"/>
    <s v="Oui"/>
    <x v="1"/>
    <x v="1"/>
    <s v="CONGO"/>
    <m/>
    <s v="5.2.2"/>
    <m/>
  </r>
  <r>
    <d v="2022-07-29T00:00:00"/>
    <s v="Acompte contrat N°47 Maitre Marie Hélène/cas MABIOKO BOUKAKA Emile à Mossendjo"/>
    <s v="Lawyer fees"/>
    <s v="Legal"/>
    <m/>
    <n v="200000"/>
    <n v="4292687"/>
    <s v="BCI-Sous Compte"/>
    <n v="3667229"/>
    <x v="2"/>
    <x v="1"/>
    <s v="CONGO"/>
    <m/>
    <s v="5.2.2"/>
    <m/>
  </r>
  <r>
    <d v="2022-07-29T00:00:00"/>
    <s v="Rapatrieme01100RTC00019552(fonds UE)"/>
    <s v="Grant"/>
    <m/>
    <n v="20402887"/>
    <m/>
    <n v="24695574"/>
    <m/>
    <s v="Relevé"/>
    <x v="2"/>
    <x v="0"/>
    <m/>
    <m/>
    <m/>
    <m/>
  </r>
  <r>
    <d v="2022-07-29T00:00:00"/>
    <s v="I23C - CONGO Paiement Hôtel 2 nuitées du 27 au 29 juillet 2022 à Dolisie"/>
    <s v="Travel Subsistence"/>
    <s v="Investigation"/>
    <m/>
    <n v="30000"/>
    <n v="24665574"/>
    <s v="i23c"/>
    <s v="Oui"/>
    <x v="1"/>
    <x v="1"/>
    <s v="CONGO"/>
    <m/>
    <s v="1.3.2"/>
    <m/>
  </r>
  <r>
    <d v="2022-07-29T00:00:00"/>
    <s v="Achat billet Dolisie-Brazzaville (retour à Brazzaville)/I23C"/>
    <s v="Transport"/>
    <s v="Investigation"/>
    <m/>
    <n v="10000"/>
    <n v="24655574"/>
    <s v="i23c"/>
    <s v="Oui"/>
    <x v="1"/>
    <x v="1"/>
    <s v="CONGO"/>
    <m/>
    <s v="2.2"/>
    <m/>
  </r>
  <r>
    <d v="2022-07-29T00:00:00"/>
    <s v="Cumul frais de transport local du mois Juillet 2022/I23C"/>
    <s v="Transport"/>
    <s v="Investigation"/>
    <m/>
    <n v="91000"/>
    <n v="24564574"/>
    <s v="i23c"/>
    <s v="Décharge"/>
    <x v="1"/>
    <x v="1"/>
    <s v="CONGO"/>
    <m/>
    <s v="2.2"/>
    <m/>
  </r>
  <r>
    <d v="2022-07-29T00:00:00"/>
    <s v="Achat nourriture pour Mandrils et Pérroquets à Dolisie"/>
    <s v="Travel Subsistence"/>
    <s v="Operation"/>
    <m/>
    <n v="2000"/>
    <n v="24562574"/>
    <s v="Hurielle"/>
    <s v="Oui"/>
    <x v="1"/>
    <x v="2"/>
    <s v="CONGO"/>
    <m/>
    <m/>
    <m/>
  </r>
  <r>
    <d v="2022-07-29T00:00:00"/>
    <s v="Reçu caisse/Hurielle"/>
    <s v="Versement"/>
    <m/>
    <n v="88000"/>
    <m/>
    <n v="24650574"/>
    <s v="Hurielle"/>
    <m/>
    <x v="0"/>
    <x v="0"/>
    <m/>
    <m/>
    <m/>
    <m/>
  </r>
  <r>
    <d v="2022-07-29T00:00:00"/>
    <s v="Cumul frais de Jail Visits du mois de Juillet 2022/Hurielle MFOULOU"/>
    <s v="Jail Visits"/>
    <s v="Legal"/>
    <m/>
    <n v="19000"/>
    <n v="24631574"/>
    <s v="Hurielle"/>
    <s v="Décharge"/>
    <x v="1"/>
    <x v="2"/>
    <s v="CONGO"/>
    <m/>
    <m/>
    <m/>
  </r>
  <r>
    <d v="2022-07-29T00:00:00"/>
    <s v="Cumul frais de ration mois de  juillet 2022/Yan GOMAT"/>
    <s v="Travel Subsistence"/>
    <s v="Legal"/>
    <m/>
    <n v="15000"/>
    <n v="24616574"/>
    <s v="Yan"/>
    <s v="Décharge"/>
    <x v="1"/>
    <x v="2"/>
    <s v="CONGO"/>
    <m/>
    <m/>
    <m/>
  </r>
  <r>
    <d v="2022-07-29T00:00:00"/>
    <s v="Cumul frais de transport local mois de Juillet 2022/Yan GOMAT"/>
    <s v="Transport"/>
    <s v="Legal"/>
    <m/>
    <n v="58500"/>
    <n v="24558074"/>
    <s v="Yan"/>
    <s v="Décharge"/>
    <x v="1"/>
    <x v="2"/>
    <s v="CONGO"/>
    <m/>
    <m/>
    <m/>
  </r>
  <r>
    <d v="2022-07-29T00:00:00"/>
    <s v="EVARISTE LELOUSSI  CONGO - Frais de l'hôtel du 25 au 29 juillet 2022 (4 nuitées) à Dolisie"/>
    <s v="Travel Subsistence"/>
    <s v="Media"/>
    <m/>
    <n v="60000"/>
    <n v="24498074"/>
    <s v="Evariste"/>
    <s v="Oui"/>
    <x v="1"/>
    <x v="1"/>
    <s v="CONGO"/>
    <m/>
    <s v="1.3.2"/>
    <m/>
  </r>
  <r>
    <d v="2022-07-29T00:00:00"/>
    <s v="Achat Billet Dolisie-Brazzaville /EVARISTE "/>
    <s v="Transport"/>
    <s v="Media"/>
    <m/>
    <n v="10000"/>
    <n v="24488074"/>
    <s v="Evariste"/>
    <s v="Oui"/>
    <x v="1"/>
    <x v="1"/>
    <s v="CONGO"/>
    <m/>
    <s v="2.2"/>
    <m/>
  </r>
  <r>
    <d v="2022-07-29T00:00:00"/>
    <s v="Cumul frais de transport local du mois de juillet 2022/P29"/>
    <s v="Transport"/>
    <s v="Investigation"/>
    <m/>
    <n v="88200"/>
    <n v="24399874"/>
    <s v="P29"/>
    <s v="Décharge"/>
    <x v="1"/>
    <x v="1"/>
    <s v="CONGO"/>
    <m/>
    <s v="2.2"/>
    <m/>
  </r>
  <r>
    <d v="2022-07-29T00:00:00"/>
    <s v="Cumul frais de Trust Building du mois de Juillet 2022/P29"/>
    <s v="Trust building"/>
    <s v="Investigation"/>
    <m/>
    <n v="80000"/>
    <n v="24319874"/>
    <s v="P29"/>
    <s v="Décharge"/>
    <x v="1"/>
    <x v="2"/>
    <s v="CONGO"/>
    <m/>
    <m/>
    <m/>
  </r>
  <r>
    <d v="2022-07-29T00:00:00"/>
    <s v="Achat billet dolisie-Brazzaville/P29"/>
    <s v="Transport"/>
    <s v="Investigation"/>
    <m/>
    <n v="10000"/>
    <n v="24309874"/>
    <s v="P29"/>
    <s v="Oui"/>
    <x v="1"/>
    <x v="1"/>
    <s v="CONGO"/>
    <m/>
    <s v="2.2"/>
    <m/>
  </r>
  <r>
    <d v="2022-07-29T00:00:00"/>
    <s v="Reçu de caisse/Crépin"/>
    <s v="Versement"/>
    <m/>
    <n v="154000"/>
    <m/>
    <n v="24463874"/>
    <s v="Crépin"/>
    <m/>
    <x v="0"/>
    <x v="0"/>
    <m/>
    <m/>
    <m/>
    <m/>
  </r>
  <r>
    <d v="2022-07-29T00:00:00"/>
    <s v="Bonus opération du 28/07/2022 à Makabana pour 4 agents EF "/>
    <s v="Bonus"/>
    <s v="Operation"/>
    <m/>
    <n v="40000"/>
    <n v="24423874"/>
    <s v="Crépin"/>
    <s v="Oui"/>
    <x v="1"/>
    <x v="2"/>
    <s v="CONGO"/>
    <m/>
    <m/>
    <m/>
  </r>
  <r>
    <d v="2022-07-29T00:00:00"/>
    <s v="Bonus opération du 28/07/2022 à Makabana pour 160000"/>
    <s v="Bonus"/>
    <s v="Operation"/>
    <m/>
    <n v="160000"/>
    <n v="24263874"/>
    <s v="Crépin"/>
    <s v="Oui"/>
    <x v="1"/>
    <x v="2"/>
    <s v="CONGO"/>
    <m/>
    <m/>
    <m/>
  </r>
  <r>
    <d v="2022-07-29T00:00:00"/>
    <s v="Cumul frais de transport local du mois de Juillet 2022"/>
    <s v="Transport"/>
    <s v="Management"/>
    <m/>
    <n v="12500"/>
    <n v="24251374"/>
    <s v="Tiffany"/>
    <s v="Décharge"/>
    <x v="2"/>
    <x v="1"/>
    <s v="CONGO"/>
    <m/>
    <s v="2.2"/>
    <m/>
  </r>
  <r>
    <d v="2022-07-29T00:00:00"/>
    <s v="Retour caisse/ Tiffany"/>
    <s v="Versement"/>
    <m/>
    <m/>
    <n v="200000"/>
    <n v="24051374"/>
    <s v="Tiffany"/>
    <m/>
    <x v="0"/>
    <x v="0"/>
    <m/>
    <m/>
    <m/>
    <m/>
  </r>
  <r>
    <d v="2022-07-29T00:00:00"/>
    <s v="Reçu de caisse/P29"/>
    <s v="Versement"/>
    <m/>
    <n v="30000"/>
    <m/>
    <n v="24081374"/>
    <s v="P29"/>
    <m/>
    <x v="0"/>
    <x v="0"/>
    <m/>
    <m/>
    <m/>
    <m/>
  </r>
  <r>
    <d v="2022-07-30T00:00:00"/>
    <s v="Bonus du mois de juillet 2022/Evariste LELOUSSI"/>
    <s v="Bonus"/>
    <s v="Media"/>
    <m/>
    <n v="20000"/>
    <n v="24061374"/>
    <s v="Caisse"/>
    <s v="Décharge"/>
    <x v="1"/>
    <x v="2"/>
    <s v="CONGO"/>
    <m/>
    <m/>
    <m/>
  </r>
  <r>
    <d v="2022-07-30T00:00:00"/>
    <s v="Evariste"/>
    <s v="Versement"/>
    <m/>
    <m/>
    <n v="25000"/>
    <n v="24036374"/>
    <s v="Caisse"/>
    <m/>
    <x v="0"/>
    <x v="0"/>
    <m/>
    <m/>
    <m/>
    <m/>
  </r>
  <r>
    <d v="2022-07-30T00:00:00"/>
    <s v="Bonus Media portant sur Op du 28/07/2022"/>
    <s v="Bonus"/>
    <s v="Media"/>
    <m/>
    <n v="24000"/>
    <n v="24012374"/>
    <s v="Caisse"/>
    <s v="Décharge"/>
    <x v="1"/>
    <x v="2"/>
    <s v="CONGO"/>
    <m/>
    <m/>
    <m/>
  </r>
  <r>
    <d v="2022-07-30T00:00:00"/>
    <s v="HURIELLE - CONGO Frais d'hotel 03 nuitées à Dolisie du 27 au 30/07/2022"/>
    <s v="Travel Subsistence"/>
    <s v="Legal"/>
    <m/>
    <n v="45000"/>
    <n v="23967374"/>
    <s v="Hurielle"/>
    <s v="Oui"/>
    <x v="1"/>
    <x v="1"/>
    <s v="CONGO"/>
    <m/>
    <s v="1.3.2"/>
    <m/>
  </r>
  <r>
    <d v="2022-07-30T00:00:00"/>
    <s v="Achat billet de retour Dolisie-Brazzaville/HURIELLE"/>
    <s v="Transport"/>
    <s v="Legal"/>
    <m/>
    <n v="10000"/>
    <n v="23957374"/>
    <s v="Hurielle"/>
    <s v="Oui"/>
    <x v="1"/>
    <x v="1"/>
    <s v="CONGO"/>
    <m/>
    <s v="2.2"/>
    <m/>
  </r>
  <r>
    <d v="2022-07-30T00:00:00"/>
    <s v="Cumul frais de Transport Local mois de Juillet 2022/Hurielle MFOULOU"/>
    <s v="Transport"/>
    <s v="Legal"/>
    <m/>
    <n v="39400"/>
    <n v="23917974"/>
    <s v="Hurielle"/>
    <s v="Décharge"/>
    <x v="1"/>
    <x v="1"/>
    <s v="CONGO"/>
    <m/>
    <s v="2.2"/>
    <m/>
  </r>
  <r>
    <d v="2022-07-30T00:00:00"/>
    <s v="Reçu de la Caisse/EVARISTE"/>
    <s v="Versement"/>
    <m/>
    <n v="25000"/>
    <m/>
    <n v="23942974"/>
    <s v="Evariste"/>
    <m/>
    <x v="0"/>
    <x v="0"/>
    <m/>
    <m/>
    <m/>
    <m/>
  </r>
  <r>
    <d v="2022-07-30T00:00:00"/>
    <s v="Cumul frais de transport local du mois de Juillet 2022/Evariste LELOUSSI"/>
    <s v="Transport"/>
    <s v="Media"/>
    <m/>
    <n v="45000"/>
    <n v="23897974"/>
    <s v="Evariste"/>
    <s v="Décharge"/>
    <x v="1"/>
    <x v="1"/>
    <s v="CONGO"/>
    <m/>
    <s v="2.2"/>
    <m/>
  </r>
  <r>
    <d v="2022-07-30T00:00:00"/>
    <s v="Cumul Frais de Transport Local du Moius de Juillet 2022/GRACE MOLENDE"/>
    <s v="Transport"/>
    <s v="Management"/>
    <m/>
    <n v="23700"/>
    <n v="23874274"/>
    <s v="Grace"/>
    <s v="Décharge"/>
    <x v="1"/>
    <x v="1"/>
    <s v="CONGO"/>
    <m/>
    <s v="2.2"/>
    <m/>
  </r>
  <r>
    <d v="2022-07-30T00:00:00"/>
    <s v="Cumul frais de transport Local mois de Juillet 2022/Merveille"/>
    <s v="Transport"/>
    <s v="Management"/>
    <m/>
    <n v="32000"/>
    <n v="23842274"/>
    <s v="Merveille"/>
    <s v="Décharge"/>
    <x v="1"/>
    <x v="1"/>
    <s v="CONGO"/>
    <m/>
    <s v="2.2"/>
    <m/>
  </r>
  <r>
    <d v="2022-07-30T00:00:00"/>
    <s v="P29 - CONGO Paiement 8 nuitées du 22 au 30-07-2022 à dolisie"/>
    <s v="Travel Subsistence"/>
    <s v="Investigation"/>
    <m/>
    <n v="120000"/>
    <n v="23722274"/>
    <s v="P29"/>
    <s v="Oui"/>
    <x v="1"/>
    <x v="1"/>
    <s v="CONGO"/>
    <m/>
    <s v="1.3.2"/>
    <m/>
  </r>
  <r>
    <d v="2022-07-31T00:00:00"/>
    <s v="Cumul frais de Jail visits du mois de Juillet 2022/Crépin"/>
    <s v="Jail Visits"/>
    <s v="Legal"/>
    <m/>
    <n v="88490"/>
    <n v="23633784"/>
    <s v="Crépin"/>
    <s v="Décharge"/>
    <x v="1"/>
    <x v="2"/>
    <s v="CONGO"/>
    <m/>
    <m/>
    <m/>
  </r>
  <r>
    <d v="2022-07-31T00:00:00"/>
    <s v="Cumul frais Transport Local du mois de juillet 2022/Crépin"/>
    <s v="Transport"/>
    <s v="Management"/>
    <m/>
    <n v="47900"/>
    <n v="23585884"/>
    <s v="Crépin"/>
    <s v="Décharge"/>
    <x v="1"/>
    <x v="1"/>
    <s v="CONGO"/>
    <m/>
    <s v="2.2"/>
    <m/>
  </r>
  <r>
    <d v="2022-07-31T00:00:00"/>
    <s v="CREPIN IBOUILI - CCONGO Frias d'Hotel 04 Nuitées du 27 au 31/07/2022"/>
    <s v="Travel Subsistence"/>
    <s v="Management"/>
    <m/>
    <n v="60000"/>
    <n v="23525884"/>
    <s v="Crépin"/>
    <s v="Oui"/>
    <x v="1"/>
    <x v="1"/>
    <s v="CONGO"/>
    <m/>
    <s v="1.3.2"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01">
  <r>
    <d v="2022-07-01T00:00:00"/>
    <s v="Solde au 01/07/2022"/>
    <x v="0"/>
    <m/>
    <m/>
    <m/>
    <n v="11968765"/>
    <x v="0"/>
    <m/>
    <x v="0"/>
    <m/>
    <m/>
    <m/>
    <m/>
    <m/>
  </r>
  <r>
    <d v="2022-07-01T00:00:00"/>
    <s v="Achat 02 paquets papier bristol"/>
    <x v="1"/>
    <s v="Office"/>
    <m/>
    <n v="6000"/>
    <n v="11962765"/>
    <x v="1"/>
    <s v="Oui"/>
    <x v="1"/>
    <s v="RALFF"/>
    <s v="CONGO"/>
    <m/>
    <s v="4.3"/>
    <m/>
  </r>
  <r>
    <d v="2022-07-01T00:00:00"/>
    <s v="Hurielle"/>
    <x v="2"/>
    <m/>
    <m/>
    <n v="8000"/>
    <n v="11954765"/>
    <x v="1"/>
    <m/>
    <x v="0"/>
    <m/>
    <m/>
    <m/>
    <m/>
    <m/>
  </r>
  <r>
    <d v="2022-07-01T00:00:00"/>
    <s v="Tiffany"/>
    <x v="2"/>
    <m/>
    <m/>
    <n v="20000"/>
    <n v="11934765"/>
    <x v="1"/>
    <m/>
    <x v="0"/>
    <m/>
    <m/>
    <m/>
    <m/>
    <m/>
  </r>
  <r>
    <d v="2022-07-01T00:00:00"/>
    <s v="Yan/retour caisse"/>
    <x v="2"/>
    <m/>
    <n v="50000"/>
    <m/>
    <n v="11984765"/>
    <x v="1"/>
    <m/>
    <x v="0"/>
    <m/>
    <m/>
    <m/>
    <m/>
    <m/>
  </r>
  <r>
    <d v="2022-07-01T00:00:00"/>
    <s v="Frais bancaire mois de Juillet 2022"/>
    <x v="3"/>
    <s v="Office"/>
    <m/>
    <n v="14701"/>
    <n v="11970064"/>
    <x v="2"/>
    <s v="Relevé"/>
    <x v="2"/>
    <s v="RALFF"/>
    <s v="CONGO"/>
    <m/>
    <s v="5.6"/>
    <m/>
  </r>
  <r>
    <d v="2022-07-01T00:00:00"/>
    <s v="Achat billet Brazzaville-Dolisie (mission pour Dolisie)/I23C"/>
    <x v="4"/>
    <s v="Investigation"/>
    <m/>
    <n v="10000"/>
    <n v="11960064"/>
    <x v="3"/>
    <s v="Oui"/>
    <x v="1"/>
    <s v="RALFF"/>
    <s v="CONGO"/>
    <m/>
    <s v="2.2"/>
    <m/>
  </r>
  <r>
    <d v="2022-07-01T00:00:00"/>
    <s v="Reçu caisse/Hurielle"/>
    <x v="2"/>
    <m/>
    <n v="8000"/>
    <m/>
    <n v="11968064"/>
    <x v="4"/>
    <m/>
    <x v="0"/>
    <m/>
    <m/>
    <m/>
    <m/>
    <m/>
  </r>
  <r>
    <d v="2022-07-01T00:00:00"/>
    <s v="YAN GOMAT - CONGO Frais d'hôtel 02 nuitées du 29 juin au 1 juillet 22 à Owando"/>
    <x v="5"/>
    <s v="Legal"/>
    <m/>
    <n v="30000"/>
    <n v="11938064"/>
    <x v="5"/>
    <s v="Oui"/>
    <x v="1"/>
    <s v="PALF"/>
    <s v="CONGO"/>
    <m/>
    <m/>
    <m/>
  </r>
  <r>
    <d v="2022-07-01T00:00:00"/>
    <s v="Retour caisse/Yan GOMAT"/>
    <x v="2"/>
    <m/>
    <m/>
    <n v="50000"/>
    <n v="11888064"/>
    <x v="5"/>
    <m/>
    <x v="0"/>
    <m/>
    <m/>
    <m/>
    <m/>
    <m/>
  </r>
  <r>
    <d v="2022-07-01T00:00:00"/>
    <s v="Achat billet Brazzaville-Pointe Noire/P29"/>
    <x v="4"/>
    <s v="Investigation"/>
    <m/>
    <n v="13000"/>
    <n v="11875064"/>
    <x v="6"/>
    <s v="Oui"/>
    <x v="1"/>
    <s v="RALFF"/>
    <s v="CONGO"/>
    <m/>
    <s v="2.2"/>
    <m/>
  </r>
  <r>
    <d v="2022-07-01T00:00:00"/>
    <s v="Transfert Caisse/ Tiffany"/>
    <x v="2"/>
    <m/>
    <n v="20000"/>
    <m/>
    <n v="11895064"/>
    <x v="7"/>
    <m/>
    <x v="0"/>
    <m/>
    <m/>
    <m/>
    <m/>
    <m/>
  </r>
  <r>
    <d v="2022-07-02T00:00:00"/>
    <s v="Crepin"/>
    <x v="2"/>
    <m/>
    <m/>
    <n v="253000"/>
    <n v="11642064"/>
    <x v="1"/>
    <m/>
    <x v="0"/>
    <m/>
    <m/>
    <m/>
    <m/>
    <m/>
  </r>
  <r>
    <d v="2022-07-02T00:00:00"/>
    <s v="Frais de transfert charden farell à Crepin"/>
    <x v="6"/>
    <s v="Office"/>
    <m/>
    <n v="7590"/>
    <n v="11634474"/>
    <x v="1"/>
    <s v="Oui"/>
    <x v="1"/>
    <s v="RALFF"/>
    <s v="CONGO"/>
    <m/>
    <s v="5.6"/>
    <m/>
  </r>
  <r>
    <d v="2022-07-02T00:00:00"/>
    <s v="I23C - CONGO Food allowance Mission Dolisie- Makabana- Mila mila du 2 au 9 juillet 2022"/>
    <x v="5"/>
    <s v="Investigation"/>
    <m/>
    <n v="70000"/>
    <n v="11564474"/>
    <x v="3"/>
    <s v="Décharge"/>
    <x v="1"/>
    <s v="RALFF"/>
    <s v="CONGO"/>
    <m/>
    <s v="1.3.2"/>
    <m/>
  </r>
  <r>
    <d v="2022-07-02T00:00:00"/>
    <s v="P29 - CONGO Food allowance mission du 02 au 09-07-2022"/>
    <x v="5"/>
    <s v="Investigation"/>
    <m/>
    <n v="70000"/>
    <n v="11494474"/>
    <x v="6"/>
    <s v="Décharge"/>
    <x v="1"/>
    <s v="RALFF"/>
    <s v="CONGO"/>
    <m/>
    <s v="1.3.2"/>
    <m/>
  </r>
  <r>
    <d v="2022-07-02T00:00:00"/>
    <s v="Reçu de caisse/Crépin"/>
    <x v="2"/>
    <m/>
    <n v="253000"/>
    <m/>
    <n v="11747474"/>
    <x v="8"/>
    <m/>
    <x v="0"/>
    <m/>
    <m/>
    <m/>
    <m/>
    <m/>
  </r>
  <r>
    <d v="2022-07-05T00:00:00"/>
    <s v="P29"/>
    <x v="2"/>
    <m/>
    <m/>
    <n v="104000"/>
    <n v="11643474"/>
    <x v="1"/>
    <m/>
    <x v="0"/>
    <m/>
    <m/>
    <m/>
    <m/>
    <m/>
  </r>
  <r>
    <d v="2022-07-05T00:00:00"/>
    <s v="I23C"/>
    <x v="2"/>
    <m/>
    <m/>
    <n v="113000"/>
    <n v="11530474"/>
    <x v="1"/>
    <m/>
    <x v="0"/>
    <m/>
    <m/>
    <m/>
    <m/>
    <m/>
  </r>
  <r>
    <d v="2022-07-05T00:00:00"/>
    <s v="Frais de transfert argent à P29 et I23c"/>
    <x v="6"/>
    <s v="Office"/>
    <m/>
    <n v="5425"/>
    <n v="11525049"/>
    <x v="1"/>
    <s v="Oui"/>
    <x v="1"/>
    <s v="RALFF"/>
    <s v="CONGO"/>
    <m/>
    <s v="5.6"/>
    <m/>
  </r>
  <r>
    <d v="2022-07-05T00:00:00"/>
    <s v="Hurielle"/>
    <x v="2"/>
    <m/>
    <m/>
    <n v="10000"/>
    <n v="11515049"/>
    <x v="1"/>
    <m/>
    <x v="0"/>
    <m/>
    <m/>
    <m/>
    <m/>
    <m/>
  </r>
  <r>
    <d v="2022-07-05T00:00:00"/>
    <s v="Bonus mois de Juin 2022/Hurielle"/>
    <x v="7"/>
    <s v="Legal"/>
    <m/>
    <n v="10000"/>
    <n v="11505049"/>
    <x v="1"/>
    <s v="Décharge"/>
    <x v="1"/>
    <s v="PALF"/>
    <s v="CONGO"/>
    <m/>
    <m/>
    <m/>
  </r>
  <r>
    <d v="2022-07-05T00:00:00"/>
    <s v="Bonus mois de Juin 2022/Evariste"/>
    <x v="7"/>
    <s v="Media"/>
    <m/>
    <n v="20000"/>
    <n v="11485049"/>
    <x v="1"/>
    <s v="Décharge"/>
    <x v="1"/>
    <s v="PALF"/>
    <s v="CONGO"/>
    <m/>
    <m/>
    <m/>
  </r>
  <r>
    <d v="2022-07-05T00:00:00"/>
    <s v="Frais de mission maitre Helène NANITELAMIO  du 06 au 08/07/2022 à Dolisie"/>
    <x v="8"/>
    <s v="Legal"/>
    <m/>
    <n v="76000"/>
    <n v="11409049"/>
    <x v="1"/>
    <s v="Oui"/>
    <x v="1"/>
    <s v="RALFF"/>
    <s v="CONGO"/>
    <m/>
    <s v="5.2.2"/>
    <m/>
  </r>
  <r>
    <d v="2022-07-05T00:00:00"/>
    <s v="Hurielle"/>
    <x v="2"/>
    <m/>
    <m/>
    <n v="82000"/>
    <n v="11327049"/>
    <x v="1"/>
    <m/>
    <x v="0"/>
    <m/>
    <m/>
    <m/>
    <m/>
    <m/>
  </r>
  <r>
    <d v="2022-07-05T00:00:00"/>
    <s v="Achat 03 Bonbones d'eau minerale"/>
    <x v="1"/>
    <s v="Office"/>
    <m/>
    <n v="13500"/>
    <n v="11313549"/>
    <x v="1"/>
    <s v="Oui"/>
    <x v="1"/>
    <s v="RALFF"/>
    <s v="CONGO"/>
    <m/>
    <s v="4.3"/>
    <m/>
  </r>
  <r>
    <d v="2022-07-05T00:00:00"/>
    <s v="Yan"/>
    <x v="2"/>
    <m/>
    <m/>
    <n v="15000"/>
    <n v="11298549"/>
    <x v="1"/>
    <m/>
    <x v="0"/>
    <m/>
    <m/>
    <m/>
    <m/>
    <m/>
  </r>
  <r>
    <d v="2022-07-05T00:00:00"/>
    <s v="I23C - CONGO Paiement 3 nuitées à Dolisie du 2 au 5 Juillet 2022"/>
    <x v="5"/>
    <s v="Investigation"/>
    <m/>
    <n v="45000"/>
    <n v="11253549"/>
    <x v="3"/>
    <s v="Oui"/>
    <x v="1"/>
    <s v="RALFF"/>
    <s v="CONGO"/>
    <m/>
    <s v="1.3.2"/>
    <m/>
  </r>
  <r>
    <d v="2022-07-05T00:00:00"/>
    <s v="Taxi Dolisie- Makabana (départ pour Makabana)/I23C"/>
    <x v="4"/>
    <s v="Investigation"/>
    <m/>
    <n v="10000"/>
    <n v="11243549"/>
    <x v="3"/>
    <s v="Oui"/>
    <x v="1"/>
    <s v="RALFF"/>
    <s v="CONGO"/>
    <m/>
    <s v="2.2"/>
    <m/>
  </r>
  <r>
    <d v="2022-07-05T00:00:00"/>
    <s v="Reçu caisse/Hurielle"/>
    <x v="2"/>
    <m/>
    <n v="10000"/>
    <m/>
    <n v="11253549"/>
    <x v="4"/>
    <m/>
    <x v="0"/>
    <m/>
    <m/>
    <m/>
    <m/>
    <m/>
  </r>
  <r>
    <d v="2022-07-05T00:00:00"/>
    <s v="Frais d'expédition "/>
    <x v="9"/>
    <s v="Legal"/>
    <m/>
    <n v="10000"/>
    <n v="11243549"/>
    <x v="4"/>
    <s v="Oui"/>
    <x v="1"/>
    <s v="PALF"/>
    <s v="CONGO"/>
    <m/>
    <m/>
    <m/>
  </r>
  <r>
    <d v="2022-07-05T00:00:00"/>
    <s v="Reçu caisse/Hurielle"/>
    <x v="2"/>
    <m/>
    <n v="82000"/>
    <m/>
    <n v="11325549"/>
    <x v="4"/>
    <m/>
    <x v="0"/>
    <m/>
    <m/>
    <m/>
    <m/>
    <m/>
  </r>
  <r>
    <d v="2022-07-05T00:00:00"/>
    <s v="Achat billet aller Brazzaville-Dolisie/HURIELLE"/>
    <x v="4"/>
    <s v="Legal"/>
    <m/>
    <n v="10000"/>
    <n v="11315549"/>
    <x v="4"/>
    <s v="Oui"/>
    <x v="1"/>
    <s v="RALFF"/>
    <s v="CONGO"/>
    <m/>
    <s v="2.2"/>
    <m/>
  </r>
  <r>
    <d v="2022-07-05T00:00:00"/>
    <s v="Reçu Caisse/Yan GOMAT"/>
    <x v="2"/>
    <m/>
    <n v="15000"/>
    <m/>
    <n v="11330549"/>
    <x v="5"/>
    <m/>
    <x v="0"/>
    <m/>
    <m/>
    <m/>
    <m/>
    <m/>
  </r>
  <r>
    <d v="2022-07-05T00:00:00"/>
    <s v="Billet: Dolisie-Brazzaville/Crépin"/>
    <x v="4"/>
    <s v="Management"/>
    <m/>
    <n v="10000"/>
    <n v="11320549"/>
    <x v="8"/>
    <s v="Oui"/>
    <x v="1"/>
    <s v="RALFF"/>
    <s v="CONGO"/>
    <m/>
    <s v="2.2"/>
    <m/>
  </r>
  <r>
    <d v="2022-07-05T00:00:00"/>
    <s v="Reçu de caisse/P29"/>
    <x v="2"/>
    <m/>
    <n v="104000"/>
    <m/>
    <n v="11424549"/>
    <x v="6"/>
    <m/>
    <x v="0"/>
    <m/>
    <m/>
    <m/>
    <m/>
    <m/>
  </r>
  <r>
    <d v="2022-07-05T00:00:00"/>
    <s v="Reçu caisse/I23C"/>
    <x v="2"/>
    <m/>
    <n v="113000"/>
    <m/>
    <n v="11537549"/>
    <x v="3"/>
    <m/>
    <x v="0"/>
    <m/>
    <m/>
    <m/>
    <m/>
    <m/>
  </r>
  <r>
    <d v="2022-07-06T00:00:00"/>
    <s v="Crepin"/>
    <x v="2"/>
    <m/>
    <n v="40000"/>
    <m/>
    <n v="11577549"/>
    <x v="1"/>
    <m/>
    <x v="0"/>
    <m/>
    <m/>
    <m/>
    <m/>
    <m/>
  </r>
  <r>
    <d v="2022-07-06T00:00:00"/>
    <s v="Bonus operation du 05/06/2022 à OWANDO/Crepin"/>
    <x v="7"/>
    <s v="Operation"/>
    <m/>
    <n v="30000"/>
    <n v="11547549"/>
    <x v="1"/>
    <s v="Décharge"/>
    <x v="1"/>
    <s v="PALF"/>
    <s v="CONGO"/>
    <m/>
    <m/>
    <m/>
  </r>
  <r>
    <d v="2022-07-06T00:00:00"/>
    <s v="Bonus mois de juin 2022/Crepin"/>
    <x v="7"/>
    <s v="Legal"/>
    <m/>
    <n v="50000"/>
    <n v="11497549"/>
    <x v="1"/>
    <s v="Décharge"/>
    <x v="1"/>
    <s v="PALF"/>
    <s v="CONGO"/>
    <m/>
    <m/>
    <m/>
  </r>
  <r>
    <d v="2022-07-06T00:00:00"/>
    <s v="Frais bancaire mois de Juillet 2022"/>
    <x v="3"/>
    <s v="Office"/>
    <m/>
    <n v="23345"/>
    <n v="11474204"/>
    <x v="9"/>
    <s v="Relevé"/>
    <x v="1"/>
    <s v="PALF"/>
    <s v="CONGO"/>
    <m/>
    <m/>
    <m/>
  </r>
  <r>
    <d v="2022-07-06T00:00:00"/>
    <s v="Taxi moto Makabana-Mila mila (rencontre avec informateurs)/I23C"/>
    <x v="4"/>
    <s v="Investigation"/>
    <m/>
    <n v="5000"/>
    <n v="11469204"/>
    <x v="3"/>
    <s v="Oui"/>
    <x v="1"/>
    <s v="RALFF"/>
    <s v="CONGO"/>
    <m/>
    <s v="2.2"/>
    <m/>
  </r>
  <r>
    <d v="2022-07-06T00:00:00"/>
    <s v="Taxi moto Mila mila- Makabana (retour à Makabana)/I23C"/>
    <x v="4"/>
    <s v="Investigation"/>
    <m/>
    <n v="5000"/>
    <n v="11464204"/>
    <x v="3"/>
    <s v="Oui"/>
    <x v="1"/>
    <s v="RALFF"/>
    <s v="CONGO"/>
    <m/>
    <s v="2.2"/>
    <m/>
  </r>
  <r>
    <d v="2022-07-06T00:00:00"/>
    <s v="HURIELLE - CONGO FoodAlowance du 06 au 08/07/2022 à Dolisie"/>
    <x v="5"/>
    <s v="Legal"/>
    <m/>
    <n v="20000"/>
    <n v="11444204"/>
    <x v="4"/>
    <s v="Décharge"/>
    <x v="1"/>
    <s v="RALFF"/>
    <s v="CONGO"/>
    <m/>
    <s v="1.3.2"/>
    <m/>
  </r>
  <r>
    <d v="2022-07-06T00:00:00"/>
    <s v="CREPIN IBOUILI - CCONGO Frias d'Hotel 06 Nuitées du 30/06/ au 06/07/2022 à Dolisie"/>
    <x v="5"/>
    <s v="Management"/>
    <m/>
    <n v="90000"/>
    <n v="11354204"/>
    <x v="8"/>
    <s v="Oui"/>
    <x v="1"/>
    <s v="RALFF"/>
    <s v="CONGO"/>
    <m/>
    <s v="1.3.2"/>
    <m/>
  </r>
  <r>
    <d v="2022-07-06T00:00:00"/>
    <s v="Retour à la caisse/Crépin"/>
    <x v="2"/>
    <m/>
    <m/>
    <n v="40000"/>
    <n v="11314204"/>
    <x v="8"/>
    <m/>
    <x v="0"/>
    <m/>
    <m/>
    <m/>
    <m/>
    <m/>
  </r>
  <r>
    <d v="2022-07-07T00:00:00"/>
    <s v="I23C - CONGO Paiement 2 nuitées à Makabana du 5 au 7 juillet 2022"/>
    <x v="5"/>
    <s v="Investigation"/>
    <m/>
    <n v="30000"/>
    <n v="11284204"/>
    <x v="3"/>
    <s v="Oui"/>
    <x v="1"/>
    <s v="RALFF"/>
    <s v="CONGO"/>
    <m/>
    <s v="1.3.2"/>
    <m/>
  </r>
  <r>
    <d v="2022-07-07T00:00:00"/>
    <s v="Taxi Makabana-Dolisie/I23C"/>
    <x v="4"/>
    <s v="Investigation"/>
    <m/>
    <n v="10000"/>
    <n v="11274204"/>
    <x v="3"/>
    <s v="Oui"/>
    <x v="1"/>
    <s v="RALFF"/>
    <s v="CONGO"/>
    <m/>
    <s v="2.2"/>
    <m/>
  </r>
  <r>
    <d v="2022-07-07T00:00:00"/>
    <s v="Achat du billet de retour Dolisie-Brazzaville/HURIELLE"/>
    <x v="4"/>
    <s v="Legal"/>
    <m/>
    <n v="10000"/>
    <n v="11264204"/>
    <x v="4"/>
    <s v="Oui"/>
    <x v="1"/>
    <s v="RALFF"/>
    <s v="CONGO"/>
    <m/>
    <s v="2.2"/>
    <m/>
  </r>
  <r>
    <d v="2022-07-07T00:00:00"/>
    <s v="P29 - CONGO Paiement 5 nuitées du 02 au 07-07-2022 à pointe noire"/>
    <x v="5"/>
    <s v="Investigation"/>
    <m/>
    <n v="75000"/>
    <n v="11189204"/>
    <x v="6"/>
    <s v="Oui"/>
    <x v="1"/>
    <s v="RALFF"/>
    <s v="CONGO"/>
    <m/>
    <s v="1.3.2"/>
    <m/>
  </r>
  <r>
    <d v="2022-07-07T00:00:00"/>
    <s v="Achat billet Pointe Noire-les saras/P29"/>
    <x v="4"/>
    <s v="Investigation"/>
    <m/>
    <n v="5000"/>
    <n v="11184204"/>
    <x v="6"/>
    <s v="Oui"/>
    <x v="1"/>
    <s v="RALFF"/>
    <s v="CONGO"/>
    <m/>
    <s v="2.2"/>
    <m/>
  </r>
  <r>
    <d v="2022-07-07T00:00:00"/>
    <s v="Achat billet les saras-Madingou/P29"/>
    <x v="4"/>
    <s v="Investigation"/>
    <m/>
    <n v="7000"/>
    <n v="11177204"/>
    <x v="6"/>
    <s v="Oui"/>
    <x v="1"/>
    <s v="RALFF"/>
    <s v="CONGO"/>
    <m/>
    <s v="2.2"/>
    <m/>
  </r>
  <r>
    <d v="2022-07-08T00:00:00"/>
    <s v="Frais de traitement de dossier pour validation contrat à l'ACPE/Hurielle"/>
    <x v="10"/>
    <s v="Legal"/>
    <m/>
    <n v="10500"/>
    <n v="11166704"/>
    <x v="1"/>
    <s v="Oui"/>
    <x v="1"/>
    <s v="PALF"/>
    <s v="CONGO"/>
    <m/>
    <m/>
    <m/>
  </r>
  <r>
    <d v="2022-07-08T00:00:00"/>
    <s v="Reglement facture E²C electricité/ période Mai-Juin 2022/bureau PALF"/>
    <x v="11"/>
    <s v="Office"/>
    <m/>
    <n v="63660"/>
    <n v="11103044"/>
    <x v="1"/>
    <s v="Oui"/>
    <x v="1"/>
    <s v="RALFF"/>
    <s v="CONGO"/>
    <m/>
    <s v="4.4"/>
    <m/>
  </r>
  <r>
    <d v="2022-07-08T00:00:00"/>
    <s v="Evariste"/>
    <x v="2"/>
    <m/>
    <m/>
    <n v="15000"/>
    <n v="11088044"/>
    <x v="1"/>
    <m/>
    <x v="0"/>
    <m/>
    <m/>
    <m/>
    <m/>
    <m/>
  </r>
  <r>
    <d v="2022-07-08T00:00:00"/>
    <s v="Frais Impression 200 cartes de visites/Tiffany"/>
    <x v="1"/>
    <s v="Office"/>
    <m/>
    <n v="30000"/>
    <n v="11058044"/>
    <x v="1"/>
    <s v="Oui"/>
    <x v="1"/>
    <s v="PALF"/>
    <s v="CONGO"/>
    <m/>
    <m/>
    <m/>
  </r>
  <r>
    <d v="2022-07-08T00:00:00"/>
    <s v="Achat billet Dolisie-Brazzaville (retour à Brazzaville)/I23C"/>
    <x v="4"/>
    <s v="Investigation"/>
    <m/>
    <n v="10000"/>
    <n v="11048044"/>
    <x v="3"/>
    <s v="Oui"/>
    <x v="1"/>
    <s v="RALFF"/>
    <s v="CONGO"/>
    <m/>
    <s v="2.2"/>
    <m/>
  </r>
  <r>
    <d v="2022-07-08T00:00:00"/>
    <s v="HURIELLE - CONGO Frais d'Hotel 02 nuitées du 06 au 08/07/2022  à Dolisie"/>
    <x v="5"/>
    <s v="Legal"/>
    <m/>
    <n v="30000"/>
    <n v="11018044"/>
    <x v="4"/>
    <s v="Oui"/>
    <x v="1"/>
    <s v="RALFF"/>
    <s v="CONGO"/>
    <m/>
    <s v="1.3.2"/>
    <m/>
  </r>
  <r>
    <d v="2022-07-08T00:00:00"/>
    <s v="Réçu de la caisse/EVARISTE"/>
    <x v="2"/>
    <m/>
    <n v="15000"/>
    <m/>
    <n v="11033044"/>
    <x v="10"/>
    <m/>
    <x v="0"/>
    <m/>
    <m/>
    <m/>
    <m/>
    <m/>
  </r>
  <r>
    <d v="2022-07-09T00:00:00"/>
    <s v="I23C - CONGO Paiement 2 nuitées à Dolisie du 7 au 9 juillet 2022"/>
    <x v="5"/>
    <s v="Investigation"/>
    <m/>
    <n v="30000"/>
    <n v="11003044"/>
    <x v="3"/>
    <s v="Oui"/>
    <x v="1"/>
    <s v="RALFF"/>
    <s v="CONGO"/>
    <m/>
    <s v="1.3.2"/>
    <m/>
  </r>
  <r>
    <d v="2022-07-09T00:00:00"/>
    <s v="Achat billet Madingou - Brazzaville /P29"/>
    <x v="4"/>
    <s v="Investigation"/>
    <m/>
    <n v="8000"/>
    <n v="10995044"/>
    <x v="6"/>
    <s v="Oui"/>
    <x v="1"/>
    <s v="RALFF"/>
    <s v="CONGO"/>
    <m/>
    <s v="2.2"/>
    <m/>
  </r>
  <r>
    <d v="2022-07-09T00:00:00"/>
    <s v="P29 - CONGO Paiement 2 nuitées du 07 au 09-07-2022 à madingou"/>
    <x v="5"/>
    <s v="Investigation"/>
    <m/>
    <n v="30000"/>
    <n v="10965044"/>
    <x v="6"/>
    <s v="Oui"/>
    <x v="1"/>
    <s v="RALFF"/>
    <s v="CONGO"/>
    <m/>
    <s v="1.3.2"/>
    <m/>
  </r>
  <r>
    <d v="2022-07-11T00:00:00"/>
    <s v="Bonus media portant sur l'annonce de l'audience du 11/07/2022 au TGI de Brazzaville"/>
    <x v="7"/>
    <s v="Media"/>
    <m/>
    <n v="47000"/>
    <n v="10918044"/>
    <x v="1"/>
    <s v="Décharge"/>
    <x v="1"/>
    <s v="PALF"/>
    <s v="CONGO"/>
    <m/>
    <m/>
    <m/>
  </r>
  <r>
    <d v="2022-07-11T00:00:00"/>
    <s v="Paiement CNSS prémier trimestre /Avril,Mai et Juin 2022/Crépin IBOUILI IBOUILI"/>
    <x v="10"/>
    <s v="Legal"/>
    <m/>
    <n v="221500"/>
    <n v="10696544"/>
    <x v="2"/>
    <n v="3667211"/>
    <x v="1"/>
    <s v="RALFF"/>
    <s v="CONGO"/>
    <m/>
    <s v="1.1.1.7"/>
    <m/>
  </r>
  <r>
    <d v="2022-07-11T00:00:00"/>
    <s v="Paiement CNSS prémier trimestre /Avril,Mai et Juin  2022/Evariste LELOUSSI"/>
    <x v="10"/>
    <s v="Media"/>
    <m/>
    <n v="124669"/>
    <n v="10571875"/>
    <x v="2"/>
    <n v="3667211"/>
    <x v="1"/>
    <s v="RALFF"/>
    <s v="CONGO"/>
    <m/>
    <s v="1.1.1.4"/>
    <m/>
  </r>
  <r>
    <d v="2022-07-11T00:00:00"/>
    <s v="Paiement CNSS prémier trimestre /Avril,Mai et Juin  2022/Merveille MAHANGA"/>
    <x v="10"/>
    <s v="Management"/>
    <m/>
    <n v="167724"/>
    <n v="10404151"/>
    <x v="2"/>
    <n v="3667211"/>
    <x v="1"/>
    <s v="RALFF"/>
    <s v="CONGO"/>
    <m/>
    <s v="1.1.2.1"/>
    <m/>
  </r>
  <r>
    <d v="2022-07-11T00:00:00"/>
    <s v="Paiement CNSS prémier trimestre /Avril,Mai et Juin 202/Grace MOLENDE"/>
    <x v="10"/>
    <s v="Management"/>
    <m/>
    <n v="215485"/>
    <n v="10188666"/>
    <x v="2"/>
    <n v="3667211"/>
    <x v="1"/>
    <s v="RALFF"/>
    <s v="CONGO"/>
    <m/>
    <s v="1.1.2.1"/>
    <m/>
  </r>
  <r>
    <d v="2022-07-11T00:00:00"/>
    <s v="Paiement CNSS prémier trimestre /Avril et Mai 2022/Godfre MALONGA"/>
    <x v="10"/>
    <s v="Legal"/>
    <m/>
    <n v="51747"/>
    <n v="10136919"/>
    <x v="2"/>
    <n v="3667211"/>
    <x v="1"/>
    <s v="RALFF"/>
    <s v="CONGO"/>
    <m/>
    <s v="1.1.1.7"/>
    <m/>
  </r>
  <r>
    <d v="2022-07-11T00:00:00"/>
    <s v="Paiement CNSS prémier trimestre /Juin 2022/Hurielle MFOULOU"/>
    <x v="10"/>
    <s v="Legal"/>
    <m/>
    <n v="8050"/>
    <n v="10128869"/>
    <x v="2"/>
    <n v="3667211"/>
    <x v="1"/>
    <s v="RALFF"/>
    <s v="CONGO"/>
    <m/>
    <s v="1.1.1.7"/>
    <m/>
  </r>
  <r>
    <d v="2022-07-11T00:00:00"/>
    <s v="Paiement Honoraire Me LOCKO Christian/Mois de Juin 2022"/>
    <x v="8"/>
    <s v="Legal"/>
    <m/>
    <n v="150000"/>
    <n v="9978869"/>
    <x v="2"/>
    <n v="3667210"/>
    <x v="2"/>
    <s v="RALFF"/>
    <s v="CONGO"/>
    <m/>
    <s v="5.2.1"/>
    <m/>
  </r>
  <r>
    <d v="2022-07-12T00:00:00"/>
    <s v="Frais de mission maitre Helène NANITELAMIO  du 13 au 15/07/2022 à OWANDO"/>
    <x v="8"/>
    <s v="Legal"/>
    <m/>
    <n v="76000"/>
    <n v="9902869"/>
    <x v="1"/>
    <s v="Oui"/>
    <x v="1"/>
    <s v="RALFF"/>
    <s v="CONGO"/>
    <m/>
    <s v="5.2.2"/>
    <m/>
  </r>
  <r>
    <d v="2022-07-12T00:00:00"/>
    <s v="Yan"/>
    <x v="2"/>
    <m/>
    <m/>
    <n v="85000"/>
    <n v="9817869"/>
    <x v="1"/>
    <m/>
    <x v="0"/>
    <m/>
    <m/>
    <m/>
    <m/>
    <m/>
  </r>
  <r>
    <d v="2022-07-12T00:00:00"/>
    <s v="Yan"/>
    <x v="2"/>
    <m/>
    <m/>
    <n v="15000"/>
    <n v="9802869"/>
    <x v="1"/>
    <m/>
    <x v="0"/>
    <m/>
    <m/>
    <m/>
    <m/>
    <m/>
  </r>
  <r>
    <d v="2022-07-12T00:00:00"/>
    <s v="Yan/Frais d'expedition et d'acte d'appel"/>
    <x v="2"/>
    <m/>
    <m/>
    <n v="40000"/>
    <n v="9762869"/>
    <x v="1"/>
    <m/>
    <x v="0"/>
    <m/>
    <m/>
    <m/>
    <m/>
    <m/>
  </r>
  <r>
    <d v="2022-07-12T00:00:00"/>
    <s v="Reçu Caisse/Yan GOMAT"/>
    <x v="2"/>
    <m/>
    <n v="85000"/>
    <m/>
    <n v="9847869"/>
    <x v="5"/>
    <m/>
    <x v="0"/>
    <m/>
    <m/>
    <m/>
    <m/>
    <m/>
  </r>
  <r>
    <d v="2022-07-12T00:00:00"/>
    <s v="Reçu Caisse/Yan GOMAT"/>
    <x v="2"/>
    <m/>
    <n v="40000"/>
    <m/>
    <n v="9887869"/>
    <x v="5"/>
    <m/>
    <x v="0"/>
    <m/>
    <m/>
    <m/>
    <m/>
    <m/>
  </r>
  <r>
    <d v="2022-07-12T00:00:00"/>
    <s v="Reçu Caisse/Yan GOMAT"/>
    <x v="2"/>
    <m/>
    <n v="15000"/>
    <m/>
    <n v="9902869"/>
    <x v="5"/>
    <m/>
    <x v="0"/>
    <m/>
    <m/>
    <m/>
    <m/>
    <m/>
  </r>
  <r>
    <d v="2022-07-12T00:00:00"/>
    <s v="Achat billet aller de bus Brazzaville/ Owando"/>
    <x v="4"/>
    <s v="Legal"/>
    <m/>
    <n v="10000"/>
    <n v="9892869"/>
    <x v="5"/>
    <s v="Oui"/>
    <x v="1"/>
    <s v="PALF"/>
    <s v="CONGO"/>
    <m/>
    <m/>
    <m/>
  </r>
  <r>
    <d v="2022-07-13T00:00:00"/>
    <s v="Remboursement Frais loyer appartement Tiffany GOBERT mois de Juillet  2022/400USD"/>
    <x v="10"/>
    <s v="Management"/>
    <m/>
    <n v="249485"/>
    <n v="9643384"/>
    <x v="1"/>
    <s v="Oui"/>
    <x v="1"/>
    <s v="PALF"/>
    <s v="CONGO"/>
    <m/>
    <m/>
    <m/>
  </r>
  <r>
    <d v="2022-07-13T00:00:00"/>
    <s v="Achat produit d'entretien bureau/lait sucre,javel, ajax,sucre,sac poubelle"/>
    <x v="1"/>
    <s v="Office"/>
    <m/>
    <n v="35300"/>
    <n v="9608084"/>
    <x v="1"/>
    <s v="Oui"/>
    <x v="2"/>
    <s v="RALFF"/>
    <s v="CONGO"/>
    <m/>
    <s v="4.3"/>
    <m/>
  </r>
  <r>
    <d v="2022-07-13T00:00:00"/>
    <s v="YAN GOMAT - CONGO Food Allowance du 13 au 15 juillet 2022 à Owando"/>
    <x v="5"/>
    <s v="Legal"/>
    <m/>
    <n v="20000"/>
    <n v="9588084"/>
    <x v="5"/>
    <s v="Décharge"/>
    <x v="1"/>
    <s v="PALF"/>
    <s v="CONGO"/>
    <m/>
    <m/>
    <m/>
  </r>
  <r>
    <d v="2022-07-14T00:00:00"/>
    <s v="I23C"/>
    <x v="2"/>
    <m/>
    <m/>
    <n v="10000"/>
    <n v="9578084"/>
    <x v="1"/>
    <m/>
    <x v="0"/>
    <m/>
    <m/>
    <m/>
    <m/>
    <m/>
  </r>
  <r>
    <d v="2022-07-14T00:00:00"/>
    <s v="BCI-3654490/34"/>
    <x v="2"/>
    <m/>
    <n v="2000000"/>
    <m/>
    <n v="11578084"/>
    <x v="1"/>
    <m/>
    <x v="0"/>
    <m/>
    <m/>
    <m/>
    <m/>
    <m/>
  </r>
  <r>
    <d v="2022-07-14T00:00:00"/>
    <s v="Hurielle"/>
    <x v="2"/>
    <m/>
    <m/>
    <n v="4000"/>
    <n v="11574084"/>
    <x v="1"/>
    <m/>
    <x v="0"/>
    <m/>
    <m/>
    <m/>
    <m/>
    <m/>
  </r>
  <r>
    <d v="2022-07-14T00:00:00"/>
    <s v="P29"/>
    <x v="2"/>
    <m/>
    <m/>
    <n v="214000"/>
    <n v="11360084"/>
    <x v="1"/>
    <m/>
    <x v="0"/>
    <m/>
    <m/>
    <m/>
    <m/>
    <m/>
  </r>
  <r>
    <d v="2022-07-14T00:00:00"/>
    <s v="Retrait especes/appro caisse/bord n°3654490"/>
    <x v="2"/>
    <m/>
    <m/>
    <n v="2000000"/>
    <n v="9360084"/>
    <x v="9"/>
    <s v="Relevé"/>
    <x v="0"/>
    <m/>
    <m/>
    <m/>
    <m/>
    <m/>
  </r>
  <r>
    <d v="2022-07-14T00:00:00"/>
    <s v="Reçu caisse/I23C"/>
    <x v="2"/>
    <m/>
    <n v="10000"/>
    <m/>
    <n v="9370084"/>
    <x v="3"/>
    <m/>
    <x v="0"/>
    <m/>
    <m/>
    <m/>
    <m/>
    <m/>
  </r>
  <r>
    <d v="2022-07-14T00:00:00"/>
    <s v="Reçu caisse/Hurielle"/>
    <x v="2"/>
    <m/>
    <n v="4000"/>
    <m/>
    <n v="9374084"/>
    <x v="4"/>
    <m/>
    <x v="0"/>
    <m/>
    <m/>
    <m/>
    <m/>
    <m/>
  </r>
  <r>
    <d v="2022-07-14T00:00:00"/>
    <s v="Frais d'acte d'appel et de l'expédition de l'affaire AHOUNGA &amp; KENGONA"/>
    <x v="9"/>
    <s v="Legal"/>
    <m/>
    <n v="30000"/>
    <n v="9344084"/>
    <x v="5"/>
    <s v="Oui"/>
    <x v="1"/>
    <s v="PALF"/>
    <s v="CONGO"/>
    <m/>
    <m/>
    <m/>
  </r>
  <r>
    <d v="2022-07-14T00:00:00"/>
    <s v="Achat billet retour Owando/ Brazzaville"/>
    <x v="4"/>
    <s v="Legal"/>
    <m/>
    <n v="10000"/>
    <n v="9334084"/>
    <x v="5"/>
    <s v="Oui"/>
    <x v="1"/>
    <s v="PALF"/>
    <s v="CONGO"/>
    <m/>
    <m/>
    <m/>
  </r>
  <r>
    <d v="2022-07-14T00:00:00"/>
    <s v="Achat billet Brazzaville-dolisie/P29"/>
    <x v="4"/>
    <s v="Investigation"/>
    <m/>
    <n v="10000"/>
    <n v="9324084"/>
    <x v="6"/>
    <s v="Oui"/>
    <x v="1"/>
    <s v="RALFF"/>
    <s v="CONGO"/>
    <m/>
    <s v="2.2"/>
    <m/>
  </r>
  <r>
    <d v="2022-07-14T00:00:00"/>
    <s v="Reçu de caisse/P29"/>
    <x v="2"/>
    <m/>
    <n v="214000"/>
    <m/>
    <n v="9538084"/>
    <x v="6"/>
    <m/>
    <x v="0"/>
    <m/>
    <m/>
    <m/>
    <m/>
    <m/>
  </r>
  <r>
    <d v="2022-07-15T00:00:00"/>
    <s v="I23C"/>
    <x v="2"/>
    <m/>
    <m/>
    <n v="110000"/>
    <n v="9428084"/>
    <x v="1"/>
    <m/>
    <x v="0"/>
    <m/>
    <m/>
    <m/>
    <m/>
    <m/>
  </r>
  <r>
    <d v="2022-07-15T00:00:00"/>
    <s v="Bonus portant sur la journée mondiale du chimpanzé"/>
    <x v="7"/>
    <s v="Media"/>
    <m/>
    <n v="47000"/>
    <n v="9381084"/>
    <x v="1"/>
    <s v="Décharge"/>
    <x v="1"/>
    <s v="PALF"/>
    <s v="CONGO"/>
    <m/>
    <m/>
    <m/>
  </r>
  <r>
    <d v="2022-07-15T00:00:00"/>
    <s v="Merveille"/>
    <x v="2"/>
    <m/>
    <m/>
    <n v="15000"/>
    <n v="9366084"/>
    <x v="1"/>
    <m/>
    <x v="0"/>
    <m/>
    <m/>
    <m/>
    <m/>
    <m/>
  </r>
  <r>
    <d v="2022-07-15T00:00:00"/>
    <s v="Achat credit  teléphonique MTN/PALF/Deuxième partie Juillet 2022/Management"/>
    <x v="12"/>
    <s v="Management "/>
    <m/>
    <n v="20000"/>
    <n v="9346084"/>
    <x v="1"/>
    <s v="Oui"/>
    <x v="1"/>
    <s v="RALFF"/>
    <s v="CONGO"/>
    <m/>
    <s v="4.6"/>
    <m/>
  </r>
  <r>
    <d v="2022-07-15T00:00:00"/>
    <s v="Achat credit  teléphonique MTN/PALF/Deuxième partie Juillet 2022/Legal"/>
    <x v="12"/>
    <s v="Legal"/>
    <m/>
    <n v="15000"/>
    <n v="9331084"/>
    <x v="1"/>
    <s v="Oui"/>
    <x v="1"/>
    <s v="RALFF"/>
    <s v="CONGO"/>
    <m/>
    <s v="4.6"/>
    <m/>
  </r>
  <r>
    <d v="2022-07-15T00:00:00"/>
    <s v="Achat credit  teléphonique MTN/PALF/Deuxième partie Juillet 2022/Legal Volontaire"/>
    <x v="12"/>
    <s v="Legal"/>
    <m/>
    <n v="5000"/>
    <n v="9326084"/>
    <x v="1"/>
    <s v="Oui"/>
    <x v="1"/>
    <s v="PALF"/>
    <s v="CONGO"/>
    <m/>
    <m/>
    <m/>
  </r>
  <r>
    <d v="2022-07-15T00:00:00"/>
    <s v="Achat credit  teléphonique MTN/PALF/Deuxième partie Juillet 2022/Investigation"/>
    <x v="12"/>
    <s v="Investigation"/>
    <m/>
    <n v="20000"/>
    <n v="9306084"/>
    <x v="1"/>
    <s v="Oui"/>
    <x v="1"/>
    <s v="RALFF"/>
    <s v="CONGO"/>
    <m/>
    <s v="4.6"/>
    <m/>
  </r>
  <r>
    <d v="2022-07-15T00:00:00"/>
    <s v="Achat credit  teléphonique MTN/PALF/Deuxième partie Juillet 2022/Media"/>
    <x v="12"/>
    <s v="Media"/>
    <m/>
    <n v="10000"/>
    <n v="9296084"/>
    <x v="1"/>
    <s v="Oui"/>
    <x v="1"/>
    <s v="RALFF"/>
    <s v="CONGO"/>
    <m/>
    <s v="4.6"/>
    <m/>
  </r>
  <r>
    <d v="2022-07-15T00:00:00"/>
    <s v="Achat credit  teléphonique Airtel/PALF/Deuxième partie Juillet 2022/Management"/>
    <x v="12"/>
    <s v="Management "/>
    <m/>
    <n v="10000"/>
    <n v="9286084"/>
    <x v="1"/>
    <s v="Oui"/>
    <x v="1"/>
    <s v="RALFF"/>
    <s v="CONGO"/>
    <m/>
    <s v="4.6"/>
    <m/>
  </r>
  <r>
    <d v="2022-07-15T00:00:00"/>
    <s v="Achat credit  teléphonique Airtel/PALF/Deuxième partie Juillet 2022/Legal"/>
    <x v="12"/>
    <s v="Legal"/>
    <m/>
    <n v="5000"/>
    <n v="9281084"/>
    <x v="1"/>
    <s v="Oui"/>
    <x v="1"/>
    <s v="RALFF"/>
    <s v="CONGO"/>
    <m/>
    <s v="4.6"/>
    <m/>
  </r>
  <r>
    <d v="2022-07-15T00:00:00"/>
    <s v="Achat credit  teléphonique Airtel/PALFDeuxième partie Juillet 2022/Investigation"/>
    <x v="12"/>
    <s v="Investigation"/>
    <m/>
    <n v="10000"/>
    <n v="9271084"/>
    <x v="1"/>
    <s v="Oui"/>
    <x v="1"/>
    <s v="RALFF"/>
    <s v="CONGO"/>
    <m/>
    <s v="4.6"/>
    <m/>
  </r>
  <r>
    <d v="2022-07-15T00:00:00"/>
    <s v="Recu caisse/I23C"/>
    <x v="2"/>
    <m/>
    <n v="110000"/>
    <m/>
    <n v="9381084"/>
    <x v="3"/>
    <m/>
    <x v="0"/>
    <m/>
    <m/>
    <m/>
    <m/>
    <m/>
  </r>
  <r>
    <d v="2022-07-15T00:00:00"/>
    <s v="Achat billet Brazza-Pointe-Noire/I23C"/>
    <x v="4"/>
    <s v="Investigation"/>
    <m/>
    <n v="13000"/>
    <n v="9368084"/>
    <x v="3"/>
    <s v="Oui"/>
    <x v="1"/>
    <s v="RALFF"/>
    <s v="CONGO"/>
    <m/>
    <s v="2.2"/>
    <m/>
  </r>
  <r>
    <d v="2022-07-15T00:00:00"/>
    <s v="YAN GOMAT - CONGO Frais d'Hôtel du 13 au 15 juillet 2022"/>
    <x v="5"/>
    <s v="Legal"/>
    <m/>
    <n v="30000"/>
    <n v="9338084"/>
    <x v="5"/>
    <s v="Oui"/>
    <x v="1"/>
    <s v="PALF"/>
    <s v="CONGO"/>
    <m/>
    <m/>
    <m/>
  </r>
  <r>
    <d v="2022-07-15T00:00:00"/>
    <s v="Reçu caisse/Merveille"/>
    <x v="2"/>
    <m/>
    <n v="15000"/>
    <m/>
    <n v="9353084"/>
    <x v="11"/>
    <m/>
    <x v="0"/>
    <m/>
    <m/>
    <m/>
    <m/>
    <m/>
  </r>
  <r>
    <d v="2022-07-15T00:00:00"/>
    <s v="P29 - CONGO Food allowance mission du 15 au 30-07-2022 "/>
    <x v="5"/>
    <s v="Investigation"/>
    <m/>
    <n v="150000"/>
    <n v="9203084"/>
    <x v="6"/>
    <s v="Décharge"/>
    <x v="1"/>
    <s v="RALFF"/>
    <s v="CONGO"/>
    <m/>
    <s v="1.3.2"/>
    <m/>
  </r>
  <r>
    <d v="2022-07-16T00:00:00"/>
    <s v="Frais courtier,visite appartement/Demarcheur"/>
    <x v="4"/>
    <s v="Investigation"/>
    <m/>
    <n v="7500"/>
    <n v="9195584"/>
    <x v="6"/>
    <s v="Oui"/>
    <x v="1"/>
    <s v="PALF"/>
    <s v="CONGO"/>
    <m/>
    <m/>
    <m/>
  </r>
  <r>
    <d v="2022-07-17T00:00:00"/>
    <s v="I23C - CONGO Food allowance mission Pointe-Noire-Dolisie du 17 au 29 juillet 2022"/>
    <x v="5"/>
    <s v="Investigation"/>
    <m/>
    <n v="120000"/>
    <n v="9075584"/>
    <x v="3"/>
    <s v="Décharge"/>
    <x v="1"/>
    <s v="RALFF"/>
    <s v="CONGO"/>
    <m/>
    <s v="1.3.2"/>
    <m/>
  </r>
  <r>
    <d v="2022-07-17T00:00:00"/>
    <s v="Frais courtier,visite appartement"/>
    <x v="4"/>
    <s v="Investigation"/>
    <m/>
    <n v="4000"/>
    <n v="9071584"/>
    <x v="6"/>
    <s v="Oui"/>
    <x v="1"/>
    <s v="PALF"/>
    <s v="CONGO"/>
    <m/>
    <m/>
    <m/>
  </r>
  <r>
    <d v="2022-07-18T00:00:00"/>
    <s v="Hurielle"/>
    <x v="2"/>
    <m/>
    <m/>
    <n v="50000"/>
    <n v="9021584"/>
    <x v="1"/>
    <m/>
    <x v="0"/>
    <m/>
    <m/>
    <m/>
    <m/>
    <m/>
  </r>
  <r>
    <d v="2022-07-18T00:00:00"/>
    <s v="Reçu caisse/Hurielle"/>
    <x v="2"/>
    <m/>
    <n v="50000"/>
    <m/>
    <n v="9071584"/>
    <x v="4"/>
    <m/>
    <x v="0"/>
    <m/>
    <m/>
    <m/>
    <m/>
    <m/>
  </r>
  <r>
    <d v="2022-07-18T00:00:00"/>
    <s v="P29 - CONGO Paiement 3 nuitées du 15 au 18-07-2022 à dolisie"/>
    <x v="5"/>
    <s v="Investigation"/>
    <m/>
    <n v="45000"/>
    <n v="9026584"/>
    <x v="6"/>
    <s v="Oui"/>
    <x v="1"/>
    <s v="RALFF"/>
    <s v="CONGO"/>
    <m/>
    <s v="1.3.2"/>
    <m/>
  </r>
  <r>
    <d v="2022-07-18T00:00:00"/>
    <s v="Achat billet dolisie-mbinda/P29"/>
    <x v="4"/>
    <s v="Investigation"/>
    <m/>
    <n v="15000"/>
    <n v="9011584"/>
    <x v="6"/>
    <s v="Oui"/>
    <x v="1"/>
    <s v="RALFF"/>
    <s v="CONGO"/>
    <m/>
    <s v="2.2"/>
    <m/>
  </r>
  <r>
    <d v="2022-07-19T00:00:00"/>
    <s v="Yan"/>
    <x v="2"/>
    <m/>
    <m/>
    <n v="91000"/>
    <n v="8920584"/>
    <x v="1"/>
    <m/>
    <x v="0"/>
    <m/>
    <m/>
    <m/>
    <m/>
    <m/>
  </r>
  <r>
    <d v="2022-07-19T00:00:00"/>
    <s v="Yan/retour caisse"/>
    <x v="2"/>
    <m/>
    <n v="10000"/>
    <m/>
    <n v="8930584"/>
    <x v="1"/>
    <m/>
    <x v="0"/>
    <m/>
    <m/>
    <m/>
    <m/>
    <m/>
  </r>
  <r>
    <d v="2022-07-19T00:00:00"/>
    <s v="Frais de mission maitre Marie Hélène NANITELAMIO à Oyo du 20 au 22/07/2022/Cas MOLANGO"/>
    <x v="8"/>
    <s v="Legal"/>
    <m/>
    <n v="70000"/>
    <n v="8860584"/>
    <x v="1"/>
    <s v="Oui"/>
    <x v="1"/>
    <s v="RALFF"/>
    <s v="CONGO"/>
    <m/>
    <s v="5.2.2"/>
    <m/>
  </r>
  <r>
    <d v="2022-07-19T00:00:00"/>
    <s v="Reglement facture zanne/news lettre trimestrielle"/>
    <x v="13"/>
    <s v="Office"/>
    <m/>
    <n v="175000"/>
    <n v="8685584"/>
    <x v="1"/>
    <s v="Oui"/>
    <x v="2"/>
    <s v="RALFF"/>
    <s v="CONGO"/>
    <m/>
    <s v="5.8"/>
    <m/>
  </r>
  <r>
    <d v="2022-07-19T00:00:00"/>
    <s v="Frais de Transfert Western Union/Facture Zanne"/>
    <x v="6"/>
    <s v="Office"/>
    <m/>
    <n v="11386"/>
    <n v="8674198"/>
    <x v="1"/>
    <s v="Oui"/>
    <x v="1"/>
    <s v="RALFF"/>
    <s v="CONGO"/>
    <m/>
    <s v="5.6"/>
    <m/>
  </r>
  <r>
    <d v="2022-07-19T00:00:00"/>
    <s v="I23C"/>
    <x v="2"/>
    <m/>
    <m/>
    <n v="108000"/>
    <n v="8566198"/>
    <x v="1"/>
    <m/>
    <x v="0"/>
    <m/>
    <m/>
    <m/>
    <m/>
    <m/>
  </r>
  <r>
    <d v="2022-07-19T00:00:00"/>
    <s v="Frais de transfert charden farell à I23C"/>
    <x v="6"/>
    <s v="Office"/>
    <m/>
    <n v="3240"/>
    <n v="8562958"/>
    <x v="1"/>
    <s v="Oui"/>
    <x v="1"/>
    <s v="RALFF"/>
    <s v="CONGO"/>
    <m/>
    <s v="5.6"/>
    <m/>
  </r>
  <r>
    <d v="2022-07-19T00:00:00"/>
    <s v="Collation depart Helène et anniversaire Juillet 2022"/>
    <x v="10"/>
    <s v="Team Bulding"/>
    <m/>
    <n v="49843"/>
    <n v="8513115"/>
    <x v="1"/>
    <s v="Oui"/>
    <x v="1"/>
    <s v="PALF"/>
    <s v="CONGO"/>
    <m/>
    <m/>
    <m/>
  </r>
  <r>
    <d v="2022-07-19T00:00:00"/>
    <s v="Réçu caisse/I23C"/>
    <x v="2"/>
    <m/>
    <n v="108000"/>
    <m/>
    <n v="8621115"/>
    <x v="3"/>
    <m/>
    <x v="0"/>
    <m/>
    <m/>
    <m/>
    <m/>
    <m/>
  </r>
  <r>
    <d v="2022-07-19T00:00:00"/>
    <s v="Frais d'Ordonance du cas NGOMBELE MOLESSASSO"/>
    <x v="9"/>
    <s v="Legal"/>
    <m/>
    <n v="50000"/>
    <n v="8571115"/>
    <x v="4"/>
    <s v="Oui"/>
    <x v="1"/>
    <s v="PALF"/>
    <s v="CONGO"/>
    <m/>
    <m/>
    <m/>
  </r>
  <r>
    <d v="2022-07-19T00:00:00"/>
    <s v="Retour caisse/Yan GOMAT"/>
    <x v="2"/>
    <m/>
    <m/>
    <n v="10000"/>
    <n v="8561115"/>
    <x v="5"/>
    <m/>
    <x v="0"/>
    <m/>
    <m/>
    <m/>
    <m/>
    <m/>
  </r>
  <r>
    <d v="2022-07-19T00:00:00"/>
    <s v="Reçu Caisse/Yan GOMAT"/>
    <x v="2"/>
    <m/>
    <n v="91000"/>
    <m/>
    <n v="8652115"/>
    <x v="5"/>
    <m/>
    <x v="0"/>
    <m/>
    <m/>
    <m/>
    <m/>
    <m/>
  </r>
  <r>
    <d v="2022-07-19T00:00:00"/>
    <s v="Achat billet de bus Brazzaville / Oyo"/>
    <x v="4"/>
    <s v="Legal"/>
    <m/>
    <n v="7000"/>
    <n v="8645115"/>
    <x v="5"/>
    <s v="Oui"/>
    <x v="1"/>
    <s v="PALF"/>
    <s v="CONGO"/>
    <m/>
    <m/>
    <m/>
  </r>
  <r>
    <d v="2022-07-20T00:00:00"/>
    <s v="Evariste"/>
    <x v="2"/>
    <m/>
    <m/>
    <n v="10000"/>
    <n v="8635115"/>
    <x v="1"/>
    <m/>
    <x v="0"/>
    <m/>
    <m/>
    <m/>
    <m/>
    <m/>
  </r>
  <r>
    <d v="2022-07-20T00:00:00"/>
    <s v="I23C - CONGO Paiement 3 nuitées du 17 au 20 Juillet 2022 à Pointe-Noire"/>
    <x v="5"/>
    <s v="Investigation"/>
    <m/>
    <n v="45000"/>
    <n v="8590115"/>
    <x v="3"/>
    <s v="Oui"/>
    <x v="1"/>
    <s v="RALFF"/>
    <s v="CONGO"/>
    <m/>
    <s v="1.3.2"/>
    <m/>
  </r>
  <r>
    <d v="2022-07-20T00:00:00"/>
    <s v="Achat billet Pointe-Noire - Dolisie (départ pour Dolisie)/I23C"/>
    <x v="4"/>
    <s v="Investigation"/>
    <m/>
    <n v="5000"/>
    <n v="8585115"/>
    <x v="3"/>
    <s v="Oui"/>
    <x v="1"/>
    <s v="RALFF"/>
    <s v="CONGO"/>
    <m/>
    <s v="2.2"/>
    <m/>
  </r>
  <r>
    <d v="2022-07-20T00:00:00"/>
    <s v="YAN GOMAT - CONGO Foodallowance du 20 au 22 juillet 2022"/>
    <x v="5"/>
    <s v="Legal"/>
    <m/>
    <n v="20000"/>
    <n v="8565115"/>
    <x v="5"/>
    <s v="Décharge"/>
    <x v="1"/>
    <s v="PALF"/>
    <s v="CONGO"/>
    <m/>
    <m/>
    <m/>
  </r>
  <r>
    <d v="2022-07-20T00:00:00"/>
    <s v="Reçu de la caisse/EVARISTE"/>
    <x v="2"/>
    <m/>
    <n v="10000"/>
    <m/>
    <n v="8575115"/>
    <x v="10"/>
    <m/>
    <x v="0"/>
    <m/>
    <m/>
    <m/>
    <m/>
    <m/>
  </r>
  <r>
    <d v="2022-07-20T00:00:00"/>
    <s v="Achat carburant 7litre mbinda-ekoko(aller-retour)"/>
    <x v="4"/>
    <s v="Investigation"/>
    <m/>
    <n v="7000"/>
    <n v="8568115"/>
    <x v="6"/>
    <s v="Oui"/>
    <x v="1"/>
    <s v="RALFF"/>
    <s v="CONGO"/>
    <m/>
    <s v="2.2"/>
    <m/>
  </r>
  <r>
    <d v="2022-07-21T00:00:00"/>
    <s v="P29"/>
    <x v="2"/>
    <m/>
    <m/>
    <n v="112500"/>
    <n v="8455615"/>
    <x v="1"/>
    <m/>
    <x v="0"/>
    <m/>
    <m/>
    <m/>
    <m/>
    <m/>
  </r>
  <r>
    <d v="2022-07-21T00:00:00"/>
    <s v="Frais de transfert d'argent à P29"/>
    <x v="6"/>
    <s v="Office"/>
    <m/>
    <n v="2815"/>
    <n v="8452800"/>
    <x v="1"/>
    <s v="Oui"/>
    <x v="1"/>
    <s v="RALFF"/>
    <s v="CONGO"/>
    <m/>
    <s v="5.6"/>
    <m/>
  </r>
  <r>
    <d v="2022-07-21T00:00:00"/>
    <s v="Crepin"/>
    <x v="2"/>
    <m/>
    <m/>
    <n v="112000"/>
    <n v="8340800"/>
    <x v="1"/>
    <m/>
    <x v="0"/>
    <m/>
    <m/>
    <m/>
    <m/>
    <m/>
  </r>
  <r>
    <d v="2022-07-21T00:00:00"/>
    <s v="Bonus media portant sur laudience du 21/07/2022 au TGI d'OYO"/>
    <x v="7"/>
    <s v="Media"/>
    <m/>
    <n v="35000"/>
    <n v="8305800"/>
    <x v="1"/>
    <s v="Décharge"/>
    <x v="1"/>
    <s v="PALF"/>
    <s v="CONGO"/>
    <m/>
    <m/>
    <m/>
  </r>
  <r>
    <d v="2022-07-21T00:00:00"/>
    <s v="Cumul frais de jail visit mois de Juillet 2022/Yan GOMAT"/>
    <x v="14"/>
    <s v="Legal"/>
    <m/>
    <n v="16000"/>
    <n v="8289800"/>
    <x v="5"/>
    <s v="Décharge"/>
    <x v="1"/>
    <s v="PALF"/>
    <s v="CONGO"/>
    <m/>
    <m/>
    <m/>
  </r>
  <r>
    <d v="2022-07-21T00:00:00"/>
    <s v="Reçu de caisse/Crépin"/>
    <x v="2"/>
    <m/>
    <n v="112000"/>
    <m/>
    <n v="8401800"/>
    <x v="8"/>
    <m/>
    <x v="0"/>
    <m/>
    <m/>
    <m/>
    <m/>
    <m/>
  </r>
  <r>
    <d v="2022-07-21T00:00:00"/>
    <s v="Billet: Brazzaville-Dolisie/Crépin"/>
    <x v="4"/>
    <s v="Management"/>
    <m/>
    <n v="10000"/>
    <n v="8391800"/>
    <x v="8"/>
    <s v="Oui"/>
    <x v="1"/>
    <s v="RALFF"/>
    <s v="CONGO"/>
    <m/>
    <s v="2.2"/>
    <m/>
  </r>
  <r>
    <d v="2022-07-21T00:00:00"/>
    <s v="Reçu de caisse/P29"/>
    <x v="2"/>
    <m/>
    <n v="112500"/>
    <m/>
    <n v="8504300"/>
    <x v="6"/>
    <m/>
    <x v="0"/>
    <m/>
    <m/>
    <m/>
    <m/>
    <m/>
  </r>
  <r>
    <d v="2022-07-22T00:00:00"/>
    <s v="Crepin"/>
    <x v="2"/>
    <m/>
    <m/>
    <n v="289000"/>
    <n v="8215300"/>
    <x v="1"/>
    <m/>
    <x v="0"/>
    <m/>
    <m/>
    <m/>
    <m/>
    <m/>
  </r>
  <r>
    <d v="2022-07-22T00:00:00"/>
    <s v="I23C"/>
    <x v="2"/>
    <m/>
    <m/>
    <n v="153000"/>
    <n v="8062300"/>
    <x v="1"/>
    <m/>
    <x v="0"/>
    <m/>
    <m/>
    <m/>
    <m/>
    <m/>
  </r>
  <r>
    <d v="2022-07-22T00:00:00"/>
    <s v="P29"/>
    <x v="2"/>
    <m/>
    <m/>
    <n v="60000"/>
    <n v="8002300"/>
    <x v="1"/>
    <m/>
    <x v="0"/>
    <m/>
    <m/>
    <m/>
    <m/>
    <m/>
  </r>
  <r>
    <d v="2022-07-22T00:00:00"/>
    <s v="Tiffany"/>
    <x v="2"/>
    <m/>
    <m/>
    <n v="1320000"/>
    <n v="6682300"/>
    <x v="1"/>
    <m/>
    <x v="0"/>
    <m/>
    <m/>
    <m/>
    <m/>
    <m/>
  </r>
  <r>
    <d v="2022-07-22T00:00:00"/>
    <s v="BCI-3654498/34"/>
    <x v="2"/>
    <m/>
    <n v="2100000"/>
    <m/>
    <n v="8782300"/>
    <x v="1"/>
    <m/>
    <x v="0"/>
    <m/>
    <m/>
    <m/>
    <m/>
    <m/>
  </r>
  <r>
    <d v="2022-07-22T00:00:00"/>
    <s v="Merveille"/>
    <x v="2"/>
    <m/>
    <m/>
    <n v="81000"/>
    <n v="8701300"/>
    <x v="1"/>
    <m/>
    <x v="0"/>
    <m/>
    <m/>
    <m/>
    <m/>
    <m/>
  </r>
  <r>
    <d v="2022-07-22T00:00:00"/>
    <s v="Hurielle"/>
    <x v="2"/>
    <m/>
    <m/>
    <n v="92000"/>
    <n v="8609300"/>
    <x v="1"/>
    <m/>
    <x v="0"/>
    <m/>
    <m/>
    <m/>
    <m/>
    <m/>
  </r>
  <r>
    <d v="2022-07-22T00:00:00"/>
    <s v="Evariste"/>
    <x v="2"/>
    <m/>
    <m/>
    <n v="114000"/>
    <n v="8495300"/>
    <x v="1"/>
    <m/>
    <x v="0"/>
    <m/>
    <m/>
    <m/>
    <m/>
    <m/>
  </r>
  <r>
    <d v="2022-07-22T00:00:00"/>
    <s v="Grace"/>
    <x v="2"/>
    <m/>
    <m/>
    <n v="389000"/>
    <n v="8106300"/>
    <x v="1"/>
    <m/>
    <x v="0"/>
    <m/>
    <m/>
    <m/>
    <m/>
    <m/>
  </r>
  <r>
    <d v="2022-07-22T00:00:00"/>
    <s v="Frais de transfert charden farell à I23C,crepin et P29"/>
    <x v="6"/>
    <s v="Office"/>
    <m/>
    <n v="15060"/>
    <n v="8091240"/>
    <x v="1"/>
    <s v="Oui"/>
    <x v="1"/>
    <s v="RALFF"/>
    <s v="CONGO"/>
    <m/>
    <s v="5.6"/>
    <m/>
  </r>
  <r>
    <d v="2022-07-22T00:00:00"/>
    <s v="Retrait especes/appro caisse/bord n°3654498"/>
    <x v="2"/>
    <m/>
    <m/>
    <n v="2100000"/>
    <n v="5991240"/>
    <x v="9"/>
    <n v="3654490"/>
    <x v="0"/>
    <m/>
    <m/>
    <m/>
    <m/>
    <m/>
  </r>
  <r>
    <d v="2022-07-22T00:00:00"/>
    <s v="Paiement salaire mois de Juillet 2022/Tiffany GOBERT"/>
    <x v="10"/>
    <s v="Management"/>
    <m/>
    <n v="1311914"/>
    <n v="4679326"/>
    <x v="2"/>
    <n v="3667212"/>
    <x v="1"/>
    <s v="RALFF"/>
    <s v="CONGO"/>
    <m/>
    <s v="1.1.1.1"/>
    <m/>
  </r>
  <r>
    <d v="2022-07-22T00:00:00"/>
    <s v="Paiement salaire mois de Aout 2022/Tiffany GOBERT"/>
    <x v="10"/>
    <s v="Management"/>
    <m/>
    <n v="1311914"/>
    <n v="3367412"/>
    <x v="2"/>
    <n v="3667221"/>
    <x v="1"/>
    <s v="RALFF"/>
    <s v="CONGO"/>
    <m/>
    <s v="1.1.1.1"/>
    <m/>
  </r>
  <r>
    <d v="2022-07-22T00:00:00"/>
    <s v="Reçu caisse/Hurielle"/>
    <x v="2"/>
    <m/>
    <n v="92000"/>
    <m/>
    <n v="3459412"/>
    <x v="4"/>
    <m/>
    <x v="0"/>
    <m/>
    <m/>
    <m/>
    <m/>
    <m/>
  </r>
  <r>
    <d v="2022-07-22T00:00:00"/>
    <s v="Achat billet de bus Oyo/ Brazzaville"/>
    <x v="4"/>
    <s v="Legal"/>
    <m/>
    <n v="7000"/>
    <n v="3452412"/>
    <x v="5"/>
    <s v="Oui"/>
    <x v="1"/>
    <s v="PALF"/>
    <s v="CONGO"/>
    <m/>
    <m/>
    <m/>
  </r>
  <r>
    <d v="2022-07-22T00:00:00"/>
    <s v="YAN GOMAT - CONGO Frais d'hôtel du 20 au 22 juillet 2022 à Oyo"/>
    <x v="5"/>
    <s v="Legal"/>
    <m/>
    <n v="30000"/>
    <n v="3422412"/>
    <x v="5"/>
    <s v="Oui"/>
    <x v="1"/>
    <s v="PALF"/>
    <s v="CONGO"/>
    <m/>
    <m/>
    <m/>
  </r>
  <r>
    <d v="2022-07-22T00:00:00"/>
    <s v="Reçu de la caisse/EVARISTE"/>
    <x v="2"/>
    <m/>
    <n v="114000"/>
    <m/>
    <n v="3536412"/>
    <x v="10"/>
    <m/>
    <x v="3"/>
    <m/>
    <m/>
    <m/>
    <m/>
    <m/>
  </r>
  <r>
    <d v="2022-07-22T00:00:00"/>
    <s v="Reçu Caisse/Grace"/>
    <x v="2"/>
    <m/>
    <n v="389000"/>
    <m/>
    <n v="3925412"/>
    <x v="12"/>
    <m/>
    <x v="0"/>
    <m/>
    <m/>
    <m/>
    <m/>
    <m/>
  </r>
  <r>
    <d v="2022-07-22T00:00:00"/>
    <s v="Reçu caisse/Merveille"/>
    <x v="2"/>
    <m/>
    <n v="81000"/>
    <m/>
    <n v="4006412"/>
    <x v="11"/>
    <m/>
    <x v="0"/>
    <m/>
    <m/>
    <m/>
    <m/>
    <m/>
  </r>
  <r>
    <d v="2022-07-22T00:00:00"/>
    <s v="Achat billet mbinda-dolisie/P29"/>
    <x v="4"/>
    <s v="Investigation"/>
    <m/>
    <n v="15000"/>
    <n v="3991412"/>
    <x v="6"/>
    <s v="Oui"/>
    <x v="1"/>
    <s v="RALFF"/>
    <s v="CONGO"/>
    <m/>
    <s v="2.2"/>
    <m/>
  </r>
  <r>
    <d v="2022-07-22T00:00:00"/>
    <s v="P29 - CONGO Paiement 4 nuitées du 18 au 22-07-2022 à mbinda"/>
    <x v="5"/>
    <s v="Investigation"/>
    <m/>
    <n v="40000"/>
    <n v="3951412"/>
    <x v="6"/>
    <s v="Oui"/>
    <x v="1"/>
    <s v="RALFF"/>
    <s v="CONGO"/>
    <m/>
    <s v="1.3.2"/>
    <m/>
  </r>
  <r>
    <d v="2022-07-22T00:00:00"/>
    <s v="CREPIN IBOUILI - CCONGO Food-Allowance du 22/07/ au 04/08/2022 à Dolisie"/>
    <x v="5"/>
    <s v="Management"/>
    <m/>
    <n v="130000"/>
    <n v="3821412"/>
    <x v="8"/>
    <s v="Décharge"/>
    <x v="1"/>
    <s v="RALFF"/>
    <s v="CONGO"/>
    <m/>
    <s v="1.3.2"/>
    <m/>
  </r>
  <r>
    <d v="2022-07-22T00:00:00"/>
    <s v="Reçu de caisse/Crépin"/>
    <x v="2"/>
    <m/>
    <n v="289000"/>
    <m/>
    <n v="4110412"/>
    <x v="8"/>
    <m/>
    <x v="0"/>
    <m/>
    <m/>
    <m/>
    <m/>
    <m/>
  </r>
  <r>
    <d v="2022-07-22T00:00:00"/>
    <s v="Transfert Caisse/ Tiffany"/>
    <x v="2"/>
    <m/>
    <n v="1320000"/>
    <m/>
    <n v="5430412"/>
    <x v="7"/>
    <m/>
    <x v="0"/>
    <m/>
    <m/>
    <m/>
    <m/>
    <m/>
  </r>
  <r>
    <d v="2022-07-22T00:00:00"/>
    <s v="Reçu de caisse/P29"/>
    <x v="2"/>
    <m/>
    <n v="60000"/>
    <m/>
    <n v="5490412"/>
    <x v="6"/>
    <m/>
    <x v="0"/>
    <m/>
    <m/>
    <m/>
    <m/>
    <m/>
  </r>
  <r>
    <d v="2022-07-23T00:00:00"/>
    <s v="I23C - CONGO Paiement 3 nuitées du 20 au 23 Juillet 2022 à Dolisie"/>
    <x v="5"/>
    <s v="Investigation"/>
    <m/>
    <n v="45000"/>
    <n v="5445412"/>
    <x v="3"/>
    <s v="Oui"/>
    <x v="1"/>
    <s v="RALFF"/>
    <s v="CONGO"/>
    <m/>
    <s v="1.3.2"/>
    <m/>
  </r>
  <r>
    <d v="2022-07-23T00:00:00"/>
    <s v="Achat billet Dolisie- Pointe-Noire/I23C"/>
    <x v="4"/>
    <s v="Investigation"/>
    <m/>
    <n v="5000"/>
    <n v="5440412"/>
    <x v="3"/>
    <s v="Oui"/>
    <x v="1"/>
    <s v="RALFF"/>
    <s v="CONGO"/>
    <m/>
    <s v="2.2"/>
    <m/>
  </r>
  <r>
    <d v="2022-07-23T00:00:00"/>
    <s v="Reçu caisse/I23C"/>
    <x v="2"/>
    <m/>
    <n v="153000"/>
    <m/>
    <n v="5593412"/>
    <x v="3"/>
    <m/>
    <x v="0"/>
    <m/>
    <m/>
    <m/>
    <m/>
    <m/>
  </r>
  <r>
    <d v="2022-07-24T00:00:00"/>
    <s v="I23C - CONGO Paiement Hôtel 1 nuitée du 23 au 24 Juillet 2022 à Pointe-Noire"/>
    <x v="5"/>
    <s v="Investigation"/>
    <m/>
    <n v="15000"/>
    <n v="5578412"/>
    <x v="3"/>
    <s v="Oui"/>
    <x v="1"/>
    <s v="RALFF"/>
    <s v="CONGO"/>
    <m/>
    <s v="1.3.2"/>
    <m/>
  </r>
  <r>
    <d v="2022-07-24T00:00:00"/>
    <s v="Achat billet Pointe-Noire - Dolisie (départ pour Dolisie)/I23C"/>
    <x v="4"/>
    <s v="Investigation"/>
    <m/>
    <n v="5000"/>
    <n v="5573412"/>
    <x v="3"/>
    <s v="Oui"/>
    <x v="1"/>
    <s v="RALFF"/>
    <s v="CONGO"/>
    <m/>
    <s v="2.2"/>
    <m/>
  </r>
  <r>
    <d v="2022-07-24T00:00:00"/>
    <s v="I23C - CONGO Paiement 2 nuitées appartement Bacongo du 24 au 26 août 2022"/>
    <x v="5"/>
    <s v="Operation"/>
    <m/>
    <n v="70000"/>
    <n v="5503412"/>
    <x v="3"/>
    <s v="Oui"/>
    <x v="1"/>
    <s v="PALF"/>
    <s v="CONGO"/>
    <m/>
    <m/>
    <m/>
  </r>
  <r>
    <d v="2022-07-24T00:00:00"/>
    <s v="Achat billet aller Brazzaville -Dolisie/HURIELLE"/>
    <x v="4"/>
    <s v="Legal"/>
    <m/>
    <n v="10000"/>
    <n v="5493412"/>
    <x v="4"/>
    <s v="Oui"/>
    <x v="1"/>
    <s v="RALFF"/>
    <s v="CONGO"/>
    <m/>
    <s v="2.2"/>
    <m/>
  </r>
  <r>
    <d v="2022-07-24T00:00:00"/>
    <s v="Achat billet Brazzaville-Dolisie /EVARISTE "/>
    <x v="4"/>
    <s v="Media"/>
    <m/>
    <n v="10000"/>
    <n v="5483412"/>
    <x v="10"/>
    <s v="Oui"/>
    <x v="1"/>
    <s v="RALFF"/>
    <s v="CONGO"/>
    <m/>
    <s v="2.2"/>
    <m/>
  </r>
  <r>
    <d v="2022-07-24T00:00:00"/>
    <s v="Achat Billet Brazzaville - Dolisie /GRACE MOLENDE"/>
    <x v="4"/>
    <s v="Management"/>
    <m/>
    <n v="10000"/>
    <n v="5473412"/>
    <x v="12"/>
    <s v="Oui"/>
    <x v="1"/>
    <s v="RALFF"/>
    <s v="CONGO"/>
    <m/>
    <s v="2.2"/>
    <m/>
  </r>
  <r>
    <d v="2022-07-24T00:00:00"/>
    <s v="Achat billet Brazzaville - Dolisie/depart Dolisie/Merveille"/>
    <x v="4"/>
    <s v="Management"/>
    <m/>
    <n v="10000"/>
    <n v="5463412"/>
    <x v="11"/>
    <s v="Oui"/>
    <x v="1"/>
    <s v="RALFF"/>
    <s v="CONGO"/>
    <m/>
    <s v="2.2"/>
    <m/>
  </r>
  <r>
    <d v="2022-07-25T00:00:00"/>
    <s v="HURIELLE - CONGO FoodAlowance du 25 au 30/07/2022 à Dolisie"/>
    <x v="5"/>
    <s v="Legal"/>
    <m/>
    <n v="50000"/>
    <n v="5413412"/>
    <x v="4"/>
    <s v="Décharge"/>
    <x v="1"/>
    <s v="RALFF"/>
    <s v="CONGO"/>
    <m/>
    <s v="1.3.2"/>
    <m/>
  </r>
  <r>
    <d v="2022-07-25T00:00:00"/>
    <s v="Achat boissons, buscuits et eaux minérale pour mon équipe pour une opération "/>
    <x v="5"/>
    <s v="Operation"/>
    <m/>
    <n v="9500"/>
    <n v="5403912"/>
    <x v="10"/>
    <s v="Oui"/>
    <x v="1"/>
    <s v="PALF"/>
    <s v="CONGO"/>
    <m/>
    <m/>
    <m/>
  </r>
  <r>
    <d v="2022-07-25T00:00:00"/>
    <s v="EVARISTE LELOUSSI  CONGO - Food allowance (du 25 au 29 juillet 2022) "/>
    <x v="5"/>
    <s v="Media"/>
    <m/>
    <n v="40000"/>
    <n v="5363912"/>
    <x v="10"/>
    <s v="Décharge"/>
    <x v="1"/>
    <s v="RALFF"/>
    <s v="CONGO"/>
    <m/>
    <s v="1.3.2"/>
    <m/>
  </r>
  <r>
    <d v="2022-07-25T00:00:00"/>
    <s v="Achat Biberon, Gants,Masques,Sels d'hydratation,/Pour les Mandrils"/>
    <x v="1"/>
    <s v="Office"/>
    <m/>
    <n v="13535"/>
    <n v="5350377"/>
    <x v="12"/>
    <s v="Oui"/>
    <x v="1"/>
    <s v="PALF"/>
    <s v="CONGO"/>
    <m/>
    <m/>
    <m/>
  </r>
  <r>
    <d v="2022-07-25T00:00:00"/>
    <s v="Achat fruit Jus , Biscuit et Eau/Pour Autorités"/>
    <x v="5"/>
    <s v="Operation"/>
    <m/>
    <n v="8350"/>
    <n v="5342027"/>
    <x v="12"/>
    <s v="Oui"/>
    <x v="1"/>
    <s v="PALF"/>
    <s v="CONGO"/>
    <m/>
    <m/>
    <m/>
  </r>
  <r>
    <d v="2022-07-25T00:00:00"/>
    <s v="Achat fruit (Banane, Papaye, Eau minerale ) Pour Mandrils"/>
    <x v="1"/>
    <s v="Office"/>
    <m/>
    <n v="2200"/>
    <n v="5339827"/>
    <x v="12"/>
    <s v="Oui"/>
    <x v="1"/>
    <s v="PALF"/>
    <s v="CONGO"/>
    <m/>
    <m/>
    <m/>
  </r>
  <r>
    <d v="2022-07-25T00:00:00"/>
    <s v="GRACE MOLENDE - CONGO Food Allowance du 25 au 27/07/2022 à Dolisie"/>
    <x v="5"/>
    <s v="Management"/>
    <m/>
    <n v="20000"/>
    <n v="5319827"/>
    <x v="12"/>
    <s v="Décharge"/>
    <x v="1"/>
    <s v="RALFF"/>
    <s v="CONGO"/>
    <m/>
    <s v="1.3.2"/>
    <m/>
  </r>
  <r>
    <d v="2022-07-25T00:00:00"/>
    <s v="MERVEILLE - CONGO Foodallowance mission du  25 au 27/07/2022 à Dolisie"/>
    <x v="5"/>
    <s v="Management"/>
    <m/>
    <n v="20000"/>
    <n v="5299827"/>
    <x v="11"/>
    <s v="Décharge"/>
    <x v="1"/>
    <s v="RALFF"/>
    <s v="CONGO"/>
    <m/>
    <s v="1.3.2"/>
    <m/>
  </r>
  <r>
    <d v="2022-07-25T00:00:00"/>
    <s v="Frais d'impression de la fiche interpol"/>
    <x v="1"/>
    <s v="Office"/>
    <m/>
    <n v="300"/>
    <n v="5299527"/>
    <x v="8"/>
    <s v="Oui"/>
    <x v="1"/>
    <s v="PALF"/>
    <s v="CONGO"/>
    <m/>
    <m/>
    <m/>
  </r>
  <r>
    <d v="2022-07-25T00:00:00"/>
    <s v="CREPIN IBOUILI - CCONGO Frias d'Hotel 03 Nuitées du 22 au 25/07/2022"/>
    <x v="5"/>
    <s v="Management"/>
    <m/>
    <n v="45000"/>
    <n v="5254527"/>
    <x v="8"/>
    <s v="Oui"/>
    <x v="1"/>
    <s v="RALFF"/>
    <s v="CONGO"/>
    <m/>
    <s v="1.3.2"/>
    <m/>
  </r>
  <r>
    <d v="2022-07-26T00:00:00"/>
    <s v="I23C - CONGO Paiement 1 nuitée appart du 26 au 27 août 2022"/>
    <x v="5"/>
    <s v="Operation"/>
    <m/>
    <n v="35000"/>
    <n v="5219527"/>
    <x v="3"/>
    <s v="Oui"/>
    <x v="1"/>
    <s v="PALF"/>
    <s v="CONGO"/>
    <m/>
    <m/>
    <m/>
  </r>
  <r>
    <d v="2022-07-26T00:00:00"/>
    <s v="Reçu caisse (grâce)/I23C"/>
    <x v="2"/>
    <m/>
    <n v="35000"/>
    <m/>
    <n v="5254527"/>
    <x v="3"/>
    <m/>
    <x v="0"/>
    <m/>
    <m/>
    <m/>
    <m/>
    <m/>
  </r>
  <r>
    <d v="2022-07-26T00:00:00"/>
    <s v="Reçu caisse (budget additionnel du 26 au 27 juillet 2022)/I23C"/>
    <x v="2"/>
    <m/>
    <n v="13000"/>
    <m/>
    <n v="5267527"/>
    <x v="3"/>
    <m/>
    <x v="0"/>
    <m/>
    <m/>
    <m/>
    <m/>
    <m/>
  </r>
  <r>
    <d v="2022-07-26T00:00:00"/>
    <s v="Transfert à Crépin /Grace MOLENDE"/>
    <x v="2"/>
    <m/>
    <m/>
    <n v="235000"/>
    <n v="5032527"/>
    <x v="12"/>
    <m/>
    <x v="0"/>
    <m/>
    <m/>
    <m/>
    <m/>
    <m/>
  </r>
  <r>
    <d v="2022-07-26T00:00:00"/>
    <s v="Transfert à P29/Grace MOLENDE"/>
    <x v="2"/>
    <m/>
    <m/>
    <n v="28000"/>
    <n v="5004527"/>
    <x v="12"/>
    <m/>
    <x v="0"/>
    <m/>
    <m/>
    <m/>
    <m/>
    <m/>
  </r>
  <r>
    <d v="2022-07-26T00:00:00"/>
    <s v="Transfert à I23C /Grace MOLENDE"/>
    <x v="2"/>
    <m/>
    <m/>
    <n v="48000"/>
    <n v="4956527"/>
    <x v="12"/>
    <m/>
    <x v="0"/>
    <m/>
    <m/>
    <m/>
    <m/>
    <m/>
  </r>
  <r>
    <d v="2022-07-26T00:00:00"/>
    <s v="Reçu de Grace/P29"/>
    <x v="2"/>
    <m/>
    <n v="28000"/>
    <m/>
    <n v="4984527"/>
    <x v="6"/>
    <m/>
    <x v="0"/>
    <m/>
    <m/>
    <m/>
    <m/>
    <m/>
  </r>
  <r>
    <d v="2022-07-27T00:00:00"/>
    <s v="Merveille/Retour caisse"/>
    <x v="2"/>
    <m/>
    <n v="30000"/>
    <m/>
    <n v="5014527"/>
    <x v="1"/>
    <m/>
    <x v="0"/>
    <m/>
    <m/>
    <m/>
    <m/>
    <m/>
  </r>
  <r>
    <d v="2022-07-27T00:00:00"/>
    <s v="Reçu de Crépin/EVARISTE"/>
    <x v="2"/>
    <m/>
    <n v="22500"/>
    <m/>
    <n v="5037027"/>
    <x v="10"/>
    <m/>
    <x v="0"/>
    <m/>
    <m/>
    <m/>
    <m/>
    <m/>
  </r>
  <r>
    <d v="2022-07-27T00:00:00"/>
    <s v="Achat carburant pour la BJ de la Gendarmerie"/>
    <x v="4"/>
    <s v="Operation"/>
    <m/>
    <n v="47500"/>
    <n v="4989527"/>
    <x v="10"/>
    <s v="Oui"/>
    <x v="1"/>
    <s v="PALF"/>
    <s v="CONGO"/>
    <m/>
    <m/>
    <m/>
  </r>
  <r>
    <d v="2022-07-27T00:00:00"/>
    <s v="Achat Billet Dolisie-Brazzaville /GRACE MOLENDE"/>
    <x v="4"/>
    <s v="Management"/>
    <m/>
    <n v="10000"/>
    <n v="4979527"/>
    <x v="12"/>
    <s v="Oui"/>
    <x v="1"/>
    <s v="RALFF"/>
    <s v="CONGO"/>
    <m/>
    <s v="2.2"/>
    <m/>
  </r>
  <r>
    <d v="2022-07-27T00:00:00"/>
    <s v="Achat Billet Dolisie - Brazzaville/retour à brazzaville/Merveille"/>
    <x v="4"/>
    <s v="Management"/>
    <m/>
    <n v="10000"/>
    <n v="4969527"/>
    <x v="11"/>
    <s v="Oui"/>
    <x v="1"/>
    <s v="RALFF"/>
    <s v="CONGO"/>
    <m/>
    <s v="2.2"/>
    <m/>
  </r>
  <r>
    <d v="2022-07-27T00:00:00"/>
    <s v="Retour caisse/Merveille"/>
    <x v="2"/>
    <m/>
    <m/>
    <n v="30000"/>
    <n v="4939527"/>
    <x v="11"/>
    <m/>
    <x v="0"/>
    <m/>
    <m/>
    <m/>
    <m/>
    <m/>
  </r>
  <r>
    <d v="2022-07-27T00:00:00"/>
    <s v="Reçu de Grace/Crépin"/>
    <x v="2"/>
    <m/>
    <n v="235000"/>
    <m/>
    <n v="5174527"/>
    <x v="8"/>
    <m/>
    <x v="0"/>
    <m/>
    <m/>
    <m/>
    <m/>
    <m/>
  </r>
  <r>
    <d v="2022-07-27T00:00:00"/>
    <s v="Frais de location de 4 appartements /30000 l'unité /02 nuitées du 26 au 27/07/22 à Dolisie"/>
    <x v="5"/>
    <s v="Operation"/>
    <m/>
    <n v="240000"/>
    <n v="4934527"/>
    <x v="8"/>
    <s v="Oui"/>
    <x v="1"/>
    <s v="PALF"/>
    <s v="CONGO"/>
    <m/>
    <m/>
    <m/>
  </r>
  <r>
    <d v="2022-07-27T00:00:00"/>
    <s v="Frais achat carburant BJ autorité"/>
    <x v="4"/>
    <s v="Operation"/>
    <m/>
    <n v="47500"/>
    <n v="4887027"/>
    <x v="8"/>
    <s v="Oui"/>
    <x v="1"/>
    <s v="PALF"/>
    <s v="CONGO"/>
    <m/>
    <m/>
    <m/>
  </r>
  <r>
    <d v="2022-07-27T00:00:00"/>
    <s v="Moi à Evariste/Crépin"/>
    <x v="2"/>
    <m/>
    <m/>
    <n v="22500"/>
    <n v="4864527"/>
    <x v="8"/>
    <m/>
    <x v="0"/>
    <m/>
    <m/>
    <m/>
    <m/>
    <m/>
  </r>
  <r>
    <d v="2022-07-27T00:00:00"/>
    <s v="Frais achat raffraichissement pour Autorités"/>
    <x v="5"/>
    <s v="Operation"/>
    <m/>
    <n v="6750"/>
    <n v="4857777"/>
    <x v="8"/>
    <s v="Oui"/>
    <x v="1"/>
    <s v="PALF"/>
    <s v="CONGO"/>
    <m/>
    <m/>
    <m/>
  </r>
  <r>
    <d v="2022-07-28T00:00:00"/>
    <s v="I23C"/>
    <x v="2"/>
    <m/>
    <m/>
    <n v="60000"/>
    <n v="4797777"/>
    <x v="1"/>
    <m/>
    <x v="0"/>
    <m/>
    <m/>
    <m/>
    <m/>
    <m/>
  </r>
  <r>
    <d v="2022-07-28T00:00:00"/>
    <s v="P29"/>
    <x v="2"/>
    <m/>
    <m/>
    <n v="60000"/>
    <n v="4737777"/>
    <x v="1"/>
    <m/>
    <x v="0"/>
    <m/>
    <m/>
    <m/>
    <m/>
    <m/>
  </r>
  <r>
    <d v="2022-07-28T00:00:00"/>
    <s v="Evariste"/>
    <x v="2"/>
    <m/>
    <m/>
    <n v="56000"/>
    <n v="4681777"/>
    <x v="1"/>
    <m/>
    <x v="0"/>
    <m/>
    <m/>
    <m/>
    <m/>
    <m/>
  </r>
  <r>
    <d v="2022-07-28T00:00:00"/>
    <s v="Frais de transfert charden farell à P29,I23c et Evariste"/>
    <x v="6"/>
    <s v="Office"/>
    <m/>
    <n v="5280"/>
    <n v="4676497"/>
    <x v="1"/>
    <s v="Oui"/>
    <x v="1"/>
    <s v="RALFF"/>
    <s v="CONGO"/>
    <m/>
    <s v="5.6"/>
    <m/>
  </r>
  <r>
    <d v="2022-07-28T00:00:00"/>
    <s v="Reglement frais d' internet mois d'Août 2022/Canal Box"/>
    <x v="15"/>
    <s v="Office"/>
    <m/>
    <n v="45050"/>
    <n v="4631447"/>
    <x v="1"/>
    <s v="Oui"/>
    <x v="1"/>
    <s v="RALFF"/>
    <s v="CONGO"/>
    <m/>
    <s v="4.5"/>
    <m/>
  </r>
  <r>
    <d v="2022-07-28T00:00:00"/>
    <s v="Entretretien général Jardin, Bureau PALF Mois de Juillet 2022"/>
    <x v="16"/>
    <s v="Office"/>
    <m/>
    <n v="20000"/>
    <n v="4611447"/>
    <x v="1"/>
    <s v="Oui"/>
    <x v="1"/>
    <s v="PALF"/>
    <s v="CONGO"/>
    <m/>
    <m/>
    <m/>
  </r>
  <r>
    <d v="2022-07-28T00:00:00"/>
    <s v="Yan"/>
    <x v="2"/>
    <m/>
    <m/>
    <n v="2500"/>
    <n v="4608947"/>
    <x v="1"/>
    <m/>
    <x v="0"/>
    <m/>
    <m/>
    <m/>
    <m/>
    <m/>
  </r>
  <r>
    <d v="2022-07-28T00:00:00"/>
    <s v="Frais de Test COVID Tiffany GOBERT"/>
    <x v="17"/>
    <s v="Office"/>
    <m/>
    <n v="20000"/>
    <n v="4588947"/>
    <x v="1"/>
    <s v="Oui"/>
    <x v="1"/>
    <s v="PALF"/>
    <s v="CONGO"/>
    <m/>
    <m/>
    <m/>
  </r>
  <r>
    <d v="2022-07-28T00:00:00"/>
    <s v="Cumul frais de trust building du mois Juillet 2022/I23C"/>
    <x v="18"/>
    <s v="Investigation"/>
    <m/>
    <n v="70500"/>
    <n v="4518447"/>
    <x v="3"/>
    <s v="Décharge"/>
    <x v="1"/>
    <s v="PALF"/>
    <s v="CONGO"/>
    <m/>
    <m/>
    <m/>
  </r>
  <r>
    <d v="2022-07-28T00:00:00"/>
    <s v="Réçu caisse (budget supplementaire du 27 au 29 Juillet 2022)/I23C"/>
    <x v="2"/>
    <m/>
    <n v="60000"/>
    <m/>
    <n v="4578447"/>
    <x v="3"/>
    <m/>
    <x v="0"/>
    <m/>
    <m/>
    <m/>
    <m/>
    <m/>
  </r>
  <r>
    <d v="2022-07-28T00:00:00"/>
    <s v="Reçu de Crépin/Hurielle"/>
    <x v="2"/>
    <m/>
    <n v="20000"/>
    <m/>
    <n v="4598447"/>
    <x v="4"/>
    <m/>
    <x v="0"/>
    <m/>
    <m/>
    <m/>
    <m/>
    <m/>
  </r>
  <r>
    <d v="2022-07-28T00:00:00"/>
    <s v="Cumul Raffraichissement avant OP à Mabakana pour autorités/Hurielle MFOULOU"/>
    <x v="5"/>
    <s v="Operation"/>
    <m/>
    <n v="30100"/>
    <n v="4568347"/>
    <x v="4"/>
    <s v="Oui"/>
    <x v="1"/>
    <s v="PALF"/>
    <s v="CONGO"/>
    <m/>
    <m/>
    <m/>
  </r>
  <r>
    <d v="2022-07-28T00:00:00"/>
    <s v="Retour caisse/Yan GOMAT"/>
    <x v="2"/>
    <m/>
    <n v="2500"/>
    <m/>
    <n v="4570847"/>
    <x v="5"/>
    <m/>
    <x v="0"/>
    <m/>
    <m/>
    <m/>
    <m/>
    <m/>
  </r>
  <r>
    <d v="2022-07-28T00:00:00"/>
    <s v="Reçu de la Caisse/EVARISTE"/>
    <x v="2"/>
    <m/>
    <n v="56000"/>
    <m/>
    <n v="4626847"/>
    <x v="10"/>
    <m/>
    <x v="0"/>
    <m/>
    <m/>
    <m/>
    <m/>
    <m/>
  </r>
  <r>
    <d v="2022-07-28T00:00:00"/>
    <s v="Frais Ration des gendarmes à Makabana avant OP( plats poullet et bouillon silure)"/>
    <x v="5"/>
    <s v="Operation"/>
    <m/>
    <n v="18000"/>
    <n v="4608847"/>
    <x v="10"/>
    <s v="Oui"/>
    <x v="1"/>
    <s v="PALF"/>
    <s v="CONGO"/>
    <m/>
    <m/>
    <m/>
  </r>
  <r>
    <d v="2022-07-28T00:00:00"/>
    <s v="Moi à Hurielle/Crépin"/>
    <x v="2"/>
    <m/>
    <m/>
    <n v="20000"/>
    <n v="4588847"/>
    <x v="8"/>
    <m/>
    <x v="0"/>
    <m/>
    <m/>
    <m/>
    <m/>
    <m/>
  </r>
  <r>
    <d v="2022-07-28T00:00:00"/>
    <s v="Reçu de caisse/P29"/>
    <x v="2"/>
    <m/>
    <n v="60000"/>
    <m/>
    <n v="4648847"/>
    <x v="6"/>
    <m/>
    <x v="0"/>
    <m/>
    <m/>
    <m/>
    <m/>
    <m/>
  </r>
  <r>
    <d v="2022-07-29T00:00:00"/>
    <s v="Crepin"/>
    <x v="2"/>
    <m/>
    <m/>
    <n v="154000"/>
    <n v="4494847"/>
    <x v="1"/>
    <m/>
    <x v="0"/>
    <m/>
    <m/>
    <m/>
    <m/>
    <m/>
  </r>
  <r>
    <d v="2022-07-29T00:00:00"/>
    <s v="Hurielle"/>
    <x v="2"/>
    <m/>
    <m/>
    <n v="88000"/>
    <n v="4406847"/>
    <x v="1"/>
    <m/>
    <x v="0"/>
    <m/>
    <m/>
    <m/>
    <m/>
    <m/>
  </r>
  <r>
    <d v="2022-07-29T00:00:00"/>
    <s v="P29"/>
    <x v="2"/>
    <m/>
    <m/>
    <n v="30000"/>
    <n v="4376847"/>
    <x v="1"/>
    <m/>
    <x v="0"/>
    <m/>
    <m/>
    <m/>
    <m/>
    <m/>
  </r>
  <r>
    <d v="2022-07-29T00:00:00"/>
    <s v="Frais de transfert charden farell à p29,I23c et Hurielle"/>
    <x v="6"/>
    <s v="Office"/>
    <m/>
    <n v="8160"/>
    <n v="4368687"/>
    <x v="1"/>
    <s v="Oui"/>
    <x v="1"/>
    <s v="RALFF"/>
    <s v="CONGO"/>
    <m/>
    <s v="5.6"/>
    <m/>
  </r>
  <r>
    <d v="2022-07-29T00:00:00"/>
    <s v="Tiffany/retour caisse"/>
    <x v="2"/>
    <m/>
    <n v="200000"/>
    <m/>
    <n v="4568687"/>
    <x v="1"/>
    <m/>
    <x v="0"/>
    <m/>
    <m/>
    <m/>
    <m/>
    <m/>
  </r>
  <r>
    <d v="2022-07-29T00:00:00"/>
    <s v="Frais de mission maitre Marie hélène à Mossendjo et Dolisie du 01 au 03 Aout 2022"/>
    <x v="8"/>
    <s v="Legal"/>
    <m/>
    <n v="76000"/>
    <n v="4492687"/>
    <x v="1"/>
    <s v="Oui"/>
    <x v="1"/>
    <s v="RALFF"/>
    <s v="CONGO"/>
    <m/>
    <s v="5.2.2"/>
    <m/>
  </r>
  <r>
    <d v="2022-07-29T00:00:00"/>
    <s v="Acompte contrat N°47 Maitre Marie Hélène/cas MABIOKO BOUKAKA Emile à Mossendjo"/>
    <x v="8"/>
    <s v="Legal"/>
    <m/>
    <n v="200000"/>
    <n v="4292687"/>
    <x v="2"/>
    <n v="3667229"/>
    <x v="2"/>
    <s v="RALFF"/>
    <s v="CONGO"/>
    <m/>
    <s v="5.2.2"/>
    <m/>
  </r>
  <r>
    <d v="2022-07-29T00:00:00"/>
    <s v="Rapatrieme01100RTC00019552(fonds UE)"/>
    <x v="19"/>
    <m/>
    <n v="20402887"/>
    <m/>
    <n v="24695574"/>
    <x v="0"/>
    <s v="Relevé"/>
    <x v="2"/>
    <m/>
    <m/>
    <m/>
    <m/>
    <m/>
  </r>
  <r>
    <d v="2022-07-29T00:00:00"/>
    <s v="I23C - CONGO Paiement Hôtel 2 nuitées du 27 au 29 juillet 2022 à Dolisie"/>
    <x v="5"/>
    <s v="Investigation"/>
    <m/>
    <n v="30000"/>
    <n v="24665574"/>
    <x v="3"/>
    <s v="Oui"/>
    <x v="1"/>
    <s v="RALFF"/>
    <s v="CONGO"/>
    <m/>
    <s v="1.3.2"/>
    <m/>
  </r>
  <r>
    <d v="2022-07-29T00:00:00"/>
    <s v="Achat billet Dolisie-Brazzaville (retour à Brazzaville)/I23C"/>
    <x v="4"/>
    <s v="Investigation"/>
    <m/>
    <n v="10000"/>
    <n v="24655574"/>
    <x v="3"/>
    <s v="Oui"/>
    <x v="1"/>
    <s v="RALFF"/>
    <s v="CONGO"/>
    <m/>
    <s v="2.2"/>
    <m/>
  </r>
  <r>
    <d v="2022-07-29T00:00:00"/>
    <s v="Cumul frais de transport local du mois Juillet 2022/I23C"/>
    <x v="4"/>
    <s v="Investigation"/>
    <m/>
    <n v="91000"/>
    <n v="24564574"/>
    <x v="3"/>
    <s v="Décharge"/>
    <x v="1"/>
    <s v="RALFF"/>
    <s v="CONGO"/>
    <m/>
    <s v="2.2"/>
    <m/>
  </r>
  <r>
    <d v="2022-07-29T00:00:00"/>
    <s v="Achat nourriture pour Mandrils et Pérroquets à Dolisie"/>
    <x v="5"/>
    <s v="Operation"/>
    <m/>
    <n v="2000"/>
    <n v="24562574"/>
    <x v="4"/>
    <s v="Oui"/>
    <x v="1"/>
    <s v="PALF"/>
    <s v="CONGO"/>
    <m/>
    <m/>
    <m/>
  </r>
  <r>
    <d v="2022-07-29T00:00:00"/>
    <s v="Reçu caisse/Hurielle"/>
    <x v="2"/>
    <m/>
    <n v="88000"/>
    <m/>
    <n v="24650574"/>
    <x v="4"/>
    <m/>
    <x v="0"/>
    <m/>
    <m/>
    <m/>
    <m/>
    <m/>
  </r>
  <r>
    <d v="2022-07-29T00:00:00"/>
    <s v="Cumul frais de Jail Visits du mois de Juillet 2022/Hurielle MFOULOU"/>
    <x v="14"/>
    <s v="Legal"/>
    <m/>
    <n v="19000"/>
    <n v="24631574"/>
    <x v="4"/>
    <s v="Décharge"/>
    <x v="1"/>
    <s v="PALF"/>
    <s v="CONGO"/>
    <m/>
    <m/>
    <m/>
  </r>
  <r>
    <d v="2022-07-29T00:00:00"/>
    <s v="Cumul frais de ration mois de  juillet 2022/Yan GOMAT"/>
    <x v="5"/>
    <s v="Legal"/>
    <m/>
    <n v="15000"/>
    <n v="24616574"/>
    <x v="5"/>
    <s v="Décharge"/>
    <x v="1"/>
    <s v="PALF"/>
    <s v="CONGO"/>
    <m/>
    <m/>
    <m/>
  </r>
  <r>
    <d v="2022-07-29T00:00:00"/>
    <s v="Cumul frais de transport local mois de Juillet 2022/Yan GOMAT"/>
    <x v="4"/>
    <s v="Legal"/>
    <m/>
    <n v="58500"/>
    <n v="24558074"/>
    <x v="5"/>
    <s v="Décharge"/>
    <x v="1"/>
    <s v="PALF"/>
    <s v="CONGO"/>
    <m/>
    <m/>
    <m/>
  </r>
  <r>
    <d v="2022-07-29T00:00:00"/>
    <s v="EVARISTE LELOUSSI  CONGO - Frais de l'hôtel du 25 au 29 juillet 2022 (4 nuitées) à Dolisie"/>
    <x v="5"/>
    <s v="Media"/>
    <m/>
    <n v="60000"/>
    <n v="24498074"/>
    <x v="10"/>
    <s v="Oui"/>
    <x v="1"/>
    <s v="RALFF"/>
    <s v="CONGO"/>
    <m/>
    <s v="1.3.2"/>
    <m/>
  </r>
  <r>
    <d v="2022-07-29T00:00:00"/>
    <s v="Achat Billet Dolisie-Brazzaville /EVARISTE "/>
    <x v="4"/>
    <s v="Media"/>
    <m/>
    <n v="10000"/>
    <n v="24488074"/>
    <x v="10"/>
    <s v="Oui"/>
    <x v="1"/>
    <s v="RALFF"/>
    <s v="CONGO"/>
    <m/>
    <s v="2.2"/>
    <m/>
  </r>
  <r>
    <d v="2022-07-29T00:00:00"/>
    <s v="Cumul frais de transport local du mois de juillet 2022/P29"/>
    <x v="4"/>
    <s v="Investigation"/>
    <m/>
    <n v="88200"/>
    <n v="24399874"/>
    <x v="6"/>
    <s v="Décharge"/>
    <x v="1"/>
    <s v="RALFF"/>
    <s v="CONGO"/>
    <m/>
    <s v="2.2"/>
    <m/>
  </r>
  <r>
    <d v="2022-07-29T00:00:00"/>
    <s v="Cumul frais de Trust Building du mois de Juillet 2022/P29"/>
    <x v="18"/>
    <s v="Investigation"/>
    <m/>
    <n v="80000"/>
    <n v="24319874"/>
    <x v="6"/>
    <s v="Décharge"/>
    <x v="1"/>
    <s v="PALF"/>
    <s v="CONGO"/>
    <m/>
    <m/>
    <m/>
  </r>
  <r>
    <d v="2022-07-29T00:00:00"/>
    <s v="Achat billet dolisie-Brazzaville/P29"/>
    <x v="4"/>
    <s v="Investigation"/>
    <m/>
    <n v="10000"/>
    <n v="24309874"/>
    <x v="6"/>
    <s v="Oui"/>
    <x v="1"/>
    <s v="RALFF"/>
    <s v="CONGO"/>
    <m/>
    <s v="2.2"/>
    <m/>
  </r>
  <r>
    <d v="2022-07-29T00:00:00"/>
    <s v="Reçu de caisse/Crépin"/>
    <x v="2"/>
    <m/>
    <n v="154000"/>
    <m/>
    <n v="24463874"/>
    <x v="8"/>
    <m/>
    <x v="0"/>
    <m/>
    <m/>
    <m/>
    <m/>
    <m/>
  </r>
  <r>
    <d v="2022-07-29T00:00:00"/>
    <s v="Bonus opération du 28/07/2022 à Makabana pour 4 agents EF "/>
    <x v="7"/>
    <s v="Operation"/>
    <m/>
    <n v="40000"/>
    <n v="24423874"/>
    <x v="8"/>
    <s v="Oui"/>
    <x v="1"/>
    <s v="PALF"/>
    <s v="CONGO"/>
    <m/>
    <m/>
    <m/>
  </r>
  <r>
    <d v="2022-07-29T00:00:00"/>
    <s v="Bonus opération du 28/07/2022 à Makabana pour 160000"/>
    <x v="7"/>
    <s v="Operation"/>
    <m/>
    <n v="160000"/>
    <n v="24263874"/>
    <x v="8"/>
    <s v="Oui"/>
    <x v="1"/>
    <s v="PALF"/>
    <s v="CONGO"/>
    <m/>
    <m/>
    <m/>
  </r>
  <r>
    <d v="2022-07-29T00:00:00"/>
    <s v="Cumul frais de transport local du mois de Juillet 2022"/>
    <x v="4"/>
    <s v="Management"/>
    <m/>
    <n v="12500"/>
    <n v="24251374"/>
    <x v="7"/>
    <s v="Décharge"/>
    <x v="2"/>
    <s v="RALFF"/>
    <s v="CONGO"/>
    <m/>
    <s v="2.2"/>
    <m/>
  </r>
  <r>
    <d v="2022-07-29T00:00:00"/>
    <s v="Retour caisse/ Tiffany"/>
    <x v="2"/>
    <m/>
    <m/>
    <n v="200000"/>
    <n v="24051374"/>
    <x v="7"/>
    <m/>
    <x v="0"/>
    <m/>
    <m/>
    <m/>
    <m/>
    <m/>
  </r>
  <r>
    <d v="2022-07-29T00:00:00"/>
    <s v="Reçu de caisse/P29"/>
    <x v="2"/>
    <m/>
    <n v="30000"/>
    <m/>
    <n v="24081374"/>
    <x v="6"/>
    <m/>
    <x v="0"/>
    <m/>
    <m/>
    <m/>
    <m/>
    <m/>
  </r>
  <r>
    <d v="2022-07-30T00:00:00"/>
    <s v="Bonus du mois de juillet 2022/Evariste LELOUSSI"/>
    <x v="7"/>
    <s v="Media"/>
    <m/>
    <n v="20000"/>
    <n v="24061374"/>
    <x v="1"/>
    <s v="Décharge"/>
    <x v="1"/>
    <s v="PALF"/>
    <s v="CONGO"/>
    <m/>
    <m/>
    <m/>
  </r>
  <r>
    <d v="2022-07-30T00:00:00"/>
    <s v="Evariste"/>
    <x v="2"/>
    <m/>
    <m/>
    <n v="25000"/>
    <n v="24036374"/>
    <x v="1"/>
    <m/>
    <x v="0"/>
    <m/>
    <m/>
    <m/>
    <m/>
    <m/>
  </r>
  <r>
    <d v="2022-07-30T00:00:00"/>
    <s v="Bonus Media portant sur Op du 28/07/2022"/>
    <x v="7"/>
    <s v="Media"/>
    <m/>
    <n v="24000"/>
    <n v="24012374"/>
    <x v="1"/>
    <s v="Décharge"/>
    <x v="1"/>
    <s v="PALF"/>
    <s v="CONGO"/>
    <m/>
    <m/>
    <m/>
  </r>
  <r>
    <d v="2022-07-30T00:00:00"/>
    <s v="HURIELLE - CONGO Frais d'hotel 03 nuitées à Dolisie du 27 au 30/07/2022"/>
    <x v="5"/>
    <s v="Legal"/>
    <m/>
    <n v="45000"/>
    <n v="23967374"/>
    <x v="4"/>
    <s v="Oui"/>
    <x v="1"/>
    <s v="RALFF"/>
    <s v="CONGO"/>
    <m/>
    <s v="1.3.2"/>
    <m/>
  </r>
  <r>
    <d v="2022-07-30T00:00:00"/>
    <s v="Achat billet de retour Dolisie-Brazzaville/HURIELLE"/>
    <x v="4"/>
    <s v="Legal"/>
    <m/>
    <n v="10000"/>
    <n v="23957374"/>
    <x v="4"/>
    <s v="Oui"/>
    <x v="1"/>
    <s v="RALFF"/>
    <s v="CONGO"/>
    <m/>
    <s v="2.2"/>
    <m/>
  </r>
  <r>
    <d v="2022-07-30T00:00:00"/>
    <s v="Cumul frais de Transport Local mois de Juillet 2022/Hurielle MFOULOU"/>
    <x v="4"/>
    <s v="Legal"/>
    <m/>
    <n v="39400"/>
    <n v="23917974"/>
    <x v="4"/>
    <s v="Décharge"/>
    <x v="1"/>
    <s v="RALFF"/>
    <s v="CONGO"/>
    <m/>
    <s v="2.2"/>
    <m/>
  </r>
  <r>
    <d v="2022-07-30T00:00:00"/>
    <s v="Reçu de la Caisse/EVARISTE"/>
    <x v="2"/>
    <m/>
    <n v="25000"/>
    <m/>
    <n v="23942974"/>
    <x v="10"/>
    <m/>
    <x v="0"/>
    <m/>
    <m/>
    <m/>
    <m/>
    <m/>
  </r>
  <r>
    <d v="2022-07-30T00:00:00"/>
    <s v="Cumul frais de transport local du mois de Juillet 2022/Evariste LELOUSSI"/>
    <x v="4"/>
    <s v="Media"/>
    <m/>
    <n v="45000"/>
    <n v="23897974"/>
    <x v="10"/>
    <s v="Décharge"/>
    <x v="1"/>
    <s v="RALFF"/>
    <s v="CONGO"/>
    <m/>
    <s v="2.2"/>
    <m/>
  </r>
  <r>
    <d v="2022-07-30T00:00:00"/>
    <s v="Cumul Frais de Transport Local du Moius de Juillet 2022/GRACE MOLENDE"/>
    <x v="4"/>
    <s v="Management"/>
    <m/>
    <n v="23700"/>
    <n v="23874274"/>
    <x v="12"/>
    <s v="Décharge"/>
    <x v="1"/>
    <s v="RALFF"/>
    <s v="CONGO"/>
    <m/>
    <s v="2.2"/>
    <m/>
  </r>
  <r>
    <d v="2022-07-30T00:00:00"/>
    <s v="Cumul frais de transport Local mois de Juillet 2022/Merveille"/>
    <x v="4"/>
    <s v="Management"/>
    <m/>
    <n v="32000"/>
    <n v="23842274"/>
    <x v="11"/>
    <s v="Décharge"/>
    <x v="1"/>
    <s v="RALFF"/>
    <s v="CONGO"/>
    <m/>
    <s v="2.2"/>
    <m/>
  </r>
  <r>
    <d v="2022-07-30T00:00:00"/>
    <s v="P29 - CONGO Paiement 8 nuitées du 22 au 30-07-2022 à dolisie"/>
    <x v="5"/>
    <s v="Investigation"/>
    <m/>
    <n v="120000"/>
    <n v="23722274"/>
    <x v="6"/>
    <s v="Oui"/>
    <x v="1"/>
    <s v="RALFF"/>
    <s v="CONGO"/>
    <m/>
    <s v="1.3.2"/>
    <m/>
  </r>
  <r>
    <d v="2022-07-31T00:00:00"/>
    <s v="Cumul frais de Jail visits du mois de Juillet 2022/Crépin"/>
    <x v="14"/>
    <s v="Legal"/>
    <m/>
    <n v="88490"/>
    <n v="23633784"/>
    <x v="8"/>
    <s v="Décharge"/>
    <x v="1"/>
    <s v="PALF"/>
    <s v="CONGO"/>
    <m/>
    <m/>
    <m/>
  </r>
  <r>
    <d v="2022-07-31T00:00:00"/>
    <s v="Cumul frais Transport Local du mois de juillet 2022/Crépin"/>
    <x v="4"/>
    <s v="Management"/>
    <m/>
    <n v="47900"/>
    <n v="23585884"/>
    <x v="8"/>
    <s v="Décharge"/>
    <x v="1"/>
    <s v="RALFF"/>
    <s v="CONGO"/>
    <m/>
    <s v="2.2"/>
    <m/>
  </r>
  <r>
    <d v="2022-07-31T00:00:00"/>
    <s v="CREPIN IBOUILI - CCONGO Frias d'Hotel 04 Nuitées du 27 au 31/07/2022"/>
    <x v="5"/>
    <s v="Management"/>
    <m/>
    <n v="60000"/>
    <n v="23525884"/>
    <x v="8"/>
    <s v="Oui"/>
    <x v="1"/>
    <s v="RALFF"/>
    <s v="CONGO"/>
    <m/>
    <s v="1.3.2"/>
    <m/>
  </r>
  <r>
    <m/>
    <m/>
    <x v="0"/>
    <m/>
    <m/>
    <m/>
    <m/>
    <x v="0"/>
    <m/>
    <x v="0"/>
    <m/>
    <m/>
    <m/>
    <m/>
    <m/>
  </r>
  <r>
    <m/>
    <m/>
    <x v="0"/>
    <m/>
    <m/>
    <m/>
    <m/>
    <x v="0"/>
    <m/>
    <x v="0"/>
    <m/>
    <m/>
    <m/>
    <m/>
    <m/>
  </r>
  <r>
    <m/>
    <m/>
    <x v="0"/>
    <m/>
    <m/>
    <m/>
    <m/>
    <x v="0"/>
    <m/>
    <x v="0"/>
    <m/>
    <m/>
    <m/>
    <m/>
    <m/>
  </r>
  <r>
    <m/>
    <m/>
    <x v="0"/>
    <m/>
    <m/>
    <m/>
    <m/>
    <x v="0"/>
    <m/>
    <x v="0"/>
    <m/>
    <m/>
    <m/>
    <m/>
    <m/>
  </r>
  <r>
    <m/>
    <m/>
    <x v="0"/>
    <m/>
    <m/>
    <m/>
    <m/>
    <x v="0"/>
    <m/>
    <x v="0"/>
    <m/>
    <m/>
    <m/>
    <m/>
    <m/>
  </r>
  <r>
    <m/>
    <m/>
    <x v="0"/>
    <m/>
    <m/>
    <m/>
    <m/>
    <x v="0"/>
    <m/>
    <x v="0"/>
    <m/>
    <m/>
    <m/>
    <m/>
    <m/>
  </r>
  <r>
    <m/>
    <m/>
    <x v="0"/>
    <m/>
    <m/>
    <m/>
    <m/>
    <x v="0"/>
    <m/>
    <x v="0"/>
    <m/>
    <m/>
    <m/>
    <m/>
    <m/>
  </r>
  <r>
    <m/>
    <m/>
    <x v="0"/>
    <m/>
    <m/>
    <m/>
    <m/>
    <x v="0"/>
    <m/>
    <x v="0"/>
    <m/>
    <m/>
    <m/>
    <m/>
    <m/>
  </r>
  <r>
    <m/>
    <m/>
    <x v="0"/>
    <m/>
    <m/>
    <m/>
    <m/>
    <x v="0"/>
    <m/>
    <x v="0"/>
    <m/>
    <m/>
    <m/>
    <m/>
    <m/>
  </r>
  <r>
    <m/>
    <m/>
    <x v="0"/>
    <m/>
    <m/>
    <m/>
    <m/>
    <x v="0"/>
    <m/>
    <x v="0"/>
    <m/>
    <m/>
    <m/>
    <m/>
    <m/>
  </r>
  <r>
    <m/>
    <m/>
    <x v="0"/>
    <m/>
    <m/>
    <m/>
    <m/>
    <x v="0"/>
    <m/>
    <x v="0"/>
    <m/>
    <m/>
    <m/>
    <m/>
    <m/>
  </r>
  <r>
    <m/>
    <m/>
    <x v="0"/>
    <m/>
    <m/>
    <m/>
    <m/>
    <x v="0"/>
    <m/>
    <x v="0"/>
    <m/>
    <m/>
    <m/>
    <m/>
    <m/>
  </r>
  <r>
    <m/>
    <m/>
    <x v="0"/>
    <m/>
    <m/>
    <m/>
    <m/>
    <x v="0"/>
    <m/>
    <x v="0"/>
    <m/>
    <m/>
    <m/>
    <m/>
    <m/>
  </r>
  <r>
    <m/>
    <m/>
    <x v="0"/>
    <m/>
    <m/>
    <m/>
    <m/>
    <x v="0"/>
    <m/>
    <x v="0"/>
    <m/>
    <m/>
    <m/>
    <m/>
    <m/>
  </r>
  <r>
    <m/>
    <m/>
    <x v="0"/>
    <m/>
    <m/>
    <m/>
    <m/>
    <x v="0"/>
    <m/>
    <x v="0"/>
    <m/>
    <m/>
    <m/>
    <m/>
    <m/>
  </r>
  <r>
    <m/>
    <m/>
    <x v="0"/>
    <m/>
    <m/>
    <m/>
    <m/>
    <x v="0"/>
    <m/>
    <x v="0"/>
    <m/>
    <m/>
    <m/>
    <m/>
    <m/>
  </r>
  <r>
    <m/>
    <m/>
    <x v="0"/>
    <m/>
    <m/>
    <m/>
    <m/>
    <x v="0"/>
    <m/>
    <x v="0"/>
    <m/>
    <m/>
    <m/>
    <m/>
    <m/>
  </r>
  <r>
    <m/>
    <m/>
    <x v="0"/>
    <m/>
    <m/>
    <m/>
    <m/>
    <x v="0"/>
    <m/>
    <x v="0"/>
    <m/>
    <m/>
    <m/>
    <m/>
    <m/>
  </r>
  <r>
    <m/>
    <m/>
    <x v="0"/>
    <m/>
    <m/>
    <m/>
    <m/>
    <x v="0"/>
    <m/>
    <x v="0"/>
    <m/>
    <m/>
    <m/>
    <m/>
    <m/>
  </r>
  <r>
    <m/>
    <m/>
    <x v="0"/>
    <m/>
    <m/>
    <m/>
    <m/>
    <x v="0"/>
    <m/>
    <x v="0"/>
    <m/>
    <m/>
    <m/>
    <m/>
    <m/>
  </r>
  <r>
    <m/>
    <m/>
    <x v="0"/>
    <m/>
    <m/>
    <m/>
    <m/>
    <x v="0"/>
    <m/>
    <x v="0"/>
    <m/>
    <m/>
    <m/>
    <m/>
    <m/>
  </r>
  <r>
    <m/>
    <m/>
    <x v="0"/>
    <m/>
    <m/>
    <m/>
    <m/>
    <x v="0"/>
    <m/>
    <x v="0"/>
    <m/>
    <m/>
    <m/>
    <m/>
    <m/>
  </r>
  <r>
    <m/>
    <m/>
    <x v="0"/>
    <m/>
    <m/>
    <m/>
    <m/>
    <x v="0"/>
    <m/>
    <x v="0"/>
    <m/>
    <m/>
    <m/>
    <m/>
    <m/>
  </r>
  <r>
    <m/>
    <m/>
    <x v="0"/>
    <m/>
    <m/>
    <m/>
    <m/>
    <x v="0"/>
    <m/>
    <x v="0"/>
    <m/>
    <m/>
    <m/>
    <m/>
    <m/>
  </r>
  <r>
    <m/>
    <m/>
    <x v="0"/>
    <m/>
    <m/>
    <m/>
    <m/>
    <x v="0"/>
    <m/>
    <x v="0"/>
    <m/>
    <m/>
    <m/>
    <m/>
    <m/>
  </r>
  <r>
    <m/>
    <m/>
    <x v="0"/>
    <m/>
    <m/>
    <m/>
    <m/>
    <x v="0"/>
    <m/>
    <x v="0"/>
    <m/>
    <m/>
    <m/>
    <m/>
    <m/>
  </r>
  <r>
    <m/>
    <m/>
    <x v="0"/>
    <m/>
    <m/>
    <m/>
    <m/>
    <x v="0"/>
    <m/>
    <x v="0"/>
    <m/>
    <m/>
    <m/>
    <m/>
    <m/>
  </r>
  <r>
    <m/>
    <m/>
    <x v="0"/>
    <m/>
    <m/>
    <m/>
    <m/>
    <x v="0"/>
    <m/>
    <x v="0"/>
    <m/>
    <m/>
    <m/>
    <m/>
    <m/>
  </r>
  <r>
    <m/>
    <m/>
    <x v="0"/>
    <m/>
    <m/>
    <m/>
    <m/>
    <x v="0"/>
    <m/>
    <x v="0"/>
    <m/>
    <m/>
    <m/>
    <m/>
    <m/>
  </r>
  <r>
    <m/>
    <m/>
    <x v="0"/>
    <m/>
    <m/>
    <m/>
    <m/>
    <x v="0"/>
    <m/>
    <x v="0"/>
    <m/>
    <m/>
    <m/>
    <m/>
    <m/>
  </r>
  <r>
    <m/>
    <m/>
    <x v="0"/>
    <m/>
    <m/>
    <m/>
    <m/>
    <x v="0"/>
    <m/>
    <x v="0"/>
    <m/>
    <m/>
    <m/>
    <m/>
    <m/>
  </r>
  <r>
    <m/>
    <m/>
    <x v="0"/>
    <m/>
    <m/>
    <m/>
    <m/>
    <x v="0"/>
    <m/>
    <x v="0"/>
    <m/>
    <m/>
    <m/>
    <m/>
    <m/>
  </r>
  <r>
    <m/>
    <m/>
    <x v="0"/>
    <m/>
    <m/>
    <m/>
    <m/>
    <x v="0"/>
    <m/>
    <x v="0"/>
    <m/>
    <m/>
    <m/>
    <m/>
    <m/>
  </r>
  <r>
    <m/>
    <m/>
    <x v="0"/>
    <m/>
    <m/>
    <m/>
    <m/>
    <x v="0"/>
    <m/>
    <x v="0"/>
    <m/>
    <m/>
    <m/>
    <m/>
    <m/>
  </r>
  <r>
    <m/>
    <m/>
    <x v="0"/>
    <m/>
    <m/>
    <m/>
    <m/>
    <x v="0"/>
    <m/>
    <x v="0"/>
    <m/>
    <m/>
    <m/>
    <m/>
    <m/>
  </r>
  <r>
    <m/>
    <m/>
    <x v="0"/>
    <m/>
    <m/>
    <m/>
    <m/>
    <x v="0"/>
    <m/>
    <x v="0"/>
    <m/>
    <m/>
    <m/>
    <m/>
    <m/>
  </r>
  <r>
    <m/>
    <m/>
    <x v="0"/>
    <m/>
    <m/>
    <m/>
    <m/>
    <x v="0"/>
    <m/>
    <x v="0"/>
    <m/>
    <m/>
    <m/>
    <m/>
    <m/>
  </r>
  <r>
    <m/>
    <m/>
    <x v="0"/>
    <m/>
    <m/>
    <m/>
    <m/>
    <x v="0"/>
    <m/>
    <x v="0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4" cacheId="9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13:D17" firstHeaderRow="1" firstDataRow="2" firstDataCol="1"/>
  <pivotFields count="15">
    <pivotField numFmtId="170" showAll="0"/>
    <pivotField showAll="0"/>
    <pivotField showAll="0"/>
    <pivotField showAll="0"/>
    <pivotField showAll="0"/>
    <pivotField dataField="1" showAll="0"/>
    <pivotField numFmtId="165" showAll="0"/>
    <pivotField showAll="0"/>
    <pivotField showAll="0"/>
    <pivotField axis="axisCol" showAll="0">
      <items count="5">
        <item x="2"/>
        <item x="1"/>
        <item x="0"/>
        <item x="3"/>
        <item t="default"/>
      </items>
    </pivotField>
    <pivotField axis="axisRow" showAll="0">
      <items count="5">
        <item x="2"/>
        <item x="1"/>
        <item h="1" x="0"/>
        <item h="1" m="1" x="3"/>
        <item t="default"/>
      </items>
    </pivotField>
    <pivotField showAll="0"/>
    <pivotField showAll="0"/>
    <pivotField showAll="0"/>
    <pivotField showAll="0"/>
  </pivotFields>
  <rowFields count="1">
    <field x="10"/>
  </rowFields>
  <rowItems count="3">
    <i>
      <x/>
    </i>
    <i>
      <x v="1"/>
    </i>
    <i t="grand">
      <x/>
    </i>
  </rowItems>
  <colFields count="1">
    <field x="9"/>
  </colFields>
  <colItems count="3">
    <i>
      <x/>
    </i>
    <i>
      <x v="1"/>
    </i>
    <i t="grand">
      <x/>
    </i>
  </colItems>
  <dataFields count="1">
    <dataField name="Somme de Spent" fld="5" baseField="0" baseItem="0"/>
  </dataFields>
  <formats count="1">
    <format dxfId="0">
      <pivotArea collapsedLevelsAreSubtotals="1" fieldPosition="0">
        <references count="2">
          <reference field="9" count="1" selected="0">
            <x v="1"/>
          </reference>
          <reference field="10" count="1">
            <x v="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2" cacheId="1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B6" firstHeaderRow="1" firstDataRow="1" firstDataCol="1"/>
  <pivotFields count="15">
    <pivotField numFmtId="170" showAll="0"/>
    <pivotField showAll="0"/>
    <pivotField showAll="0"/>
    <pivotField showAll="0"/>
    <pivotField showAll="0"/>
    <pivotField dataField="1" showAll="0"/>
    <pivotField numFmtId="165" showAll="0"/>
    <pivotField showAll="0"/>
    <pivotField showAll="0"/>
    <pivotField axis="axisRow" showAll="0">
      <items count="5">
        <item x="2"/>
        <item x="1"/>
        <item h="1" x="0"/>
        <item h="1" x="3"/>
        <item t="default"/>
      </items>
    </pivotField>
    <pivotField showAll="0"/>
    <pivotField showAll="0"/>
    <pivotField showAll="0"/>
    <pivotField showAll="0"/>
    <pivotField showAll="0"/>
  </pivotFields>
  <rowFields count="1">
    <field x="9"/>
  </rowFields>
  <rowItems count="3">
    <i>
      <x/>
    </i>
    <i>
      <x v="1"/>
    </i>
    <i t="grand">
      <x/>
    </i>
  </rowItems>
  <colItems count="1">
    <i/>
  </colItems>
  <dataFields count="1">
    <dataField name="Somme de Spent" fld="5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eau croisé dynamique4" cacheId="8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AM18" firstHeaderRow="1" firstDataRow="3" firstDataCol="1"/>
  <pivotFields count="15">
    <pivotField numFmtId="171" showAll="0"/>
    <pivotField showAll="0"/>
    <pivotField axis="axisCol" showAll="0">
      <items count="21">
        <item x="3"/>
        <item x="7"/>
        <item x="9"/>
        <item x="13"/>
        <item x="19"/>
        <item x="15"/>
        <item x="14"/>
        <item x="8"/>
        <item x="1"/>
        <item x="10"/>
        <item x="11"/>
        <item x="16"/>
        <item x="12"/>
        <item x="6"/>
        <item x="4"/>
        <item x="17"/>
        <item x="5"/>
        <item x="18"/>
        <item x="2"/>
        <item x="0"/>
        <item t="default"/>
      </items>
    </pivotField>
    <pivotField showAll="0"/>
    <pivotField dataField="1" showAll="0">
      <items count="43">
        <item x="35"/>
        <item x="13"/>
        <item x="2"/>
        <item x="5"/>
        <item x="30"/>
        <item x="7"/>
        <item x="3"/>
        <item x="33"/>
        <item x="41"/>
        <item x="31"/>
        <item x="32"/>
        <item x="29"/>
        <item x="10"/>
        <item x="1"/>
        <item x="36"/>
        <item x="27"/>
        <item x="24"/>
        <item x="6"/>
        <item x="11"/>
        <item x="39"/>
        <item x="17"/>
        <item x="21"/>
        <item x="8"/>
        <item x="16"/>
        <item x="15"/>
        <item x="18"/>
        <item x="19"/>
        <item x="9"/>
        <item x="22"/>
        <item x="28"/>
        <item x="40"/>
        <item x="37"/>
        <item x="14"/>
        <item x="34"/>
        <item x="4"/>
        <item x="25"/>
        <item x="23"/>
        <item x="26"/>
        <item x="12"/>
        <item x="20"/>
        <item x="38"/>
        <item x="0"/>
        <item t="default"/>
      </items>
    </pivotField>
    <pivotField dataField="1" showAll="0">
      <items count="106">
        <item x="72"/>
        <item x="91"/>
        <item x="71"/>
        <item x="83"/>
        <item x="52"/>
        <item x="49"/>
        <item x="39"/>
        <item x="21"/>
        <item x="81"/>
        <item x="14"/>
        <item x="1"/>
        <item x="79"/>
        <item x="25"/>
        <item x="43"/>
        <item x="10"/>
        <item x="2"/>
        <item x="34"/>
        <item x="89"/>
        <item x="70"/>
        <item x="68"/>
        <item x="5"/>
        <item x="26"/>
        <item x="47"/>
        <item x="97"/>
        <item x="8"/>
        <item x="17"/>
        <item x="69"/>
        <item x="4"/>
        <item x="18"/>
        <item x="64"/>
        <item x="55"/>
        <item x="86"/>
        <item x="92"/>
        <item x="3"/>
        <item x="78"/>
        <item x="20"/>
        <item x="101"/>
        <item x="99"/>
        <item x="98"/>
        <item x="74"/>
        <item x="6"/>
        <item x="85"/>
        <item x="102"/>
        <item x="54"/>
        <item x="38"/>
        <item x="100"/>
        <item x="23"/>
        <item x="19"/>
        <item x="82"/>
        <item x="28"/>
        <item x="76"/>
        <item x="104"/>
        <item x="75"/>
        <item x="50"/>
        <item x="7"/>
        <item x="33"/>
        <item x="80"/>
        <item x="93"/>
        <item x="58"/>
        <item x="27"/>
        <item x="11"/>
        <item x="84"/>
        <item x="24"/>
        <item x="15"/>
        <item x="95"/>
        <item x="60"/>
        <item x="16"/>
        <item x="36"/>
        <item x="88"/>
        <item x="94"/>
        <item x="103"/>
        <item x="22"/>
        <item x="45"/>
        <item x="61"/>
        <item x="12"/>
        <item x="48"/>
        <item x="42"/>
        <item x="53"/>
        <item x="51"/>
        <item x="13"/>
        <item x="62"/>
        <item x="44"/>
        <item x="30"/>
        <item x="67"/>
        <item x="35"/>
        <item x="57"/>
        <item x="87"/>
        <item x="96"/>
        <item x="31"/>
        <item x="46"/>
        <item x="90"/>
        <item x="40"/>
        <item x="32"/>
        <item x="29"/>
        <item x="73"/>
        <item x="77"/>
        <item x="37"/>
        <item x="9"/>
        <item x="56"/>
        <item x="63"/>
        <item x="66"/>
        <item x="59"/>
        <item x="41"/>
        <item x="65"/>
        <item x="0"/>
        <item t="default"/>
      </items>
    </pivotField>
    <pivotField numFmtId="165" showAll="0"/>
    <pivotField axis="axisRow" showAll="0">
      <items count="14">
        <item x="9"/>
        <item x="2"/>
        <item x="1"/>
        <item x="8"/>
        <item x="10"/>
        <item x="12"/>
        <item x="4"/>
        <item x="3"/>
        <item x="11"/>
        <item x="6"/>
        <item x="7"/>
        <item x="5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2">
    <field x="2"/>
    <field x="-2"/>
  </colFields>
  <colItems count="38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>
      <x v="11"/>
      <x/>
    </i>
    <i r="1" i="1">
      <x v="1"/>
    </i>
    <i>
      <x v="12"/>
      <x/>
    </i>
    <i r="1" i="1">
      <x v="1"/>
    </i>
    <i>
      <x v="13"/>
      <x/>
    </i>
    <i r="1" i="1">
      <x v="1"/>
    </i>
    <i>
      <x v="14"/>
      <x/>
    </i>
    <i r="1" i="1">
      <x v="1"/>
    </i>
    <i>
      <x v="15"/>
      <x/>
    </i>
    <i r="1" i="1">
      <x v="1"/>
    </i>
    <i>
      <x v="16"/>
      <x/>
    </i>
    <i r="1" i="1">
      <x v="1"/>
    </i>
    <i>
      <x v="17"/>
      <x/>
    </i>
    <i r="1" i="1">
      <x v="1"/>
    </i>
    <i>
      <x v="18"/>
      <x/>
    </i>
    <i r="1" i="1">
      <x v="1"/>
    </i>
    <i t="grand">
      <x/>
    </i>
    <i t="grand" i="1">
      <x/>
    </i>
  </colItems>
  <dataFields count="2">
    <dataField name="Somme de Spent" fld="5" baseField="0" baseItem="0"/>
    <dataField name="Somme de Received" fld="4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Q836"/>
  <sheetViews>
    <sheetView zoomScale="73" zoomScaleNormal="73" workbookViewId="0">
      <pane xSplit="1" topLeftCell="B1" activePane="topRight" state="frozen"/>
      <selection pane="topRight" activeCell="A14" sqref="A14:XFD14"/>
    </sheetView>
  </sheetViews>
  <sheetFormatPr baseColWidth="10" defaultColWidth="11.42578125" defaultRowHeight="15"/>
  <cols>
    <col min="1" max="1" width="43.140625" style="5" customWidth="1"/>
    <col min="2" max="2" width="25.7109375" style="5" customWidth="1"/>
    <col min="3" max="3" width="28.28515625" style="5" customWidth="1"/>
    <col min="4" max="4" width="29.42578125" style="5" customWidth="1"/>
    <col min="5" max="5" width="19.5703125" style="5" customWidth="1"/>
    <col min="6" max="6" width="21" style="5" customWidth="1"/>
    <col min="7" max="7" width="36.28515625" style="5" customWidth="1"/>
    <col min="8" max="8" width="20.5703125" style="5" customWidth="1"/>
    <col min="9" max="9" width="19.7109375" style="5" customWidth="1"/>
    <col min="10" max="10" width="16.7109375" style="5" customWidth="1"/>
    <col min="11" max="11" width="18.7109375" style="5" customWidth="1"/>
    <col min="12" max="12" width="16" style="48" customWidth="1"/>
    <col min="13" max="13" width="18.7109375" style="48" customWidth="1"/>
    <col min="14" max="14" width="14.140625" style="48" customWidth="1"/>
    <col min="15" max="15" width="14.85546875" style="48" customWidth="1"/>
    <col min="16" max="16" width="11.42578125" style="5"/>
    <col min="17" max="17" width="2.85546875" style="222" customWidth="1"/>
    <col min="18" max="16384" width="11.42578125" style="5"/>
  </cols>
  <sheetData>
    <row r="2" spans="1:17" ht="15.75">
      <c r="A2" s="6" t="s">
        <v>37</v>
      </c>
      <c r="B2" s="6" t="s">
        <v>1</v>
      </c>
      <c r="C2" s="6">
        <v>44743</v>
      </c>
      <c r="D2" s="7" t="s">
        <v>38</v>
      </c>
      <c r="E2" s="7" t="s">
        <v>39</v>
      </c>
      <c r="F2" s="7" t="s">
        <v>40</v>
      </c>
      <c r="G2" s="7" t="s">
        <v>41</v>
      </c>
      <c r="H2" s="6">
        <v>44773</v>
      </c>
      <c r="I2" s="7" t="s">
        <v>42</v>
      </c>
      <c r="K2" s="47"/>
      <c r="L2" s="47" t="s">
        <v>43</v>
      </c>
      <c r="M2" s="47" t="s">
        <v>44</v>
      </c>
      <c r="N2" s="47" t="s">
        <v>45</v>
      </c>
      <c r="O2" s="47" t="s">
        <v>46</v>
      </c>
      <c r="Q2" s="5"/>
    </row>
    <row r="3" spans="1:17" ht="16.5">
      <c r="A3" s="60" t="str">
        <f>K3</f>
        <v>BCI</v>
      </c>
      <c r="B3" s="61" t="s">
        <v>47</v>
      </c>
      <c r="C3" s="63">
        <v>4291693</v>
      </c>
      <c r="D3" s="63">
        <f>+L3</f>
        <v>0</v>
      </c>
      <c r="E3" s="63">
        <f>+N3</f>
        <v>23345</v>
      </c>
      <c r="F3" s="63">
        <f>+M3</f>
        <v>4100000</v>
      </c>
      <c r="G3" s="63">
        <f t="shared" ref="G3:G13" si="0">+O3</f>
        <v>0</v>
      </c>
      <c r="H3" s="63">
        <v>168348</v>
      </c>
      <c r="I3" s="63">
        <f>+C3+D3-E3-F3+G3</f>
        <v>168348</v>
      </c>
      <c r="J3" s="9">
        <f>I3-H3</f>
        <v>0</v>
      </c>
      <c r="K3" s="47" t="s">
        <v>24</v>
      </c>
      <c r="L3" s="49">
        <v>0</v>
      </c>
      <c r="M3" s="49">
        <v>4100000</v>
      </c>
      <c r="N3" s="49">
        <v>23345</v>
      </c>
      <c r="O3" s="49">
        <v>0</v>
      </c>
      <c r="Q3" s="5"/>
    </row>
    <row r="4" spans="1:17" ht="16.5">
      <c r="A4" s="60" t="str">
        <f t="shared" ref="A4:A16" si="1">K4</f>
        <v>BCI-Sous Compte</v>
      </c>
      <c r="B4" s="61" t="s">
        <v>47</v>
      </c>
      <c r="C4" s="63">
        <v>4852627</v>
      </c>
      <c r="D4" s="63">
        <f t="shared" ref="D4:D7" si="2">+L4</f>
        <v>0</v>
      </c>
      <c r="E4" s="63">
        <f t="shared" ref="E4:E16" si="3">+N4</f>
        <v>3777704</v>
      </c>
      <c r="F4" s="63">
        <f t="shared" ref="F4:F16" si="4">+M4</f>
        <v>0</v>
      </c>
      <c r="G4" s="63">
        <f t="shared" si="0"/>
        <v>20402887</v>
      </c>
      <c r="H4" s="63">
        <v>21477810</v>
      </c>
      <c r="I4" s="63">
        <f>+C4+D4-E4-F4+G4</f>
        <v>21477810</v>
      </c>
      <c r="J4" s="9">
        <f t="shared" ref="J4:J10" si="5">I4-H4</f>
        <v>0</v>
      </c>
      <c r="K4" s="47" t="s">
        <v>158</v>
      </c>
      <c r="L4" s="48">
        <v>0</v>
      </c>
      <c r="M4" s="49">
        <v>0</v>
      </c>
      <c r="N4" s="49">
        <v>3777704</v>
      </c>
      <c r="O4" s="49">
        <v>20402887</v>
      </c>
      <c r="Q4" s="5"/>
    </row>
    <row r="5" spans="1:17" ht="16.5">
      <c r="A5" s="60" t="str">
        <f t="shared" si="1"/>
        <v>Caisse</v>
      </c>
      <c r="B5" s="61" t="s">
        <v>25</v>
      </c>
      <c r="C5" s="63">
        <v>1696326</v>
      </c>
      <c r="D5" s="63">
        <f t="shared" si="2"/>
        <v>4430000</v>
      </c>
      <c r="E5" s="63">
        <f t="shared" si="3"/>
        <v>1453294</v>
      </c>
      <c r="F5" s="63">
        <f t="shared" si="4"/>
        <v>4570000</v>
      </c>
      <c r="G5" s="63">
        <f t="shared" si="0"/>
        <v>0</v>
      </c>
      <c r="H5" s="63">
        <v>103032</v>
      </c>
      <c r="I5" s="63">
        <f>+C5+D5-E5-F5+G5</f>
        <v>103032</v>
      </c>
      <c r="J5" s="108">
        <f t="shared" si="5"/>
        <v>0</v>
      </c>
      <c r="K5" s="47" t="s">
        <v>25</v>
      </c>
      <c r="L5" s="49">
        <v>4430000</v>
      </c>
      <c r="M5" s="49">
        <v>4570000</v>
      </c>
      <c r="N5" s="49">
        <v>1453294</v>
      </c>
      <c r="O5" s="49">
        <v>0</v>
      </c>
      <c r="Q5" s="5"/>
    </row>
    <row r="6" spans="1:17" ht="16.5">
      <c r="A6" s="60" t="str">
        <f t="shared" si="1"/>
        <v>Crépin</v>
      </c>
      <c r="B6" s="61" t="s">
        <v>164</v>
      </c>
      <c r="C6" s="63">
        <v>9800</v>
      </c>
      <c r="D6" s="63">
        <f t="shared" si="2"/>
        <v>1043000</v>
      </c>
      <c r="E6" s="63">
        <f t="shared" si="3"/>
        <v>975940</v>
      </c>
      <c r="F6" s="63">
        <f t="shared" si="4"/>
        <v>82500</v>
      </c>
      <c r="G6" s="63">
        <f t="shared" si="0"/>
        <v>0</v>
      </c>
      <c r="H6" s="63">
        <v>-5640</v>
      </c>
      <c r="I6" s="63">
        <f>+C6+D6-E6-F6+G6</f>
        <v>-5640</v>
      </c>
      <c r="J6" s="9">
        <f t="shared" si="5"/>
        <v>0</v>
      </c>
      <c r="K6" s="47" t="s">
        <v>48</v>
      </c>
      <c r="L6" s="49">
        <v>1043000</v>
      </c>
      <c r="M6" s="49">
        <v>82500</v>
      </c>
      <c r="N6" s="49">
        <v>975940</v>
      </c>
      <c r="O6" s="49">
        <v>0</v>
      </c>
      <c r="Q6" s="5"/>
    </row>
    <row r="7" spans="1:17" ht="16.5">
      <c r="A7" s="60" t="str">
        <f t="shared" si="1"/>
        <v>Evariste</v>
      </c>
      <c r="B7" s="61" t="s">
        <v>165</v>
      </c>
      <c r="C7" s="63">
        <v>2295</v>
      </c>
      <c r="D7" s="63">
        <f t="shared" si="2"/>
        <v>242500</v>
      </c>
      <c r="E7" s="63">
        <f t="shared" si="3"/>
        <v>240000</v>
      </c>
      <c r="F7" s="63">
        <f t="shared" si="4"/>
        <v>0</v>
      </c>
      <c r="G7" s="63">
        <f t="shared" si="0"/>
        <v>0</v>
      </c>
      <c r="H7" s="63">
        <v>4795</v>
      </c>
      <c r="I7" s="63">
        <f t="shared" ref="I7" si="6">+C7+D7-E7-F7+G7</f>
        <v>4795</v>
      </c>
      <c r="J7" s="9">
        <f t="shared" si="5"/>
        <v>0</v>
      </c>
      <c r="K7" s="47" t="s">
        <v>31</v>
      </c>
      <c r="L7" s="49">
        <v>242500</v>
      </c>
      <c r="M7" s="49">
        <v>0</v>
      </c>
      <c r="N7" s="49">
        <v>240000</v>
      </c>
      <c r="O7" s="49">
        <v>0</v>
      </c>
      <c r="Q7" s="5"/>
    </row>
    <row r="8" spans="1:17" ht="16.5">
      <c r="A8" s="60" t="str">
        <f t="shared" si="1"/>
        <v>I55S</v>
      </c>
      <c r="B8" s="124" t="s">
        <v>4</v>
      </c>
      <c r="C8" s="126">
        <v>233614</v>
      </c>
      <c r="D8" s="126">
        <f t="shared" ref="D8:D16" si="7">+L8</f>
        <v>0</v>
      </c>
      <c r="E8" s="126">
        <f t="shared" si="3"/>
        <v>0</v>
      </c>
      <c r="F8" s="126">
        <f t="shared" si="4"/>
        <v>0</v>
      </c>
      <c r="G8" s="126">
        <f t="shared" si="0"/>
        <v>0</v>
      </c>
      <c r="H8" s="126">
        <v>233614</v>
      </c>
      <c r="I8" s="126">
        <f>+C8+D8-E8-F8+G8</f>
        <v>233614</v>
      </c>
      <c r="J8" s="9">
        <f t="shared" si="5"/>
        <v>0</v>
      </c>
      <c r="K8" s="47" t="s">
        <v>85</v>
      </c>
      <c r="L8" s="49">
        <v>0</v>
      </c>
      <c r="M8" s="49">
        <v>0</v>
      </c>
      <c r="N8" s="49">
        <v>0</v>
      </c>
      <c r="O8" s="49">
        <v>0</v>
      </c>
      <c r="Q8" s="5"/>
    </row>
    <row r="9" spans="1:17" ht="16.5">
      <c r="A9" s="60" t="str">
        <f t="shared" si="1"/>
        <v>I73X</v>
      </c>
      <c r="B9" s="124" t="s">
        <v>4</v>
      </c>
      <c r="C9" s="126">
        <v>249769</v>
      </c>
      <c r="D9" s="126">
        <f t="shared" si="7"/>
        <v>0</v>
      </c>
      <c r="E9" s="126">
        <f t="shared" si="3"/>
        <v>0</v>
      </c>
      <c r="F9" s="126">
        <f t="shared" si="4"/>
        <v>0</v>
      </c>
      <c r="G9" s="126">
        <f t="shared" si="0"/>
        <v>0</v>
      </c>
      <c r="H9" s="126">
        <v>249769</v>
      </c>
      <c r="I9" s="126">
        <f t="shared" ref="I9:I12" si="8">+C9+D9-E9-F9+G9</f>
        <v>249769</v>
      </c>
      <c r="J9" s="9">
        <f t="shared" si="5"/>
        <v>0</v>
      </c>
      <c r="K9" s="47" t="s">
        <v>84</v>
      </c>
      <c r="L9" s="49">
        <v>0</v>
      </c>
      <c r="M9" s="49">
        <v>0</v>
      </c>
      <c r="N9" s="49">
        <v>0</v>
      </c>
      <c r="O9" s="49">
        <v>0</v>
      </c>
      <c r="Q9" s="5"/>
    </row>
    <row r="10" spans="1:17" ht="16.5">
      <c r="A10" s="60" t="str">
        <f t="shared" si="1"/>
        <v>Grace</v>
      </c>
      <c r="B10" s="104" t="s">
        <v>2</v>
      </c>
      <c r="C10" s="63">
        <v>28600</v>
      </c>
      <c r="D10" s="63">
        <f t="shared" si="7"/>
        <v>389000</v>
      </c>
      <c r="E10" s="63">
        <f t="shared" si="3"/>
        <v>87785</v>
      </c>
      <c r="F10" s="63">
        <f t="shared" si="4"/>
        <v>311000</v>
      </c>
      <c r="G10" s="63">
        <f t="shared" si="0"/>
        <v>0</v>
      </c>
      <c r="H10" s="63">
        <v>18815</v>
      </c>
      <c r="I10" s="63">
        <f t="shared" si="8"/>
        <v>18815</v>
      </c>
      <c r="J10" s="9">
        <f t="shared" si="5"/>
        <v>0</v>
      </c>
      <c r="K10" s="47" t="s">
        <v>152</v>
      </c>
      <c r="L10" s="49">
        <v>389000</v>
      </c>
      <c r="M10" s="49">
        <v>311000</v>
      </c>
      <c r="N10" s="49">
        <v>87785</v>
      </c>
      <c r="O10" s="49">
        <v>0</v>
      </c>
      <c r="Q10" s="5"/>
    </row>
    <row r="11" spans="1:17" ht="16.5">
      <c r="A11" s="60" t="str">
        <f t="shared" si="1"/>
        <v>Hurielle</v>
      </c>
      <c r="B11" s="262" t="s">
        <v>164</v>
      </c>
      <c r="C11" s="63">
        <v>18000</v>
      </c>
      <c r="D11" s="63">
        <f t="shared" si="7"/>
        <v>354000</v>
      </c>
      <c r="E11" s="63">
        <f t="shared" si="3"/>
        <v>335500</v>
      </c>
      <c r="F11" s="63">
        <f t="shared" si="4"/>
        <v>0</v>
      </c>
      <c r="G11" s="63">
        <f t="shared" si="0"/>
        <v>0</v>
      </c>
      <c r="H11" s="63">
        <v>36500</v>
      </c>
      <c r="I11" s="63">
        <f t="shared" si="8"/>
        <v>36500</v>
      </c>
      <c r="J11" s="9">
        <f>I11-H11</f>
        <v>0</v>
      </c>
      <c r="K11" s="47" t="s">
        <v>209</v>
      </c>
      <c r="L11" s="49">
        <v>354000</v>
      </c>
      <c r="M11" s="49">
        <v>0</v>
      </c>
      <c r="N11" s="49">
        <v>335500</v>
      </c>
      <c r="O11" s="49">
        <v>0</v>
      </c>
      <c r="Q11" s="5"/>
    </row>
    <row r="12" spans="1:17" ht="16.5">
      <c r="A12" s="60" t="str">
        <f t="shared" si="1"/>
        <v>I23C</v>
      </c>
      <c r="B12" s="263" t="s">
        <v>4</v>
      </c>
      <c r="C12" s="63">
        <v>262050</v>
      </c>
      <c r="D12" s="63">
        <f t="shared" si="7"/>
        <v>602000</v>
      </c>
      <c r="E12" s="63">
        <f t="shared" si="3"/>
        <v>784500</v>
      </c>
      <c r="F12" s="63">
        <f t="shared" si="4"/>
        <v>0</v>
      </c>
      <c r="G12" s="63">
        <f t="shared" si="0"/>
        <v>0</v>
      </c>
      <c r="H12" s="63">
        <v>79550</v>
      </c>
      <c r="I12" s="63">
        <f t="shared" si="8"/>
        <v>79550</v>
      </c>
      <c r="J12" s="9">
        <f t="shared" ref="J12:J13" si="9">I12-H12</f>
        <v>0</v>
      </c>
      <c r="K12" s="47" t="s">
        <v>30</v>
      </c>
      <c r="L12" s="49">
        <v>602000</v>
      </c>
      <c r="M12" s="49">
        <v>0</v>
      </c>
      <c r="N12" s="49">
        <v>784500</v>
      </c>
      <c r="O12" s="49">
        <v>0</v>
      </c>
      <c r="Q12" s="5"/>
    </row>
    <row r="13" spans="1:17" ht="16.5">
      <c r="A13" s="60" t="str">
        <f t="shared" si="1"/>
        <v>Merveille</v>
      </c>
      <c r="B13" s="262" t="s">
        <v>2</v>
      </c>
      <c r="C13" s="63">
        <v>11900</v>
      </c>
      <c r="D13" s="63">
        <f t="shared" si="7"/>
        <v>96000</v>
      </c>
      <c r="E13" s="63">
        <f t="shared" si="3"/>
        <v>72000</v>
      </c>
      <c r="F13" s="63">
        <f t="shared" si="4"/>
        <v>30000</v>
      </c>
      <c r="G13" s="63">
        <f t="shared" si="0"/>
        <v>0</v>
      </c>
      <c r="H13" s="63">
        <v>5900</v>
      </c>
      <c r="I13" s="63">
        <f>+C13+D13-E13-F13+G13</f>
        <v>5900</v>
      </c>
      <c r="J13" s="9">
        <f t="shared" si="9"/>
        <v>0</v>
      </c>
      <c r="K13" s="47" t="s">
        <v>94</v>
      </c>
      <c r="L13" s="49">
        <v>96000</v>
      </c>
      <c r="M13" s="49">
        <v>30000</v>
      </c>
      <c r="N13" s="49">
        <v>72000</v>
      </c>
      <c r="O13" s="49">
        <v>0</v>
      </c>
      <c r="Q13" s="5"/>
    </row>
    <row r="14" spans="1:17" ht="16.5">
      <c r="A14" s="60" t="str">
        <f t="shared" si="1"/>
        <v>P29</v>
      </c>
      <c r="B14" s="262" t="s">
        <v>4</v>
      </c>
      <c r="C14" s="63">
        <v>221050</v>
      </c>
      <c r="D14" s="63">
        <f t="shared" si="7"/>
        <v>608500</v>
      </c>
      <c r="E14" s="63">
        <f t="shared" si="3"/>
        <v>799700</v>
      </c>
      <c r="F14" s="63">
        <f t="shared" si="4"/>
        <v>0</v>
      </c>
      <c r="G14" s="63">
        <f>+O14</f>
        <v>0</v>
      </c>
      <c r="H14" s="63">
        <v>29850</v>
      </c>
      <c r="I14" s="63">
        <f>+C14+D14-E14-F14+G14</f>
        <v>29850</v>
      </c>
      <c r="J14" s="9">
        <f>I14-H14</f>
        <v>0</v>
      </c>
      <c r="K14" s="47" t="s">
        <v>29</v>
      </c>
      <c r="L14" s="49">
        <v>608500</v>
      </c>
      <c r="M14" s="49">
        <v>0</v>
      </c>
      <c r="N14" s="49">
        <v>799700</v>
      </c>
      <c r="O14" s="49">
        <v>0</v>
      </c>
      <c r="Q14" s="5"/>
    </row>
    <row r="15" spans="1:17" ht="16.5">
      <c r="A15" s="60" t="str">
        <f t="shared" si="1"/>
        <v>Tiffany</v>
      </c>
      <c r="B15" s="61" t="s">
        <v>2</v>
      </c>
      <c r="C15" s="63">
        <v>-3959</v>
      </c>
      <c r="D15" s="63">
        <f t="shared" si="7"/>
        <v>1340000</v>
      </c>
      <c r="E15" s="63">
        <f t="shared" si="3"/>
        <v>12500</v>
      </c>
      <c r="F15" s="63">
        <f t="shared" si="4"/>
        <v>200000</v>
      </c>
      <c r="G15" s="63">
        <f t="shared" ref="G15:G16" si="10">+O15</f>
        <v>0</v>
      </c>
      <c r="H15" s="63">
        <v>1123541</v>
      </c>
      <c r="I15" s="63">
        <f t="shared" ref="I15" si="11">+C15+D15-E15-F15+G15</f>
        <v>1123541</v>
      </c>
      <c r="J15" s="9">
        <f t="shared" ref="J15" si="12">I15-H15</f>
        <v>0</v>
      </c>
      <c r="K15" s="47" t="s">
        <v>114</v>
      </c>
      <c r="L15" s="49">
        <v>1340000</v>
      </c>
      <c r="M15" s="49">
        <v>200000</v>
      </c>
      <c r="N15" s="49">
        <v>12500</v>
      </c>
      <c r="O15" s="49">
        <v>0</v>
      </c>
      <c r="Q15" s="5"/>
    </row>
    <row r="16" spans="1:17" ht="16.5">
      <c r="A16" s="60" t="str">
        <f t="shared" si="1"/>
        <v>Yan</v>
      </c>
      <c r="B16" s="61" t="s">
        <v>164</v>
      </c>
      <c r="C16" s="63">
        <v>95000</v>
      </c>
      <c r="D16" s="63">
        <f t="shared" si="7"/>
        <v>248500</v>
      </c>
      <c r="E16" s="63">
        <f t="shared" si="3"/>
        <v>283500</v>
      </c>
      <c r="F16" s="63">
        <f t="shared" si="4"/>
        <v>60000</v>
      </c>
      <c r="G16" s="63">
        <f t="shared" si="10"/>
        <v>0</v>
      </c>
      <c r="H16" s="63">
        <v>0</v>
      </c>
      <c r="I16" s="63">
        <f>+C16+D16-E16-F16+G16</f>
        <v>0</v>
      </c>
      <c r="J16" s="9">
        <f>I16-H16</f>
        <v>0</v>
      </c>
      <c r="K16" s="47" t="s">
        <v>225</v>
      </c>
      <c r="L16" s="49">
        <v>248500</v>
      </c>
      <c r="M16" s="49">
        <v>60000</v>
      </c>
      <c r="N16" s="49">
        <v>283500</v>
      </c>
      <c r="O16" s="49">
        <v>0</v>
      </c>
      <c r="Q16" s="5"/>
    </row>
    <row r="17" spans="1:17" ht="16.5">
      <c r="A17" s="10" t="s">
        <v>51</v>
      </c>
      <c r="B17" s="11"/>
      <c r="C17" s="12">
        <f t="shared" ref="C17:I17" si="13">SUM(C3:C16)</f>
        <v>11968765</v>
      </c>
      <c r="D17" s="59">
        <f t="shared" si="13"/>
        <v>9353500</v>
      </c>
      <c r="E17" s="59">
        <f t="shared" si="13"/>
        <v>8845768</v>
      </c>
      <c r="F17" s="59">
        <f t="shared" si="13"/>
        <v>9353500</v>
      </c>
      <c r="G17" s="59">
        <f t="shared" si="13"/>
        <v>20402887</v>
      </c>
      <c r="H17" s="59">
        <f t="shared" si="13"/>
        <v>23525884</v>
      </c>
      <c r="I17" s="59">
        <f t="shared" si="13"/>
        <v>23525884</v>
      </c>
      <c r="J17" s="9">
        <f>I17-H17</f>
        <v>0</v>
      </c>
      <c r="K17" s="3"/>
      <c r="L17" s="49">
        <f>+SUM(L3:L16)</f>
        <v>9353500</v>
      </c>
      <c r="M17" s="49">
        <f>+SUM(M3:M16)</f>
        <v>9353500</v>
      </c>
      <c r="N17" s="49">
        <f>+SUM(N3:N16)</f>
        <v>8845768</v>
      </c>
      <c r="O17" s="49">
        <f>+SUM(O3:O15)</f>
        <v>20402887</v>
      </c>
      <c r="Q17" s="5"/>
    </row>
    <row r="18" spans="1:17" ht="16.5">
      <c r="A18" s="10"/>
      <c r="B18" s="11"/>
      <c r="C18" s="12"/>
      <c r="D18" s="13"/>
      <c r="E18" s="12"/>
      <c r="F18" s="13"/>
      <c r="G18" s="12"/>
      <c r="H18" s="12"/>
      <c r="I18" s="143" t="b">
        <f>I17=D20</f>
        <v>1</v>
      </c>
      <c r="L18" s="5"/>
      <c r="M18" s="5"/>
      <c r="N18" s="5"/>
      <c r="O18" s="5"/>
      <c r="Q18" s="5"/>
    </row>
    <row r="19" spans="1:17" ht="16.5">
      <c r="A19" s="10" t="s">
        <v>279</v>
      </c>
      <c r="B19" s="11" t="s">
        <v>233</v>
      </c>
      <c r="C19" s="12" t="s">
        <v>280</v>
      </c>
      <c r="D19" s="12" t="s">
        <v>281</v>
      </c>
      <c r="E19" s="12" t="s">
        <v>52</v>
      </c>
      <c r="F19" s="12"/>
      <c r="G19" s="12">
        <f>+D17-F17</f>
        <v>0</v>
      </c>
      <c r="H19" s="12"/>
      <c r="I19" s="12"/>
      <c r="Q19" s="5"/>
    </row>
    <row r="20" spans="1:17" ht="16.5">
      <c r="A20" s="14">
        <f>C17</f>
        <v>11968765</v>
      </c>
      <c r="B20" s="15">
        <f>G17</f>
        <v>20402887</v>
      </c>
      <c r="C20" s="12">
        <f>E17</f>
        <v>8845768</v>
      </c>
      <c r="D20" s="12">
        <f>A20+B20-C20</f>
        <v>23525884</v>
      </c>
      <c r="E20" s="13">
        <f>I17-D20</f>
        <v>0</v>
      </c>
      <c r="F20" s="12"/>
      <c r="G20" s="12"/>
      <c r="H20" s="12"/>
      <c r="I20" s="12"/>
      <c r="Q20" s="5"/>
    </row>
    <row r="21" spans="1:17" ht="16.5">
      <c r="A21" s="14"/>
      <c r="B21" s="15"/>
      <c r="C21" s="12"/>
      <c r="D21" s="12"/>
      <c r="E21" s="13"/>
      <c r="F21" s="12"/>
      <c r="G21" s="12"/>
      <c r="H21" s="12"/>
      <c r="I21" s="12"/>
      <c r="Q21" s="5"/>
    </row>
    <row r="22" spans="1:17">
      <c r="A22" s="16" t="s">
        <v>53</v>
      </c>
      <c r="B22" s="16"/>
      <c r="C22" s="16"/>
      <c r="D22" s="17"/>
      <c r="E22" s="17"/>
      <c r="F22" s="17"/>
      <c r="G22" s="17"/>
      <c r="H22" s="17"/>
      <c r="I22" s="17"/>
      <c r="Q22" s="5"/>
    </row>
    <row r="23" spans="1:17">
      <c r="A23" s="18" t="s">
        <v>278</v>
      </c>
      <c r="B23" s="18"/>
      <c r="C23" s="18"/>
      <c r="D23" s="18"/>
      <c r="E23" s="18"/>
      <c r="F23" s="18"/>
      <c r="G23" s="18"/>
      <c r="H23" s="18"/>
      <c r="I23" s="18"/>
      <c r="J23" s="18"/>
      <c r="Q23" s="5"/>
    </row>
    <row r="24" spans="1:17">
      <c r="A24" s="19"/>
      <c r="B24" s="20"/>
      <c r="C24" s="21"/>
      <c r="D24" s="21"/>
      <c r="E24" s="21"/>
      <c r="F24" s="21"/>
      <c r="G24" s="21"/>
      <c r="H24" s="20"/>
      <c r="I24" s="20"/>
      <c r="Q24" s="5"/>
    </row>
    <row r="25" spans="1:17">
      <c r="A25" s="435" t="s">
        <v>54</v>
      </c>
      <c r="B25" s="437" t="s">
        <v>55</v>
      </c>
      <c r="C25" s="439" t="s">
        <v>276</v>
      </c>
      <c r="D25" s="441" t="s">
        <v>56</v>
      </c>
      <c r="E25" s="442"/>
      <c r="F25" s="442"/>
      <c r="G25" s="443"/>
      <c r="H25" s="444" t="s">
        <v>57</v>
      </c>
      <c r="I25" s="446" t="s">
        <v>58</v>
      </c>
      <c r="J25" s="20"/>
      <c r="Q25" s="5"/>
    </row>
    <row r="26" spans="1:17" ht="28.5" customHeight="1">
      <c r="A26" s="436"/>
      <c r="B26" s="438"/>
      <c r="C26" s="440"/>
      <c r="D26" s="22" t="s">
        <v>24</v>
      </c>
      <c r="E26" s="22" t="s">
        <v>25</v>
      </c>
      <c r="F26" s="440" t="s">
        <v>124</v>
      </c>
      <c r="G26" s="22" t="s">
        <v>59</v>
      </c>
      <c r="H26" s="445"/>
      <c r="I26" s="447"/>
      <c r="J26" s="448" t="s">
        <v>277</v>
      </c>
      <c r="K26" s="155"/>
      <c r="Q26" s="5"/>
    </row>
    <row r="27" spans="1:17">
      <c r="A27" s="24"/>
      <c r="B27" s="25" t="s">
        <v>60</v>
      </c>
      <c r="C27" s="26"/>
      <c r="D27" s="26"/>
      <c r="E27" s="26"/>
      <c r="F27" s="26"/>
      <c r="G27" s="26"/>
      <c r="H27" s="26"/>
      <c r="I27" s="27"/>
      <c r="J27" s="449"/>
      <c r="K27" s="155"/>
      <c r="Q27" s="5"/>
    </row>
    <row r="28" spans="1:17">
      <c r="A28" s="130" t="s">
        <v>73</v>
      </c>
      <c r="B28" s="135" t="s">
        <v>48</v>
      </c>
      <c r="C28" s="33">
        <f>+C6</f>
        <v>9800</v>
      </c>
      <c r="D28" s="32"/>
      <c r="E28" s="33">
        <f t="shared" ref="E28:E38" si="14">+D6</f>
        <v>1043000</v>
      </c>
      <c r="F28" s="33"/>
      <c r="G28" s="33"/>
      <c r="H28" s="57">
        <f t="shared" ref="H28:H38" si="15">+F6</f>
        <v>82500</v>
      </c>
      <c r="I28" s="33">
        <f t="shared" ref="I28:I38" si="16">+E6</f>
        <v>975940</v>
      </c>
      <c r="J28" s="31">
        <f t="shared" ref="J28:J29" si="17">+SUM(C28:G28)-(H28+I28)</f>
        <v>-5640</v>
      </c>
      <c r="K28" s="156" t="b">
        <f t="shared" ref="K28:K38" si="18">J28=I6</f>
        <v>1</v>
      </c>
      <c r="Q28" s="5"/>
    </row>
    <row r="29" spans="1:17">
      <c r="A29" s="130" t="str">
        <f>+A28</f>
        <v>JUILLET</v>
      </c>
      <c r="B29" s="135" t="s">
        <v>31</v>
      </c>
      <c r="C29" s="33">
        <f>+C7</f>
        <v>2295</v>
      </c>
      <c r="D29" s="32"/>
      <c r="E29" s="33">
        <f t="shared" si="14"/>
        <v>242500</v>
      </c>
      <c r="F29" s="33"/>
      <c r="G29" s="33"/>
      <c r="H29" s="57">
        <f t="shared" si="15"/>
        <v>0</v>
      </c>
      <c r="I29" s="33">
        <f t="shared" si="16"/>
        <v>240000</v>
      </c>
      <c r="J29" s="107">
        <f t="shared" si="17"/>
        <v>4795</v>
      </c>
      <c r="K29" s="156" t="b">
        <f t="shared" si="18"/>
        <v>1</v>
      </c>
      <c r="Q29" s="5"/>
    </row>
    <row r="30" spans="1:17">
      <c r="A30" s="130" t="str">
        <f t="shared" ref="A30:A34" si="19">+A29</f>
        <v>JUILLET</v>
      </c>
      <c r="B30" s="137" t="s">
        <v>85</v>
      </c>
      <c r="C30" s="128">
        <f>+C8</f>
        <v>233614</v>
      </c>
      <c r="D30" s="131"/>
      <c r="E30" s="128">
        <f t="shared" si="14"/>
        <v>0</v>
      </c>
      <c r="F30" s="146"/>
      <c r="G30" s="146"/>
      <c r="H30" s="180">
        <f t="shared" si="15"/>
        <v>0</v>
      </c>
      <c r="I30" s="128">
        <f t="shared" si="16"/>
        <v>0</v>
      </c>
      <c r="J30" s="129">
        <f>+SUM(C30:G30)-(H30+I30)</f>
        <v>233614</v>
      </c>
      <c r="K30" s="156" t="b">
        <f t="shared" si="18"/>
        <v>1</v>
      </c>
      <c r="Q30" s="5"/>
    </row>
    <row r="31" spans="1:17">
      <c r="A31" s="130" t="str">
        <f t="shared" si="19"/>
        <v>JUILLET</v>
      </c>
      <c r="B31" s="137" t="s">
        <v>84</v>
      </c>
      <c r="C31" s="128">
        <f>+C9</f>
        <v>249769</v>
      </c>
      <c r="D31" s="131"/>
      <c r="E31" s="128">
        <f t="shared" si="14"/>
        <v>0</v>
      </c>
      <c r="F31" s="146"/>
      <c r="G31" s="146"/>
      <c r="H31" s="180">
        <f t="shared" si="15"/>
        <v>0</v>
      </c>
      <c r="I31" s="128">
        <f t="shared" si="16"/>
        <v>0</v>
      </c>
      <c r="J31" s="129">
        <f t="shared" ref="J31:J38" si="20">+SUM(C31:G31)-(H31+I31)</f>
        <v>249769</v>
      </c>
      <c r="K31" s="156" t="b">
        <f t="shared" si="18"/>
        <v>1</v>
      </c>
      <c r="Q31" s="5"/>
    </row>
    <row r="32" spans="1:17">
      <c r="A32" s="130" t="str">
        <f t="shared" si="19"/>
        <v>JUILLET</v>
      </c>
      <c r="B32" s="135" t="s">
        <v>152</v>
      </c>
      <c r="C32" s="33">
        <f>+C10</f>
        <v>28600</v>
      </c>
      <c r="D32" s="32"/>
      <c r="E32" s="33">
        <f t="shared" si="14"/>
        <v>389000</v>
      </c>
      <c r="F32" s="33"/>
      <c r="G32" s="110"/>
      <c r="H32" s="57">
        <f t="shared" si="15"/>
        <v>311000</v>
      </c>
      <c r="I32" s="33">
        <f t="shared" si="16"/>
        <v>87785</v>
      </c>
      <c r="J32" s="31">
        <f t="shared" si="20"/>
        <v>18815</v>
      </c>
      <c r="K32" s="156" t="b">
        <f t="shared" si="18"/>
        <v>1</v>
      </c>
      <c r="Q32" s="5"/>
    </row>
    <row r="33" spans="1:17">
      <c r="A33" s="130" t="str">
        <f t="shared" si="19"/>
        <v>JUILLET</v>
      </c>
      <c r="B33" s="135" t="s">
        <v>209</v>
      </c>
      <c r="C33" s="33">
        <f t="shared" ref="C33:C38" si="21">+C11</f>
        <v>18000</v>
      </c>
      <c r="D33" s="32"/>
      <c r="E33" s="33">
        <f t="shared" si="14"/>
        <v>354000</v>
      </c>
      <c r="F33" s="33"/>
      <c r="G33" s="110"/>
      <c r="H33" s="57">
        <f t="shared" si="15"/>
        <v>0</v>
      </c>
      <c r="I33" s="33">
        <f t="shared" si="16"/>
        <v>335500</v>
      </c>
      <c r="J33" s="31">
        <f t="shared" si="20"/>
        <v>36500</v>
      </c>
      <c r="K33" s="156" t="b">
        <f t="shared" si="18"/>
        <v>1</v>
      </c>
      <c r="Q33" s="5"/>
    </row>
    <row r="34" spans="1:17">
      <c r="A34" s="130" t="str">
        <f t="shared" si="19"/>
        <v>JUILLET</v>
      </c>
      <c r="B34" s="135" t="s">
        <v>30</v>
      </c>
      <c r="C34" s="33">
        <f t="shared" si="21"/>
        <v>262050</v>
      </c>
      <c r="D34" s="32"/>
      <c r="E34" s="33">
        <f t="shared" si="14"/>
        <v>602000</v>
      </c>
      <c r="F34" s="33"/>
      <c r="G34" s="110"/>
      <c r="H34" s="57">
        <f t="shared" si="15"/>
        <v>0</v>
      </c>
      <c r="I34" s="33">
        <f t="shared" si="16"/>
        <v>784500</v>
      </c>
      <c r="J34" s="31">
        <f t="shared" si="20"/>
        <v>79550</v>
      </c>
      <c r="K34" s="156" t="b">
        <f t="shared" si="18"/>
        <v>1</v>
      </c>
      <c r="Q34" s="5"/>
    </row>
    <row r="35" spans="1:17">
      <c r="A35" s="130" t="str">
        <f>+A33</f>
        <v>JUILLET</v>
      </c>
      <c r="B35" s="135" t="s">
        <v>94</v>
      </c>
      <c r="C35" s="33">
        <f t="shared" si="21"/>
        <v>11900</v>
      </c>
      <c r="D35" s="32"/>
      <c r="E35" s="33">
        <f t="shared" si="14"/>
        <v>96000</v>
      </c>
      <c r="F35" s="33"/>
      <c r="G35" s="110"/>
      <c r="H35" s="57">
        <f t="shared" si="15"/>
        <v>30000</v>
      </c>
      <c r="I35" s="33">
        <f t="shared" si="16"/>
        <v>72000</v>
      </c>
      <c r="J35" s="31">
        <f t="shared" si="20"/>
        <v>5900</v>
      </c>
      <c r="K35" s="156" t="b">
        <f t="shared" si="18"/>
        <v>1</v>
      </c>
      <c r="Q35" s="5"/>
    </row>
    <row r="36" spans="1:17">
      <c r="A36" s="130" t="str">
        <f>+A34</f>
        <v>JUILLET</v>
      </c>
      <c r="B36" s="135" t="s">
        <v>29</v>
      </c>
      <c r="C36" s="33">
        <f t="shared" si="21"/>
        <v>221050</v>
      </c>
      <c r="D36" s="32"/>
      <c r="E36" s="33">
        <f t="shared" si="14"/>
        <v>608500</v>
      </c>
      <c r="F36" s="33"/>
      <c r="G36" s="110"/>
      <c r="H36" s="57">
        <f t="shared" si="15"/>
        <v>0</v>
      </c>
      <c r="I36" s="33">
        <f t="shared" si="16"/>
        <v>799700</v>
      </c>
      <c r="J36" s="31">
        <f t="shared" si="20"/>
        <v>29850</v>
      </c>
      <c r="K36" s="156" t="b">
        <f t="shared" si="18"/>
        <v>1</v>
      </c>
      <c r="Q36" s="5"/>
    </row>
    <row r="37" spans="1:17">
      <c r="A37" s="130" t="str">
        <f>+A35</f>
        <v>JUILLET</v>
      </c>
      <c r="B37" s="136" t="s">
        <v>114</v>
      </c>
      <c r="C37" s="33">
        <f t="shared" si="21"/>
        <v>-3959</v>
      </c>
      <c r="D37" s="127"/>
      <c r="E37" s="33">
        <f t="shared" si="14"/>
        <v>1340000</v>
      </c>
      <c r="F37" s="53"/>
      <c r="G37" s="147"/>
      <c r="H37" s="57">
        <f t="shared" si="15"/>
        <v>200000</v>
      </c>
      <c r="I37" s="33">
        <f t="shared" si="16"/>
        <v>12500</v>
      </c>
      <c r="J37" s="31">
        <f t="shared" si="20"/>
        <v>1123541</v>
      </c>
      <c r="K37" s="156" t="b">
        <f t="shared" si="18"/>
        <v>1</v>
      </c>
      <c r="Q37" s="5"/>
    </row>
    <row r="38" spans="1:17">
      <c r="A38" s="130" t="str">
        <f>+A36</f>
        <v>JUILLET</v>
      </c>
      <c r="B38" s="136" t="s">
        <v>225</v>
      </c>
      <c r="C38" s="33">
        <f t="shared" si="21"/>
        <v>95000</v>
      </c>
      <c r="D38" s="127"/>
      <c r="E38" s="33">
        <f t="shared" si="14"/>
        <v>248500</v>
      </c>
      <c r="F38" s="53"/>
      <c r="G38" s="147"/>
      <c r="H38" s="57">
        <f t="shared" si="15"/>
        <v>60000</v>
      </c>
      <c r="I38" s="33">
        <f t="shared" si="16"/>
        <v>283500</v>
      </c>
      <c r="J38" s="31">
        <f t="shared" si="20"/>
        <v>0</v>
      </c>
      <c r="K38" s="156" t="b">
        <f t="shared" si="18"/>
        <v>1</v>
      </c>
      <c r="Q38" s="5"/>
    </row>
    <row r="39" spans="1:17">
      <c r="A39" s="35" t="s">
        <v>61</v>
      </c>
      <c r="B39" s="36"/>
      <c r="C39" s="36"/>
      <c r="D39" s="36"/>
      <c r="E39" s="36"/>
      <c r="F39" s="36"/>
      <c r="G39" s="36"/>
      <c r="H39" s="36"/>
      <c r="I39" s="36"/>
      <c r="J39" s="37"/>
      <c r="K39" s="155"/>
      <c r="Q39" s="5"/>
    </row>
    <row r="40" spans="1:17">
      <c r="A40" s="130" t="str">
        <f>+A38</f>
        <v>JUILLET</v>
      </c>
      <c r="B40" s="38" t="s">
        <v>62</v>
      </c>
      <c r="C40" s="39">
        <f>+C5</f>
        <v>1696326</v>
      </c>
      <c r="D40" s="51"/>
      <c r="E40" s="51">
        <f>D5</f>
        <v>4430000</v>
      </c>
      <c r="F40" s="51"/>
      <c r="G40" s="133"/>
      <c r="H40" s="53">
        <f>+F5</f>
        <v>4570000</v>
      </c>
      <c r="I40" s="134">
        <f>+E5</f>
        <v>1453294</v>
      </c>
      <c r="J40" s="46">
        <f>+SUM(C40:G40)-(H40+I40)</f>
        <v>103032</v>
      </c>
      <c r="K40" s="156" t="b">
        <f>J40=I5</f>
        <v>1</v>
      </c>
      <c r="Q40" s="5"/>
    </row>
    <row r="41" spans="1:17">
      <c r="A41" s="44" t="s">
        <v>63</v>
      </c>
      <c r="B41" s="25"/>
      <c r="C41" s="36"/>
      <c r="D41" s="25"/>
      <c r="E41" s="25"/>
      <c r="F41" s="25"/>
      <c r="G41" s="25"/>
      <c r="H41" s="25"/>
      <c r="I41" s="25"/>
      <c r="J41" s="37"/>
      <c r="K41" s="155"/>
      <c r="Q41" s="5"/>
    </row>
    <row r="42" spans="1:17">
      <c r="A42" s="130" t="str">
        <f>+A40</f>
        <v>JUILLET</v>
      </c>
      <c r="B42" s="38" t="s">
        <v>167</v>
      </c>
      <c r="C42" s="133">
        <f>+C3</f>
        <v>4291693</v>
      </c>
      <c r="D42" s="140">
        <f>+G3</f>
        <v>0</v>
      </c>
      <c r="E42" s="51"/>
      <c r="F42" s="51"/>
      <c r="G42" s="51"/>
      <c r="H42" s="53">
        <f>+F3</f>
        <v>4100000</v>
      </c>
      <c r="I42" s="55">
        <f>+E3</f>
        <v>23345</v>
      </c>
      <c r="J42" s="46">
        <f>+SUM(C42:G42)-(H42+I42)</f>
        <v>168348</v>
      </c>
      <c r="K42" s="156" t="b">
        <f>+J42=I3</f>
        <v>1</v>
      </c>
      <c r="Q42" s="5"/>
    </row>
    <row r="43" spans="1:17">
      <c r="A43" s="130" t="str">
        <f t="shared" ref="A43" si="22">+A42</f>
        <v>JUILLET</v>
      </c>
      <c r="B43" s="38" t="s">
        <v>65</v>
      </c>
      <c r="C43" s="133">
        <f>+C4</f>
        <v>4852627</v>
      </c>
      <c r="D43" s="51">
        <f>+G4</f>
        <v>20402887</v>
      </c>
      <c r="E43" s="50"/>
      <c r="F43" s="50"/>
      <c r="G43" s="50"/>
      <c r="H43" s="33">
        <f>+F4</f>
        <v>0</v>
      </c>
      <c r="I43" s="52">
        <f>+E4</f>
        <v>3777704</v>
      </c>
      <c r="J43" s="46">
        <f>SUM(C43:G43)-(H43+I43)</f>
        <v>21477810</v>
      </c>
      <c r="K43" s="156" t="b">
        <f>+J43=I4</f>
        <v>1</v>
      </c>
      <c r="Q43" s="5"/>
    </row>
    <row r="44" spans="1:17" ht="15.75">
      <c r="C44" s="151">
        <f>SUM(C28:C43)</f>
        <v>11968765</v>
      </c>
      <c r="I44" s="149">
        <f>SUM(I28:I43)</f>
        <v>8845768</v>
      </c>
      <c r="J44" s="111">
        <f>+SUM(J28:J43)</f>
        <v>23525884</v>
      </c>
      <c r="K44" s="5" t="b">
        <f>J44=I17</f>
        <v>1</v>
      </c>
      <c r="Q44" s="5"/>
    </row>
    <row r="45" spans="1:17" ht="15.75">
      <c r="A45" s="217"/>
      <c r="B45" s="217"/>
      <c r="C45" s="218"/>
      <c r="D45" s="217"/>
      <c r="E45" s="217"/>
      <c r="F45" s="217"/>
      <c r="G45" s="217"/>
      <c r="H45" s="217"/>
      <c r="I45" s="219"/>
      <c r="J45" s="220"/>
      <c r="K45" s="217"/>
      <c r="L45" s="221"/>
      <c r="M45" s="221"/>
      <c r="N45" s="221"/>
      <c r="O45" s="221"/>
      <c r="P45" s="217"/>
      <c r="Q45" s="5"/>
    </row>
    <row r="48" spans="1:17" ht="15.75">
      <c r="A48" s="6" t="s">
        <v>37</v>
      </c>
      <c r="B48" s="6" t="s">
        <v>1</v>
      </c>
      <c r="C48" s="6">
        <v>44713</v>
      </c>
      <c r="D48" s="7" t="s">
        <v>38</v>
      </c>
      <c r="E48" s="7" t="s">
        <v>39</v>
      </c>
      <c r="F48" s="7" t="s">
        <v>40</v>
      </c>
      <c r="G48" s="7" t="s">
        <v>41</v>
      </c>
      <c r="H48" s="6">
        <v>44742</v>
      </c>
      <c r="I48" s="7" t="s">
        <v>42</v>
      </c>
      <c r="K48" s="47"/>
      <c r="L48" s="47" t="s">
        <v>43</v>
      </c>
      <c r="M48" s="47" t="s">
        <v>44</v>
      </c>
      <c r="N48" s="47" t="s">
        <v>45</v>
      </c>
      <c r="O48" s="47" t="s">
        <v>46</v>
      </c>
      <c r="Q48" s="5"/>
    </row>
    <row r="49" spans="1:17" ht="16.5">
      <c r="A49" s="60" t="str">
        <f>K49</f>
        <v>BCI</v>
      </c>
      <c r="B49" s="61" t="s">
        <v>47</v>
      </c>
      <c r="C49" s="63">
        <v>8575038</v>
      </c>
      <c r="D49" s="63">
        <f>+L49</f>
        <v>0</v>
      </c>
      <c r="E49" s="63">
        <f>+N49</f>
        <v>283345</v>
      </c>
      <c r="F49" s="63">
        <f>+M49</f>
        <v>4000000</v>
      </c>
      <c r="G49" s="63">
        <f t="shared" ref="G49:G59" si="23">+O49</f>
        <v>0</v>
      </c>
      <c r="H49" s="63">
        <v>4291693</v>
      </c>
      <c r="I49" s="63">
        <f>+C49+D49-E49-F49+G49</f>
        <v>4291693</v>
      </c>
      <c r="J49" s="9">
        <f>I49-H49</f>
        <v>0</v>
      </c>
      <c r="K49" s="47" t="s">
        <v>24</v>
      </c>
      <c r="L49" s="49">
        <v>0</v>
      </c>
      <c r="M49" s="49">
        <v>4000000</v>
      </c>
      <c r="N49" s="49">
        <v>283345</v>
      </c>
      <c r="O49" s="49">
        <v>0</v>
      </c>
      <c r="Q49" s="5"/>
    </row>
    <row r="50" spans="1:17" ht="16.5">
      <c r="A50" s="60" t="str">
        <f t="shared" ref="A50:A62" si="24">K50</f>
        <v>BCI-Sous Compte</v>
      </c>
      <c r="B50" s="61" t="s">
        <v>47</v>
      </c>
      <c r="C50" s="63">
        <v>12231533</v>
      </c>
      <c r="D50" s="63">
        <f t="shared" ref="D50:D62" si="25">+L50</f>
        <v>0</v>
      </c>
      <c r="E50" s="63">
        <f t="shared" ref="E50:E62" si="26">+N50</f>
        <v>5378906</v>
      </c>
      <c r="F50" s="63">
        <f t="shared" ref="F50:F62" si="27">+M50</f>
        <v>2000000</v>
      </c>
      <c r="G50" s="63">
        <f t="shared" si="23"/>
        <v>0</v>
      </c>
      <c r="H50" s="63">
        <v>4852627</v>
      </c>
      <c r="I50" s="63">
        <f>+C50+D50-E50-F50+G50</f>
        <v>4852627</v>
      </c>
      <c r="J50" s="9">
        <f t="shared" ref="J50:J56" si="28">I50-H50</f>
        <v>0</v>
      </c>
      <c r="K50" s="47" t="s">
        <v>158</v>
      </c>
      <c r="L50" s="49">
        <v>0</v>
      </c>
      <c r="M50" s="49">
        <v>2000000</v>
      </c>
      <c r="N50" s="49">
        <v>5378906</v>
      </c>
      <c r="O50" s="49">
        <v>0</v>
      </c>
      <c r="Q50" s="5"/>
    </row>
    <row r="51" spans="1:17" ht="16.5">
      <c r="A51" s="60" t="str">
        <f t="shared" si="24"/>
        <v>Caisse</v>
      </c>
      <c r="B51" s="61" t="s">
        <v>25</v>
      </c>
      <c r="C51" s="63">
        <v>1700406</v>
      </c>
      <c r="D51" s="63">
        <f t="shared" si="25"/>
        <v>6172450</v>
      </c>
      <c r="E51" s="63">
        <f t="shared" si="26"/>
        <v>2587130</v>
      </c>
      <c r="F51" s="63">
        <f t="shared" si="27"/>
        <v>3589400</v>
      </c>
      <c r="G51" s="63">
        <f t="shared" si="23"/>
        <v>0</v>
      </c>
      <c r="H51" s="63">
        <v>1696326</v>
      </c>
      <c r="I51" s="63">
        <f>+C51+D51-E51-F51+G51</f>
        <v>1696326</v>
      </c>
      <c r="J51" s="108">
        <f t="shared" si="28"/>
        <v>0</v>
      </c>
      <c r="K51" s="47" t="s">
        <v>25</v>
      </c>
      <c r="L51" s="49">
        <v>6172450</v>
      </c>
      <c r="M51" s="49">
        <v>3589400</v>
      </c>
      <c r="N51" s="49">
        <v>2587130</v>
      </c>
      <c r="O51" s="49">
        <v>0</v>
      </c>
      <c r="Q51" s="5"/>
    </row>
    <row r="52" spans="1:17" ht="16.5">
      <c r="A52" s="60" t="str">
        <f t="shared" si="24"/>
        <v>Crépin</v>
      </c>
      <c r="B52" s="61" t="s">
        <v>164</v>
      </c>
      <c r="C52" s="63">
        <v>15750</v>
      </c>
      <c r="D52" s="63">
        <f t="shared" si="25"/>
        <v>1223400</v>
      </c>
      <c r="E52" s="63">
        <f t="shared" si="26"/>
        <v>1184350</v>
      </c>
      <c r="F52" s="63">
        <f t="shared" si="27"/>
        <v>45000</v>
      </c>
      <c r="G52" s="63">
        <f t="shared" si="23"/>
        <v>0</v>
      </c>
      <c r="H52" s="63">
        <v>9800</v>
      </c>
      <c r="I52" s="63">
        <f>+C52+D52-E52-F52+G52</f>
        <v>9800</v>
      </c>
      <c r="J52" s="9">
        <f t="shared" si="28"/>
        <v>0</v>
      </c>
      <c r="K52" s="47" t="s">
        <v>48</v>
      </c>
      <c r="L52" s="49">
        <v>1223400</v>
      </c>
      <c r="M52" s="49">
        <v>45000</v>
      </c>
      <c r="N52" s="49">
        <v>1184350</v>
      </c>
      <c r="O52" s="49">
        <v>0</v>
      </c>
      <c r="Q52" s="5"/>
    </row>
    <row r="53" spans="1:17" ht="16.5">
      <c r="A53" s="60" t="str">
        <f t="shared" si="24"/>
        <v>Evariste</v>
      </c>
      <c r="B53" s="61" t="s">
        <v>165</v>
      </c>
      <c r="C53" s="63">
        <v>8795</v>
      </c>
      <c r="D53" s="63">
        <f t="shared" si="25"/>
        <v>248000</v>
      </c>
      <c r="E53" s="63">
        <f t="shared" si="26"/>
        <v>254500</v>
      </c>
      <c r="F53" s="63">
        <f t="shared" si="27"/>
        <v>0</v>
      </c>
      <c r="G53" s="63">
        <f t="shared" si="23"/>
        <v>0</v>
      </c>
      <c r="H53" s="63">
        <v>2295</v>
      </c>
      <c r="I53" s="63">
        <f t="shared" ref="I53" si="29">+C53+D53-E53-F53+G53</f>
        <v>2295</v>
      </c>
      <c r="J53" s="9">
        <f t="shared" si="28"/>
        <v>0</v>
      </c>
      <c r="K53" s="47" t="s">
        <v>31</v>
      </c>
      <c r="L53" s="49">
        <v>248000</v>
      </c>
      <c r="M53" s="49">
        <v>0</v>
      </c>
      <c r="N53" s="49">
        <v>254500</v>
      </c>
      <c r="O53" s="49">
        <v>0</v>
      </c>
      <c r="Q53" s="5"/>
    </row>
    <row r="54" spans="1:17" ht="16.5">
      <c r="A54" s="60" t="str">
        <f t="shared" si="24"/>
        <v>I55S</v>
      </c>
      <c r="B54" s="124" t="s">
        <v>4</v>
      </c>
      <c r="C54" s="126">
        <v>233614</v>
      </c>
      <c r="D54" s="126">
        <f t="shared" si="25"/>
        <v>0</v>
      </c>
      <c r="E54" s="126">
        <f t="shared" si="26"/>
        <v>0</v>
      </c>
      <c r="F54" s="126">
        <f t="shared" si="27"/>
        <v>0</v>
      </c>
      <c r="G54" s="126">
        <f t="shared" si="23"/>
        <v>0</v>
      </c>
      <c r="H54" s="126">
        <v>233614</v>
      </c>
      <c r="I54" s="126">
        <f>+C54+D54-E54-F54+G54</f>
        <v>233614</v>
      </c>
      <c r="J54" s="9">
        <f t="shared" si="28"/>
        <v>0</v>
      </c>
      <c r="K54" s="47" t="s">
        <v>85</v>
      </c>
      <c r="L54" s="49">
        <v>0</v>
      </c>
      <c r="M54" s="49">
        <v>0</v>
      </c>
      <c r="N54" s="49">
        <v>0</v>
      </c>
      <c r="O54" s="49">
        <v>0</v>
      </c>
      <c r="Q54" s="5"/>
    </row>
    <row r="55" spans="1:17" ht="16.5">
      <c r="A55" s="60" t="str">
        <f t="shared" si="24"/>
        <v>I73X</v>
      </c>
      <c r="B55" s="124" t="s">
        <v>4</v>
      </c>
      <c r="C55" s="126">
        <v>249769</v>
      </c>
      <c r="D55" s="126">
        <f t="shared" si="25"/>
        <v>0</v>
      </c>
      <c r="E55" s="126">
        <f t="shared" si="26"/>
        <v>0</v>
      </c>
      <c r="F55" s="126">
        <f t="shared" si="27"/>
        <v>0</v>
      </c>
      <c r="G55" s="126">
        <f t="shared" si="23"/>
        <v>0</v>
      </c>
      <c r="H55" s="126">
        <v>249769</v>
      </c>
      <c r="I55" s="126">
        <f t="shared" ref="I55:I58" si="30">+C55+D55-E55-F55+G55</f>
        <v>249769</v>
      </c>
      <c r="J55" s="9">
        <f t="shared" si="28"/>
        <v>0</v>
      </c>
      <c r="K55" s="47" t="s">
        <v>84</v>
      </c>
      <c r="L55" s="49">
        <v>0</v>
      </c>
      <c r="M55" s="49">
        <v>0</v>
      </c>
      <c r="N55" s="49">
        <v>0</v>
      </c>
      <c r="O55" s="49">
        <v>0</v>
      </c>
      <c r="Q55" s="5"/>
    </row>
    <row r="56" spans="1:17" ht="16.5">
      <c r="A56" s="60" t="str">
        <f t="shared" si="24"/>
        <v>Grace</v>
      </c>
      <c r="B56" s="104" t="s">
        <v>2</v>
      </c>
      <c r="C56" s="63">
        <v>14700</v>
      </c>
      <c r="D56" s="63">
        <f t="shared" si="25"/>
        <v>994000</v>
      </c>
      <c r="E56" s="63">
        <f t="shared" si="26"/>
        <v>220100</v>
      </c>
      <c r="F56" s="63">
        <f t="shared" si="27"/>
        <v>760000</v>
      </c>
      <c r="G56" s="63">
        <f t="shared" si="23"/>
        <v>0</v>
      </c>
      <c r="H56" s="63">
        <v>28600</v>
      </c>
      <c r="I56" s="63">
        <f t="shared" si="30"/>
        <v>28600</v>
      </c>
      <c r="J56" s="9">
        <f t="shared" si="28"/>
        <v>0</v>
      </c>
      <c r="K56" s="47" t="s">
        <v>152</v>
      </c>
      <c r="L56" s="49">
        <v>994000</v>
      </c>
      <c r="M56" s="49">
        <v>760000</v>
      </c>
      <c r="N56" s="49">
        <v>220100</v>
      </c>
      <c r="O56" s="49">
        <v>0</v>
      </c>
      <c r="Q56" s="5"/>
    </row>
    <row r="57" spans="1:17" ht="16.5">
      <c r="A57" s="60" t="str">
        <f t="shared" si="24"/>
        <v>Hurielle</v>
      </c>
      <c r="B57" s="262" t="s">
        <v>164</v>
      </c>
      <c r="C57" s="63">
        <v>46950</v>
      </c>
      <c r="D57" s="63">
        <f t="shared" si="25"/>
        <v>254000</v>
      </c>
      <c r="E57" s="63">
        <f t="shared" si="26"/>
        <v>245500</v>
      </c>
      <c r="F57" s="63">
        <f t="shared" si="27"/>
        <v>37450</v>
      </c>
      <c r="G57" s="63">
        <f t="shared" si="23"/>
        <v>0</v>
      </c>
      <c r="H57" s="63">
        <v>18000</v>
      </c>
      <c r="I57" s="63">
        <f t="shared" si="30"/>
        <v>18000</v>
      </c>
      <c r="J57" s="9">
        <f>I57-H57</f>
        <v>0</v>
      </c>
      <c r="K57" s="47" t="s">
        <v>209</v>
      </c>
      <c r="L57" s="49">
        <v>254000</v>
      </c>
      <c r="M57" s="49">
        <v>37450</v>
      </c>
      <c r="N57" s="49">
        <v>245500</v>
      </c>
      <c r="O57" s="49">
        <v>0</v>
      </c>
      <c r="Q57" s="5"/>
    </row>
    <row r="58" spans="1:17" ht="16.5">
      <c r="A58" s="60" t="str">
        <f t="shared" si="24"/>
        <v>I23C</v>
      </c>
      <c r="B58" s="263" t="s">
        <v>4</v>
      </c>
      <c r="C58" s="63">
        <v>112050</v>
      </c>
      <c r="D58" s="63">
        <f t="shared" si="25"/>
        <v>584000</v>
      </c>
      <c r="E58" s="63">
        <f t="shared" si="26"/>
        <v>434000</v>
      </c>
      <c r="F58" s="63">
        <f t="shared" si="27"/>
        <v>0</v>
      </c>
      <c r="G58" s="63">
        <f t="shared" si="23"/>
        <v>0</v>
      </c>
      <c r="H58" s="63">
        <v>262050</v>
      </c>
      <c r="I58" s="63">
        <f t="shared" si="30"/>
        <v>262050</v>
      </c>
      <c r="J58" s="9">
        <f t="shared" ref="J58:J59" si="31">I58-H58</f>
        <v>0</v>
      </c>
      <c r="K58" s="47" t="s">
        <v>30</v>
      </c>
      <c r="L58" s="49">
        <v>584000</v>
      </c>
      <c r="M58" s="49">
        <v>0</v>
      </c>
      <c r="N58" s="49">
        <v>434000</v>
      </c>
      <c r="O58" s="49">
        <v>0</v>
      </c>
      <c r="Q58" s="5"/>
    </row>
    <row r="59" spans="1:17" ht="16.5">
      <c r="A59" s="60" t="str">
        <f t="shared" si="24"/>
        <v>Merveille</v>
      </c>
      <c r="B59" s="262" t="s">
        <v>2</v>
      </c>
      <c r="C59" s="63">
        <v>2900</v>
      </c>
      <c r="D59" s="63">
        <f t="shared" si="25"/>
        <v>40000</v>
      </c>
      <c r="E59" s="63">
        <f t="shared" si="26"/>
        <v>31000</v>
      </c>
      <c r="F59" s="63">
        <f t="shared" si="27"/>
        <v>0</v>
      </c>
      <c r="G59" s="63">
        <f t="shared" si="23"/>
        <v>0</v>
      </c>
      <c r="H59" s="63">
        <v>11900</v>
      </c>
      <c r="I59" s="63">
        <f>+C59+D59-E59-F59+G59</f>
        <v>11900</v>
      </c>
      <c r="J59" s="9">
        <f t="shared" si="31"/>
        <v>0</v>
      </c>
      <c r="K59" s="47" t="s">
        <v>94</v>
      </c>
      <c r="L59" s="49">
        <v>40000</v>
      </c>
      <c r="M59" s="49">
        <v>0</v>
      </c>
      <c r="N59" s="49">
        <v>31000</v>
      </c>
      <c r="O59" s="49">
        <v>0</v>
      </c>
      <c r="Q59" s="5"/>
    </row>
    <row r="60" spans="1:17" ht="16.5">
      <c r="A60" s="60" t="str">
        <f t="shared" si="24"/>
        <v>P29</v>
      </c>
      <c r="B60" s="262" t="s">
        <v>4</v>
      </c>
      <c r="C60" s="63">
        <v>140700</v>
      </c>
      <c r="D60" s="63">
        <f t="shared" si="25"/>
        <v>638000</v>
      </c>
      <c r="E60" s="63">
        <f t="shared" si="26"/>
        <v>507650</v>
      </c>
      <c r="F60" s="63">
        <f t="shared" si="27"/>
        <v>50000</v>
      </c>
      <c r="G60" s="63">
        <f>+O60</f>
        <v>0</v>
      </c>
      <c r="H60" s="63">
        <v>221050</v>
      </c>
      <c r="I60" s="63">
        <f>+C60+D60-E60-F60+G60</f>
        <v>221050</v>
      </c>
      <c r="J60" s="9">
        <f>I60-H60</f>
        <v>0</v>
      </c>
      <c r="K60" s="47" t="s">
        <v>29</v>
      </c>
      <c r="L60" s="49">
        <v>638000</v>
      </c>
      <c r="M60" s="49">
        <v>50000</v>
      </c>
      <c r="N60" s="49">
        <v>507650</v>
      </c>
      <c r="O60" s="49">
        <v>0</v>
      </c>
      <c r="Q60" s="5"/>
    </row>
    <row r="61" spans="1:17" ht="16.5">
      <c r="A61" s="60" t="str">
        <f t="shared" si="24"/>
        <v>Tiffany</v>
      </c>
      <c r="B61" s="61" t="s">
        <v>2</v>
      </c>
      <c r="C61" s="63">
        <v>2241</v>
      </c>
      <c r="D61" s="63">
        <f t="shared" si="25"/>
        <v>0</v>
      </c>
      <c r="E61" s="63">
        <f t="shared" si="26"/>
        <v>6200</v>
      </c>
      <c r="F61" s="63">
        <f t="shared" si="27"/>
        <v>0</v>
      </c>
      <c r="G61" s="63">
        <f t="shared" ref="G61:G62" si="32">+O61</f>
        <v>0</v>
      </c>
      <c r="H61" s="63">
        <v>-3959</v>
      </c>
      <c r="I61" s="63">
        <f t="shared" ref="I61" si="33">+C61+D61-E61-F61+G61</f>
        <v>-3959</v>
      </c>
      <c r="J61" s="9">
        <f t="shared" ref="J61" si="34">I61-H61</f>
        <v>0</v>
      </c>
      <c r="K61" s="47" t="s">
        <v>114</v>
      </c>
      <c r="L61" s="49">
        <v>0</v>
      </c>
      <c r="M61" s="49">
        <v>0</v>
      </c>
      <c r="N61" s="49">
        <v>6200</v>
      </c>
      <c r="O61" s="49">
        <v>0</v>
      </c>
      <c r="Q61" s="5"/>
    </row>
    <row r="62" spans="1:17" ht="16.5">
      <c r="A62" s="60" t="str">
        <f t="shared" si="24"/>
        <v>Yan</v>
      </c>
      <c r="B62" s="61" t="s">
        <v>164</v>
      </c>
      <c r="C62" s="63">
        <v>10500</v>
      </c>
      <c r="D62" s="63">
        <f t="shared" si="25"/>
        <v>368000</v>
      </c>
      <c r="E62" s="63">
        <f t="shared" si="26"/>
        <v>243500</v>
      </c>
      <c r="F62" s="63">
        <f t="shared" si="27"/>
        <v>40000</v>
      </c>
      <c r="G62" s="63">
        <f t="shared" si="32"/>
        <v>0</v>
      </c>
      <c r="H62" s="63">
        <v>95000</v>
      </c>
      <c r="I62" s="63">
        <f>+C62+D62-E62-F62+G62</f>
        <v>95000</v>
      </c>
      <c r="J62" s="9">
        <f>I62-H62</f>
        <v>0</v>
      </c>
      <c r="K62" s="47" t="s">
        <v>225</v>
      </c>
      <c r="L62" s="49">
        <v>368000</v>
      </c>
      <c r="M62" s="49">
        <v>40000</v>
      </c>
      <c r="N62" s="49">
        <v>243500</v>
      </c>
      <c r="O62" s="49">
        <v>0</v>
      </c>
      <c r="Q62" s="5"/>
    </row>
    <row r="63" spans="1:17" ht="16.5">
      <c r="A63" s="10" t="s">
        <v>51</v>
      </c>
      <c r="B63" s="11"/>
      <c r="C63" s="12">
        <f t="shared" ref="C63:I63" si="35">SUM(C49:C62)</f>
        <v>23344946</v>
      </c>
      <c r="D63" s="59">
        <f t="shared" si="35"/>
        <v>10521850</v>
      </c>
      <c r="E63" s="59">
        <f t="shared" si="35"/>
        <v>11376181</v>
      </c>
      <c r="F63" s="59">
        <f t="shared" si="35"/>
        <v>10521850</v>
      </c>
      <c r="G63" s="59">
        <f t="shared" si="35"/>
        <v>0</v>
      </c>
      <c r="H63" s="59">
        <f t="shared" si="35"/>
        <v>11968765</v>
      </c>
      <c r="I63" s="59">
        <f t="shared" si="35"/>
        <v>11968765</v>
      </c>
      <c r="J63" s="9">
        <f>I63-H63</f>
        <v>0</v>
      </c>
      <c r="K63" s="3"/>
      <c r="L63" s="49">
        <f>+SUM(L49:L62)</f>
        <v>10521850</v>
      </c>
      <c r="M63" s="49">
        <f>+SUM(M49:M62)</f>
        <v>10521850</v>
      </c>
      <c r="N63" s="49">
        <f>+SUM(N49:N62)</f>
        <v>11376181</v>
      </c>
      <c r="O63" s="49">
        <f>+SUM(O49:O61)</f>
        <v>0</v>
      </c>
      <c r="Q63" s="5"/>
    </row>
    <row r="64" spans="1:17" ht="16.5">
      <c r="A64" s="10"/>
      <c r="B64" s="11"/>
      <c r="C64" s="12"/>
      <c r="D64" s="13"/>
      <c r="E64" s="12"/>
      <c r="F64" s="13"/>
      <c r="G64" s="12"/>
      <c r="H64" s="12"/>
      <c r="I64" s="143" t="b">
        <f>I63=D66</f>
        <v>1</v>
      </c>
      <c r="L64" s="5"/>
      <c r="M64" s="5"/>
      <c r="N64" s="5"/>
      <c r="O64" s="5"/>
      <c r="Q64" s="5"/>
    </row>
    <row r="65" spans="1:17" ht="16.5">
      <c r="A65" s="10" t="s">
        <v>232</v>
      </c>
      <c r="B65" s="11" t="s">
        <v>233</v>
      </c>
      <c r="C65" s="12" t="s">
        <v>234</v>
      </c>
      <c r="D65" s="12" t="s">
        <v>236</v>
      </c>
      <c r="E65" s="12" t="s">
        <v>52</v>
      </c>
      <c r="F65" s="12"/>
      <c r="G65" s="12">
        <f>+D63-F63</f>
        <v>0</v>
      </c>
      <c r="H65" s="12"/>
      <c r="I65" s="12"/>
      <c r="Q65" s="5"/>
    </row>
    <row r="66" spans="1:17" ht="16.5">
      <c r="A66" s="14">
        <f>C63</f>
        <v>23344946</v>
      </c>
      <c r="B66" s="15">
        <f>G63</f>
        <v>0</v>
      </c>
      <c r="C66" s="12">
        <f>E63</f>
        <v>11376181</v>
      </c>
      <c r="D66" s="12">
        <f>A66+B66-C66</f>
        <v>11968765</v>
      </c>
      <c r="E66" s="13">
        <f>I63-D66</f>
        <v>0</v>
      </c>
      <c r="F66" s="12"/>
      <c r="G66" s="12"/>
      <c r="H66" s="12"/>
      <c r="I66" s="12"/>
      <c r="Q66" s="5"/>
    </row>
    <row r="67" spans="1:17" ht="16.5">
      <c r="A67" s="14"/>
      <c r="B67" s="15"/>
      <c r="C67" s="12"/>
      <c r="D67" s="12"/>
      <c r="E67" s="13"/>
      <c r="F67" s="12"/>
      <c r="G67" s="12"/>
      <c r="H67" s="12"/>
      <c r="I67" s="12"/>
      <c r="Q67" s="5"/>
    </row>
    <row r="68" spans="1:17">
      <c r="A68" s="16" t="s">
        <v>53</v>
      </c>
      <c r="B68" s="16"/>
      <c r="C68" s="16"/>
      <c r="D68" s="17"/>
      <c r="E68" s="17"/>
      <c r="F68" s="17"/>
      <c r="G68" s="17"/>
      <c r="H68" s="17"/>
      <c r="I68" s="17"/>
      <c r="Q68" s="5"/>
    </row>
    <row r="69" spans="1:17">
      <c r="A69" s="18" t="s">
        <v>235</v>
      </c>
      <c r="B69" s="18"/>
      <c r="C69" s="18"/>
      <c r="D69" s="18"/>
      <c r="E69" s="18"/>
      <c r="F69" s="18"/>
      <c r="G69" s="18"/>
      <c r="H69" s="18"/>
      <c r="I69" s="18"/>
      <c r="J69" s="18"/>
      <c r="Q69" s="5"/>
    </row>
    <row r="70" spans="1:17">
      <c r="A70" s="19"/>
      <c r="B70" s="20"/>
      <c r="C70" s="21"/>
      <c r="D70" s="21"/>
      <c r="E70" s="21"/>
      <c r="F70" s="21"/>
      <c r="G70" s="21"/>
      <c r="H70" s="20"/>
      <c r="I70" s="20"/>
      <c r="Q70" s="5"/>
    </row>
    <row r="71" spans="1:17">
      <c r="A71" s="366" t="s">
        <v>54</v>
      </c>
      <c r="B71" s="368" t="s">
        <v>55</v>
      </c>
      <c r="C71" s="370" t="s">
        <v>237</v>
      </c>
      <c r="D71" s="372" t="s">
        <v>56</v>
      </c>
      <c r="E71" s="373"/>
      <c r="F71" s="373"/>
      <c r="G71" s="374"/>
      <c r="H71" s="375" t="s">
        <v>57</v>
      </c>
      <c r="I71" s="362" t="s">
        <v>58</v>
      </c>
      <c r="J71" s="20"/>
      <c r="Q71" s="5"/>
    </row>
    <row r="72" spans="1:17" ht="28.5" customHeight="1">
      <c r="A72" s="367"/>
      <c r="B72" s="369"/>
      <c r="C72" s="371"/>
      <c r="D72" s="22" t="s">
        <v>24</v>
      </c>
      <c r="E72" s="22" t="s">
        <v>25</v>
      </c>
      <c r="F72" s="371" t="s">
        <v>124</v>
      </c>
      <c r="G72" s="22" t="s">
        <v>59</v>
      </c>
      <c r="H72" s="376"/>
      <c r="I72" s="363"/>
      <c r="J72" s="364" t="s">
        <v>238</v>
      </c>
      <c r="K72" s="155"/>
      <c r="Q72" s="5"/>
    </row>
    <row r="73" spans="1:17">
      <c r="A73" s="24"/>
      <c r="B73" s="25" t="s">
        <v>60</v>
      </c>
      <c r="C73" s="26"/>
      <c r="D73" s="26"/>
      <c r="E73" s="26"/>
      <c r="F73" s="26"/>
      <c r="G73" s="26"/>
      <c r="H73" s="26"/>
      <c r="I73" s="27"/>
      <c r="J73" s="365"/>
      <c r="K73" s="155"/>
      <c r="Q73" s="5"/>
    </row>
    <row r="74" spans="1:17">
      <c r="A74" s="130" t="s">
        <v>144</v>
      </c>
      <c r="B74" s="135" t="s">
        <v>48</v>
      </c>
      <c r="C74" s="33">
        <f>+C52</f>
        <v>15750</v>
      </c>
      <c r="D74" s="32"/>
      <c r="E74" s="33">
        <f t="shared" ref="E74:E82" si="36">+D52</f>
        <v>1223400</v>
      </c>
      <c r="F74" s="33"/>
      <c r="G74" s="33"/>
      <c r="H74" s="57">
        <f t="shared" ref="H74:H82" si="37">+F52</f>
        <v>45000</v>
      </c>
      <c r="I74" s="33">
        <f t="shared" ref="I74:I82" si="38">+E52</f>
        <v>1184350</v>
      </c>
      <c r="J74" s="31">
        <f t="shared" ref="J74:J75" si="39">+SUM(C74:G74)-(H74+I74)</f>
        <v>9800</v>
      </c>
      <c r="K74" s="156" t="b">
        <f t="shared" ref="K74:K84" si="40">J74=I52</f>
        <v>1</v>
      </c>
      <c r="Q74" s="5"/>
    </row>
    <row r="75" spans="1:17">
      <c r="A75" s="130" t="str">
        <f>+A74</f>
        <v>JUIN</v>
      </c>
      <c r="B75" s="135" t="s">
        <v>31</v>
      </c>
      <c r="C75" s="33">
        <f>+C53</f>
        <v>8795</v>
      </c>
      <c r="D75" s="32"/>
      <c r="E75" s="33">
        <f t="shared" si="36"/>
        <v>248000</v>
      </c>
      <c r="F75" s="33"/>
      <c r="G75" s="33"/>
      <c r="H75" s="57">
        <f t="shared" si="37"/>
        <v>0</v>
      </c>
      <c r="I75" s="33">
        <f t="shared" si="38"/>
        <v>254500</v>
      </c>
      <c r="J75" s="107">
        <f t="shared" si="39"/>
        <v>2295</v>
      </c>
      <c r="K75" s="156" t="b">
        <f t="shared" si="40"/>
        <v>1</v>
      </c>
      <c r="Q75" s="5"/>
    </row>
    <row r="76" spans="1:17">
      <c r="A76" s="130" t="str">
        <f t="shared" ref="A76:A77" si="41">+A75</f>
        <v>JUIN</v>
      </c>
      <c r="B76" s="137" t="s">
        <v>85</v>
      </c>
      <c r="C76" s="128">
        <f>+C54</f>
        <v>233614</v>
      </c>
      <c r="D76" s="131"/>
      <c r="E76" s="128">
        <f t="shared" si="36"/>
        <v>0</v>
      </c>
      <c r="F76" s="146"/>
      <c r="G76" s="146"/>
      <c r="H76" s="180">
        <f t="shared" si="37"/>
        <v>0</v>
      </c>
      <c r="I76" s="128">
        <f t="shared" si="38"/>
        <v>0</v>
      </c>
      <c r="J76" s="129">
        <f>+SUM(C76:G76)-(H76+I76)</f>
        <v>233614</v>
      </c>
      <c r="K76" s="156" t="b">
        <f t="shared" si="40"/>
        <v>1</v>
      </c>
      <c r="Q76" s="5"/>
    </row>
    <row r="77" spans="1:17">
      <c r="A77" s="130" t="str">
        <f t="shared" si="41"/>
        <v>JUIN</v>
      </c>
      <c r="B77" s="137" t="s">
        <v>84</v>
      </c>
      <c r="C77" s="128">
        <f>+C55</f>
        <v>249769</v>
      </c>
      <c r="D77" s="131"/>
      <c r="E77" s="128">
        <f t="shared" si="36"/>
        <v>0</v>
      </c>
      <c r="F77" s="146"/>
      <c r="G77" s="146"/>
      <c r="H77" s="180">
        <f t="shared" si="37"/>
        <v>0</v>
      </c>
      <c r="I77" s="128">
        <f t="shared" si="38"/>
        <v>0</v>
      </c>
      <c r="J77" s="129">
        <f t="shared" ref="J77:J84" si="42">+SUM(C77:G77)-(H77+I77)</f>
        <v>249769</v>
      </c>
      <c r="K77" s="156" t="b">
        <f t="shared" si="40"/>
        <v>1</v>
      </c>
      <c r="Q77" s="5"/>
    </row>
    <row r="78" spans="1:17">
      <c r="A78" s="130" t="str">
        <f t="shared" ref="A78:A80" si="43">+A77</f>
        <v>JUIN</v>
      </c>
      <c r="B78" s="135" t="s">
        <v>152</v>
      </c>
      <c r="C78" s="33">
        <f>+C56</f>
        <v>14700</v>
      </c>
      <c r="D78" s="32"/>
      <c r="E78" s="33">
        <f t="shared" si="36"/>
        <v>994000</v>
      </c>
      <c r="F78" s="33"/>
      <c r="G78" s="110"/>
      <c r="H78" s="57">
        <f t="shared" si="37"/>
        <v>760000</v>
      </c>
      <c r="I78" s="33">
        <f t="shared" si="38"/>
        <v>220100</v>
      </c>
      <c r="J78" s="31">
        <f t="shared" si="42"/>
        <v>28600</v>
      </c>
      <c r="K78" s="156" t="b">
        <f t="shared" si="40"/>
        <v>1</v>
      </c>
      <c r="Q78" s="5"/>
    </row>
    <row r="79" spans="1:17">
      <c r="A79" s="130" t="str">
        <f t="shared" si="43"/>
        <v>JUIN</v>
      </c>
      <c r="B79" s="135" t="s">
        <v>209</v>
      </c>
      <c r="C79" s="33">
        <f t="shared" ref="C79:C82" si="44">+C57</f>
        <v>46950</v>
      </c>
      <c r="D79" s="32"/>
      <c r="E79" s="33">
        <f t="shared" si="36"/>
        <v>254000</v>
      </c>
      <c r="F79" s="33"/>
      <c r="G79" s="110"/>
      <c r="H79" s="57">
        <f t="shared" si="37"/>
        <v>37450</v>
      </c>
      <c r="I79" s="33">
        <f t="shared" si="38"/>
        <v>245500</v>
      </c>
      <c r="J79" s="31">
        <f t="shared" si="42"/>
        <v>18000</v>
      </c>
      <c r="K79" s="156" t="b">
        <f t="shared" si="40"/>
        <v>1</v>
      </c>
      <c r="Q79" s="5"/>
    </row>
    <row r="80" spans="1:17">
      <c r="A80" s="130" t="str">
        <f t="shared" si="43"/>
        <v>JUIN</v>
      </c>
      <c r="B80" s="135" t="s">
        <v>30</v>
      </c>
      <c r="C80" s="33">
        <f t="shared" si="44"/>
        <v>112050</v>
      </c>
      <c r="D80" s="32"/>
      <c r="E80" s="33">
        <f t="shared" si="36"/>
        <v>584000</v>
      </c>
      <c r="F80" s="33"/>
      <c r="G80" s="110"/>
      <c r="H80" s="57">
        <f t="shared" si="37"/>
        <v>0</v>
      </c>
      <c r="I80" s="33">
        <f t="shared" si="38"/>
        <v>434000</v>
      </c>
      <c r="J80" s="31">
        <f t="shared" si="42"/>
        <v>262050</v>
      </c>
      <c r="K80" s="156" t="b">
        <f t="shared" si="40"/>
        <v>1</v>
      </c>
      <c r="Q80" s="5"/>
    </row>
    <row r="81" spans="1:17">
      <c r="A81" s="130" t="str">
        <f>+A79</f>
        <v>JUIN</v>
      </c>
      <c r="B81" s="135" t="s">
        <v>94</v>
      </c>
      <c r="C81" s="33">
        <f t="shared" si="44"/>
        <v>2900</v>
      </c>
      <c r="D81" s="32"/>
      <c r="E81" s="33">
        <f t="shared" si="36"/>
        <v>40000</v>
      </c>
      <c r="F81" s="33"/>
      <c r="G81" s="110"/>
      <c r="H81" s="57">
        <f t="shared" si="37"/>
        <v>0</v>
      </c>
      <c r="I81" s="33">
        <f t="shared" si="38"/>
        <v>31000</v>
      </c>
      <c r="J81" s="31">
        <f t="shared" si="42"/>
        <v>11900</v>
      </c>
      <c r="K81" s="156" t="b">
        <f t="shared" si="40"/>
        <v>1</v>
      </c>
      <c r="Q81" s="5"/>
    </row>
    <row r="82" spans="1:17">
      <c r="A82" s="130" t="str">
        <f>+A80</f>
        <v>JUIN</v>
      </c>
      <c r="B82" s="135" t="s">
        <v>29</v>
      </c>
      <c r="C82" s="33">
        <f t="shared" si="44"/>
        <v>140700</v>
      </c>
      <c r="D82" s="32"/>
      <c r="E82" s="33">
        <f t="shared" si="36"/>
        <v>638000</v>
      </c>
      <c r="F82" s="33"/>
      <c r="G82" s="110"/>
      <c r="H82" s="57">
        <f t="shared" si="37"/>
        <v>50000</v>
      </c>
      <c r="I82" s="33">
        <f t="shared" si="38"/>
        <v>507650</v>
      </c>
      <c r="J82" s="31">
        <f t="shared" si="42"/>
        <v>221050</v>
      </c>
      <c r="K82" s="156" t="b">
        <f t="shared" si="40"/>
        <v>1</v>
      </c>
      <c r="Q82" s="5"/>
    </row>
    <row r="83" spans="1:17">
      <c r="A83" s="130" t="str">
        <f>+A81</f>
        <v>JUIN</v>
      </c>
      <c r="B83" s="136" t="s">
        <v>114</v>
      </c>
      <c r="C83" s="33">
        <f t="shared" ref="C83:C84" si="45">+C61</f>
        <v>2241</v>
      </c>
      <c r="D83" s="127"/>
      <c r="E83" s="33">
        <f t="shared" ref="E83:E84" si="46">+D61</f>
        <v>0</v>
      </c>
      <c r="F83" s="53"/>
      <c r="G83" s="147"/>
      <c r="H83" s="57">
        <f t="shared" ref="H83:H84" si="47">+F61</f>
        <v>0</v>
      </c>
      <c r="I83" s="33">
        <f t="shared" ref="I83:I84" si="48">+E61</f>
        <v>6200</v>
      </c>
      <c r="J83" s="31">
        <f t="shared" si="42"/>
        <v>-3959</v>
      </c>
      <c r="K83" s="156" t="b">
        <f t="shared" si="40"/>
        <v>1</v>
      </c>
      <c r="Q83" s="5"/>
    </row>
    <row r="84" spans="1:17">
      <c r="A84" s="130" t="str">
        <f>+A82</f>
        <v>JUIN</v>
      </c>
      <c r="B84" s="136" t="s">
        <v>225</v>
      </c>
      <c r="C84" s="33">
        <f t="shared" si="45"/>
        <v>10500</v>
      </c>
      <c r="D84" s="127"/>
      <c r="E84" s="33">
        <f t="shared" si="46"/>
        <v>368000</v>
      </c>
      <c r="F84" s="53"/>
      <c r="G84" s="147"/>
      <c r="H84" s="57">
        <f t="shared" si="47"/>
        <v>40000</v>
      </c>
      <c r="I84" s="33">
        <f t="shared" si="48"/>
        <v>243500</v>
      </c>
      <c r="J84" s="31">
        <f t="shared" si="42"/>
        <v>95000</v>
      </c>
      <c r="K84" s="156" t="b">
        <f t="shared" si="40"/>
        <v>1</v>
      </c>
      <c r="Q84" s="5"/>
    </row>
    <row r="85" spans="1:17">
      <c r="A85" s="35" t="s">
        <v>61</v>
      </c>
      <c r="B85" s="36"/>
      <c r="C85" s="36"/>
      <c r="D85" s="36"/>
      <c r="E85" s="36"/>
      <c r="F85" s="36"/>
      <c r="G85" s="36"/>
      <c r="H85" s="36"/>
      <c r="I85" s="36"/>
      <c r="J85" s="37"/>
      <c r="K85" s="155"/>
      <c r="Q85" s="5"/>
    </row>
    <row r="86" spans="1:17">
      <c r="A86" s="130" t="str">
        <f>+A84</f>
        <v>JUIN</v>
      </c>
      <c r="B86" s="38" t="s">
        <v>62</v>
      </c>
      <c r="C86" s="39">
        <f>+C51</f>
        <v>1700406</v>
      </c>
      <c r="D86" s="51"/>
      <c r="E86" s="51">
        <f>D51</f>
        <v>6172450</v>
      </c>
      <c r="F86" s="51"/>
      <c r="G86" s="133"/>
      <c r="H86" s="53">
        <f>+F51</f>
        <v>3589400</v>
      </c>
      <c r="I86" s="134">
        <f>+E51</f>
        <v>2587130</v>
      </c>
      <c r="J86" s="46">
        <f>+SUM(C86:G86)-(H86+I86)</f>
        <v>1696326</v>
      </c>
      <c r="K86" s="156" t="b">
        <f>J86=I51</f>
        <v>1</v>
      </c>
      <c r="Q86" s="5"/>
    </row>
    <row r="87" spans="1:17">
      <c r="A87" s="44" t="s">
        <v>63</v>
      </c>
      <c r="B87" s="25"/>
      <c r="C87" s="36"/>
      <c r="D87" s="25"/>
      <c r="E87" s="25"/>
      <c r="F87" s="25"/>
      <c r="G87" s="25"/>
      <c r="H87" s="25"/>
      <c r="I87" s="25"/>
      <c r="J87" s="37"/>
      <c r="K87" s="155"/>
      <c r="Q87" s="5"/>
    </row>
    <row r="88" spans="1:17">
      <c r="A88" s="130" t="str">
        <f>+A86</f>
        <v>JUIN</v>
      </c>
      <c r="B88" s="38" t="s">
        <v>167</v>
      </c>
      <c r="C88" s="133">
        <f>+C49</f>
        <v>8575038</v>
      </c>
      <c r="D88" s="140">
        <f>+G49</f>
        <v>0</v>
      </c>
      <c r="E88" s="51"/>
      <c r="F88" s="51"/>
      <c r="G88" s="51"/>
      <c r="H88" s="53">
        <f>+F49</f>
        <v>4000000</v>
      </c>
      <c r="I88" s="55">
        <f>+E49</f>
        <v>283345</v>
      </c>
      <c r="J88" s="46">
        <f>+SUM(C88:G88)-(H88+I88)</f>
        <v>4291693</v>
      </c>
      <c r="K88" s="156" t="b">
        <f>+J88=I49</f>
        <v>1</v>
      </c>
      <c r="Q88" s="5"/>
    </row>
    <row r="89" spans="1:17">
      <c r="A89" s="130" t="str">
        <f t="shared" ref="A89" si="49">+A88</f>
        <v>JUIN</v>
      </c>
      <c r="B89" s="38" t="s">
        <v>65</v>
      </c>
      <c r="C89" s="133">
        <f>+C50</f>
        <v>12231533</v>
      </c>
      <c r="D89" s="51">
        <f>+G50</f>
        <v>0</v>
      </c>
      <c r="E89" s="50"/>
      <c r="F89" s="50"/>
      <c r="G89" s="50"/>
      <c r="H89" s="33">
        <f>+F50</f>
        <v>2000000</v>
      </c>
      <c r="I89" s="52">
        <f>+E50</f>
        <v>5378906</v>
      </c>
      <c r="J89" s="46">
        <f>SUM(C89:G89)-(H89+I89)</f>
        <v>4852627</v>
      </c>
      <c r="K89" s="156" t="b">
        <f>+J89=I50</f>
        <v>1</v>
      </c>
      <c r="Q89" s="5"/>
    </row>
    <row r="90" spans="1:17" ht="15.75">
      <c r="C90" s="151">
        <f>SUM(C74:C89)</f>
        <v>23344946</v>
      </c>
      <c r="I90" s="149">
        <f>SUM(I74:I89)</f>
        <v>11376181</v>
      </c>
      <c r="J90" s="111">
        <f>+SUM(J74:J89)</f>
        <v>11968765</v>
      </c>
      <c r="K90" s="5" t="b">
        <f>J90=I63</f>
        <v>1</v>
      </c>
      <c r="Q90" s="5"/>
    </row>
    <row r="91" spans="1:17" ht="15.75">
      <c r="A91" s="217"/>
      <c r="B91" s="217"/>
      <c r="C91" s="218"/>
      <c r="D91" s="217"/>
      <c r="E91" s="217"/>
      <c r="F91" s="217"/>
      <c r="G91" s="217"/>
      <c r="H91" s="217"/>
      <c r="I91" s="219"/>
      <c r="J91" s="220"/>
      <c r="K91" s="217"/>
      <c r="L91" s="221"/>
      <c r="M91" s="221"/>
      <c r="N91" s="221"/>
      <c r="O91" s="221"/>
      <c r="P91" s="217"/>
      <c r="Q91" s="5"/>
    </row>
    <row r="93" spans="1:17" ht="15.75">
      <c r="A93" s="6" t="s">
        <v>37</v>
      </c>
      <c r="B93" s="6" t="s">
        <v>1</v>
      </c>
      <c r="C93" s="6">
        <v>44682</v>
      </c>
      <c r="D93" s="7" t="s">
        <v>38</v>
      </c>
      <c r="E93" s="7" t="s">
        <v>39</v>
      </c>
      <c r="F93" s="7" t="s">
        <v>40</v>
      </c>
      <c r="G93" s="7" t="s">
        <v>41</v>
      </c>
      <c r="H93" s="6">
        <v>44712</v>
      </c>
      <c r="I93" s="7" t="s">
        <v>42</v>
      </c>
      <c r="K93" s="47"/>
      <c r="L93" s="47" t="s">
        <v>43</v>
      </c>
      <c r="M93" s="47" t="s">
        <v>44</v>
      </c>
      <c r="N93" s="47" t="s">
        <v>45</v>
      </c>
      <c r="O93" s="47" t="s">
        <v>46</v>
      </c>
      <c r="Q93" s="5"/>
    </row>
    <row r="94" spans="1:17" ht="16.5">
      <c r="A94" s="60" t="str">
        <f>K94</f>
        <v>BCI</v>
      </c>
      <c r="B94" s="61" t="s">
        <v>47</v>
      </c>
      <c r="C94" s="63">
        <v>4154435</v>
      </c>
      <c r="D94" s="63">
        <f>+L94</f>
        <v>0</v>
      </c>
      <c r="E94" s="63">
        <f>+N94</f>
        <v>543345</v>
      </c>
      <c r="F94" s="63">
        <f>+M94</f>
        <v>7000000</v>
      </c>
      <c r="G94" s="63">
        <f t="shared" ref="G94:G105" si="50">+O94</f>
        <v>11963948</v>
      </c>
      <c r="H94" s="63">
        <v>8575038</v>
      </c>
      <c r="I94" s="63">
        <f>+C94+D94-E94-F94+G94</f>
        <v>8575038</v>
      </c>
      <c r="J94" s="9">
        <f>I94-H94</f>
        <v>0</v>
      </c>
      <c r="K94" s="47" t="s">
        <v>24</v>
      </c>
      <c r="L94" s="49">
        <v>0</v>
      </c>
      <c r="M94" s="49">
        <v>7000000</v>
      </c>
      <c r="N94" s="49">
        <v>543345</v>
      </c>
      <c r="O94" s="49">
        <v>11963948</v>
      </c>
      <c r="Q94" s="5"/>
    </row>
    <row r="95" spans="1:17" ht="16.5">
      <c r="A95" s="60" t="str">
        <f t="shared" ref="A95:A108" si="51">K95</f>
        <v>BCI-Sous Compte</v>
      </c>
      <c r="B95" s="61" t="s">
        <v>47</v>
      </c>
      <c r="C95" s="63">
        <v>16450956</v>
      </c>
      <c r="D95" s="63">
        <f t="shared" ref="D95:D108" si="52">+L95</f>
        <v>0</v>
      </c>
      <c r="E95" s="63">
        <f t="shared" ref="E95:E108" si="53">+N95</f>
        <v>4219423</v>
      </c>
      <c r="F95" s="63">
        <f t="shared" ref="F95:F108" si="54">+M95</f>
        <v>0</v>
      </c>
      <c r="G95" s="63">
        <f t="shared" si="50"/>
        <v>0</v>
      </c>
      <c r="H95" s="63">
        <v>12231533</v>
      </c>
      <c r="I95" s="63">
        <f>+C95+D95-E95-F95+G95</f>
        <v>12231533</v>
      </c>
      <c r="J95" s="9">
        <f t="shared" ref="J95:J102" si="55">I95-H95</f>
        <v>0</v>
      </c>
      <c r="K95" s="47" t="s">
        <v>158</v>
      </c>
      <c r="L95" s="49">
        <v>0</v>
      </c>
      <c r="M95" s="49">
        <v>0</v>
      </c>
      <c r="N95" s="49">
        <v>4219423</v>
      </c>
      <c r="O95" s="49">
        <v>0</v>
      </c>
      <c r="Q95" s="5"/>
    </row>
    <row r="96" spans="1:17" ht="16.5">
      <c r="A96" s="60" t="str">
        <f t="shared" si="51"/>
        <v>Caisse</v>
      </c>
      <c r="B96" s="61" t="s">
        <v>25</v>
      </c>
      <c r="C96" s="63">
        <v>963113</v>
      </c>
      <c r="D96" s="63">
        <f t="shared" si="52"/>
        <v>7684335</v>
      </c>
      <c r="E96" s="63">
        <f t="shared" si="53"/>
        <v>2033042</v>
      </c>
      <c r="F96" s="63">
        <f t="shared" si="54"/>
        <v>4914000</v>
      </c>
      <c r="G96" s="63">
        <f t="shared" si="50"/>
        <v>0</v>
      </c>
      <c r="H96" s="63">
        <v>1700406</v>
      </c>
      <c r="I96" s="63">
        <f>+C96+D96-E96-F96+G96</f>
        <v>1700406</v>
      </c>
      <c r="J96" s="108">
        <f t="shared" si="55"/>
        <v>0</v>
      </c>
      <c r="K96" s="47" t="s">
        <v>25</v>
      </c>
      <c r="L96" s="49">
        <v>7684335</v>
      </c>
      <c r="M96" s="49">
        <v>4914000</v>
      </c>
      <c r="N96" s="49">
        <v>2033042</v>
      </c>
      <c r="O96" s="49">
        <v>0</v>
      </c>
      <c r="Q96" s="5"/>
    </row>
    <row r="97" spans="1:17" ht="16.5">
      <c r="A97" s="60" t="str">
        <f t="shared" si="51"/>
        <v>Crépin</v>
      </c>
      <c r="B97" s="61" t="s">
        <v>164</v>
      </c>
      <c r="C97" s="63">
        <v>21850</v>
      </c>
      <c r="D97" s="63">
        <f t="shared" si="52"/>
        <v>1282000</v>
      </c>
      <c r="E97" s="63">
        <f t="shared" si="53"/>
        <v>1288100</v>
      </c>
      <c r="F97" s="63">
        <f t="shared" si="54"/>
        <v>0</v>
      </c>
      <c r="G97" s="63">
        <f t="shared" si="50"/>
        <v>0</v>
      </c>
      <c r="H97" s="63">
        <v>15750</v>
      </c>
      <c r="I97" s="63">
        <f>+C97+D97-E97-F97+G97</f>
        <v>15750</v>
      </c>
      <c r="J97" s="9">
        <f t="shared" si="55"/>
        <v>0</v>
      </c>
      <c r="K97" s="47" t="s">
        <v>48</v>
      </c>
      <c r="L97" s="49">
        <v>1282000</v>
      </c>
      <c r="M97" s="49">
        <v>0</v>
      </c>
      <c r="N97" s="49">
        <v>1288100</v>
      </c>
      <c r="O97" s="49">
        <v>0</v>
      </c>
      <c r="Q97" s="5"/>
    </row>
    <row r="98" spans="1:17" ht="16.5">
      <c r="A98" s="60" t="str">
        <f t="shared" si="51"/>
        <v>Evariste</v>
      </c>
      <c r="B98" s="61" t="s">
        <v>165</v>
      </c>
      <c r="C98" s="63">
        <v>7995</v>
      </c>
      <c r="D98" s="63">
        <f t="shared" si="52"/>
        <v>262000</v>
      </c>
      <c r="E98" s="63">
        <f t="shared" si="53"/>
        <v>261200</v>
      </c>
      <c r="F98" s="63">
        <f t="shared" si="54"/>
        <v>0</v>
      </c>
      <c r="G98" s="63">
        <f t="shared" si="50"/>
        <v>0</v>
      </c>
      <c r="H98" s="63">
        <v>8795</v>
      </c>
      <c r="I98" s="63">
        <f t="shared" ref="I98" si="56">+C98+D98-E98-F98+G98</f>
        <v>8795</v>
      </c>
      <c r="J98" s="9">
        <f t="shared" si="55"/>
        <v>0</v>
      </c>
      <c r="K98" s="47" t="s">
        <v>31</v>
      </c>
      <c r="L98" s="49">
        <v>262000</v>
      </c>
      <c r="M98" s="49">
        <v>0</v>
      </c>
      <c r="N98" s="49">
        <v>261200</v>
      </c>
      <c r="O98" s="49">
        <v>0</v>
      </c>
      <c r="Q98" s="5"/>
    </row>
    <row r="99" spans="1:17" ht="16.5">
      <c r="A99" s="60" t="str">
        <f t="shared" si="51"/>
        <v>Godfré</v>
      </c>
      <c r="B99" s="61" t="s">
        <v>164</v>
      </c>
      <c r="C99" s="63">
        <v>156335</v>
      </c>
      <c r="D99" s="63">
        <f t="shared" si="52"/>
        <v>307000</v>
      </c>
      <c r="E99" s="63">
        <f t="shared" si="53"/>
        <v>308500</v>
      </c>
      <c r="F99" s="63">
        <f t="shared" si="54"/>
        <v>154835</v>
      </c>
      <c r="G99" s="63">
        <f t="shared" si="50"/>
        <v>0</v>
      </c>
      <c r="H99" s="63">
        <v>0</v>
      </c>
      <c r="I99" s="63">
        <f>+C99+D99-E99-F99+G99</f>
        <v>0</v>
      </c>
      <c r="J99" s="9">
        <f t="shared" si="55"/>
        <v>0</v>
      </c>
      <c r="K99" s="47" t="s">
        <v>153</v>
      </c>
      <c r="L99" s="49">
        <v>307000</v>
      </c>
      <c r="M99" s="49">
        <v>154835</v>
      </c>
      <c r="N99" s="49">
        <v>308500</v>
      </c>
      <c r="O99" s="49">
        <v>0</v>
      </c>
      <c r="Q99" s="5"/>
    </row>
    <row r="100" spans="1:17" ht="16.5">
      <c r="A100" s="60" t="str">
        <f t="shared" si="51"/>
        <v>I55S</v>
      </c>
      <c r="B100" s="124" t="s">
        <v>4</v>
      </c>
      <c r="C100" s="126">
        <v>233614</v>
      </c>
      <c r="D100" s="126">
        <f t="shared" si="52"/>
        <v>0</v>
      </c>
      <c r="E100" s="126">
        <f t="shared" si="53"/>
        <v>0</v>
      </c>
      <c r="F100" s="126">
        <f t="shared" si="54"/>
        <v>0</v>
      </c>
      <c r="G100" s="126">
        <f t="shared" si="50"/>
        <v>0</v>
      </c>
      <c r="H100" s="126">
        <v>233614</v>
      </c>
      <c r="I100" s="126">
        <f>+C100+D100-E100-F100+G100</f>
        <v>233614</v>
      </c>
      <c r="J100" s="9">
        <f t="shared" si="55"/>
        <v>0</v>
      </c>
      <c r="K100" s="47" t="s">
        <v>85</v>
      </c>
      <c r="L100" s="49">
        <v>0</v>
      </c>
      <c r="M100" s="49">
        <v>0</v>
      </c>
      <c r="N100" s="49">
        <v>0</v>
      </c>
      <c r="O100" s="49">
        <v>0</v>
      </c>
      <c r="Q100" s="5"/>
    </row>
    <row r="101" spans="1:17" ht="16.5">
      <c r="A101" s="60" t="str">
        <f t="shared" si="51"/>
        <v>I73X</v>
      </c>
      <c r="B101" s="124" t="s">
        <v>4</v>
      </c>
      <c r="C101" s="126">
        <v>249769</v>
      </c>
      <c r="D101" s="126">
        <f t="shared" si="52"/>
        <v>0</v>
      </c>
      <c r="E101" s="126">
        <f t="shared" si="53"/>
        <v>0</v>
      </c>
      <c r="F101" s="126">
        <f t="shared" si="54"/>
        <v>0</v>
      </c>
      <c r="G101" s="126">
        <f t="shared" si="50"/>
        <v>0</v>
      </c>
      <c r="H101" s="126">
        <v>249769</v>
      </c>
      <c r="I101" s="126">
        <f t="shared" ref="I101:I104" si="57">+C101+D101-E101-F101+G101</f>
        <v>249769</v>
      </c>
      <c r="J101" s="9">
        <f t="shared" si="55"/>
        <v>0</v>
      </c>
      <c r="K101" s="47" t="s">
        <v>84</v>
      </c>
      <c r="L101" s="49">
        <v>0</v>
      </c>
      <c r="M101" s="49">
        <v>0</v>
      </c>
      <c r="N101" s="49">
        <v>0</v>
      </c>
      <c r="O101" s="49">
        <v>0</v>
      </c>
      <c r="Q101" s="5"/>
    </row>
    <row r="102" spans="1:17" ht="16.5">
      <c r="A102" s="60" t="str">
        <f t="shared" si="51"/>
        <v>Grace</v>
      </c>
      <c r="B102" s="104" t="s">
        <v>2</v>
      </c>
      <c r="C102" s="63">
        <v>10200</v>
      </c>
      <c r="D102" s="63">
        <f t="shared" si="52"/>
        <v>25000</v>
      </c>
      <c r="E102" s="63">
        <f t="shared" si="53"/>
        <v>20500</v>
      </c>
      <c r="F102" s="63">
        <f t="shared" si="54"/>
        <v>0</v>
      </c>
      <c r="G102" s="63">
        <f t="shared" si="50"/>
        <v>0</v>
      </c>
      <c r="H102" s="63">
        <v>14700</v>
      </c>
      <c r="I102" s="63">
        <f t="shared" si="57"/>
        <v>14700</v>
      </c>
      <c r="J102" s="9">
        <f t="shared" si="55"/>
        <v>0</v>
      </c>
      <c r="K102" s="47" t="s">
        <v>152</v>
      </c>
      <c r="L102" s="49">
        <v>25000</v>
      </c>
      <c r="M102" s="49">
        <v>0</v>
      </c>
      <c r="N102" s="49">
        <v>20500</v>
      </c>
      <c r="O102" s="49">
        <v>0</v>
      </c>
      <c r="Q102" s="5"/>
    </row>
    <row r="103" spans="1:17" ht="16.5">
      <c r="A103" s="60" t="str">
        <f t="shared" si="51"/>
        <v>Hurielle</v>
      </c>
      <c r="B103" s="262" t="s">
        <v>164</v>
      </c>
      <c r="C103" s="63">
        <v>43500</v>
      </c>
      <c r="D103" s="63">
        <f t="shared" si="52"/>
        <v>701000</v>
      </c>
      <c r="E103" s="63">
        <f t="shared" si="53"/>
        <v>697550</v>
      </c>
      <c r="F103" s="63">
        <f t="shared" si="54"/>
        <v>0</v>
      </c>
      <c r="G103" s="63">
        <f t="shared" si="50"/>
        <v>0</v>
      </c>
      <c r="H103" s="63">
        <v>46950</v>
      </c>
      <c r="I103" s="63">
        <f t="shared" si="57"/>
        <v>46950</v>
      </c>
      <c r="J103" s="9">
        <f>I103-H103</f>
        <v>0</v>
      </c>
      <c r="K103" s="47" t="s">
        <v>209</v>
      </c>
      <c r="L103" s="49">
        <v>701000</v>
      </c>
      <c r="M103" s="49">
        <v>0</v>
      </c>
      <c r="N103" s="49">
        <v>697550</v>
      </c>
      <c r="O103" s="49">
        <v>0</v>
      </c>
      <c r="Q103" s="5"/>
    </row>
    <row r="104" spans="1:17" ht="16.5">
      <c r="A104" s="60" t="str">
        <f t="shared" si="51"/>
        <v>I23C</v>
      </c>
      <c r="B104" s="263" t="s">
        <v>4</v>
      </c>
      <c r="C104" s="63">
        <v>177550</v>
      </c>
      <c r="D104" s="63">
        <f t="shared" si="52"/>
        <v>969000</v>
      </c>
      <c r="E104" s="63">
        <f t="shared" si="53"/>
        <v>814500</v>
      </c>
      <c r="F104" s="63">
        <f t="shared" si="54"/>
        <v>220000</v>
      </c>
      <c r="G104" s="63">
        <f t="shared" si="50"/>
        <v>0</v>
      </c>
      <c r="H104" s="63">
        <v>112050</v>
      </c>
      <c r="I104" s="63">
        <f t="shared" si="57"/>
        <v>112050</v>
      </c>
      <c r="J104" s="9">
        <f t="shared" ref="J104:J105" si="58">I104-H104</f>
        <v>0</v>
      </c>
      <c r="K104" s="47" t="s">
        <v>30</v>
      </c>
      <c r="L104" s="49">
        <v>969000</v>
      </c>
      <c r="M104" s="49">
        <v>220000</v>
      </c>
      <c r="N104" s="49">
        <v>814500</v>
      </c>
      <c r="O104" s="49">
        <v>0</v>
      </c>
      <c r="Q104" s="5"/>
    </row>
    <row r="105" spans="1:17" ht="16.5">
      <c r="A105" s="60" t="str">
        <f t="shared" si="51"/>
        <v>Merveille</v>
      </c>
      <c r="B105" s="262" t="s">
        <v>2</v>
      </c>
      <c r="C105" s="63">
        <v>4400</v>
      </c>
      <c r="D105" s="63">
        <f t="shared" si="52"/>
        <v>170000</v>
      </c>
      <c r="E105" s="63">
        <f t="shared" si="53"/>
        <v>161500</v>
      </c>
      <c r="F105" s="63">
        <f t="shared" si="54"/>
        <v>10000</v>
      </c>
      <c r="G105" s="63">
        <f t="shared" si="50"/>
        <v>0</v>
      </c>
      <c r="H105" s="63">
        <v>2900</v>
      </c>
      <c r="I105" s="63">
        <f>+C105+D105-E105-F105+G105</f>
        <v>2900</v>
      </c>
      <c r="J105" s="9">
        <f t="shared" si="58"/>
        <v>0</v>
      </c>
      <c r="K105" s="47" t="s">
        <v>94</v>
      </c>
      <c r="L105" s="49">
        <v>170000</v>
      </c>
      <c r="M105" s="49">
        <v>10000</v>
      </c>
      <c r="N105" s="49">
        <v>161500</v>
      </c>
      <c r="O105" s="49">
        <v>0</v>
      </c>
      <c r="Q105" s="5"/>
    </row>
    <row r="106" spans="1:17" ht="16.5">
      <c r="A106" s="60" t="str">
        <f t="shared" si="51"/>
        <v>P29</v>
      </c>
      <c r="B106" s="262" t="s">
        <v>4</v>
      </c>
      <c r="C106" s="63">
        <v>294700</v>
      </c>
      <c r="D106" s="63">
        <f t="shared" si="52"/>
        <v>671000</v>
      </c>
      <c r="E106" s="63">
        <f t="shared" si="53"/>
        <v>525000</v>
      </c>
      <c r="F106" s="63">
        <f t="shared" si="54"/>
        <v>300000</v>
      </c>
      <c r="G106" s="63">
        <f>+O106</f>
        <v>0</v>
      </c>
      <c r="H106" s="63">
        <v>140700</v>
      </c>
      <c r="I106" s="63">
        <f>+C106+D106-E106-F106+G106</f>
        <v>140700</v>
      </c>
      <c r="J106" s="9">
        <f>I106-H106</f>
        <v>0</v>
      </c>
      <c r="K106" s="47" t="s">
        <v>29</v>
      </c>
      <c r="L106" s="49">
        <v>671000</v>
      </c>
      <c r="M106" s="49">
        <v>300000</v>
      </c>
      <c r="N106" s="49">
        <v>525000</v>
      </c>
      <c r="O106" s="49">
        <v>0</v>
      </c>
      <c r="Q106" s="5"/>
    </row>
    <row r="107" spans="1:17" ht="16.5">
      <c r="A107" s="60" t="str">
        <f t="shared" si="51"/>
        <v>Paule</v>
      </c>
      <c r="B107" s="61" t="s">
        <v>164</v>
      </c>
      <c r="C107" s="63">
        <v>13500</v>
      </c>
      <c r="D107" s="63">
        <f t="shared" si="52"/>
        <v>85000</v>
      </c>
      <c r="E107" s="63">
        <f t="shared" si="53"/>
        <v>89000</v>
      </c>
      <c r="F107" s="63">
        <f t="shared" si="54"/>
        <v>9500</v>
      </c>
      <c r="G107" s="63">
        <f>+O107</f>
        <v>0</v>
      </c>
      <c r="H107" s="63">
        <v>0</v>
      </c>
      <c r="I107" s="63">
        <f>+C107+D107-E107-F107+G107</f>
        <v>0</v>
      </c>
      <c r="J107" s="9">
        <f>I107-H107</f>
        <v>0</v>
      </c>
      <c r="K107" s="47" t="s">
        <v>208</v>
      </c>
      <c r="L107" s="49">
        <v>85000</v>
      </c>
      <c r="M107" s="49">
        <v>9500</v>
      </c>
      <c r="N107" s="49">
        <v>89000</v>
      </c>
      <c r="O107" s="49">
        <v>0</v>
      </c>
      <c r="Q107" s="5"/>
    </row>
    <row r="108" spans="1:17" ht="16.5">
      <c r="A108" s="60" t="str">
        <f t="shared" si="51"/>
        <v>Tiffany</v>
      </c>
      <c r="B108" s="61" t="s">
        <v>2</v>
      </c>
      <c r="C108" s="63">
        <v>-7259</v>
      </c>
      <c r="D108" s="63">
        <f t="shared" si="52"/>
        <v>329000</v>
      </c>
      <c r="E108" s="63">
        <f t="shared" si="53"/>
        <v>93500</v>
      </c>
      <c r="F108" s="63">
        <f t="shared" si="54"/>
        <v>226000</v>
      </c>
      <c r="G108" s="63">
        <f t="shared" ref="G108" si="59">+O108</f>
        <v>0</v>
      </c>
      <c r="H108" s="63">
        <v>2241</v>
      </c>
      <c r="I108" s="63">
        <f t="shared" ref="I108" si="60">+C108+D108-E108-F108+G108</f>
        <v>2241</v>
      </c>
      <c r="J108" s="9">
        <f t="shared" ref="J108" si="61">I108-H108</f>
        <v>0</v>
      </c>
      <c r="K108" s="47" t="s">
        <v>114</v>
      </c>
      <c r="L108" s="49">
        <v>329000</v>
      </c>
      <c r="M108" s="49">
        <v>226000</v>
      </c>
      <c r="N108" s="49">
        <v>93500</v>
      </c>
      <c r="O108" s="49">
        <v>0</v>
      </c>
      <c r="Q108" s="5"/>
    </row>
    <row r="109" spans="1:17" ht="16.5">
      <c r="A109" s="60" t="str">
        <f t="shared" ref="A109" si="62">K109</f>
        <v>Yan</v>
      </c>
      <c r="B109" s="61" t="s">
        <v>164</v>
      </c>
      <c r="C109" s="63">
        <v>0</v>
      </c>
      <c r="D109" s="63">
        <f t="shared" ref="D109" si="63">+L109</f>
        <v>349000</v>
      </c>
      <c r="E109" s="63">
        <f t="shared" ref="E109" si="64">+N109</f>
        <v>338500</v>
      </c>
      <c r="F109" s="63">
        <f t="shared" ref="F109" si="65">+M109</f>
        <v>0</v>
      </c>
      <c r="G109" s="63">
        <f t="shared" ref="G109" si="66">+O109</f>
        <v>0</v>
      </c>
      <c r="H109" s="63">
        <v>10500</v>
      </c>
      <c r="I109" s="63">
        <f>+C109+D109-E109-F109+G109</f>
        <v>10500</v>
      </c>
      <c r="J109" s="9">
        <f>I109-H109</f>
        <v>0</v>
      </c>
      <c r="K109" s="47" t="s">
        <v>225</v>
      </c>
      <c r="L109" s="49">
        <v>349000</v>
      </c>
      <c r="M109" s="49">
        <v>0</v>
      </c>
      <c r="N109" s="49">
        <v>338500</v>
      </c>
      <c r="O109" s="49">
        <v>0</v>
      </c>
      <c r="Q109" s="5"/>
    </row>
    <row r="110" spans="1:17" ht="16.5">
      <c r="A110" s="10" t="s">
        <v>51</v>
      </c>
      <c r="B110" s="11"/>
      <c r="C110" s="12">
        <f t="shared" ref="C110:I110" si="67">SUM(C94:C109)</f>
        <v>22774658</v>
      </c>
      <c r="D110" s="59">
        <f t="shared" si="67"/>
        <v>12834335</v>
      </c>
      <c r="E110" s="59">
        <f t="shared" si="67"/>
        <v>11393660</v>
      </c>
      <c r="F110" s="59">
        <f t="shared" si="67"/>
        <v>12834335</v>
      </c>
      <c r="G110" s="59">
        <f t="shared" si="67"/>
        <v>11963948</v>
      </c>
      <c r="H110" s="59">
        <f t="shared" si="67"/>
        <v>23344946</v>
      </c>
      <c r="I110" s="59">
        <f t="shared" si="67"/>
        <v>23344946</v>
      </c>
      <c r="J110" s="9">
        <f>I110-H110</f>
        <v>0</v>
      </c>
      <c r="K110" s="3"/>
      <c r="L110" s="49">
        <f>+SUM(L94:L109)</f>
        <v>12834335</v>
      </c>
      <c r="M110" s="49">
        <f>+SUM(M94:M109)</f>
        <v>12834335</v>
      </c>
      <c r="N110" s="49">
        <f>+SUM(N94:N109)</f>
        <v>11393660</v>
      </c>
      <c r="O110" s="49">
        <f>+SUM(O94:O108)</f>
        <v>11963948</v>
      </c>
      <c r="Q110" s="5"/>
    </row>
    <row r="111" spans="1:17" ht="16.5">
      <c r="A111" s="10"/>
      <c r="B111" s="11"/>
      <c r="C111" s="12"/>
      <c r="D111" s="13"/>
      <c r="E111" s="12"/>
      <c r="F111" s="13"/>
      <c r="G111" s="12"/>
      <c r="H111" s="12"/>
      <c r="I111" s="143" t="b">
        <f>I110=D113</f>
        <v>1</v>
      </c>
      <c r="L111" s="5"/>
      <c r="M111" s="5"/>
      <c r="N111" s="5"/>
      <c r="O111" s="5"/>
      <c r="Q111" s="5"/>
    </row>
    <row r="112" spans="1:17" ht="16.5">
      <c r="A112" s="10" t="s">
        <v>223</v>
      </c>
      <c r="B112" s="11" t="s">
        <v>222</v>
      </c>
      <c r="C112" s="12" t="s">
        <v>221</v>
      </c>
      <c r="D112" s="12" t="s">
        <v>230</v>
      </c>
      <c r="E112" s="12" t="s">
        <v>52</v>
      </c>
      <c r="F112" s="12"/>
      <c r="G112" s="12">
        <f>+D110-F110</f>
        <v>0</v>
      </c>
      <c r="H112" s="12"/>
      <c r="I112" s="12"/>
      <c r="Q112" s="5"/>
    </row>
    <row r="113" spans="1:17" ht="16.5">
      <c r="A113" s="14">
        <f>C110</f>
        <v>22774658</v>
      </c>
      <c r="B113" s="15">
        <f>G110</f>
        <v>11963948</v>
      </c>
      <c r="C113" s="12">
        <f>E110</f>
        <v>11393660</v>
      </c>
      <c r="D113" s="12">
        <f>A113+B113-C113</f>
        <v>23344946</v>
      </c>
      <c r="E113" s="13">
        <f>I110-D113</f>
        <v>0</v>
      </c>
      <c r="F113" s="12"/>
      <c r="G113" s="12"/>
      <c r="H113" s="12"/>
      <c r="I113" s="12"/>
      <c r="Q113" s="5"/>
    </row>
    <row r="114" spans="1:17" ht="16.5">
      <c r="A114" s="14"/>
      <c r="B114" s="15"/>
      <c r="C114" s="12"/>
      <c r="D114" s="12"/>
      <c r="E114" s="13"/>
      <c r="F114" s="12"/>
      <c r="G114" s="12"/>
      <c r="H114" s="12"/>
      <c r="I114" s="12"/>
      <c r="Q114" s="5"/>
    </row>
    <row r="115" spans="1:17">
      <c r="A115" s="16" t="s">
        <v>53</v>
      </c>
      <c r="B115" s="16"/>
      <c r="C115" s="16"/>
      <c r="D115" s="17"/>
      <c r="E115" s="17"/>
      <c r="F115" s="17"/>
      <c r="G115" s="17"/>
      <c r="H115" s="17"/>
      <c r="I115" s="17"/>
      <c r="Q115" s="5"/>
    </row>
    <row r="116" spans="1:17">
      <c r="A116" s="18" t="s">
        <v>231</v>
      </c>
      <c r="B116" s="18"/>
      <c r="C116" s="18"/>
      <c r="D116" s="18"/>
      <c r="E116" s="18"/>
      <c r="F116" s="18"/>
      <c r="G116" s="18"/>
      <c r="H116" s="18"/>
      <c r="I116" s="18"/>
      <c r="J116" s="18"/>
      <c r="Q116" s="5"/>
    </row>
    <row r="117" spans="1:17">
      <c r="A117" s="19"/>
      <c r="B117" s="20"/>
      <c r="C117" s="21"/>
      <c r="D117" s="21"/>
      <c r="E117" s="21"/>
      <c r="F117" s="21"/>
      <c r="G117" s="21"/>
      <c r="H117" s="20"/>
      <c r="I117" s="20"/>
      <c r="Q117" s="5"/>
    </row>
    <row r="118" spans="1:17">
      <c r="A118" s="264" t="s">
        <v>54</v>
      </c>
      <c r="B118" s="266" t="s">
        <v>55</v>
      </c>
      <c r="C118" s="268" t="s">
        <v>224</v>
      </c>
      <c r="D118" s="270" t="s">
        <v>56</v>
      </c>
      <c r="E118" s="271"/>
      <c r="F118" s="271"/>
      <c r="G118" s="272"/>
      <c r="H118" s="273" t="s">
        <v>57</v>
      </c>
      <c r="I118" s="275" t="s">
        <v>58</v>
      </c>
      <c r="J118" s="20"/>
      <c r="Q118" s="5"/>
    </row>
    <row r="119" spans="1:17" ht="28.5" customHeight="1">
      <c r="A119" s="265"/>
      <c r="B119" s="267"/>
      <c r="C119" s="269"/>
      <c r="D119" s="22" t="s">
        <v>24</v>
      </c>
      <c r="E119" s="22" t="s">
        <v>25</v>
      </c>
      <c r="F119" s="269" t="s">
        <v>124</v>
      </c>
      <c r="G119" s="22" t="s">
        <v>59</v>
      </c>
      <c r="H119" s="274"/>
      <c r="I119" s="276"/>
      <c r="J119" s="278" t="s">
        <v>229</v>
      </c>
      <c r="K119" s="155"/>
      <c r="Q119" s="5"/>
    </row>
    <row r="120" spans="1:17">
      <c r="A120" s="24"/>
      <c r="B120" s="25" t="s">
        <v>60</v>
      </c>
      <c r="C120" s="26"/>
      <c r="D120" s="26"/>
      <c r="E120" s="26"/>
      <c r="F120" s="26"/>
      <c r="G120" s="26"/>
      <c r="H120" s="26"/>
      <c r="I120" s="27"/>
      <c r="J120" s="277"/>
      <c r="K120" s="155"/>
      <c r="Q120" s="5"/>
    </row>
    <row r="121" spans="1:17">
      <c r="A121" s="130" t="s">
        <v>135</v>
      </c>
      <c r="B121" s="135" t="s">
        <v>48</v>
      </c>
      <c r="C121" s="33">
        <f>+C97</f>
        <v>21850</v>
      </c>
      <c r="D121" s="32"/>
      <c r="E121" s="33">
        <f>+D97</f>
        <v>1282000</v>
      </c>
      <c r="F121" s="33"/>
      <c r="G121" s="33"/>
      <c r="H121" s="57">
        <f t="shared" ref="H121:H133" si="68">+F97</f>
        <v>0</v>
      </c>
      <c r="I121" s="33">
        <f t="shared" ref="I121:I133" si="69">+E97</f>
        <v>1288100</v>
      </c>
      <c r="J121" s="31">
        <f t="shared" ref="J121:J122" si="70">+SUM(C121:G121)-(H121+I121)</f>
        <v>15750</v>
      </c>
      <c r="K121" s="156" t="b">
        <f t="shared" ref="K121:K133" si="71">J121=I97</f>
        <v>1</v>
      </c>
      <c r="Q121" s="5"/>
    </row>
    <row r="122" spans="1:17">
      <c r="A122" s="130" t="str">
        <f>+A121</f>
        <v>MAI</v>
      </c>
      <c r="B122" s="135" t="s">
        <v>31</v>
      </c>
      <c r="C122" s="33">
        <f t="shared" ref="C122:C123" si="72">+C98</f>
        <v>7995</v>
      </c>
      <c r="D122" s="32"/>
      <c r="E122" s="33">
        <f t="shared" ref="E122:E123" si="73">+D98</f>
        <v>262000</v>
      </c>
      <c r="F122" s="33"/>
      <c r="G122" s="33"/>
      <c r="H122" s="57">
        <f t="shared" si="68"/>
        <v>0</v>
      </c>
      <c r="I122" s="33">
        <f t="shared" si="69"/>
        <v>261200</v>
      </c>
      <c r="J122" s="107">
        <f t="shared" si="70"/>
        <v>8795</v>
      </c>
      <c r="K122" s="156" t="b">
        <f t="shared" si="71"/>
        <v>1</v>
      </c>
      <c r="Q122" s="5"/>
    </row>
    <row r="123" spans="1:17">
      <c r="A123" s="130" t="str">
        <f t="shared" ref="A123:A128" si="74">+A122</f>
        <v>MAI</v>
      </c>
      <c r="B123" s="136" t="s">
        <v>153</v>
      </c>
      <c r="C123" s="33">
        <f t="shared" si="72"/>
        <v>156335</v>
      </c>
      <c r="D123" s="127"/>
      <c r="E123" s="33">
        <f t="shared" si="73"/>
        <v>307000</v>
      </c>
      <c r="F123" s="53"/>
      <c r="G123" s="53"/>
      <c r="H123" s="57">
        <f t="shared" si="68"/>
        <v>154835</v>
      </c>
      <c r="I123" s="33">
        <f t="shared" si="69"/>
        <v>308500</v>
      </c>
      <c r="J123" s="132">
        <f>+SUM(C123:G123)-(H123+I123)</f>
        <v>0</v>
      </c>
      <c r="K123" s="156" t="b">
        <f t="shared" si="71"/>
        <v>1</v>
      </c>
      <c r="Q123" s="5"/>
    </row>
    <row r="124" spans="1:17">
      <c r="A124" s="130" t="str">
        <f t="shared" si="74"/>
        <v>MAI</v>
      </c>
      <c r="B124" s="137" t="s">
        <v>85</v>
      </c>
      <c r="C124" s="128">
        <f>+C100</f>
        <v>233614</v>
      </c>
      <c r="D124" s="131"/>
      <c r="E124" s="128">
        <f>+D100</f>
        <v>0</v>
      </c>
      <c r="F124" s="146"/>
      <c r="G124" s="146"/>
      <c r="H124" s="180">
        <f t="shared" si="68"/>
        <v>0</v>
      </c>
      <c r="I124" s="128">
        <f t="shared" si="69"/>
        <v>0</v>
      </c>
      <c r="J124" s="129">
        <f>+SUM(C124:G124)-(H124+I124)</f>
        <v>233614</v>
      </c>
      <c r="K124" s="156" t="b">
        <f t="shared" si="71"/>
        <v>1</v>
      </c>
      <c r="Q124" s="5"/>
    </row>
    <row r="125" spans="1:17">
      <c r="A125" s="130" t="str">
        <f t="shared" si="74"/>
        <v>MAI</v>
      </c>
      <c r="B125" s="137" t="s">
        <v>84</v>
      </c>
      <c r="C125" s="128">
        <f>+C101</f>
        <v>249769</v>
      </c>
      <c r="D125" s="131"/>
      <c r="E125" s="128">
        <f>+D101</f>
        <v>0</v>
      </c>
      <c r="F125" s="146"/>
      <c r="G125" s="146"/>
      <c r="H125" s="180">
        <f t="shared" si="68"/>
        <v>0</v>
      </c>
      <c r="I125" s="128">
        <f t="shared" si="69"/>
        <v>0</v>
      </c>
      <c r="J125" s="129">
        <f t="shared" ref="J125:J133" si="75">+SUM(C125:G125)-(H125+I125)</f>
        <v>249769</v>
      </c>
      <c r="K125" s="156" t="b">
        <f t="shared" si="71"/>
        <v>1</v>
      </c>
      <c r="Q125" s="5"/>
    </row>
    <row r="126" spans="1:17">
      <c r="A126" s="130" t="str">
        <f t="shared" si="74"/>
        <v>MAI</v>
      </c>
      <c r="B126" s="135" t="s">
        <v>152</v>
      </c>
      <c r="C126" s="33">
        <f>+C102</f>
        <v>10200</v>
      </c>
      <c r="D126" s="32"/>
      <c r="E126" s="33">
        <f>+D102</f>
        <v>25000</v>
      </c>
      <c r="F126" s="33"/>
      <c r="G126" s="110"/>
      <c r="H126" s="57">
        <f t="shared" si="68"/>
        <v>0</v>
      </c>
      <c r="I126" s="33">
        <f t="shared" si="69"/>
        <v>20500</v>
      </c>
      <c r="J126" s="31">
        <f t="shared" si="75"/>
        <v>14700</v>
      </c>
      <c r="K126" s="156" t="b">
        <f t="shared" si="71"/>
        <v>1</v>
      </c>
      <c r="Q126" s="5"/>
    </row>
    <row r="127" spans="1:17">
      <c r="A127" s="130" t="str">
        <f t="shared" si="74"/>
        <v>MAI</v>
      </c>
      <c r="B127" s="135" t="s">
        <v>209</v>
      </c>
      <c r="C127" s="33">
        <f t="shared" ref="C127:C130" si="76">+C103</f>
        <v>43500</v>
      </c>
      <c r="D127" s="32"/>
      <c r="E127" s="33">
        <f t="shared" ref="E127:E133" si="77">+D103</f>
        <v>701000</v>
      </c>
      <c r="F127" s="33"/>
      <c r="G127" s="110"/>
      <c r="H127" s="57">
        <f t="shared" si="68"/>
        <v>0</v>
      </c>
      <c r="I127" s="33">
        <f t="shared" si="69"/>
        <v>697550</v>
      </c>
      <c r="J127" s="31">
        <f t="shared" si="75"/>
        <v>46950</v>
      </c>
      <c r="K127" s="156" t="b">
        <f t="shared" si="71"/>
        <v>1</v>
      </c>
      <c r="Q127" s="5"/>
    </row>
    <row r="128" spans="1:17">
      <c r="A128" s="130" t="str">
        <f t="shared" si="74"/>
        <v>MAI</v>
      </c>
      <c r="B128" s="135" t="s">
        <v>30</v>
      </c>
      <c r="C128" s="33">
        <f t="shared" si="76"/>
        <v>177550</v>
      </c>
      <c r="D128" s="32"/>
      <c r="E128" s="33">
        <f t="shared" si="77"/>
        <v>969000</v>
      </c>
      <c r="F128" s="33"/>
      <c r="G128" s="110"/>
      <c r="H128" s="57">
        <f t="shared" si="68"/>
        <v>220000</v>
      </c>
      <c r="I128" s="33">
        <f t="shared" si="69"/>
        <v>814500</v>
      </c>
      <c r="J128" s="31">
        <f t="shared" si="75"/>
        <v>112050</v>
      </c>
      <c r="K128" s="156" t="b">
        <f t="shared" si="71"/>
        <v>1</v>
      </c>
      <c r="Q128" s="5"/>
    </row>
    <row r="129" spans="1:17">
      <c r="A129" s="130" t="str">
        <f>+A127</f>
        <v>MAI</v>
      </c>
      <c r="B129" s="135" t="s">
        <v>94</v>
      </c>
      <c r="C129" s="33">
        <f t="shared" si="76"/>
        <v>4400</v>
      </c>
      <c r="D129" s="32"/>
      <c r="E129" s="33">
        <f t="shared" si="77"/>
        <v>170000</v>
      </c>
      <c r="F129" s="33"/>
      <c r="G129" s="110"/>
      <c r="H129" s="57">
        <f t="shared" si="68"/>
        <v>10000</v>
      </c>
      <c r="I129" s="33">
        <f t="shared" si="69"/>
        <v>161500</v>
      </c>
      <c r="J129" s="31">
        <f t="shared" si="75"/>
        <v>2900</v>
      </c>
      <c r="K129" s="156" t="b">
        <f t="shared" si="71"/>
        <v>1</v>
      </c>
      <c r="Q129" s="5"/>
    </row>
    <row r="130" spans="1:17">
      <c r="A130" s="130" t="str">
        <f>+A128</f>
        <v>MAI</v>
      </c>
      <c r="B130" s="135" t="s">
        <v>29</v>
      </c>
      <c r="C130" s="33">
        <f t="shared" si="76"/>
        <v>294700</v>
      </c>
      <c r="D130" s="32"/>
      <c r="E130" s="33">
        <f t="shared" si="77"/>
        <v>671000</v>
      </c>
      <c r="F130" s="33"/>
      <c r="G130" s="110"/>
      <c r="H130" s="57">
        <f t="shared" si="68"/>
        <v>300000</v>
      </c>
      <c r="I130" s="33">
        <f t="shared" si="69"/>
        <v>525000</v>
      </c>
      <c r="J130" s="31">
        <f t="shared" si="75"/>
        <v>140700</v>
      </c>
      <c r="K130" s="156" t="b">
        <f t="shared" si="71"/>
        <v>1</v>
      </c>
      <c r="Q130" s="5"/>
    </row>
    <row r="131" spans="1:17">
      <c r="A131" s="130" t="str">
        <f>+A129</f>
        <v>MAI</v>
      </c>
      <c r="B131" s="135" t="s">
        <v>208</v>
      </c>
      <c r="C131" s="33">
        <f>+C107</f>
        <v>13500</v>
      </c>
      <c r="D131" s="32"/>
      <c r="E131" s="33">
        <f t="shared" si="77"/>
        <v>85000</v>
      </c>
      <c r="F131" s="33"/>
      <c r="G131" s="110"/>
      <c r="H131" s="57">
        <f t="shared" si="68"/>
        <v>9500</v>
      </c>
      <c r="I131" s="33">
        <f t="shared" si="69"/>
        <v>89000</v>
      </c>
      <c r="J131" s="31">
        <f t="shared" si="75"/>
        <v>0</v>
      </c>
      <c r="K131" s="156" t="b">
        <f t="shared" si="71"/>
        <v>1</v>
      </c>
      <c r="Q131" s="5"/>
    </row>
    <row r="132" spans="1:17">
      <c r="A132" s="130" t="str">
        <f>+A129</f>
        <v>MAI</v>
      </c>
      <c r="B132" s="136" t="s">
        <v>114</v>
      </c>
      <c r="C132" s="33">
        <f t="shared" ref="C132:C133" si="78">+C108</f>
        <v>-7259</v>
      </c>
      <c r="D132" s="127"/>
      <c r="E132" s="33">
        <f t="shared" si="77"/>
        <v>329000</v>
      </c>
      <c r="F132" s="53"/>
      <c r="G132" s="147"/>
      <c r="H132" s="57">
        <f t="shared" si="68"/>
        <v>226000</v>
      </c>
      <c r="I132" s="33">
        <f t="shared" si="69"/>
        <v>93500</v>
      </c>
      <c r="J132" s="31">
        <f t="shared" si="75"/>
        <v>2241</v>
      </c>
      <c r="K132" s="156" t="b">
        <f t="shared" si="71"/>
        <v>1</v>
      </c>
      <c r="Q132" s="5"/>
    </row>
    <row r="133" spans="1:17">
      <c r="A133" s="130" t="str">
        <f>+A130</f>
        <v>MAI</v>
      </c>
      <c r="B133" s="136" t="s">
        <v>225</v>
      </c>
      <c r="C133" s="33">
        <f t="shared" si="78"/>
        <v>0</v>
      </c>
      <c r="D133" s="127"/>
      <c r="E133" s="33">
        <f t="shared" si="77"/>
        <v>349000</v>
      </c>
      <c r="F133" s="53"/>
      <c r="G133" s="147"/>
      <c r="H133" s="57">
        <f t="shared" si="68"/>
        <v>0</v>
      </c>
      <c r="I133" s="33">
        <f t="shared" si="69"/>
        <v>338500</v>
      </c>
      <c r="J133" s="31">
        <f t="shared" si="75"/>
        <v>10500</v>
      </c>
      <c r="K133" s="156" t="b">
        <f t="shared" si="71"/>
        <v>1</v>
      </c>
      <c r="Q133" s="5"/>
    </row>
    <row r="134" spans="1:17">
      <c r="A134" s="35" t="s">
        <v>61</v>
      </c>
      <c r="B134" s="36"/>
      <c r="C134" s="36"/>
      <c r="D134" s="36"/>
      <c r="E134" s="36"/>
      <c r="F134" s="36"/>
      <c r="G134" s="36"/>
      <c r="H134" s="36"/>
      <c r="I134" s="36"/>
      <c r="J134" s="37"/>
      <c r="K134" s="155"/>
      <c r="Q134" s="5"/>
    </row>
    <row r="135" spans="1:17">
      <c r="A135" s="130" t="str">
        <f>+A133</f>
        <v>MAI</v>
      </c>
      <c r="B135" s="38" t="s">
        <v>62</v>
      </c>
      <c r="C135" s="39">
        <f>+C96</f>
        <v>963113</v>
      </c>
      <c r="D135" s="51"/>
      <c r="E135" s="51">
        <f>D96</f>
        <v>7684335</v>
      </c>
      <c r="F135" s="51"/>
      <c r="G135" s="133"/>
      <c r="H135" s="53">
        <f>+F96</f>
        <v>4914000</v>
      </c>
      <c r="I135" s="134">
        <f>+E96</f>
        <v>2033042</v>
      </c>
      <c r="J135" s="46">
        <f>+SUM(C135:G135)-(H135+I135)</f>
        <v>1700406</v>
      </c>
      <c r="K135" s="156" t="b">
        <f>J135=I96</f>
        <v>1</v>
      </c>
      <c r="Q135" s="5"/>
    </row>
    <row r="136" spans="1:17">
      <c r="A136" s="44" t="s">
        <v>63</v>
      </c>
      <c r="B136" s="25"/>
      <c r="C136" s="36"/>
      <c r="D136" s="25"/>
      <c r="E136" s="25"/>
      <c r="F136" s="25"/>
      <c r="G136" s="25"/>
      <c r="H136" s="25"/>
      <c r="I136" s="25"/>
      <c r="J136" s="37"/>
      <c r="K136" s="155"/>
      <c r="Q136" s="5"/>
    </row>
    <row r="137" spans="1:17">
      <c r="A137" s="130" t="str">
        <f>+A135</f>
        <v>MAI</v>
      </c>
      <c r="B137" s="38" t="s">
        <v>167</v>
      </c>
      <c r="C137" s="133">
        <f>+C94</f>
        <v>4154435</v>
      </c>
      <c r="D137" s="140">
        <f>+G94</f>
        <v>11963948</v>
      </c>
      <c r="E137" s="51"/>
      <c r="F137" s="51"/>
      <c r="G137" s="51"/>
      <c r="H137" s="53">
        <f>+F94</f>
        <v>7000000</v>
      </c>
      <c r="I137" s="55">
        <f>+E94</f>
        <v>543345</v>
      </c>
      <c r="J137" s="46">
        <f>+SUM(C137:G137)-(H137+I137)</f>
        <v>8575038</v>
      </c>
      <c r="K137" s="156" t="b">
        <f>+J137=I94</f>
        <v>1</v>
      </c>
      <c r="Q137" s="5"/>
    </row>
    <row r="138" spans="1:17">
      <c r="A138" s="130" t="str">
        <f t="shared" ref="A138" si="79">+A137</f>
        <v>MAI</v>
      </c>
      <c r="B138" s="38" t="s">
        <v>65</v>
      </c>
      <c r="C138" s="133">
        <f>+C95</f>
        <v>16450956</v>
      </c>
      <c r="D138" s="51">
        <f>+G95</f>
        <v>0</v>
      </c>
      <c r="E138" s="50"/>
      <c r="F138" s="50"/>
      <c r="G138" s="50"/>
      <c r="H138" s="33">
        <f>+F95</f>
        <v>0</v>
      </c>
      <c r="I138" s="52">
        <f>+E95</f>
        <v>4219423</v>
      </c>
      <c r="J138" s="46">
        <f>SUM(C138:G138)-(H138+I138)</f>
        <v>12231533</v>
      </c>
      <c r="K138" s="156" t="b">
        <f>+J138=I95</f>
        <v>1</v>
      </c>
      <c r="Q138" s="5"/>
    </row>
    <row r="139" spans="1:17" ht="15.75">
      <c r="C139" s="151">
        <f>SUM(C121:C138)</f>
        <v>22774658</v>
      </c>
      <c r="I139" s="149">
        <f>SUM(I121:I138)</f>
        <v>11393660</v>
      </c>
      <c r="J139" s="111">
        <f>+SUM(J121:J138)</f>
        <v>23344946</v>
      </c>
      <c r="K139" s="5" t="b">
        <f>J139=I110</f>
        <v>1</v>
      </c>
      <c r="Q139" s="5"/>
    </row>
    <row r="140" spans="1:17" ht="15.75">
      <c r="A140" s="217"/>
      <c r="B140" s="217"/>
      <c r="C140" s="218"/>
      <c r="D140" s="217"/>
      <c r="E140" s="217"/>
      <c r="F140" s="217"/>
      <c r="G140" s="217"/>
      <c r="H140" s="217"/>
      <c r="I140" s="219"/>
      <c r="J140" s="220"/>
      <c r="K140" s="217"/>
      <c r="L140" s="221"/>
      <c r="M140" s="221"/>
      <c r="N140" s="221"/>
      <c r="O140" s="221"/>
      <c r="P140" s="217"/>
      <c r="Q140" s="5"/>
    </row>
    <row r="142" spans="1:17" ht="15.75">
      <c r="A142" s="6" t="s">
        <v>37</v>
      </c>
      <c r="B142" s="6" t="s">
        <v>1</v>
      </c>
      <c r="C142" s="6">
        <v>44652</v>
      </c>
      <c r="D142" s="7" t="s">
        <v>38</v>
      </c>
      <c r="E142" s="7" t="s">
        <v>39</v>
      </c>
      <c r="F142" s="7" t="s">
        <v>40</v>
      </c>
      <c r="G142" s="7" t="s">
        <v>41</v>
      </c>
      <c r="H142" s="6">
        <v>44681</v>
      </c>
      <c r="I142" s="7" t="s">
        <v>42</v>
      </c>
      <c r="K142" s="47"/>
      <c r="L142" s="47" t="s">
        <v>43</v>
      </c>
      <c r="M142" s="47" t="s">
        <v>44</v>
      </c>
      <c r="N142" s="47" t="s">
        <v>45</v>
      </c>
      <c r="O142" s="47" t="s">
        <v>46</v>
      </c>
      <c r="Q142" s="5"/>
    </row>
    <row r="143" spans="1:17" ht="16.5">
      <c r="A143" s="60" t="str">
        <f>K143</f>
        <v>BCI</v>
      </c>
      <c r="B143" s="61" t="s">
        <v>47</v>
      </c>
      <c r="C143" s="63">
        <v>9177780</v>
      </c>
      <c r="D143" s="63">
        <f>+L143</f>
        <v>0</v>
      </c>
      <c r="E143" s="63">
        <f>+N143</f>
        <v>23345</v>
      </c>
      <c r="F143" s="63">
        <f>+M143</f>
        <v>5000000</v>
      </c>
      <c r="G143" s="63">
        <f t="shared" ref="G143:G154" si="80">+O143</f>
        <v>0</v>
      </c>
      <c r="H143" s="63">
        <v>4154435</v>
      </c>
      <c r="I143" s="63">
        <f>+C143+D143-E143-F143+G143</f>
        <v>4154435</v>
      </c>
      <c r="J143" s="9">
        <f>I143-H143</f>
        <v>0</v>
      </c>
      <c r="K143" s="47" t="s">
        <v>24</v>
      </c>
      <c r="L143" s="49">
        <v>0</v>
      </c>
      <c r="M143" s="49">
        <v>5000000</v>
      </c>
      <c r="N143" s="49">
        <v>23345</v>
      </c>
      <c r="O143" s="49">
        <v>0</v>
      </c>
      <c r="Q143" s="5"/>
    </row>
    <row r="144" spans="1:17" ht="16.5">
      <c r="A144" s="60" t="str">
        <f t="shared" ref="A144:A157" si="81">K144</f>
        <v>BCI-Sous Compte</v>
      </c>
      <c r="B144" s="61" t="s">
        <v>47</v>
      </c>
      <c r="C144" s="63">
        <v>21521261</v>
      </c>
      <c r="D144" s="63">
        <f t="shared" ref="D144:D157" si="82">+L144</f>
        <v>0</v>
      </c>
      <c r="E144" s="63">
        <f t="shared" ref="E144:E157" si="83">+N144</f>
        <v>5070305</v>
      </c>
      <c r="F144" s="63">
        <f t="shared" ref="F144:F157" si="84">+M144</f>
        <v>0</v>
      </c>
      <c r="G144" s="63">
        <f t="shared" si="80"/>
        <v>0</v>
      </c>
      <c r="H144" s="63">
        <v>16450956</v>
      </c>
      <c r="I144" s="63">
        <f>+C144+D144-E144-F144+G144</f>
        <v>16450956</v>
      </c>
      <c r="J144" s="9">
        <f t="shared" ref="J144:J151" si="85">I144-H144</f>
        <v>0</v>
      </c>
      <c r="K144" s="47" t="s">
        <v>158</v>
      </c>
      <c r="L144" s="49">
        <v>0</v>
      </c>
      <c r="M144" s="49">
        <v>0</v>
      </c>
      <c r="N144" s="49">
        <v>5070305</v>
      </c>
      <c r="O144" s="49">
        <v>0</v>
      </c>
      <c r="Q144" s="5"/>
    </row>
    <row r="145" spans="1:17" ht="16.5">
      <c r="A145" s="60" t="str">
        <f t="shared" si="81"/>
        <v>Caisse</v>
      </c>
      <c r="B145" s="61" t="s">
        <v>25</v>
      </c>
      <c r="C145" s="63">
        <v>1160022</v>
      </c>
      <c r="D145" s="63">
        <f t="shared" si="82"/>
        <v>5100000</v>
      </c>
      <c r="E145" s="63">
        <f t="shared" si="83"/>
        <v>1822909</v>
      </c>
      <c r="F145" s="63">
        <f t="shared" si="84"/>
        <v>3474000</v>
      </c>
      <c r="G145" s="63">
        <f t="shared" si="80"/>
        <v>0</v>
      </c>
      <c r="H145" s="63">
        <v>963113</v>
      </c>
      <c r="I145" s="63">
        <f>+C145+D145-E145-F145+G145</f>
        <v>963113</v>
      </c>
      <c r="J145" s="108">
        <f t="shared" si="85"/>
        <v>0</v>
      </c>
      <c r="K145" s="47" t="s">
        <v>25</v>
      </c>
      <c r="L145" s="49">
        <v>5100000</v>
      </c>
      <c r="M145" s="49">
        <v>3474000</v>
      </c>
      <c r="N145" s="49">
        <v>1822909</v>
      </c>
      <c r="O145" s="49">
        <v>0</v>
      </c>
      <c r="Q145" s="5"/>
    </row>
    <row r="146" spans="1:17" ht="16.5">
      <c r="A146" s="60" t="str">
        <f t="shared" si="81"/>
        <v>Crépin</v>
      </c>
      <c r="B146" s="61" t="s">
        <v>164</v>
      </c>
      <c r="C146" s="63">
        <v>22050</v>
      </c>
      <c r="D146" s="63">
        <f t="shared" si="82"/>
        <v>462000</v>
      </c>
      <c r="E146" s="63">
        <f t="shared" si="83"/>
        <v>462200</v>
      </c>
      <c r="F146" s="63">
        <f t="shared" si="84"/>
        <v>0</v>
      </c>
      <c r="G146" s="63">
        <f t="shared" si="80"/>
        <v>0</v>
      </c>
      <c r="H146" s="63">
        <v>21850</v>
      </c>
      <c r="I146" s="63">
        <f>+C146+D146-E146-F146+G146</f>
        <v>21850</v>
      </c>
      <c r="J146" s="9">
        <f t="shared" si="85"/>
        <v>0</v>
      </c>
      <c r="K146" s="47" t="s">
        <v>48</v>
      </c>
      <c r="L146" s="49">
        <v>462000</v>
      </c>
      <c r="M146" s="49">
        <v>0</v>
      </c>
      <c r="N146" s="49">
        <v>462200</v>
      </c>
      <c r="O146" s="49">
        <v>0</v>
      </c>
      <c r="Q146" s="5"/>
    </row>
    <row r="147" spans="1:17" ht="16.5">
      <c r="A147" s="60" t="str">
        <f t="shared" si="81"/>
        <v>Evariste</v>
      </c>
      <c r="B147" s="61" t="s">
        <v>165</v>
      </c>
      <c r="C147" s="63">
        <v>13995</v>
      </c>
      <c r="D147" s="63">
        <f t="shared" si="82"/>
        <v>30000</v>
      </c>
      <c r="E147" s="63">
        <f t="shared" si="83"/>
        <v>36000</v>
      </c>
      <c r="F147" s="63">
        <f t="shared" si="84"/>
        <v>0</v>
      </c>
      <c r="G147" s="63">
        <f t="shared" si="80"/>
        <v>0</v>
      </c>
      <c r="H147" s="63">
        <v>7995</v>
      </c>
      <c r="I147" s="63">
        <f t="shared" ref="I147" si="86">+C147+D147-E147-F147+G147</f>
        <v>7995</v>
      </c>
      <c r="J147" s="9">
        <f t="shared" si="85"/>
        <v>0</v>
      </c>
      <c r="K147" s="47" t="s">
        <v>31</v>
      </c>
      <c r="L147" s="49">
        <v>30000</v>
      </c>
      <c r="M147" s="49">
        <v>0</v>
      </c>
      <c r="N147" s="49">
        <v>36000</v>
      </c>
      <c r="O147" s="49">
        <v>0</v>
      </c>
      <c r="Q147" s="5"/>
    </row>
    <row r="148" spans="1:17" ht="16.5">
      <c r="A148" s="60" t="str">
        <f t="shared" si="81"/>
        <v>Godfré</v>
      </c>
      <c r="B148" s="61" t="s">
        <v>164</v>
      </c>
      <c r="C148" s="63">
        <v>36485</v>
      </c>
      <c r="D148" s="63">
        <f t="shared" si="82"/>
        <v>486000</v>
      </c>
      <c r="E148" s="63">
        <f t="shared" si="83"/>
        <v>366150</v>
      </c>
      <c r="F148" s="63">
        <f t="shared" si="84"/>
        <v>0</v>
      </c>
      <c r="G148" s="63">
        <f t="shared" si="80"/>
        <v>0</v>
      </c>
      <c r="H148" s="63">
        <v>156335</v>
      </c>
      <c r="I148" s="63">
        <f>+C148+D148-E148-F148+G148</f>
        <v>156335</v>
      </c>
      <c r="J148" s="9">
        <f t="shared" si="85"/>
        <v>0</v>
      </c>
      <c r="K148" s="47" t="s">
        <v>153</v>
      </c>
      <c r="L148" s="49">
        <v>486000</v>
      </c>
      <c r="M148" s="49">
        <v>0</v>
      </c>
      <c r="N148" s="49">
        <v>366150</v>
      </c>
      <c r="O148" s="49">
        <v>0</v>
      </c>
      <c r="Q148" s="5"/>
    </row>
    <row r="149" spans="1:17" ht="16.5">
      <c r="A149" s="60" t="str">
        <f t="shared" si="81"/>
        <v>I55S</v>
      </c>
      <c r="B149" s="124" t="s">
        <v>4</v>
      </c>
      <c r="C149" s="126">
        <v>233614</v>
      </c>
      <c r="D149" s="126">
        <f t="shared" si="82"/>
        <v>0</v>
      </c>
      <c r="E149" s="126">
        <f t="shared" si="83"/>
        <v>0</v>
      </c>
      <c r="F149" s="126">
        <f t="shared" si="84"/>
        <v>0</v>
      </c>
      <c r="G149" s="126">
        <f t="shared" si="80"/>
        <v>0</v>
      </c>
      <c r="H149" s="126">
        <v>233614</v>
      </c>
      <c r="I149" s="126">
        <f>+C149+D149-E149-F149+G149</f>
        <v>233614</v>
      </c>
      <c r="J149" s="9">
        <f t="shared" si="85"/>
        <v>0</v>
      </c>
      <c r="K149" s="47" t="s">
        <v>85</v>
      </c>
      <c r="L149" s="49">
        <v>0</v>
      </c>
      <c r="M149" s="49">
        <v>0</v>
      </c>
      <c r="N149" s="49">
        <v>0</v>
      </c>
      <c r="O149" s="49">
        <v>0</v>
      </c>
      <c r="Q149" s="5"/>
    </row>
    <row r="150" spans="1:17" ht="16.5">
      <c r="A150" s="60" t="str">
        <f t="shared" si="81"/>
        <v>I73X</v>
      </c>
      <c r="B150" s="124" t="s">
        <v>4</v>
      </c>
      <c r="C150" s="126">
        <v>249769</v>
      </c>
      <c r="D150" s="126">
        <f t="shared" si="82"/>
        <v>0</v>
      </c>
      <c r="E150" s="126">
        <f t="shared" si="83"/>
        <v>0</v>
      </c>
      <c r="F150" s="126">
        <f t="shared" si="84"/>
        <v>0</v>
      </c>
      <c r="G150" s="126">
        <f t="shared" si="80"/>
        <v>0</v>
      </c>
      <c r="H150" s="126">
        <v>249769</v>
      </c>
      <c r="I150" s="126">
        <f t="shared" ref="I150:I153" si="87">+C150+D150-E150-F150+G150</f>
        <v>249769</v>
      </c>
      <c r="J150" s="9">
        <f t="shared" si="85"/>
        <v>0</v>
      </c>
      <c r="K150" s="47" t="s">
        <v>84</v>
      </c>
      <c r="L150" s="49">
        <v>0</v>
      </c>
      <c r="M150" s="49">
        <v>0</v>
      </c>
      <c r="N150" s="49">
        <v>0</v>
      </c>
      <c r="O150" s="49">
        <v>0</v>
      </c>
      <c r="Q150" s="5"/>
    </row>
    <row r="151" spans="1:17" ht="16.5">
      <c r="A151" s="60" t="str">
        <f t="shared" si="81"/>
        <v>Grace</v>
      </c>
      <c r="B151" s="104" t="s">
        <v>2</v>
      </c>
      <c r="C151" s="63">
        <v>10700</v>
      </c>
      <c r="D151" s="63">
        <f t="shared" si="82"/>
        <v>10000</v>
      </c>
      <c r="E151" s="63">
        <f t="shared" si="83"/>
        <v>10500</v>
      </c>
      <c r="F151" s="63">
        <f t="shared" si="84"/>
        <v>0</v>
      </c>
      <c r="G151" s="63">
        <f t="shared" si="80"/>
        <v>0</v>
      </c>
      <c r="H151" s="63">
        <v>10200</v>
      </c>
      <c r="I151" s="63">
        <f t="shared" si="87"/>
        <v>10200</v>
      </c>
      <c r="J151" s="9">
        <f t="shared" si="85"/>
        <v>0</v>
      </c>
      <c r="K151" s="47" t="s">
        <v>152</v>
      </c>
      <c r="L151" s="49">
        <v>10000</v>
      </c>
      <c r="M151" s="49">
        <v>0</v>
      </c>
      <c r="N151" s="49">
        <v>10500</v>
      </c>
      <c r="O151" s="49">
        <v>0</v>
      </c>
      <c r="Q151" s="5"/>
    </row>
    <row r="152" spans="1:17" ht="16.5">
      <c r="A152" s="60" t="str">
        <f t="shared" si="81"/>
        <v>Hurielle</v>
      </c>
      <c r="B152" s="262" t="s">
        <v>164</v>
      </c>
      <c r="C152" s="63">
        <v>52000</v>
      </c>
      <c r="D152" s="63">
        <f t="shared" si="82"/>
        <v>113000</v>
      </c>
      <c r="E152" s="63">
        <f t="shared" si="83"/>
        <v>121500</v>
      </c>
      <c r="F152" s="63">
        <f t="shared" si="84"/>
        <v>0</v>
      </c>
      <c r="G152" s="63">
        <f t="shared" si="80"/>
        <v>0</v>
      </c>
      <c r="H152" s="63">
        <v>43500</v>
      </c>
      <c r="I152" s="63">
        <f t="shared" si="87"/>
        <v>43500</v>
      </c>
      <c r="J152" s="9">
        <f>I152-H152</f>
        <v>0</v>
      </c>
      <c r="K152" s="47" t="s">
        <v>209</v>
      </c>
      <c r="L152" s="49">
        <v>113000</v>
      </c>
      <c r="M152" s="49">
        <v>0</v>
      </c>
      <c r="N152" s="49">
        <v>121500</v>
      </c>
      <c r="O152" s="49">
        <v>0</v>
      </c>
      <c r="Q152" s="5"/>
    </row>
    <row r="153" spans="1:17" ht="16.5">
      <c r="A153" s="60" t="str">
        <f t="shared" si="81"/>
        <v>I23C</v>
      </c>
      <c r="B153" s="263" t="s">
        <v>4</v>
      </c>
      <c r="C153" s="63">
        <v>116050</v>
      </c>
      <c r="D153" s="63">
        <f t="shared" si="82"/>
        <v>599000</v>
      </c>
      <c r="E153" s="63">
        <f t="shared" si="83"/>
        <v>537500</v>
      </c>
      <c r="F153" s="63">
        <f t="shared" si="84"/>
        <v>0</v>
      </c>
      <c r="G153" s="63">
        <f t="shared" si="80"/>
        <v>0</v>
      </c>
      <c r="H153" s="63">
        <v>177550</v>
      </c>
      <c r="I153" s="63">
        <f t="shared" si="87"/>
        <v>177550</v>
      </c>
      <c r="J153" s="9">
        <f t="shared" ref="J153:J154" si="88">I153-H153</f>
        <v>0</v>
      </c>
      <c r="K153" s="47" t="s">
        <v>30</v>
      </c>
      <c r="L153" s="49">
        <v>599000</v>
      </c>
      <c r="M153" s="49">
        <v>0</v>
      </c>
      <c r="N153" s="49">
        <v>537500</v>
      </c>
      <c r="O153" s="49">
        <v>0</v>
      </c>
      <c r="Q153" s="5"/>
    </row>
    <row r="154" spans="1:17" ht="16.5">
      <c r="A154" s="60" t="str">
        <f t="shared" si="81"/>
        <v>Merveille</v>
      </c>
      <c r="B154" s="262" t="s">
        <v>2</v>
      </c>
      <c r="C154" s="63">
        <v>4400</v>
      </c>
      <c r="D154" s="63">
        <f t="shared" si="82"/>
        <v>20000</v>
      </c>
      <c r="E154" s="63">
        <f t="shared" si="83"/>
        <v>20000</v>
      </c>
      <c r="F154" s="63">
        <f t="shared" si="84"/>
        <v>0</v>
      </c>
      <c r="G154" s="63">
        <f t="shared" si="80"/>
        <v>0</v>
      </c>
      <c r="H154" s="63">
        <v>4400</v>
      </c>
      <c r="I154" s="63">
        <f>+C154+D154-E154-F154+G154</f>
        <v>4400</v>
      </c>
      <c r="J154" s="9">
        <f t="shared" si="88"/>
        <v>0</v>
      </c>
      <c r="K154" s="47" t="s">
        <v>94</v>
      </c>
      <c r="L154" s="49">
        <v>20000</v>
      </c>
      <c r="M154" s="49">
        <v>0</v>
      </c>
      <c r="N154" s="49">
        <v>20000</v>
      </c>
      <c r="O154" s="49">
        <v>0</v>
      </c>
      <c r="Q154" s="5"/>
    </row>
    <row r="155" spans="1:17" ht="16.5">
      <c r="A155" s="60" t="str">
        <f t="shared" si="81"/>
        <v>P29</v>
      </c>
      <c r="B155" s="262" t="s">
        <v>4</v>
      </c>
      <c r="C155" s="63">
        <v>16200</v>
      </c>
      <c r="D155" s="63">
        <f t="shared" si="82"/>
        <v>874000</v>
      </c>
      <c r="E155" s="63">
        <f t="shared" si="83"/>
        <v>495500</v>
      </c>
      <c r="F155" s="63">
        <f t="shared" si="84"/>
        <v>100000</v>
      </c>
      <c r="G155" s="63">
        <f>+O155</f>
        <v>0</v>
      </c>
      <c r="H155" s="63">
        <v>294700</v>
      </c>
      <c r="I155" s="63">
        <f>+C155+D155-E155-F155+G155</f>
        <v>294700</v>
      </c>
      <c r="J155" s="9">
        <f>I155-H155</f>
        <v>0</v>
      </c>
      <c r="K155" s="47" t="s">
        <v>29</v>
      </c>
      <c r="L155" s="49">
        <v>874000</v>
      </c>
      <c r="M155" s="49">
        <v>100000</v>
      </c>
      <c r="N155" s="49">
        <v>495500</v>
      </c>
      <c r="O155" s="49">
        <v>0</v>
      </c>
      <c r="Q155" s="5"/>
    </row>
    <row r="156" spans="1:17" ht="16.5">
      <c r="A156" s="60" t="str">
        <f t="shared" si="81"/>
        <v>Paule</v>
      </c>
      <c r="B156" s="61" t="s">
        <v>164</v>
      </c>
      <c r="C156" s="63">
        <v>6000</v>
      </c>
      <c r="D156" s="63">
        <f t="shared" si="82"/>
        <v>80000</v>
      </c>
      <c r="E156" s="63">
        <f t="shared" si="83"/>
        <v>72500</v>
      </c>
      <c r="F156" s="63">
        <f t="shared" si="84"/>
        <v>0</v>
      </c>
      <c r="G156" s="63">
        <f>+O156</f>
        <v>0</v>
      </c>
      <c r="H156" s="63">
        <v>13500</v>
      </c>
      <c r="I156" s="63">
        <f>+C156+D156-E156-F156+G156</f>
        <v>13500</v>
      </c>
      <c r="J156" s="9">
        <f>I156-H156</f>
        <v>0</v>
      </c>
      <c r="K156" s="47" t="s">
        <v>208</v>
      </c>
      <c r="L156" s="49">
        <v>80000</v>
      </c>
      <c r="M156" s="49">
        <v>0</v>
      </c>
      <c r="N156" s="49">
        <v>72500</v>
      </c>
      <c r="O156" s="49">
        <v>0</v>
      </c>
      <c r="Q156" s="5"/>
    </row>
    <row r="157" spans="1:17" ht="16.5">
      <c r="A157" s="60" t="str">
        <f t="shared" si="81"/>
        <v>Tiffany</v>
      </c>
      <c r="B157" s="61" t="s">
        <v>2</v>
      </c>
      <c r="C157" s="63">
        <v>-790759</v>
      </c>
      <c r="D157" s="63">
        <f t="shared" si="82"/>
        <v>800000</v>
      </c>
      <c r="E157" s="63">
        <f t="shared" si="83"/>
        <v>16500</v>
      </c>
      <c r="F157" s="63">
        <f t="shared" si="84"/>
        <v>0</v>
      </c>
      <c r="G157" s="63">
        <f t="shared" ref="G157" si="89">+O157</f>
        <v>0</v>
      </c>
      <c r="H157" s="63">
        <v>-7259</v>
      </c>
      <c r="I157" s="63">
        <f t="shared" ref="I157" si="90">+C157+D157-E157-F157+G157</f>
        <v>-7259</v>
      </c>
      <c r="J157" s="9">
        <f t="shared" ref="J157" si="91">I157-H157</f>
        <v>0</v>
      </c>
      <c r="K157" s="47" t="s">
        <v>114</v>
      </c>
      <c r="L157" s="49">
        <v>800000</v>
      </c>
      <c r="M157" s="49">
        <v>0</v>
      </c>
      <c r="N157" s="49">
        <v>16500</v>
      </c>
      <c r="O157" s="49">
        <v>0</v>
      </c>
      <c r="Q157" s="5"/>
    </row>
    <row r="158" spans="1:17" ht="16.5">
      <c r="A158" s="10" t="s">
        <v>51</v>
      </c>
      <c r="B158" s="11"/>
      <c r="C158" s="12">
        <f t="shared" ref="C158:I158" si="92">SUM(C143:C157)</f>
        <v>31829567</v>
      </c>
      <c r="D158" s="59">
        <f t="shared" si="92"/>
        <v>8574000</v>
      </c>
      <c r="E158" s="59">
        <f t="shared" si="92"/>
        <v>9054909</v>
      </c>
      <c r="F158" s="59">
        <f t="shared" si="92"/>
        <v>8574000</v>
      </c>
      <c r="G158" s="59">
        <f t="shared" si="92"/>
        <v>0</v>
      </c>
      <c r="H158" s="59">
        <f t="shared" si="92"/>
        <v>22774658</v>
      </c>
      <c r="I158" s="59">
        <f t="shared" si="92"/>
        <v>22774658</v>
      </c>
      <c r="J158" s="9">
        <f>I158-H158</f>
        <v>0</v>
      </c>
      <c r="K158" s="3"/>
      <c r="L158" s="49">
        <f>+SUM(L143:L157)</f>
        <v>8574000</v>
      </c>
      <c r="M158" s="49">
        <f>+SUM(M143:M157)</f>
        <v>8574000</v>
      </c>
      <c r="N158" s="49">
        <f>+SUM(N143:N157)</f>
        <v>9054909</v>
      </c>
      <c r="O158" s="49">
        <f>+SUM(O143:O157)</f>
        <v>0</v>
      </c>
      <c r="Q158" s="5"/>
    </row>
    <row r="159" spans="1:17" ht="16.5">
      <c r="A159" s="10"/>
      <c r="B159" s="11"/>
      <c r="C159" s="12"/>
      <c r="D159" s="13"/>
      <c r="E159" s="12"/>
      <c r="F159" s="13"/>
      <c r="G159" s="12"/>
      <c r="H159" s="12"/>
      <c r="I159" s="143" t="b">
        <f>I158=D161</f>
        <v>1</v>
      </c>
      <c r="L159" s="5"/>
      <c r="M159" s="5"/>
      <c r="N159" s="5"/>
      <c r="O159" s="5"/>
      <c r="Q159" s="5"/>
    </row>
    <row r="160" spans="1:17" ht="16.5">
      <c r="A160" s="10" t="s">
        <v>214</v>
      </c>
      <c r="B160" s="11" t="s">
        <v>215</v>
      </c>
      <c r="C160" s="12" t="s">
        <v>216</v>
      </c>
      <c r="D160" s="12" t="s">
        <v>217</v>
      </c>
      <c r="E160" s="12" t="s">
        <v>52</v>
      </c>
      <c r="F160" s="12"/>
      <c r="G160" s="12">
        <f>+D158-F158</f>
        <v>0</v>
      </c>
      <c r="H160" s="12"/>
      <c r="I160" s="12"/>
      <c r="Q160" s="5"/>
    </row>
    <row r="161" spans="1:17" ht="16.5">
      <c r="A161" s="14">
        <f>C158</f>
        <v>31829567</v>
      </c>
      <c r="B161" s="15">
        <f>G158</f>
        <v>0</v>
      </c>
      <c r="C161" s="12">
        <f>E158</f>
        <v>9054909</v>
      </c>
      <c r="D161" s="12">
        <f>A161+B161-C161</f>
        <v>22774658</v>
      </c>
      <c r="E161" s="13">
        <f>I158-D161</f>
        <v>0</v>
      </c>
      <c r="F161" s="12"/>
      <c r="G161" s="12"/>
      <c r="H161" s="12"/>
      <c r="I161" s="12"/>
      <c r="Q161" s="5"/>
    </row>
    <row r="162" spans="1:17" ht="16.5">
      <c r="A162" s="14"/>
      <c r="B162" s="15"/>
      <c r="C162" s="12"/>
      <c r="D162" s="12"/>
      <c r="E162" s="13"/>
      <c r="F162" s="12"/>
      <c r="G162" s="12"/>
      <c r="H162" s="12"/>
      <c r="I162" s="12"/>
      <c r="Q162" s="5"/>
    </row>
    <row r="163" spans="1:17">
      <c r="A163" s="16" t="s">
        <v>53</v>
      </c>
      <c r="B163" s="16"/>
      <c r="C163" s="16"/>
      <c r="D163" s="17"/>
      <c r="E163" s="17"/>
      <c r="F163" s="17"/>
      <c r="G163" s="17"/>
      <c r="H163" s="17"/>
      <c r="I163" s="17"/>
      <c r="Q163" s="5"/>
    </row>
    <row r="164" spans="1:17">
      <c r="A164" s="18" t="s">
        <v>218</v>
      </c>
      <c r="B164" s="18"/>
      <c r="C164" s="18"/>
      <c r="D164" s="18"/>
      <c r="E164" s="18"/>
      <c r="F164" s="18"/>
      <c r="G164" s="18"/>
      <c r="H164" s="18"/>
      <c r="I164" s="18"/>
      <c r="J164" s="18"/>
      <c r="Q164" s="5"/>
    </row>
    <row r="165" spans="1:17">
      <c r="A165" s="19"/>
      <c r="B165" s="20"/>
      <c r="C165" s="21"/>
      <c r="D165" s="21"/>
      <c r="E165" s="21"/>
      <c r="F165" s="21"/>
      <c r="G165" s="21"/>
      <c r="H165" s="20"/>
      <c r="I165" s="20"/>
      <c r="Q165" s="5"/>
    </row>
    <row r="166" spans="1:17">
      <c r="A166" s="247" t="s">
        <v>54</v>
      </c>
      <c r="B166" s="249" t="s">
        <v>55</v>
      </c>
      <c r="C166" s="251" t="s">
        <v>219</v>
      </c>
      <c r="D166" s="253" t="s">
        <v>56</v>
      </c>
      <c r="E166" s="254"/>
      <c r="F166" s="254"/>
      <c r="G166" s="255"/>
      <c r="H166" s="256" t="s">
        <v>57</v>
      </c>
      <c r="I166" s="258" t="s">
        <v>58</v>
      </c>
      <c r="J166" s="20"/>
      <c r="Q166" s="5"/>
    </row>
    <row r="167" spans="1:17" ht="28.5" customHeight="1">
      <c r="A167" s="248"/>
      <c r="B167" s="250"/>
      <c r="C167" s="252"/>
      <c r="D167" s="22" t="s">
        <v>24</v>
      </c>
      <c r="E167" s="22" t="s">
        <v>25</v>
      </c>
      <c r="F167" s="252" t="s">
        <v>124</v>
      </c>
      <c r="G167" s="22" t="s">
        <v>59</v>
      </c>
      <c r="H167" s="257"/>
      <c r="I167" s="259"/>
      <c r="J167" s="260" t="s">
        <v>220</v>
      </c>
      <c r="K167" s="155"/>
      <c r="Q167" s="5"/>
    </row>
    <row r="168" spans="1:17">
      <c r="A168" s="24"/>
      <c r="B168" s="25" t="s">
        <v>60</v>
      </c>
      <c r="C168" s="26"/>
      <c r="D168" s="26"/>
      <c r="E168" s="26"/>
      <c r="F168" s="26"/>
      <c r="G168" s="26"/>
      <c r="H168" s="26"/>
      <c r="I168" s="27"/>
      <c r="J168" s="261"/>
      <c r="K168" s="155"/>
      <c r="Q168" s="5"/>
    </row>
    <row r="169" spans="1:17">
      <c r="A169" s="130" t="s">
        <v>128</v>
      </c>
      <c r="B169" s="135" t="s">
        <v>48</v>
      </c>
      <c r="C169" s="33">
        <f>+C146</f>
        <v>22050</v>
      </c>
      <c r="D169" s="32"/>
      <c r="E169" s="33">
        <f>+D146</f>
        <v>462000</v>
      </c>
      <c r="F169" s="33"/>
      <c r="G169" s="33"/>
      <c r="H169" s="57">
        <f t="shared" ref="H169:H180" si="93">+F146</f>
        <v>0</v>
      </c>
      <c r="I169" s="33">
        <f t="shared" ref="I169:I180" si="94">+E146</f>
        <v>462200</v>
      </c>
      <c r="J169" s="31">
        <f t="shared" ref="J169:J170" si="95">+SUM(C169:G169)-(H169+I169)</f>
        <v>21850</v>
      </c>
      <c r="K169" s="156" t="b">
        <f t="shared" ref="K169:K180" si="96">J169=I146</f>
        <v>1</v>
      </c>
      <c r="Q169" s="5"/>
    </row>
    <row r="170" spans="1:17">
      <c r="A170" s="130" t="str">
        <f>+A169</f>
        <v>AVRIL</v>
      </c>
      <c r="B170" s="135" t="s">
        <v>31</v>
      </c>
      <c r="C170" s="33">
        <f t="shared" ref="C170:C171" si="97">+C147</f>
        <v>13995</v>
      </c>
      <c r="D170" s="32"/>
      <c r="E170" s="33">
        <f t="shared" ref="E170:E171" si="98">+D147</f>
        <v>30000</v>
      </c>
      <c r="F170" s="33"/>
      <c r="G170" s="33"/>
      <c r="H170" s="57">
        <f t="shared" si="93"/>
        <v>0</v>
      </c>
      <c r="I170" s="33">
        <f t="shared" si="94"/>
        <v>36000</v>
      </c>
      <c r="J170" s="107">
        <f t="shared" si="95"/>
        <v>7995</v>
      </c>
      <c r="K170" s="156" t="b">
        <f t="shared" si="96"/>
        <v>1</v>
      </c>
      <c r="Q170" s="5"/>
    </row>
    <row r="171" spans="1:17">
      <c r="A171" s="130" t="str">
        <f t="shared" ref="A171:A176" si="99">+A170</f>
        <v>AVRIL</v>
      </c>
      <c r="B171" s="136" t="s">
        <v>153</v>
      </c>
      <c r="C171" s="33">
        <f t="shared" si="97"/>
        <v>36485</v>
      </c>
      <c r="D171" s="127"/>
      <c r="E171" s="33">
        <f t="shared" si="98"/>
        <v>486000</v>
      </c>
      <c r="F171" s="53"/>
      <c r="G171" s="53"/>
      <c r="H171" s="57">
        <f t="shared" si="93"/>
        <v>0</v>
      </c>
      <c r="I171" s="33">
        <f t="shared" si="94"/>
        <v>366150</v>
      </c>
      <c r="J171" s="132">
        <f>+SUM(C171:G171)-(H171+I171)</f>
        <v>156335</v>
      </c>
      <c r="K171" s="156" t="b">
        <f t="shared" si="96"/>
        <v>1</v>
      </c>
      <c r="Q171" s="5"/>
    </row>
    <row r="172" spans="1:17">
      <c r="A172" s="130" t="str">
        <f t="shared" si="99"/>
        <v>AVRIL</v>
      </c>
      <c r="B172" s="137" t="s">
        <v>85</v>
      </c>
      <c r="C172" s="128">
        <f>+C149</f>
        <v>233614</v>
      </c>
      <c r="D172" s="131"/>
      <c r="E172" s="128">
        <f>+D149</f>
        <v>0</v>
      </c>
      <c r="F172" s="146"/>
      <c r="G172" s="146"/>
      <c r="H172" s="180">
        <f t="shared" si="93"/>
        <v>0</v>
      </c>
      <c r="I172" s="128">
        <f t="shared" si="94"/>
        <v>0</v>
      </c>
      <c r="J172" s="129">
        <f>+SUM(C172:G172)-(H172+I172)</f>
        <v>233614</v>
      </c>
      <c r="K172" s="156" t="b">
        <f t="shared" si="96"/>
        <v>1</v>
      </c>
      <c r="Q172" s="5"/>
    </row>
    <row r="173" spans="1:17">
      <c r="A173" s="130" t="str">
        <f t="shared" si="99"/>
        <v>AVRIL</v>
      </c>
      <c r="B173" s="137" t="s">
        <v>84</v>
      </c>
      <c r="C173" s="128">
        <f>+C150</f>
        <v>249769</v>
      </c>
      <c r="D173" s="131"/>
      <c r="E173" s="128">
        <f>+D150</f>
        <v>0</v>
      </c>
      <c r="F173" s="146"/>
      <c r="G173" s="146"/>
      <c r="H173" s="180">
        <f t="shared" si="93"/>
        <v>0</v>
      </c>
      <c r="I173" s="128">
        <f t="shared" si="94"/>
        <v>0</v>
      </c>
      <c r="J173" s="129">
        <f t="shared" ref="J173:J180" si="100">+SUM(C173:G173)-(H173+I173)</f>
        <v>249769</v>
      </c>
      <c r="K173" s="156" t="b">
        <f t="shared" si="96"/>
        <v>1</v>
      </c>
      <c r="Q173" s="5"/>
    </row>
    <row r="174" spans="1:17">
      <c r="A174" s="130" t="str">
        <f t="shared" si="99"/>
        <v>AVRIL</v>
      </c>
      <c r="B174" s="135" t="s">
        <v>152</v>
      </c>
      <c r="C174" s="33">
        <f>+C151</f>
        <v>10700</v>
      </c>
      <c r="D174" s="32"/>
      <c r="E174" s="33">
        <f>+D151</f>
        <v>10000</v>
      </c>
      <c r="F174" s="33"/>
      <c r="G174" s="110"/>
      <c r="H174" s="57">
        <f t="shared" si="93"/>
        <v>0</v>
      </c>
      <c r="I174" s="33">
        <f t="shared" si="94"/>
        <v>10500</v>
      </c>
      <c r="J174" s="31">
        <f t="shared" si="100"/>
        <v>10200</v>
      </c>
      <c r="K174" s="156" t="b">
        <f t="shared" si="96"/>
        <v>1</v>
      </c>
      <c r="Q174" s="5"/>
    </row>
    <row r="175" spans="1:17">
      <c r="A175" s="130" t="str">
        <f t="shared" si="99"/>
        <v>AVRIL</v>
      </c>
      <c r="B175" s="135" t="s">
        <v>209</v>
      </c>
      <c r="C175" s="33">
        <f t="shared" ref="C175:C178" si="101">+C152</f>
        <v>52000</v>
      </c>
      <c r="D175" s="32"/>
      <c r="E175" s="33">
        <f t="shared" ref="E175:E180" si="102">+D152</f>
        <v>113000</v>
      </c>
      <c r="F175" s="33"/>
      <c r="G175" s="110"/>
      <c r="H175" s="57">
        <f t="shared" si="93"/>
        <v>0</v>
      </c>
      <c r="I175" s="33">
        <f t="shared" si="94"/>
        <v>121500</v>
      </c>
      <c r="J175" s="31">
        <f t="shared" si="100"/>
        <v>43500</v>
      </c>
      <c r="K175" s="156" t="b">
        <f t="shared" si="96"/>
        <v>1</v>
      </c>
      <c r="Q175" s="5"/>
    </row>
    <row r="176" spans="1:17">
      <c r="A176" s="130" t="str">
        <f t="shared" si="99"/>
        <v>AVRIL</v>
      </c>
      <c r="B176" s="135" t="s">
        <v>30</v>
      </c>
      <c r="C176" s="33">
        <f t="shared" si="101"/>
        <v>116050</v>
      </c>
      <c r="D176" s="32"/>
      <c r="E176" s="33">
        <f t="shared" si="102"/>
        <v>599000</v>
      </c>
      <c r="F176" s="33"/>
      <c r="G176" s="110"/>
      <c r="H176" s="57">
        <f t="shared" si="93"/>
        <v>0</v>
      </c>
      <c r="I176" s="33">
        <f t="shared" si="94"/>
        <v>537500</v>
      </c>
      <c r="J176" s="31">
        <f t="shared" si="100"/>
        <v>177550</v>
      </c>
      <c r="K176" s="156" t="b">
        <f t="shared" si="96"/>
        <v>1</v>
      </c>
      <c r="Q176" s="5"/>
    </row>
    <row r="177" spans="1:17">
      <c r="A177" s="130" t="str">
        <f>+A175</f>
        <v>AVRIL</v>
      </c>
      <c r="B177" s="135" t="s">
        <v>94</v>
      </c>
      <c r="C177" s="33">
        <f t="shared" si="101"/>
        <v>4400</v>
      </c>
      <c r="D177" s="32"/>
      <c r="E177" s="33">
        <f t="shared" si="102"/>
        <v>20000</v>
      </c>
      <c r="F177" s="33"/>
      <c r="G177" s="110"/>
      <c r="H177" s="57">
        <f t="shared" si="93"/>
        <v>0</v>
      </c>
      <c r="I177" s="33">
        <f t="shared" si="94"/>
        <v>20000</v>
      </c>
      <c r="J177" s="31">
        <f t="shared" si="100"/>
        <v>4400</v>
      </c>
      <c r="K177" s="156" t="b">
        <f t="shared" si="96"/>
        <v>1</v>
      </c>
      <c r="Q177" s="5"/>
    </row>
    <row r="178" spans="1:17">
      <c r="A178" s="130" t="str">
        <f>+A176</f>
        <v>AVRIL</v>
      </c>
      <c r="B178" s="135" t="s">
        <v>29</v>
      </c>
      <c r="C178" s="33">
        <f t="shared" si="101"/>
        <v>16200</v>
      </c>
      <c r="D178" s="32"/>
      <c r="E178" s="33">
        <f t="shared" si="102"/>
        <v>874000</v>
      </c>
      <c r="F178" s="33"/>
      <c r="G178" s="110"/>
      <c r="H178" s="57">
        <f t="shared" si="93"/>
        <v>100000</v>
      </c>
      <c r="I178" s="33">
        <f t="shared" si="94"/>
        <v>495500</v>
      </c>
      <c r="J178" s="31">
        <f t="shared" si="100"/>
        <v>294700</v>
      </c>
      <c r="K178" s="156" t="b">
        <f t="shared" si="96"/>
        <v>1</v>
      </c>
      <c r="Q178" s="5"/>
    </row>
    <row r="179" spans="1:17">
      <c r="A179" s="130" t="str">
        <f>+A177</f>
        <v>AVRIL</v>
      </c>
      <c r="B179" s="135" t="s">
        <v>208</v>
      </c>
      <c r="C179" s="33">
        <f>+C156</f>
        <v>6000</v>
      </c>
      <c r="D179" s="32"/>
      <c r="E179" s="33">
        <f t="shared" si="102"/>
        <v>80000</v>
      </c>
      <c r="F179" s="33"/>
      <c r="G179" s="110"/>
      <c r="H179" s="57">
        <f t="shared" si="93"/>
        <v>0</v>
      </c>
      <c r="I179" s="33">
        <f t="shared" si="94"/>
        <v>72500</v>
      </c>
      <c r="J179" s="31">
        <f t="shared" si="100"/>
        <v>13500</v>
      </c>
      <c r="K179" s="156" t="b">
        <f t="shared" si="96"/>
        <v>1</v>
      </c>
      <c r="Q179" s="5"/>
    </row>
    <row r="180" spans="1:17">
      <c r="A180" s="130" t="str">
        <f>+A178</f>
        <v>AVRIL</v>
      </c>
      <c r="B180" s="136" t="s">
        <v>114</v>
      </c>
      <c r="C180" s="33">
        <f t="shared" ref="C180" si="103">+C157</f>
        <v>-790759</v>
      </c>
      <c r="D180" s="127"/>
      <c r="E180" s="33">
        <f t="shared" si="102"/>
        <v>800000</v>
      </c>
      <c r="F180" s="53"/>
      <c r="G180" s="147"/>
      <c r="H180" s="57">
        <f t="shared" si="93"/>
        <v>0</v>
      </c>
      <c r="I180" s="33">
        <f t="shared" si="94"/>
        <v>16500</v>
      </c>
      <c r="J180" s="31">
        <f t="shared" si="100"/>
        <v>-7259</v>
      </c>
      <c r="K180" s="156" t="b">
        <f t="shared" si="96"/>
        <v>1</v>
      </c>
      <c r="Q180" s="5"/>
    </row>
    <row r="181" spans="1:17">
      <c r="A181" s="35" t="s">
        <v>61</v>
      </c>
      <c r="B181" s="36"/>
      <c r="C181" s="36"/>
      <c r="D181" s="36"/>
      <c r="E181" s="36"/>
      <c r="F181" s="36"/>
      <c r="G181" s="36"/>
      <c r="H181" s="36"/>
      <c r="I181" s="36"/>
      <c r="J181" s="37"/>
      <c r="K181" s="155"/>
      <c r="Q181" s="5"/>
    </row>
    <row r="182" spans="1:17">
      <c r="A182" s="130" t="str">
        <f>+A180</f>
        <v>AVRIL</v>
      </c>
      <c r="B182" s="38" t="s">
        <v>62</v>
      </c>
      <c r="C182" s="39">
        <f>+C145</f>
        <v>1160022</v>
      </c>
      <c r="D182" s="51"/>
      <c r="E182" s="51">
        <f>D145</f>
        <v>5100000</v>
      </c>
      <c r="F182" s="51"/>
      <c r="G182" s="133"/>
      <c r="H182" s="53">
        <f>+F145</f>
        <v>3474000</v>
      </c>
      <c r="I182" s="134">
        <f>+E145</f>
        <v>1822909</v>
      </c>
      <c r="J182" s="46">
        <f>+SUM(C182:G182)-(H182+I182)</f>
        <v>963113</v>
      </c>
      <c r="K182" s="156" t="b">
        <f>J182=I145</f>
        <v>1</v>
      </c>
      <c r="Q182" s="5"/>
    </row>
    <row r="183" spans="1:17">
      <c r="A183" s="44" t="s">
        <v>63</v>
      </c>
      <c r="B183" s="25"/>
      <c r="C183" s="36"/>
      <c r="D183" s="25"/>
      <c r="E183" s="25"/>
      <c r="F183" s="25"/>
      <c r="G183" s="25"/>
      <c r="H183" s="25"/>
      <c r="I183" s="25"/>
      <c r="J183" s="37"/>
      <c r="K183" s="155"/>
      <c r="Q183" s="5"/>
    </row>
    <row r="184" spans="1:17">
      <c r="A184" s="130" t="str">
        <f>+A182</f>
        <v>AVRIL</v>
      </c>
      <c r="B184" s="38" t="s">
        <v>167</v>
      </c>
      <c r="C184" s="133">
        <f>+C143</f>
        <v>9177780</v>
      </c>
      <c r="D184" s="140">
        <f>+G143</f>
        <v>0</v>
      </c>
      <c r="E184" s="51"/>
      <c r="F184" s="51"/>
      <c r="G184" s="51"/>
      <c r="H184" s="53">
        <f>+F143</f>
        <v>5000000</v>
      </c>
      <c r="I184" s="55">
        <f>+E143</f>
        <v>23345</v>
      </c>
      <c r="J184" s="46">
        <f>+SUM(C184:G184)-(H184+I184)</f>
        <v>4154435</v>
      </c>
      <c r="K184" s="156" t="b">
        <f>+J184=I143</f>
        <v>1</v>
      </c>
      <c r="Q184" s="5"/>
    </row>
    <row r="185" spans="1:17">
      <c r="A185" s="130" t="str">
        <f t="shared" ref="A185" si="104">+A184</f>
        <v>AVRIL</v>
      </c>
      <c r="B185" s="38" t="s">
        <v>65</v>
      </c>
      <c r="C185" s="133">
        <f>+C144</f>
        <v>21521261</v>
      </c>
      <c r="D185" s="51">
        <f>+G144</f>
        <v>0</v>
      </c>
      <c r="E185" s="50"/>
      <c r="F185" s="50"/>
      <c r="G185" s="50"/>
      <c r="H185" s="33">
        <f>+F144</f>
        <v>0</v>
      </c>
      <c r="I185" s="52">
        <f>+E144</f>
        <v>5070305</v>
      </c>
      <c r="J185" s="46">
        <f>SUM(C185:G185)-(H185+I185)</f>
        <v>16450956</v>
      </c>
      <c r="K185" s="156" t="b">
        <f>+J185=I144</f>
        <v>1</v>
      </c>
      <c r="Q185" s="5"/>
    </row>
    <row r="186" spans="1:17" ht="15.75">
      <c r="C186" s="151">
        <f>SUM(C169:C185)</f>
        <v>31829567</v>
      </c>
      <c r="I186" s="149">
        <f>SUM(I169:I185)</f>
        <v>9054909</v>
      </c>
      <c r="J186" s="111">
        <f>+SUM(J169:J185)</f>
        <v>22774658</v>
      </c>
      <c r="K186" s="5" t="b">
        <f>J186=I158</f>
        <v>1</v>
      </c>
      <c r="Q186" s="5"/>
    </row>
    <row r="187" spans="1:17" ht="15.75">
      <c r="A187" s="217"/>
      <c r="B187" s="217"/>
      <c r="C187" s="218"/>
      <c r="D187" s="217"/>
      <c r="E187" s="217"/>
      <c r="F187" s="217"/>
      <c r="G187" s="217"/>
      <c r="H187" s="217"/>
      <c r="I187" s="219"/>
      <c r="J187" s="220"/>
      <c r="K187" s="217"/>
      <c r="L187" s="221"/>
      <c r="M187" s="221"/>
      <c r="N187" s="221"/>
      <c r="O187" s="221"/>
      <c r="P187" s="217"/>
      <c r="Q187" s="5"/>
    </row>
    <row r="190" spans="1:17" ht="15.75">
      <c r="A190" s="6" t="s">
        <v>37</v>
      </c>
      <c r="B190" s="6" t="s">
        <v>1</v>
      </c>
      <c r="C190" s="6">
        <v>44621</v>
      </c>
      <c r="D190" s="7" t="s">
        <v>38</v>
      </c>
      <c r="E190" s="7" t="s">
        <v>39</v>
      </c>
      <c r="F190" s="7" t="s">
        <v>40</v>
      </c>
      <c r="G190" s="7" t="s">
        <v>41</v>
      </c>
      <c r="H190" s="6">
        <v>44651</v>
      </c>
      <c r="I190" s="7" t="s">
        <v>42</v>
      </c>
      <c r="K190" s="47"/>
      <c r="L190" s="47" t="s">
        <v>43</v>
      </c>
      <c r="M190" s="47" t="s">
        <v>44</v>
      </c>
      <c r="N190" s="47" t="s">
        <v>45</v>
      </c>
      <c r="O190" s="47" t="s">
        <v>46</v>
      </c>
      <c r="Q190" s="5"/>
    </row>
    <row r="191" spans="1:17" ht="16.5">
      <c r="A191" s="60" t="str">
        <f>K191</f>
        <v>BCI</v>
      </c>
      <c r="B191" s="61" t="s">
        <v>47</v>
      </c>
      <c r="C191" s="63">
        <v>888683</v>
      </c>
      <c r="D191" s="63">
        <f>+L191</f>
        <v>0</v>
      </c>
      <c r="E191" s="63">
        <f>+N191</f>
        <v>543345</v>
      </c>
      <c r="F191" s="63">
        <f>+M191</f>
        <v>2600000</v>
      </c>
      <c r="G191" s="63">
        <f t="shared" ref="G191:G202" si="105">+O191</f>
        <v>11432442</v>
      </c>
      <c r="H191" s="63">
        <v>9177780</v>
      </c>
      <c r="I191" s="63">
        <f>+C191+D191-E191-F191+G191</f>
        <v>9177780</v>
      </c>
      <c r="J191" s="9">
        <f>I191-H191</f>
        <v>0</v>
      </c>
      <c r="K191" s="47" t="s">
        <v>24</v>
      </c>
      <c r="L191" s="49">
        <v>0</v>
      </c>
      <c r="M191" s="49">
        <v>2600000</v>
      </c>
      <c r="N191" s="49">
        <v>543345</v>
      </c>
      <c r="O191" s="49">
        <v>11432442</v>
      </c>
      <c r="Q191" s="5"/>
    </row>
    <row r="192" spans="1:17" ht="16.5">
      <c r="A192" s="60" t="str">
        <f t="shared" ref="A192:A205" si="106">K192</f>
        <v>BCI-Sous Compte</v>
      </c>
      <c r="B192" s="61" t="s">
        <v>47</v>
      </c>
      <c r="C192" s="63">
        <v>882502</v>
      </c>
      <c r="D192" s="63">
        <f t="shared" ref="D192:D205" si="107">+L192</f>
        <v>0</v>
      </c>
      <c r="E192" s="63">
        <f t="shared" ref="E192:E205" si="108">+N192</f>
        <v>6117606</v>
      </c>
      <c r="F192" s="63">
        <f t="shared" ref="F192:F205" si="109">+M192</f>
        <v>1600000</v>
      </c>
      <c r="G192" s="63">
        <f t="shared" si="105"/>
        <v>28356365</v>
      </c>
      <c r="H192" s="63">
        <v>21521261</v>
      </c>
      <c r="I192" s="63">
        <f>+C192+D192-E192-F192+G192</f>
        <v>21521261</v>
      </c>
      <c r="J192" s="9">
        <f t="shared" ref="J192:J199" si="110">I192-H192</f>
        <v>0</v>
      </c>
      <c r="K192" s="47" t="s">
        <v>158</v>
      </c>
      <c r="L192" s="49">
        <v>0</v>
      </c>
      <c r="M192" s="49">
        <v>1600000</v>
      </c>
      <c r="N192" s="49">
        <v>6117606</v>
      </c>
      <c r="O192" s="49">
        <v>28356365</v>
      </c>
      <c r="Q192" s="5"/>
    </row>
    <row r="193" spans="1:17" ht="16.5">
      <c r="A193" s="60" t="str">
        <f t="shared" si="106"/>
        <v>Caisse</v>
      </c>
      <c r="B193" s="61" t="s">
        <v>25</v>
      </c>
      <c r="C193" s="63">
        <v>797106</v>
      </c>
      <c r="D193" s="63">
        <f t="shared" si="107"/>
        <v>4270000</v>
      </c>
      <c r="E193" s="63">
        <f t="shared" si="108"/>
        <v>2099084</v>
      </c>
      <c r="F193" s="63">
        <f t="shared" si="109"/>
        <v>1808000</v>
      </c>
      <c r="G193" s="63">
        <f t="shared" si="105"/>
        <v>0</v>
      </c>
      <c r="H193" s="63">
        <v>1160022</v>
      </c>
      <c r="I193" s="63">
        <f>+C193+D193-E193-F193+G193</f>
        <v>1160022</v>
      </c>
      <c r="J193" s="108">
        <f t="shared" si="110"/>
        <v>0</v>
      </c>
      <c r="K193" s="47" t="s">
        <v>25</v>
      </c>
      <c r="L193" s="49">
        <v>4270000</v>
      </c>
      <c r="M193" s="49">
        <v>1808000</v>
      </c>
      <c r="N193" s="49">
        <v>2099084</v>
      </c>
      <c r="O193" s="49">
        <v>0</v>
      </c>
      <c r="Q193" s="5"/>
    </row>
    <row r="194" spans="1:17" ht="16.5">
      <c r="A194" s="60" t="str">
        <f t="shared" si="106"/>
        <v>Crépin</v>
      </c>
      <c r="B194" s="61" t="s">
        <v>164</v>
      </c>
      <c r="C194" s="63">
        <v>56050</v>
      </c>
      <c r="D194" s="63">
        <f t="shared" si="107"/>
        <v>0</v>
      </c>
      <c r="E194" s="63">
        <f t="shared" si="108"/>
        <v>4000</v>
      </c>
      <c r="F194" s="63">
        <f t="shared" si="109"/>
        <v>30000</v>
      </c>
      <c r="G194" s="63">
        <f t="shared" si="105"/>
        <v>0</v>
      </c>
      <c r="H194" s="63">
        <v>22050</v>
      </c>
      <c r="I194" s="63">
        <f>+C194+D194-E194-F194+G194</f>
        <v>22050</v>
      </c>
      <c r="J194" s="9">
        <f t="shared" si="110"/>
        <v>0</v>
      </c>
      <c r="K194" s="47" t="s">
        <v>48</v>
      </c>
      <c r="L194" s="49">
        <v>0</v>
      </c>
      <c r="M194" s="49">
        <v>30000</v>
      </c>
      <c r="N194" s="49">
        <v>4000</v>
      </c>
      <c r="O194" s="49">
        <v>0</v>
      </c>
      <c r="Q194" s="5"/>
    </row>
    <row r="195" spans="1:17" ht="16.5">
      <c r="A195" s="60" t="str">
        <f t="shared" si="106"/>
        <v>Evariste</v>
      </c>
      <c r="B195" s="61" t="s">
        <v>165</v>
      </c>
      <c r="C195" s="63">
        <v>21495</v>
      </c>
      <c r="D195" s="63">
        <f t="shared" si="107"/>
        <v>139000</v>
      </c>
      <c r="E195" s="63">
        <f t="shared" si="108"/>
        <v>146500</v>
      </c>
      <c r="F195" s="63">
        <f t="shared" si="109"/>
        <v>0</v>
      </c>
      <c r="G195" s="63">
        <f t="shared" si="105"/>
        <v>0</v>
      </c>
      <c r="H195" s="63">
        <v>13995</v>
      </c>
      <c r="I195" s="63">
        <f t="shared" ref="I195" si="111">+C195+D195-E195-F195+G195</f>
        <v>13995</v>
      </c>
      <c r="J195" s="9">
        <f t="shared" si="110"/>
        <v>0</v>
      </c>
      <c r="K195" s="47" t="s">
        <v>31</v>
      </c>
      <c r="L195" s="49">
        <v>139000</v>
      </c>
      <c r="M195" s="49">
        <v>0</v>
      </c>
      <c r="N195" s="49">
        <v>146500</v>
      </c>
      <c r="O195" s="49">
        <v>0</v>
      </c>
      <c r="Q195" s="5"/>
    </row>
    <row r="196" spans="1:17" ht="16.5">
      <c r="A196" s="60" t="str">
        <f t="shared" si="106"/>
        <v>Godfré</v>
      </c>
      <c r="B196" s="61" t="s">
        <v>164</v>
      </c>
      <c r="C196" s="63">
        <v>113185</v>
      </c>
      <c r="D196" s="63">
        <f t="shared" si="107"/>
        <v>188000</v>
      </c>
      <c r="E196" s="63">
        <f t="shared" si="108"/>
        <v>224700</v>
      </c>
      <c r="F196" s="63">
        <f t="shared" si="109"/>
        <v>40000</v>
      </c>
      <c r="G196" s="63">
        <f t="shared" si="105"/>
        <v>0</v>
      </c>
      <c r="H196" s="63">
        <v>36485</v>
      </c>
      <c r="I196" s="63">
        <f>+C196+D196-E196-F196+G196</f>
        <v>36485</v>
      </c>
      <c r="J196" s="9">
        <f t="shared" si="110"/>
        <v>0</v>
      </c>
      <c r="K196" s="47" t="s">
        <v>153</v>
      </c>
      <c r="L196" s="49">
        <v>188000</v>
      </c>
      <c r="M196" s="49">
        <v>40000</v>
      </c>
      <c r="N196" s="49">
        <v>224700</v>
      </c>
      <c r="O196" s="49">
        <v>0</v>
      </c>
      <c r="Q196" s="5"/>
    </row>
    <row r="197" spans="1:17" ht="16.5">
      <c r="A197" s="60" t="str">
        <f t="shared" si="106"/>
        <v>I55S</v>
      </c>
      <c r="B197" s="124" t="s">
        <v>4</v>
      </c>
      <c r="C197" s="126">
        <v>233614</v>
      </c>
      <c r="D197" s="126">
        <f t="shared" si="107"/>
        <v>0</v>
      </c>
      <c r="E197" s="126">
        <f t="shared" si="108"/>
        <v>0</v>
      </c>
      <c r="F197" s="126">
        <f t="shared" si="109"/>
        <v>0</v>
      </c>
      <c r="G197" s="126">
        <f t="shared" si="105"/>
        <v>0</v>
      </c>
      <c r="H197" s="126">
        <v>233614</v>
      </c>
      <c r="I197" s="126">
        <f>+C197+D197-E197-F197+G197</f>
        <v>233614</v>
      </c>
      <c r="J197" s="9">
        <f t="shared" si="110"/>
        <v>0</v>
      </c>
      <c r="K197" s="47" t="s">
        <v>85</v>
      </c>
      <c r="L197" s="49">
        <v>0</v>
      </c>
      <c r="M197" s="49">
        <v>0</v>
      </c>
      <c r="N197" s="49">
        <v>0</v>
      </c>
      <c r="O197" s="49">
        <v>0</v>
      </c>
      <c r="Q197" s="5"/>
    </row>
    <row r="198" spans="1:17" ht="16.5">
      <c r="A198" s="60" t="str">
        <f t="shared" si="106"/>
        <v>I73X</v>
      </c>
      <c r="B198" s="124" t="s">
        <v>4</v>
      </c>
      <c r="C198" s="126">
        <v>249769</v>
      </c>
      <c r="D198" s="126">
        <f t="shared" si="107"/>
        <v>0</v>
      </c>
      <c r="E198" s="126">
        <f t="shared" si="108"/>
        <v>0</v>
      </c>
      <c r="F198" s="126">
        <f t="shared" si="109"/>
        <v>0</v>
      </c>
      <c r="G198" s="126">
        <f t="shared" si="105"/>
        <v>0</v>
      </c>
      <c r="H198" s="126">
        <v>249769</v>
      </c>
      <c r="I198" s="126">
        <f t="shared" ref="I198:I201" si="112">+C198+D198-E198-F198+G198</f>
        <v>249769</v>
      </c>
      <c r="J198" s="9">
        <f t="shared" si="110"/>
        <v>0</v>
      </c>
      <c r="K198" s="47" t="s">
        <v>84</v>
      </c>
      <c r="L198" s="49">
        <v>0</v>
      </c>
      <c r="M198" s="49">
        <v>0</v>
      </c>
      <c r="N198" s="49">
        <v>0</v>
      </c>
      <c r="O198" s="49">
        <v>0</v>
      </c>
      <c r="Q198" s="5"/>
    </row>
    <row r="199" spans="1:17" ht="16.5">
      <c r="A199" s="60" t="str">
        <f t="shared" si="106"/>
        <v>Grace</v>
      </c>
      <c r="B199" s="104" t="s">
        <v>2</v>
      </c>
      <c r="C199" s="63">
        <v>20700</v>
      </c>
      <c r="D199" s="63">
        <f t="shared" si="107"/>
        <v>0</v>
      </c>
      <c r="E199" s="63">
        <f t="shared" si="108"/>
        <v>10000</v>
      </c>
      <c r="F199" s="63">
        <f t="shared" si="109"/>
        <v>0</v>
      </c>
      <c r="G199" s="63">
        <f t="shared" si="105"/>
        <v>0</v>
      </c>
      <c r="H199" s="63">
        <v>10700</v>
      </c>
      <c r="I199" s="63">
        <f t="shared" si="112"/>
        <v>10700</v>
      </c>
      <c r="J199" s="9">
        <f t="shared" si="110"/>
        <v>0</v>
      </c>
      <c r="K199" s="47" t="s">
        <v>152</v>
      </c>
      <c r="L199" s="49">
        <v>0</v>
      </c>
      <c r="M199" s="49">
        <v>0</v>
      </c>
      <c r="N199" s="49">
        <v>10000</v>
      </c>
      <c r="O199" s="49">
        <v>0</v>
      </c>
      <c r="Q199" s="5"/>
    </row>
    <row r="200" spans="1:17" ht="16.5">
      <c r="A200" s="60" t="str">
        <f t="shared" si="106"/>
        <v>Hurielle</v>
      </c>
      <c r="B200" s="61" t="s">
        <v>164</v>
      </c>
      <c r="C200" s="63">
        <v>0</v>
      </c>
      <c r="D200" s="63">
        <f t="shared" si="107"/>
        <v>135000</v>
      </c>
      <c r="E200" s="63">
        <f t="shared" si="108"/>
        <v>83000</v>
      </c>
      <c r="F200" s="63">
        <f t="shared" si="109"/>
        <v>0</v>
      </c>
      <c r="G200" s="63">
        <f t="shared" si="105"/>
        <v>0</v>
      </c>
      <c r="H200" s="63">
        <v>52000</v>
      </c>
      <c r="I200" s="63">
        <f t="shared" si="112"/>
        <v>52000</v>
      </c>
      <c r="J200" s="9">
        <f>I200-H200</f>
        <v>0</v>
      </c>
      <c r="K200" s="47" t="s">
        <v>209</v>
      </c>
      <c r="L200" s="49">
        <v>135000</v>
      </c>
      <c r="M200" s="49">
        <v>0</v>
      </c>
      <c r="N200" s="49">
        <v>83000</v>
      </c>
      <c r="O200" s="49">
        <v>0</v>
      </c>
      <c r="Q200" s="5"/>
    </row>
    <row r="201" spans="1:17" ht="16.5">
      <c r="A201" s="60" t="str">
        <f t="shared" si="106"/>
        <v>I23C</v>
      </c>
      <c r="B201" s="104" t="s">
        <v>4</v>
      </c>
      <c r="C201" s="63">
        <v>15550</v>
      </c>
      <c r="D201" s="63">
        <f t="shared" si="107"/>
        <v>747000</v>
      </c>
      <c r="E201" s="63">
        <f t="shared" si="108"/>
        <v>646500</v>
      </c>
      <c r="F201" s="63">
        <f t="shared" si="109"/>
        <v>0</v>
      </c>
      <c r="G201" s="63">
        <f t="shared" si="105"/>
        <v>0</v>
      </c>
      <c r="H201" s="63">
        <v>116050</v>
      </c>
      <c r="I201" s="63">
        <f t="shared" si="112"/>
        <v>116050</v>
      </c>
      <c r="J201" s="9">
        <f t="shared" ref="J201:J202" si="113">I201-H201</f>
        <v>0</v>
      </c>
      <c r="K201" s="47" t="s">
        <v>30</v>
      </c>
      <c r="L201" s="49">
        <v>747000</v>
      </c>
      <c r="M201" s="49">
        <v>0</v>
      </c>
      <c r="N201" s="49">
        <v>646500</v>
      </c>
      <c r="O201" s="49">
        <v>0</v>
      </c>
      <c r="Q201" s="5"/>
    </row>
    <row r="202" spans="1:17" ht="16.5">
      <c r="A202" s="60" t="str">
        <f t="shared" si="106"/>
        <v>Merveille</v>
      </c>
      <c r="B202" s="61" t="s">
        <v>2</v>
      </c>
      <c r="C202" s="63">
        <v>4800</v>
      </c>
      <c r="D202" s="63">
        <f t="shared" si="107"/>
        <v>20000</v>
      </c>
      <c r="E202" s="63">
        <f t="shared" si="108"/>
        <v>20400</v>
      </c>
      <c r="F202" s="63">
        <f t="shared" si="109"/>
        <v>0</v>
      </c>
      <c r="G202" s="63">
        <f t="shared" si="105"/>
        <v>0</v>
      </c>
      <c r="H202" s="63">
        <v>4400</v>
      </c>
      <c r="I202" s="63">
        <f>+C202+D202-E202-F202+G202</f>
        <v>4400</v>
      </c>
      <c r="J202" s="9">
        <f t="shared" si="113"/>
        <v>0</v>
      </c>
      <c r="K202" s="47" t="s">
        <v>94</v>
      </c>
      <c r="L202" s="49">
        <v>20000</v>
      </c>
      <c r="M202" s="49">
        <v>0</v>
      </c>
      <c r="N202" s="49">
        <v>20400</v>
      </c>
      <c r="O202" s="49"/>
      <c r="Q202" s="5"/>
    </row>
    <row r="203" spans="1:17" ht="16.5">
      <c r="A203" s="60" t="str">
        <f t="shared" si="106"/>
        <v>P29</v>
      </c>
      <c r="B203" s="61" t="s">
        <v>4</v>
      </c>
      <c r="C203" s="63">
        <v>136200</v>
      </c>
      <c r="D203" s="63">
        <f t="shared" si="107"/>
        <v>380000</v>
      </c>
      <c r="E203" s="63">
        <f t="shared" si="108"/>
        <v>500000</v>
      </c>
      <c r="F203" s="63">
        <f t="shared" si="109"/>
        <v>0</v>
      </c>
      <c r="G203" s="63">
        <f>+O203</f>
        <v>0</v>
      </c>
      <c r="H203" s="63">
        <v>16200</v>
      </c>
      <c r="I203" s="63">
        <f>+C203+D203-E203-F203+G203</f>
        <v>16200</v>
      </c>
      <c r="J203" s="9">
        <f>I203-H203</f>
        <v>0</v>
      </c>
      <c r="K203" s="47" t="s">
        <v>29</v>
      </c>
      <c r="L203" s="49">
        <v>380000</v>
      </c>
      <c r="M203" s="49">
        <v>0</v>
      </c>
      <c r="N203" s="49">
        <v>500000</v>
      </c>
      <c r="O203" s="49">
        <v>0</v>
      </c>
      <c r="Q203" s="5"/>
    </row>
    <row r="204" spans="1:17" ht="16.5">
      <c r="A204" s="60" t="str">
        <f t="shared" si="106"/>
        <v>Paule</v>
      </c>
      <c r="B204" s="61" t="s">
        <v>164</v>
      </c>
      <c r="C204" s="63">
        <v>0</v>
      </c>
      <c r="D204" s="63">
        <f t="shared" si="107"/>
        <v>129000</v>
      </c>
      <c r="E204" s="63">
        <f t="shared" si="108"/>
        <v>123000</v>
      </c>
      <c r="F204" s="63">
        <f t="shared" si="109"/>
        <v>0</v>
      </c>
      <c r="G204" s="63">
        <f>+O204</f>
        <v>0</v>
      </c>
      <c r="H204" s="63">
        <v>6000</v>
      </c>
      <c r="I204" s="63">
        <f>+C204+D204-E204-F204+G204</f>
        <v>6000</v>
      </c>
      <c r="J204" s="9">
        <f>I204-H204</f>
        <v>0</v>
      </c>
      <c r="K204" s="47" t="s">
        <v>208</v>
      </c>
      <c r="L204" s="49">
        <v>129000</v>
      </c>
      <c r="M204" s="49">
        <v>0</v>
      </c>
      <c r="N204" s="49">
        <v>123000</v>
      </c>
      <c r="O204" s="49">
        <v>0</v>
      </c>
      <c r="Q204" s="5"/>
    </row>
    <row r="205" spans="1:17" ht="16.5">
      <c r="A205" s="60" t="str">
        <f t="shared" si="106"/>
        <v>Tiffany</v>
      </c>
      <c r="B205" s="61" t="s">
        <v>2</v>
      </c>
      <c r="C205" s="63">
        <v>-36737</v>
      </c>
      <c r="D205" s="63">
        <f t="shared" si="107"/>
        <v>70000</v>
      </c>
      <c r="E205" s="63">
        <f t="shared" si="108"/>
        <v>824022</v>
      </c>
      <c r="F205" s="63">
        <f t="shared" si="109"/>
        <v>0</v>
      </c>
      <c r="G205" s="63">
        <f t="shared" ref="G205" si="114">+O205</f>
        <v>0</v>
      </c>
      <c r="H205" s="63">
        <v>-790759</v>
      </c>
      <c r="I205" s="63">
        <f t="shared" ref="I205" si="115">+C205+D205-E205-F205+G205</f>
        <v>-790759</v>
      </c>
      <c r="J205" s="9">
        <f t="shared" ref="J205" si="116">I205-H205</f>
        <v>0</v>
      </c>
      <c r="K205" s="47" t="s">
        <v>114</v>
      </c>
      <c r="L205" s="49">
        <v>70000</v>
      </c>
      <c r="M205" s="49">
        <v>0</v>
      </c>
      <c r="N205" s="49">
        <v>824022</v>
      </c>
      <c r="O205" s="49">
        <v>0</v>
      </c>
      <c r="Q205" s="5"/>
    </row>
    <row r="206" spans="1:17" ht="16.5">
      <c r="A206" s="10" t="s">
        <v>51</v>
      </c>
      <c r="B206" s="11"/>
      <c r="C206" s="12">
        <f t="shared" ref="C206:I206" si="117">SUM(C191:C205)</f>
        <v>3382917</v>
      </c>
      <c r="D206" s="59">
        <f t="shared" si="117"/>
        <v>6078000</v>
      </c>
      <c r="E206" s="59">
        <f t="shared" si="117"/>
        <v>11342157</v>
      </c>
      <c r="F206" s="59">
        <f t="shared" si="117"/>
        <v>6078000</v>
      </c>
      <c r="G206" s="59">
        <f t="shared" si="117"/>
        <v>39788807</v>
      </c>
      <c r="H206" s="59">
        <f t="shared" si="117"/>
        <v>31829567</v>
      </c>
      <c r="I206" s="59">
        <f t="shared" si="117"/>
        <v>31829567</v>
      </c>
      <c r="J206" s="9">
        <f>I206-H206</f>
        <v>0</v>
      </c>
      <c r="K206" s="3"/>
      <c r="L206" s="49">
        <f>+SUM(L191:L205)</f>
        <v>6078000</v>
      </c>
      <c r="M206" s="49">
        <f>+SUM(M191:M205)</f>
        <v>6078000</v>
      </c>
      <c r="N206" s="49">
        <f>+SUM(N191:N205)</f>
        <v>11342157</v>
      </c>
      <c r="O206" s="49">
        <f>+SUM(O191:O205)</f>
        <v>39788807</v>
      </c>
      <c r="Q206" s="5"/>
    </row>
    <row r="207" spans="1:17" ht="16.5">
      <c r="A207" s="10"/>
      <c r="B207" s="11"/>
      <c r="C207" s="12"/>
      <c r="D207" s="13"/>
      <c r="E207" s="12"/>
      <c r="F207" s="13"/>
      <c r="G207" s="12"/>
      <c r="H207" s="12"/>
      <c r="I207" s="143" t="b">
        <f>I206=D209</f>
        <v>1</v>
      </c>
      <c r="L207" s="5"/>
      <c r="M207" s="5"/>
      <c r="N207" s="5"/>
      <c r="O207" s="5"/>
      <c r="Q207" s="5"/>
    </row>
    <row r="208" spans="1:17" ht="16.5">
      <c r="A208" s="10" t="s">
        <v>201</v>
      </c>
      <c r="B208" s="11" t="s">
        <v>202</v>
      </c>
      <c r="C208" s="12" t="s">
        <v>206</v>
      </c>
      <c r="D208" s="12" t="s">
        <v>203</v>
      </c>
      <c r="E208" s="12" t="s">
        <v>52</v>
      </c>
      <c r="F208" s="12"/>
      <c r="G208" s="12">
        <f>+D206-F206</f>
        <v>0</v>
      </c>
      <c r="H208" s="12"/>
      <c r="I208" s="12"/>
      <c r="Q208" s="5"/>
    </row>
    <row r="209" spans="1:17" ht="16.5">
      <c r="A209" s="14">
        <f>C206</f>
        <v>3382917</v>
      </c>
      <c r="B209" s="15">
        <f>G206</f>
        <v>39788807</v>
      </c>
      <c r="C209" s="12">
        <f>E206</f>
        <v>11342157</v>
      </c>
      <c r="D209" s="12">
        <f>A209+B209-C209</f>
        <v>31829567</v>
      </c>
      <c r="E209" s="13">
        <f>I206-D209</f>
        <v>0</v>
      </c>
      <c r="F209" s="12"/>
      <c r="G209" s="12"/>
      <c r="H209" s="12"/>
      <c r="I209" s="12"/>
      <c r="Q209" s="5"/>
    </row>
    <row r="210" spans="1:17" ht="16.5">
      <c r="A210" s="14"/>
      <c r="B210" s="15"/>
      <c r="C210" s="12"/>
      <c r="D210" s="12"/>
      <c r="E210" s="13"/>
      <c r="F210" s="12"/>
      <c r="G210" s="12"/>
      <c r="H210" s="12"/>
      <c r="I210" s="12"/>
      <c r="Q210" s="5"/>
    </row>
    <row r="211" spans="1:17">
      <c r="A211" s="16" t="s">
        <v>53</v>
      </c>
      <c r="B211" s="16"/>
      <c r="C211" s="16"/>
      <c r="D211" s="17"/>
      <c r="E211" s="17"/>
      <c r="F211" s="17"/>
      <c r="G211" s="17"/>
      <c r="H211" s="17"/>
      <c r="I211" s="17"/>
      <c r="Q211" s="5"/>
    </row>
    <row r="212" spans="1:17">
      <c r="A212" s="18" t="s">
        <v>204</v>
      </c>
      <c r="B212" s="18"/>
      <c r="C212" s="18"/>
      <c r="D212" s="18"/>
      <c r="E212" s="18"/>
      <c r="F212" s="18"/>
      <c r="G212" s="18"/>
      <c r="H212" s="18"/>
      <c r="I212" s="18"/>
      <c r="J212" s="18"/>
      <c r="Q212" s="5"/>
    </row>
    <row r="213" spans="1:17">
      <c r="A213" s="19"/>
      <c r="B213" s="20"/>
      <c r="C213" s="21"/>
      <c r="D213" s="21"/>
      <c r="E213" s="21"/>
      <c r="F213" s="21"/>
      <c r="G213" s="21"/>
      <c r="H213" s="20"/>
      <c r="I213" s="20"/>
      <c r="Q213" s="5"/>
    </row>
    <row r="214" spans="1:17">
      <c r="A214" s="234" t="s">
        <v>54</v>
      </c>
      <c r="B214" s="236" t="s">
        <v>55</v>
      </c>
      <c r="C214" s="238" t="s">
        <v>205</v>
      </c>
      <c r="D214" s="240" t="s">
        <v>56</v>
      </c>
      <c r="E214" s="241"/>
      <c r="F214" s="241"/>
      <c r="G214" s="242"/>
      <c r="H214" s="243" t="s">
        <v>57</v>
      </c>
      <c r="I214" s="230" t="s">
        <v>58</v>
      </c>
      <c r="J214" s="20"/>
      <c r="Q214" s="5"/>
    </row>
    <row r="215" spans="1:17" ht="28.5" customHeight="1">
      <c r="A215" s="235"/>
      <c r="B215" s="237"/>
      <c r="C215" s="239"/>
      <c r="D215" s="22" t="s">
        <v>24</v>
      </c>
      <c r="E215" s="22" t="s">
        <v>25</v>
      </c>
      <c r="F215" s="239" t="s">
        <v>124</v>
      </c>
      <c r="G215" s="22" t="s">
        <v>59</v>
      </c>
      <c r="H215" s="244"/>
      <c r="I215" s="231"/>
      <c r="J215" s="232" t="s">
        <v>200</v>
      </c>
      <c r="K215" s="155"/>
      <c r="Q215" s="5"/>
    </row>
    <row r="216" spans="1:17">
      <c r="A216" s="24"/>
      <c r="B216" s="25" t="s">
        <v>60</v>
      </c>
      <c r="C216" s="26"/>
      <c r="D216" s="26"/>
      <c r="E216" s="26"/>
      <c r="F216" s="26"/>
      <c r="G216" s="26"/>
      <c r="H216" s="26"/>
      <c r="I216" s="27"/>
      <c r="J216" s="233"/>
      <c r="K216" s="155"/>
      <c r="Q216" s="5"/>
    </row>
    <row r="217" spans="1:17">
      <c r="A217" s="130" t="s">
        <v>121</v>
      </c>
      <c r="B217" s="135" t="s">
        <v>48</v>
      </c>
      <c r="C217" s="33">
        <f>+C194</f>
        <v>56050</v>
      </c>
      <c r="D217" s="32"/>
      <c r="E217" s="33">
        <f>+D194</f>
        <v>0</v>
      </c>
      <c r="F217" s="33"/>
      <c r="G217" s="33"/>
      <c r="H217" s="57">
        <f t="shared" ref="H217:H227" si="118">+F194</f>
        <v>30000</v>
      </c>
      <c r="I217" s="33">
        <f t="shared" ref="I217:I227" si="119">+E194</f>
        <v>4000</v>
      </c>
      <c r="J217" s="31">
        <f t="shared" ref="J217:J218" si="120">+SUM(C217:G217)-(H217+I217)</f>
        <v>22050</v>
      </c>
      <c r="K217" s="156" t="b">
        <f t="shared" ref="K217:K227" si="121">J217=I194</f>
        <v>1</v>
      </c>
      <c r="Q217" s="5"/>
    </row>
    <row r="218" spans="1:17">
      <c r="A218" s="130" t="str">
        <f>+A217</f>
        <v>MARS</v>
      </c>
      <c r="B218" s="135" t="s">
        <v>31</v>
      </c>
      <c r="C218" s="33">
        <f t="shared" ref="C218:C219" si="122">+C195</f>
        <v>21495</v>
      </c>
      <c r="D218" s="32"/>
      <c r="E218" s="33">
        <f t="shared" ref="E218:E219" si="123">+D195</f>
        <v>139000</v>
      </c>
      <c r="F218" s="33"/>
      <c r="G218" s="33"/>
      <c r="H218" s="57">
        <f t="shared" si="118"/>
        <v>0</v>
      </c>
      <c r="I218" s="33">
        <f t="shared" si="119"/>
        <v>146500</v>
      </c>
      <c r="J218" s="107">
        <f t="shared" si="120"/>
        <v>13995</v>
      </c>
      <c r="K218" s="156" t="b">
        <f t="shared" si="121"/>
        <v>1</v>
      </c>
      <c r="Q218" s="5"/>
    </row>
    <row r="219" spans="1:17">
      <c r="A219" s="130" t="str">
        <f t="shared" ref="A219:A224" si="124">+A218</f>
        <v>MARS</v>
      </c>
      <c r="B219" s="136" t="s">
        <v>153</v>
      </c>
      <c r="C219" s="33">
        <f t="shared" si="122"/>
        <v>113185</v>
      </c>
      <c r="D219" s="127"/>
      <c r="E219" s="33">
        <f t="shared" si="123"/>
        <v>188000</v>
      </c>
      <c r="F219" s="53"/>
      <c r="G219" s="53"/>
      <c r="H219" s="57">
        <f t="shared" si="118"/>
        <v>40000</v>
      </c>
      <c r="I219" s="33">
        <f t="shared" si="119"/>
        <v>224700</v>
      </c>
      <c r="J219" s="132">
        <f>+SUM(C219:G219)-(H219+I219)</f>
        <v>36485</v>
      </c>
      <c r="K219" s="156" t="b">
        <f t="shared" si="121"/>
        <v>1</v>
      </c>
      <c r="Q219" s="5"/>
    </row>
    <row r="220" spans="1:17">
      <c r="A220" s="130" t="str">
        <f t="shared" si="124"/>
        <v>MARS</v>
      </c>
      <c r="B220" s="137" t="s">
        <v>85</v>
      </c>
      <c r="C220" s="128">
        <f>+C197</f>
        <v>233614</v>
      </c>
      <c r="D220" s="131"/>
      <c r="E220" s="128">
        <f>+D197</f>
        <v>0</v>
      </c>
      <c r="F220" s="146"/>
      <c r="G220" s="146"/>
      <c r="H220" s="180">
        <f t="shared" si="118"/>
        <v>0</v>
      </c>
      <c r="I220" s="128">
        <f t="shared" si="119"/>
        <v>0</v>
      </c>
      <c r="J220" s="129">
        <f>+SUM(C220:G220)-(H220+I220)</f>
        <v>233614</v>
      </c>
      <c r="K220" s="156" t="b">
        <f t="shared" si="121"/>
        <v>1</v>
      </c>
      <c r="Q220" s="5"/>
    </row>
    <row r="221" spans="1:17">
      <c r="A221" s="130" t="str">
        <f t="shared" si="124"/>
        <v>MARS</v>
      </c>
      <c r="B221" s="137" t="s">
        <v>84</v>
      </c>
      <c r="C221" s="128">
        <f>+C198</f>
        <v>249769</v>
      </c>
      <c r="D221" s="131"/>
      <c r="E221" s="128">
        <f>+D198</f>
        <v>0</v>
      </c>
      <c r="F221" s="146"/>
      <c r="G221" s="146"/>
      <c r="H221" s="180">
        <f t="shared" si="118"/>
        <v>0</v>
      </c>
      <c r="I221" s="128">
        <f t="shared" si="119"/>
        <v>0</v>
      </c>
      <c r="J221" s="129">
        <f t="shared" ref="J221:J228" si="125">+SUM(C221:G221)-(H221+I221)</f>
        <v>249769</v>
      </c>
      <c r="K221" s="156" t="b">
        <f t="shared" si="121"/>
        <v>1</v>
      </c>
      <c r="Q221" s="5"/>
    </row>
    <row r="222" spans="1:17">
      <c r="A222" s="130" t="str">
        <f t="shared" si="124"/>
        <v>MARS</v>
      </c>
      <c r="B222" s="135" t="s">
        <v>152</v>
      </c>
      <c r="C222" s="33">
        <f>+C199</f>
        <v>20700</v>
      </c>
      <c r="D222" s="32"/>
      <c r="E222" s="33">
        <f>+D199</f>
        <v>0</v>
      </c>
      <c r="F222" s="33"/>
      <c r="G222" s="110"/>
      <c r="H222" s="57">
        <f t="shared" si="118"/>
        <v>0</v>
      </c>
      <c r="I222" s="33">
        <f t="shared" si="119"/>
        <v>10000</v>
      </c>
      <c r="J222" s="31">
        <f t="shared" si="125"/>
        <v>10700</v>
      </c>
      <c r="K222" s="156" t="b">
        <f t="shared" si="121"/>
        <v>1</v>
      </c>
      <c r="Q222" s="5"/>
    </row>
    <row r="223" spans="1:17">
      <c r="A223" s="130" t="str">
        <f t="shared" si="124"/>
        <v>MARS</v>
      </c>
      <c r="B223" s="135" t="s">
        <v>209</v>
      </c>
      <c r="C223" s="33">
        <f t="shared" ref="C223:C226" si="126">+C200</f>
        <v>0</v>
      </c>
      <c r="D223" s="32"/>
      <c r="E223" s="33">
        <f t="shared" ref="E223:E228" si="127">+D200</f>
        <v>135000</v>
      </c>
      <c r="F223" s="33"/>
      <c r="G223" s="110"/>
      <c r="H223" s="57">
        <f t="shared" si="118"/>
        <v>0</v>
      </c>
      <c r="I223" s="33">
        <f t="shared" si="119"/>
        <v>83000</v>
      </c>
      <c r="J223" s="31">
        <f t="shared" si="125"/>
        <v>52000</v>
      </c>
      <c r="K223" s="156" t="b">
        <f t="shared" si="121"/>
        <v>1</v>
      </c>
      <c r="Q223" s="5"/>
    </row>
    <row r="224" spans="1:17">
      <c r="A224" s="130" t="str">
        <f t="shared" si="124"/>
        <v>MARS</v>
      </c>
      <c r="B224" s="135" t="s">
        <v>30</v>
      </c>
      <c r="C224" s="33">
        <f t="shared" si="126"/>
        <v>15550</v>
      </c>
      <c r="D224" s="32"/>
      <c r="E224" s="33">
        <f t="shared" si="127"/>
        <v>747000</v>
      </c>
      <c r="F224" s="33"/>
      <c r="G224" s="110"/>
      <c r="H224" s="57">
        <f t="shared" si="118"/>
        <v>0</v>
      </c>
      <c r="I224" s="33">
        <f t="shared" si="119"/>
        <v>646500</v>
      </c>
      <c r="J224" s="31">
        <f t="shared" si="125"/>
        <v>116050</v>
      </c>
      <c r="K224" s="156" t="b">
        <f t="shared" si="121"/>
        <v>1</v>
      </c>
      <c r="Q224" s="5"/>
    </row>
    <row r="225" spans="1:17">
      <c r="A225" s="130" t="str">
        <f>+A223</f>
        <v>MARS</v>
      </c>
      <c r="B225" s="135" t="s">
        <v>94</v>
      </c>
      <c r="C225" s="33">
        <f t="shared" si="126"/>
        <v>4800</v>
      </c>
      <c r="D225" s="32"/>
      <c r="E225" s="33">
        <f t="shared" si="127"/>
        <v>20000</v>
      </c>
      <c r="F225" s="33"/>
      <c r="G225" s="110"/>
      <c r="H225" s="57">
        <f t="shared" si="118"/>
        <v>0</v>
      </c>
      <c r="I225" s="33">
        <f t="shared" si="119"/>
        <v>20400</v>
      </c>
      <c r="J225" s="31">
        <f t="shared" si="125"/>
        <v>4400</v>
      </c>
      <c r="K225" s="156" t="b">
        <f t="shared" si="121"/>
        <v>1</v>
      </c>
      <c r="Q225" s="5"/>
    </row>
    <row r="226" spans="1:17">
      <c r="A226" s="130" t="str">
        <f>+A224</f>
        <v>MARS</v>
      </c>
      <c r="B226" s="135" t="s">
        <v>29</v>
      </c>
      <c r="C226" s="33">
        <f t="shared" si="126"/>
        <v>136200</v>
      </c>
      <c r="D226" s="32"/>
      <c r="E226" s="33">
        <f t="shared" si="127"/>
        <v>380000</v>
      </c>
      <c r="F226" s="33"/>
      <c r="G226" s="110"/>
      <c r="H226" s="57">
        <f t="shared" si="118"/>
        <v>0</v>
      </c>
      <c r="I226" s="33">
        <f t="shared" si="119"/>
        <v>500000</v>
      </c>
      <c r="J226" s="31">
        <f t="shared" si="125"/>
        <v>16200</v>
      </c>
      <c r="K226" s="156" t="b">
        <f t="shared" si="121"/>
        <v>1</v>
      </c>
      <c r="Q226" s="5"/>
    </row>
    <row r="227" spans="1:17">
      <c r="A227" s="130" t="str">
        <f>+A225</f>
        <v>MARS</v>
      </c>
      <c r="B227" s="135" t="s">
        <v>208</v>
      </c>
      <c r="C227" s="33">
        <f>+C204</f>
        <v>0</v>
      </c>
      <c r="D227" s="32"/>
      <c r="E227" s="33">
        <f t="shared" si="127"/>
        <v>129000</v>
      </c>
      <c r="F227" s="33"/>
      <c r="G227" s="110"/>
      <c r="H227" s="57">
        <f t="shared" si="118"/>
        <v>0</v>
      </c>
      <c r="I227" s="33">
        <f t="shared" si="119"/>
        <v>123000</v>
      </c>
      <c r="J227" s="31">
        <f t="shared" ref="J227" si="128">+SUM(C227:G227)-(H227+I227)</f>
        <v>6000</v>
      </c>
      <c r="K227" s="156" t="b">
        <f t="shared" si="121"/>
        <v>1</v>
      </c>
      <c r="Q227" s="5"/>
    </row>
    <row r="228" spans="1:17">
      <c r="A228" s="130" t="str">
        <f>+A226</f>
        <v>MARS</v>
      </c>
      <c r="B228" s="136" t="s">
        <v>114</v>
      </c>
      <c r="C228" s="33">
        <f t="shared" ref="C228" si="129">+C205</f>
        <v>-36737</v>
      </c>
      <c r="D228" s="127"/>
      <c r="E228" s="33">
        <f t="shared" si="127"/>
        <v>70000</v>
      </c>
      <c r="F228" s="53"/>
      <c r="G228" s="147"/>
      <c r="H228" s="57">
        <f t="shared" ref="H228" si="130">+F205</f>
        <v>0</v>
      </c>
      <c r="I228" s="33">
        <f t="shared" ref="I228" si="131">+E205</f>
        <v>824022</v>
      </c>
      <c r="J228" s="31">
        <f t="shared" si="125"/>
        <v>-790759</v>
      </c>
      <c r="K228" s="156" t="b">
        <f t="shared" ref="K228" si="132">J228=I205</f>
        <v>1</v>
      </c>
      <c r="Q228" s="5"/>
    </row>
    <row r="229" spans="1:17">
      <c r="A229" s="35" t="s">
        <v>61</v>
      </c>
      <c r="B229" s="36"/>
      <c r="C229" s="36"/>
      <c r="D229" s="36"/>
      <c r="E229" s="36"/>
      <c r="F229" s="36"/>
      <c r="G229" s="36"/>
      <c r="H229" s="36"/>
      <c r="I229" s="36"/>
      <c r="J229" s="37"/>
      <c r="K229" s="155"/>
      <c r="Q229" s="5"/>
    </row>
    <row r="230" spans="1:17">
      <c r="A230" s="130" t="str">
        <f>+A228</f>
        <v>MARS</v>
      </c>
      <c r="B230" s="38" t="s">
        <v>62</v>
      </c>
      <c r="C230" s="39">
        <f>+C193</f>
        <v>797106</v>
      </c>
      <c r="D230" s="51"/>
      <c r="E230" s="51">
        <f>D193</f>
        <v>4270000</v>
      </c>
      <c r="F230" s="51"/>
      <c r="G230" s="133"/>
      <c r="H230" s="53">
        <f>+F193</f>
        <v>1808000</v>
      </c>
      <c r="I230" s="134">
        <f>+E193</f>
        <v>2099084</v>
      </c>
      <c r="J230" s="46">
        <f>+SUM(C230:G230)-(H230+I230)</f>
        <v>1160022</v>
      </c>
      <c r="K230" s="156" t="b">
        <f>J230=I193</f>
        <v>1</v>
      </c>
      <c r="Q230" s="5"/>
    </row>
    <row r="231" spans="1:17">
      <c r="A231" s="44" t="s">
        <v>63</v>
      </c>
      <c r="B231" s="25"/>
      <c r="C231" s="36"/>
      <c r="D231" s="25"/>
      <c r="E231" s="25"/>
      <c r="F231" s="25"/>
      <c r="G231" s="25"/>
      <c r="H231" s="25"/>
      <c r="I231" s="25"/>
      <c r="J231" s="37"/>
      <c r="K231" s="155"/>
      <c r="Q231" s="5"/>
    </row>
    <row r="232" spans="1:17">
      <c r="A232" s="130" t="str">
        <f>+A230</f>
        <v>MARS</v>
      </c>
      <c r="B232" s="38" t="s">
        <v>167</v>
      </c>
      <c r="C232" s="133">
        <f>+C191</f>
        <v>888683</v>
      </c>
      <c r="D232" s="140">
        <f>+G191</f>
        <v>11432442</v>
      </c>
      <c r="E232" s="51"/>
      <c r="F232" s="51"/>
      <c r="G232" s="51"/>
      <c r="H232" s="53">
        <f>+F191</f>
        <v>2600000</v>
      </c>
      <c r="I232" s="55">
        <f>+E191</f>
        <v>543345</v>
      </c>
      <c r="J232" s="46">
        <f>+SUM(C232:G232)-(H232+I232)</f>
        <v>9177780</v>
      </c>
      <c r="K232" s="156" t="b">
        <f>+J232=I191</f>
        <v>1</v>
      </c>
      <c r="Q232" s="5"/>
    </row>
    <row r="233" spans="1:17">
      <c r="A233" s="130" t="str">
        <f t="shared" ref="A233" si="133">+A232</f>
        <v>MARS</v>
      </c>
      <c r="B233" s="38" t="s">
        <v>65</v>
      </c>
      <c r="C233" s="133">
        <f>+C192</f>
        <v>882502</v>
      </c>
      <c r="D233" s="51">
        <f>+G192</f>
        <v>28356365</v>
      </c>
      <c r="E233" s="50"/>
      <c r="F233" s="50"/>
      <c r="G233" s="50"/>
      <c r="H233" s="33">
        <f>+F192</f>
        <v>1600000</v>
      </c>
      <c r="I233" s="52">
        <f>+E192</f>
        <v>6117606</v>
      </c>
      <c r="J233" s="46">
        <f>SUM(C233:G233)-(H233+I233)</f>
        <v>21521261</v>
      </c>
      <c r="K233" s="156" t="b">
        <f>+J233=I192</f>
        <v>1</v>
      </c>
      <c r="Q233" s="5"/>
    </row>
    <row r="234" spans="1:17" ht="15.75">
      <c r="C234" s="151">
        <f>SUM(C217:C233)</f>
        <v>3382917</v>
      </c>
      <c r="I234" s="149">
        <f>SUM(I217:I233)</f>
        <v>11342157</v>
      </c>
      <c r="J234" s="111">
        <f>+SUM(J217:J233)</f>
        <v>31829567</v>
      </c>
      <c r="K234" s="5" t="b">
        <f>J234=I206</f>
        <v>1</v>
      </c>
      <c r="Q234" s="5"/>
    </row>
    <row r="235" spans="1:17" ht="15.75">
      <c r="A235" s="217"/>
      <c r="B235" s="217"/>
      <c r="C235" s="218"/>
      <c r="D235" s="217"/>
      <c r="E235" s="217"/>
      <c r="F235" s="217"/>
      <c r="G235" s="217"/>
      <c r="H235" s="217"/>
      <c r="I235" s="219"/>
      <c r="J235" s="220"/>
      <c r="K235" s="217"/>
      <c r="L235" s="221"/>
      <c r="M235" s="221"/>
      <c r="N235" s="221"/>
      <c r="O235" s="221"/>
      <c r="P235" s="217"/>
      <c r="Q235" s="5"/>
    </row>
    <row r="239" spans="1:17" ht="15.75">
      <c r="A239" s="6" t="s">
        <v>37</v>
      </c>
      <c r="B239" s="6" t="s">
        <v>1</v>
      </c>
      <c r="C239" s="6">
        <v>44593</v>
      </c>
      <c r="D239" s="7" t="s">
        <v>38</v>
      </c>
      <c r="E239" s="7" t="s">
        <v>39</v>
      </c>
      <c r="F239" s="7" t="s">
        <v>40</v>
      </c>
      <c r="G239" s="7" t="s">
        <v>41</v>
      </c>
      <c r="H239" s="6">
        <v>44620</v>
      </c>
      <c r="I239" s="7" t="s">
        <v>42</v>
      </c>
      <c r="K239" s="47"/>
      <c r="L239" s="47" t="s">
        <v>43</v>
      </c>
      <c r="M239" s="47" t="s">
        <v>44</v>
      </c>
      <c r="N239" s="47" t="s">
        <v>45</v>
      </c>
      <c r="O239" s="47" t="s">
        <v>46</v>
      </c>
      <c r="Q239" s="5"/>
    </row>
    <row r="240" spans="1:17" ht="16.5">
      <c r="A240" s="60" t="str">
        <f>+K240</f>
        <v>B52</v>
      </c>
      <c r="B240" s="61" t="s">
        <v>4</v>
      </c>
      <c r="C240" s="63">
        <v>500</v>
      </c>
      <c r="D240" s="63">
        <f t="shared" ref="D240:D253" si="134">+L240</f>
        <v>50000</v>
      </c>
      <c r="E240" s="63">
        <f>+N240</f>
        <v>50500</v>
      </c>
      <c r="F240" s="63">
        <f>+M240</f>
        <v>0</v>
      </c>
      <c r="G240" s="63">
        <f t="shared" ref="G240:G251" si="135">+O240</f>
        <v>0</v>
      </c>
      <c r="H240" s="63">
        <v>0</v>
      </c>
      <c r="I240" s="63">
        <f>+C240+D240-E240-F240+G240</f>
        <v>0</v>
      </c>
      <c r="J240" s="9">
        <f>I240-H240</f>
        <v>0</v>
      </c>
      <c r="K240" s="47" t="s">
        <v>173</v>
      </c>
      <c r="L240" s="49">
        <v>50000</v>
      </c>
      <c r="M240" s="49">
        <v>0</v>
      </c>
      <c r="N240" s="49">
        <v>50500</v>
      </c>
      <c r="O240" s="49">
        <v>0</v>
      </c>
      <c r="Q240" s="5"/>
    </row>
    <row r="241" spans="1:17" ht="16.5">
      <c r="A241" s="60" t="str">
        <f>+K241</f>
        <v>BCI</v>
      </c>
      <c r="B241" s="61" t="s">
        <v>47</v>
      </c>
      <c r="C241" s="63">
        <v>2172028</v>
      </c>
      <c r="D241" s="63">
        <f t="shared" si="134"/>
        <v>0</v>
      </c>
      <c r="E241" s="63">
        <f>+N241</f>
        <v>283345</v>
      </c>
      <c r="F241" s="63">
        <f>+M241</f>
        <v>1000000</v>
      </c>
      <c r="G241" s="63">
        <f t="shared" si="135"/>
        <v>0</v>
      </c>
      <c r="H241" s="63">
        <v>888683</v>
      </c>
      <c r="I241" s="63">
        <f>+C241+D241-E241-F241+G241</f>
        <v>888683</v>
      </c>
      <c r="J241" s="9">
        <f t="shared" ref="J241:J248" si="136">I241-H241</f>
        <v>0</v>
      </c>
      <c r="K241" s="47" t="s">
        <v>24</v>
      </c>
      <c r="L241" s="49">
        <v>0</v>
      </c>
      <c r="M241" s="49">
        <v>1000000</v>
      </c>
      <c r="N241" s="49">
        <v>283345</v>
      </c>
      <c r="O241" s="49">
        <v>0</v>
      </c>
      <c r="Q241" s="5"/>
    </row>
    <row r="242" spans="1:17" ht="16.5">
      <c r="A242" s="60" t="str">
        <f t="shared" ref="A242:A244" si="137">+K242</f>
        <v>BCI-Sous Compte</v>
      </c>
      <c r="B242" s="61" t="s">
        <v>47</v>
      </c>
      <c r="C242" s="63">
        <v>14143094</v>
      </c>
      <c r="D242" s="63">
        <f t="shared" si="134"/>
        <v>0</v>
      </c>
      <c r="E242" s="63">
        <f>+N242</f>
        <v>4260592</v>
      </c>
      <c r="F242" s="63">
        <f>+M242</f>
        <v>9000000</v>
      </c>
      <c r="G242" s="63">
        <f t="shared" si="135"/>
        <v>0</v>
      </c>
      <c r="H242" s="63">
        <v>882502</v>
      </c>
      <c r="I242" s="63">
        <f>+C242+D242-E242-F242+G242</f>
        <v>882502</v>
      </c>
      <c r="J242" s="108">
        <f t="shared" si="136"/>
        <v>0</v>
      </c>
      <c r="K242" s="47" t="s">
        <v>158</v>
      </c>
      <c r="L242" s="49">
        <v>0</v>
      </c>
      <c r="M242" s="49">
        <v>9000000</v>
      </c>
      <c r="N242" s="49">
        <v>4260592</v>
      </c>
      <c r="O242" s="49">
        <v>0</v>
      </c>
      <c r="Q242" s="5"/>
    </row>
    <row r="243" spans="1:17" ht="16.5">
      <c r="A243" s="60" t="str">
        <f t="shared" si="137"/>
        <v>Caisse</v>
      </c>
      <c r="B243" s="61" t="s">
        <v>25</v>
      </c>
      <c r="C243" s="63">
        <v>580885</v>
      </c>
      <c r="D243" s="63">
        <f t="shared" si="134"/>
        <v>10511000</v>
      </c>
      <c r="E243" s="63">
        <f t="shared" ref="E243" si="138">+N243</f>
        <v>2520779</v>
      </c>
      <c r="F243" s="63">
        <f t="shared" ref="F243:F251" si="139">+M243</f>
        <v>7774000</v>
      </c>
      <c r="G243" s="63">
        <f t="shared" si="135"/>
        <v>0</v>
      </c>
      <c r="H243" s="63">
        <v>797106</v>
      </c>
      <c r="I243" s="63">
        <f>+C243+D243-E243-F243+G243</f>
        <v>797106</v>
      </c>
      <c r="J243" s="9">
        <f t="shared" si="136"/>
        <v>0</v>
      </c>
      <c r="K243" s="47" t="s">
        <v>25</v>
      </c>
      <c r="L243" s="49">
        <v>10511000</v>
      </c>
      <c r="M243" s="49">
        <v>7774000</v>
      </c>
      <c r="N243" s="49">
        <v>2520779</v>
      </c>
      <c r="O243" s="49">
        <v>0</v>
      </c>
      <c r="Q243" s="5"/>
    </row>
    <row r="244" spans="1:17" ht="16.5">
      <c r="A244" s="60" t="str">
        <f t="shared" si="137"/>
        <v>Crépin</v>
      </c>
      <c r="B244" s="61" t="s">
        <v>164</v>
      </c>
      <c r="C244" s="63">
        <v>9000</v>
      </c>
      <c r="D244" s="63">
        <f t="shared" si="134"/>
        <v>2509000</v>
      </c>
      <c r="E244" s="63">
        <f>+N244</f>
        <v>2021950</v>
      </c>
      <c r="F244" s="63">
        <f t="shared" si="139"/>
        <v>440000</v>
      </c>
      <c r="G244" s="63">
        <f t="shared" si="135"/>
        <v>0</v>
      </c>
      <c r="H244" s="63">
        <v>56050</v>
      </c>
      <c r="I244" s="63">
        <f t="shared" ref="I244" si="140">+C244+D244-E244-F244+G244</f>
        <v>56050</v>
      </c>
      <c r="J244" s="9">
        <f t="shared" si="136"/>
        <v>0</v>
      </c>
      <c r="K244" s="47" t="s">
        <v>48</v>
      </c>
      <c r="L244" s="49">
        <v>2509000</v>
      </c>
      <c r="M244" s="49">
        <v>440000</v>
      </c>
      <c r="N244" s="49">
        <v>2021950</v>
      </c>
      <c r="O244" s="49">
        <v>0</v>
      </c>
      <c r="Q244" s="5"/>
    </row>
    <row r="245" spans="1:17" ht="16.5">
      <c r="A245" s="60" t="str">
        <f>K245</f>
        <v>Evariste</v>
      </c>
      <c r="B245" s="61" t="s">
        <v>165</v>
      </c>
      <c r="C245" s="63">
        <v>8645</v>
      </c>
      <c r="D245" s="63">
        <f t="shared" si="134"/>
        <v>614000</v>
      </c>
      <c r="E245" s="63">
        <f t="shared" ref="E245" si="141">+N245</f>
        <v>601150</v>
      </c>
      <c r="F245" s="63">
        <f t="shared" si="139"/>
        <v>0</v>
      </c>
      <c r="G245" s="63">
        <f t="shared" si="135"/>
        <v>0</v>
      </c>
      <c r="H245" s="63">
        <v>21495</v>
      </c>
      <c r="I245" s="63">
        <f>+C245+D245-E245-F245+G245</f>
        <v>21495</v>
      </c>
      <c r="J245" s="9">
        <f t="shared" si="136"/>
        <v>0</v>
      </c>
      <c r="K245" s="47" t="s">
        <v>31</v>
      </c>
      <c r="L245" s="49">
        <v>614000</v>
      </c>
      <c r="M245" s="49">
        <v>0</v>
      </c>
      <c r="N245" s="49">
        <v>601150</v>
      </c>
      <c r="O245" s="49">
        <v>0</v>
      </c>
      <c r="Q245" s="5"/>
    </row>
    <row r="246" spans="1:17" ht="16.5">
      <c r="A246" s="123" t="str">
        <f t="shared" ref="A246:A253" si="142">+K246</f>
        <v>I55S</v>
      </c>
      <c r="B246" s="124" t="s">
        <v>4</v>
      </c>
      <c r="C246" s="126">
        <v>233614</v>
      </c>
      <c r="D246" s="126">
        <f t="shared" si="134"/>
        <v>0</v>
      </c>
      <c r="E246" s="126">
        <f>+N246</f>
        <v>0</v>
      </c>
      <c r="F246" s="126">
        <f t="shared" si="139"/>
        <v>0</v>
      </c>
      <c r="G246" s="126">
        <f t="shared" si="135"/>
        <v>0</v>
      </c>
      <c r="H246" s="126">
        <v>233614</v>
      </c>
      <c r="I246" s="126">
        <f>+C246+D246-E246-F246+G246</f>
        <v>233614</v>
      </c>
      <c r="J246" s="9">
        <f t="shared" si="136"/>
        <v>0</v>
      </c>
      <c r="K246" s="47" t="s">
        <v>85</v>
      </c>
      <c r="L246" s="49">
        <v>0</v>
      </c>
      <c r="M246" s="49">
        <v>0</v>
      </c>
      <c r="N246" s="49">
        <v>0</v>
      </c>
      <c r="O246" s="49">
        <v>0</v>
      </c>
      <c r="Q246" s="5"/>
    </row>
    <row r="247" spans="1:17" ht="16.5">
      <c r="A247" s="123" t="str">
        <f t="shared" si="142"/>
        <v>I73X</v>
      </c>
      <c r="B247" s="124" t="s">
        <v>4</v>
      </c>
      <c r="C247" s="126">
        <v>249769</v>
      </c>
      <c r="D247" s="126">
        <f t="shared" si="134"/>
        <v>0</v>
      </c>
      <c r="E247" s="126">
        <f>+N247</f>
        <v>0</v>
      </c>
      <c r="F247" s="126">
        <f t="shared" si="139"/>
        <v>0</v>
      </c>
      <c r="G247" s="126">
        <f t="shared" si="135"/>
        <v>0</v>
      </c>
      <c r="H247" s="126">
        <v>249769</v>
      </c>
      <c r="I247" s="126">
        <f t="shared" ref="I247:I250" si="143">+C247+D247-E247-F247+G247</f>
        <v>249769</v>
      </c>
      <c r="J247" s="9">
        <f t="shared" si="136"/>
        <v>0</v>
      </c>
      <c r="K247" s="47" t="s">
        <v>84</v>
      </c>
      <c r="L247" s="49">
        <v>0</v>
      </c>
      <c r="M247" s="49">
        <v>0</v>
      </c>
      <c r="N247" s="49">
        <v>0</v>
      </c>
      <c r="O247" s="49">
        <v>0</v>
      </c>
      <c r="Q247" s="5"/>
    </row>
    <row r="248" spans="1:17" ht="16.5">
      <c r="A248" s="60" t="str">
        <f t="shared" si="142"/>
        <v>Godfré</v>
      </c>
      <c r="B248" s="104" t="s">
        <v>164</v>
      </c>
      <c r="C248" s="63">
        <v>79935</v>
      </c>
      <c r="D248" s="63">
        <f t="shared" si="134"/>
        <v>1202000</v>
      </c>
      <c r="E248" s="179">
        <f t="shared" ref="E248" si="144">+N248</f>
        <v>1118750</v>
      </c>
      <c r="F248" s="63">
        <f t="shared" si="139"/>
        <v>50000</v>
      </c>
      <c r="G248" s="63">
        <f t="shared" si="135"/>
        <v>0</v>
      </c>
      <c r="H248" s="63">
        <v>113185</v>
      </c>
      <c r="I248" s="63">
        <f t="shared" si="143"/>
        <v>113185</v>
      </c>
      <c r="J248" s="9">
        <f t="shared" si="136"/>
        <v>0</v>
      </c>
      <c r="K248" s="47" t="s">
        <v>153</v>
      </c>
      <c r="L248" s="49">
        <v>1202000</v>
      </c>
      <c r="M248" s="49">
        <v>50000</v>
      </c>
      <c r="N248" s="49">
        <v>1118750</v>
      </c>
      <c r="O248" s="49">
        <v>0</v>
      </c>
      <c r="Q248" s="5"/>
    </row>
    <row r="249" spans="1:17" ht="16.5">
      <c r="A249" s="60" t="str">
        <f t="shared" si="142"/>
        <v>Grace</v>
      </c>
      <c r="B249" s="61" t="s">
        <v>2</v>
      </c>
      <c r="C249" s="63">
        <v>19800</v>
      </c>
      <c r="D249" s="63">
        <f t="shared" si="134"/>
        <v>3247000</v>
      </c>
      <c r="E249" s="179">
        <f>+N249</f>
        <v>1165100</v>
      </c>
      <c r="F249" s="63">
        <f t="shared" si="139"/>
        <v>2081000</v>
      </c>
      <c r="G249" s="63">
        <f t="shared" si="135"/>
        <v>0</v>
      </c>
      <c r="H249" s="63">
        <v>20700</v>
      </c>
      <c r="I249" s="63">
        <f t="shared" si="143"/>
        <v>20700</v>
      </c>
      <c r="J249" s="9">
        <f>I249-H249</f>
        <v>0</v>
      </c>
      <c r="K249" s="47" t="s">
        <v>152</v>
      </c>
      <c r="L249" s="49">
        <v>3247000</v>
      </c>
      <c r="M249" s="49">
        <v>2081000</v>
      </c>
      <c r="N249" s="49">
        <v>1165100</v>
      </c>
      <c r="O249" s="49">
        <v>0</v>
      </c>
      <c r="Q249" s="5"/>
    </row>
    <row r="250" spans="1:17" ht="16.5">
      <c r="A250" s="60" t="str">
        <f t="shared" si="142"/>
        <v>I23C</v>
      </c>
      <c r="B250" s="104" t="s">
        <v>4</v>
      </c>
      <c r="C250" s="63">
        <v>30550</v>
      </c>
      <c r="D250" s="63">
        <f t="shared" si="134"/>
        <v>1493000</v>
      </c>
      <c r="E250" s="179">
        <f t="shared" ref="E250:E253" si="145">+N250</f>
        <v>1238000</v>
      </c>
      <c r="F250" s="63">
        <f t="shared" si="139"/>
        <v>270000</v>
      </c>
      <c r="G250" s="63">
        <f t="shared" si="135"/>
        <v>0</v>
      </c>
      <c r="H250" s="63">
        <v>15550</v>
      </c>
      <c r="I250" s="63">
        <f t="shared" si="143"/>
        <v>15550</v>
      </c>
      <c r="J250" s="9">
        <f t="shared" ref="J250:J251" si="146">I250-H250</f>
        <v>0</v>
      </c>
      <c r="K250" s="47" t="s">
        <v>30</v>
      </c>
      <c r="L250" s="49">
        <v>1493000</v>
      </c>
      <c r="M250" s="49">
        <v>270000</v>
      </c>
      <c r="N250" s="49">
        <v>1238000</v>
      </c>
      <c r="O250" s="49">
        <v>0</v>
      </c>
      <c r="Q250" s="5"/>
    </row>
    <row r="251" spans="1:17" ht="16.5">
      <c r="A251" s="60" t="str">
        <f t="shared" si="142"/>
        <v>Merveille</v>
      </c>
      <c r="B251" s="61" t="s">
        <v>2</v>
      </c>
      <c r="C251" s="63">
        <v>13000</v>
      </c>
      <c r="D251" s="63">
        <f t="shared" si="134"/>
        <v>50000</v>
      </c>
      <c r="E251" s="179">
        <f t="shared" si="145"/>
        <v>58200</v>
      </c>
      <c r="F251" s="63">
        <f t="shared" si="139"/>
        <v>0</v>
      </c>
      <c r="G251" s="63">
        <f t="shared" si="135"/>
        <v>0</v>
      </c>
      <c r="H251" s="63">
        <v>4800</v>
      </c>
      <c r="I251" s="63">
        <f>+C251+D251-E251-F251+G251</f>
        <v>4800</v>
      </c>
      <c r="J251" s="9">
        <f t="shared" si="146"/>
        <v>0</v>
      </c>
      <c r="K251" s="47" t="s">
        <v>94</v>
      </c>
      <c r="L251" s="49">
        <v>50000</v>
      </c>
      <c r="M251" s="49">
        <v>0</v>
      </c>
      <c r="N251" s="49">
        <v>58200</v>
      </c>
      <c r="O251" s="49"/>
      <c r="Q251" s="5"/>
    </row>
    <row r="252" spans="1:17" ht="16.5">
      <c r="A252" s="60" t="str">
        <f t="shared" si="142"/>
        <v>P29</v>
      </c>
      <c r="B252" s="61" t="s">
        <v>4</v>
      </c>
      <c r="C252" s="63">
        <v>55700</v>
      </c>
      <c r="D252" s="63">
        <f t="shared" si="134"/>
        <v>1029000</v>
      </c>
      <c r="E252" s="179">
        <f t="shared" si="145"/>
        <v>648500</v>
      </c>
      <c r="F252" s="63">
        <f>+M252</f>
        <v>300000</v>
      </c>
      <c r="G252" s="63">
        <f>+O252</f>
        <v>0</v>
      </c>
      <c r="H252" s="63">
        <v>136200</v>
      </c>
      <c r="I252" s="63">
        <f>+C252+D252-E252-F252+G252</f>
        <v>136200</v>
      </c>
      <c r="J252" s="9">
        <f>I252-H252</f>
        <v>0</v>
      </c>
      <c r="K252" s="47" t="s">
        <v>29</v>
      </c>
      <c r="L252" s="49">
        <v>1029000</v>
      </c>
      <c r="M252" s="49">
        <v>300000</v>
      </c>
      <c r="N252" s="49">
        <v>648500</v>
      </c>
      <c r="O252" s="49">
        <v>0</v>
      </c>
      <c r="Q252" s="5"/>
    </row>
    <row r="253" spans="1:17" ht="16.5">
      <c r="A253" s="60" t="str">
        <f t="shared" si="142"/>
        <v>Tiffany</v>
      </c>
      <c r="B253" s="61" t="s">
        <v>2</v>
      </c>
      <c r="C253" s="63">
        <v>-36237</v>
      </c>
      <c r="D253" s="63">
        <f t="shared" si="134"/>
        <v>210000</v>
      </c>
      <c r="E253" s="179">
        <f t="shared" si="145"/>
        <v>210500</v>
      </c>
      <c r="F253" s="63">
        <f t="shared" ref="F253" si="147">+M253</f>
        <v>0</v>
      </c>
      <c r="G253" s="63">
        <f t="shared" ref="G253" si="148">+O253</f>
        <v>0</v>
      </c>
      <c r="H253" s="63">
        <v>-36737</v>
      </c>
      <c r="I253" s="63">
        <f t="shared" ref="I253" si="149">+C253+D253-E253-F253+G253</f>
        <v>-36737</v>
      </c>
      <c r="J253" s="9">
        <f t="shared" ref="J253" si="150">I253-H253</f>
        <v>0</v>
      </c>
      <c r="K253" s="47" t="s">
        <v>114</v>
      </c>
      <c r="L253" s="49">
        <v>210000</v>
      </c>
      <c r="M253" s="49">
        <v>0</v>
      </c>
      <c r="N253" s="49">
        <v>210500</v>
      </c>
      <c r="O253" s="49">
        <v>0</v>
      </c>
      <c r="Q253" s="5"/>
    </row>
    <row r="254" spans="1:17" ht="16.5">
      <c r="A254" s="10" t="s">
        <v>51</v>
      </c>
      <c r="B254" s="11"/>
      <c r="C254" s="12">
        <f t="shared" ref="C254:I254" si="151">SUM(C240:C253)</f>
        <v>17560283</v>
      </c>
      <c r="D254" s="59">
        <f t="shared" si="151"/>
        <v>20915000</v>
      </c>
      <c r="E254" s="59">
        <f t="shared" si="151"/>
        <v>14177366</v>
      </c>
      <c r="F254" s="59">
        <f t="shared" si="151"/>
        <v>20915000</v>
      </c>
      <c r="G254" s="59">
        <f t="shared" si="151"/>
        <v>0</v>
      </c>
      <c r="H254" s="59">
        <f t="shared" si="151"/>
        <v>3382917</v>
      </c>
      <c r="I254" s="59">
        <f t="shared" si="151"/>
        <v>3382917</v>
      </c>
      <c r="J254" s="9">
        <f>I254-H254</f>
        <v>0</v>
      </c>
      <c r="K254" s="3"/>
      <c r="L254" s="49">
        <f>+SUM(L240:L253)</f>
        <v>20915000</v>
      </c>
      <c r="M254" s="49">
        <f>+SUM(M240:M253)</f>
        <v>20915000</v>
      </c>
      <c r="N254" s="49">
        <f>+SUM(N240:N253)</f>
        <v>14177366</v>
      </c>
      <c r="O254" s="49">
        <f>+SUM(O240:O253)</f>
        <v>0</v>
      </c>
      <c r="Q254" s="5"/>
    </row>
    <row r="255" spans="1:17" ht="16.5">
      <c r="A255" s="10"/>
      <c r="B255" s="11"/>
      <c r="C255" s="12"/>
      <c r="D255" s="13"/>
      <c r="E255" s="12"/>
      <c r="F255" s="13"/>
      <c r="G255" s="12"/>
      <c r="H255" s="12"/>
      <c r="I255" s="143" t="b">
        <f>I254=D257</f>
        <v>1</v>
      </c>
      <c r="L255" s="5"/>
      <c r="M255" s="5"/>
      <c r="N255" s="5"/>
      <c r="O255" s="5"/>
      <c r="Q255" s="5"/>
    </row>
    <row r="256" spans="1:17" ht="16.5">
      <c r="A256" s="10" t="s">
        <v>194</v>
      </c>
      <c r="B256" s="11" t="s">
        <v>195</v>
      </c>
      <c r="C256" s="12" t="s">
        <v>196</v>
      </c>
      <c r="D256" s="12" t="s">
        <v>207</v>
      </c>
      <c r="E256" s="12" t="s">
        <v>52</v>
      </c>
      <c r="F256" s="12"/>
      <c r="G256" s="12">
        <f>+D254-F254</f>
        <v>0</v>
      </c>
      <c r="H256" s="12"/>
      <c r="I256" s="12"/>
      <c r="Q256" s="5"/>
    </row>
    <row r="257" spans="1:17" ht="16.5">
      <c r="A257" s="14">
        <f>C254</f>
        <v>17560283</v>
      </c>
      <c r="B257" s="15">
        <f>G254</f>
        <v>0</v>
      </c>
      <c r="C257" s="12">
        <f>E254</f>
        <v>14177366</v>
      </c>
      <c r="D257" s="12">
        <f>A257+B257-C257</f>
        <v>3382917</v>
      </c>
      <c r="E257" s="13">
        <f>I254-D257</f>
        <v>0</v>
      </c>
      <c r="F257" s="12"/>
      <c r="G257" s="12"/>
      <c r="H257" s="12"/>
      <c r="I257" s="12"/>
      <c r="Q257" s="5"/>
    </row>
    <row r="258" spans="1:17" ht="16.5">
      <c r="A258" s="14"/>
      <c r="B258" s="15"/>
      <c r="C258" s="12"/>
      <c r="D258" s="12"/>
      <c r="E258" s="13"/>
      <c r="F258" s="12"/>
      <c r="G258" s="12"/>
      <c r="H258" s="12"/>
      <c r="I258" s="12"/>
      <c r="Q258" s="5"/>
    </row>
    <row r="259" spans="1:17">
      <c r="A259" s="16" t="s">
        <v>53</v>
      </c>
      <c r="B259" s="16"/>
      <c r="C259" s="16"/>
      <c r="D259" s="17"/>
      <c r="E259" s="17"/>
      <c r="F259" s="17"/>
      <c r="G259" s="17"/>
      <c r="H259" s="17"/>
      <c r="I259" s="17"/>
      <c r="Q259" s="5"/>
    </row>
    <row r="260" spans="1:17">
      <c r="A260" s="18" t="s">
        <v>198</v>
      </c>
      <c r="B260" s="18"/>
      <c r="C260" s="18"/>
      <c r="D260" s="18"/>
      <c r="E260" s="18"/>
      <c r="F260" s="18"/>
      <c r="G260" s="18"/>
      <c r="H260" s="18"/>
      <c r="I260" s="18"/>
      <c r="J260" s="18"/>
      <c r="Q260" s="5"/>
    </row>
    <row r="261" spans="1:17">
      <c r="A261" s="19"/>
      <c r="B261" s="20"/>
      <c r="C261" s="21"/>
      <c r="D261" s="21"/>
      <c r="E261" s="21"/>
      <c r="F261" s="21"/>
      <c r="G261" s="21"/>
      <c r="H261" s="20"/>
      <c r="I261" s="20"/>
      <c r="Q261" s="5"/>
    </row>
    <row r="262" spans="1:17">
      <c r="A262" s="234" t="s">
        <v>54</v>
      </c>
      <c r="B262" s="236" t="s">
        <v>55</v>
      </c>
      <c r="C262" s="238" t="s">
        <v>197</v>
      </c>
      <c r="D262" s="240" t="s">
        <v>56</v>
      </c>
      <c r="E262" s="241"/>
      <c r="F262" s="241"/>
      <c r="G262" s="242"/>
      <c r="H262" s="243" t="s">
        <v>57</v>
      </c>
      <c r="I262" s="230" t="s">
        <v>58</v>
      </c>
      <c r="J262" s="20"/>
      <c r="Q262" s="5"/>
    </row>
    <row r="263" spans="1:17" ht="28.5" customHeight="1">
      <c r="A263" s="235"/>
      <c r="B263" s="237"/>
      <c r="C263" s="239"/>
      <c r="D263" s="22" t="s">
        <v>24</v>
      </c>
      <c r="E263" s="22" t="s">
        <v>25</v>
      </c>
      <c r="F263" s="239" t="s">
        <v>124</v>
      </c>
      <c r="G263" s="22" t="s">
        <v>59</v>
      </c>
      <c r="H263" s="244"/>
      <c r="I263" s="231"/>
      <c r="J263" s="232" t="s">
        <v>199</v>
      </c>
      <c r="K263" s="155"/>
      <c r="Q263" s="5"/>
    </row>
    <row r="264" spans="1:17">
      <c r="A264" s="24"/>
      <c r="B264" s="25" t="s">
        <v>60</v>
      </c>
      <c r="C264" s="26"/>
      <c r="D264" s="26"/>
      <c r="E264" s="26"/>
      <c r="F264" s="26"/>
      <c r="G264" s="26"/>
      <c r="H264" s="26"/>
      <c r="I264" s="27"/>
      <c r="J264" s="233"/>
      <c r="K264" s="155"/>
      <c r="Q264" s="5"/>
    </row>
    <row r="265" spans="1:17">
      <c r="A265" s="130" t="s">
        <v>116</v>
      </c>
      <c r="B265" s="135" t="s">
        <v>173</v>
      </c>
      <c r="C265" s="33">
        <f>+C240</f>
        <v>500</v>
      </c>
      <c r="D265" s="32"/>
      <c r="E265" s="33">
        <f>+D240</f>
        <v>50000</v>
      </c>
      <c r="F265" s="33"/>
      <c r="G265" s="33"/>
      <c r="H265" s="57">
        <f>+F240</f>
        <v>0</v>
      </c>
      <c r="I265" s="33">
        <f>+E240</f>
        <v>50500</v>
      </c>
      <c r="J265" s="31">
        <f t="shared" ref="J265:J266" si="152">+SUM(C265:G265)-(H265+I265)</f>
        <v>0</v>
      </c>
      <c r="K265" s="156" t="b">
        <f>J265=I240</f>
        <v>1</v>
      </c>
      <c r="Q265" s="5"/>
    </row>
    <row r="266" spans="1:17">
      <c r="A266" s="130" t="str">
        <f>+A265</f>
        <v>FEVRIER</v>
      </c>
      <c r="B266" s="135" t="s">
        <v>48</v>
      </c>
      <c r="C266" s="33">
        <f>+C244</f>
        <v>9000</v>
      </c>
      <c r="D266" s="32"/>
      <c r="E266" s="33">
        <f>+D244</f>
        <v>2509000</v>
      </c>
      <c r="F266" s="33"/>
      <c r="G266" s="33"/>
      <c r="H266" s="57">
        <f>+F244</f>
        <v>440000</v>
      </c>
      <c r="I266" s="33">
        <f>+E244</f>
        <v>2021950</v>
      </c>
      <c r="J266" s="107">
        <f t="shared" si="152"/>
        <v>56050</v>
      </c>
      <c r="K266" s="156" t="b">
        <f t="shared" ref="K266:K275" si="153">J266=I244</f>
        <v>1</v>
      </c>
      <c r="Q266" s="5"/>
    </row>
    <row r="267" spans="1:17">
      <c r="A267" s="130" t="str">
        <f t="shared" ref="A267:A275" si="154">+A266</f>
        <v>FEVRIER</v>
      </c>
      <c r="B267" s="136" t="s">
        <v>31</v>
      </c>
      <c r="C267" s="33">
        <f>+C245</f>
        <v>8645</v>
      </c>
      <c r="D267" s="127"/>
      <c r="E267" s="33">
        <f>+D245</f>
        <v>614000</v>
      </c>
      <c r="F267" s="53"/>
      <c r="G267" s="53"/>
      <c r="H267" s="57">
        <f>+F245</f>
        <v>0</v>
      </c>
      <c r="I267" s="33">
        <f>+E245</f>
        <v>601150</v>
      </c>
      <c r="J267" s="132">
        <f>+SUM(C267:G267)-(H267+I267)</f>
        <v>21495</v>
      </c>
      <c r="K267" s="156" t="b">
        <f t="shared" si="153"/>
        <v>1</v>
      </c>
      <c r="Q267" s="5"/>
    </row>
    <row r="268" spans="1:17">
      <c r="A268" s="130" t="str">
        <f t="shared" si="154"/>
        <v>FEVRIER</v>
      </c>
      <c r="B268" s="137" t="s">
        <v>85</v>
      </c>
      <c r="C268" s="128">
        <f>+C246</f>
        <v>233614</v>
      </c>
      <c r="D268" s="131"/>
      <c r="E268" s="128">
        <f>+D246</f>
        <v>0</v>
      </c>
      <c r="F268" s="146"/>
      <c r="G268" s="146"/>
      <c r="H268" s="180">
        <f>+F246</f>
        <v>0</v>
      </c>
      <c r="I268" s="128">
        <f>+E246</f>
        <v>0</v>
      </c>
      <c r="J268" s="129">
        <f>+SUM(C268:G268)-(H268+I268)</f>
        <v>233614</v>
      </c>
      <c r="K268" s="156" t="b">
        <f t="shared" si="153"/>
        <v>1</v>
      </c>
      <c r="Q268" s="5"/>
    </row>
    <row r="269" spans="1:17">
      <c r="A269" s="130" t="str">
        <f t="shared" si="154"/>
        <v>FEVRIER</v>
      </c>
      <c r="B269" s="137" t="s">
        <v>84</v>
      </c>
      <c r="C269" s="128">
        <f>+C247</f>
        <v>249769</v>
      </c>
      <c r="D269" s="131"/>
      <c r="E269" s="128">
        <f>+D247</f>
        <v>0</v>
      </c>
      <c r="F269" s="146"/>
      <c r="G269" s="146"/>
      <c r="H269" s="180">
        <f>+F247</f>
        <v>0</v>
      </c>
      <c r="I269" s="128">
        <f>+E247</f>
        <v>0</v>
      </c>
      <c r="J269" s="129">
        <f t="shared" ref="J269:J275" si="155">+SUM(C269:G269)-(H269+I269)</f>
        <v>249769</v>
      </c>
      <c r="K269" s="156" t="b">
        <f t="shared" si="153"/>
        <v>1</v>
      </c>
      <c r="Q269" s="5"/>
    </row>
    <row r="270" spans="1:17">
      <c r="A270" s="130" t="str">
        <f t="shared" si="154"/>
        <v>FEVRIER</v>
      </c>
      <c r="B270" s="135" t="s">
        <v>153</v>
      </c>
      <c r="C270" s="33">
        <f>+C248</f>
        <v>79935</v>
      </c>
      <c r="D270" s="32"/>
      <c r="E270" s="33">
        <f>+D248</f>
        <v>1202000</v>
      </c>
      <c r="F270" s="33"/>
      <c r="G270" s="110"/>
      <c r="H270" s="57">
        <f>+F248</f>
        <v>50000</v>
      </c>
      <c r="I270" s="33">
        <f>+E248</f>
        <v>1118750</v>
      </c>
      <c r="J270" s="31">
        <f t="shared" si="155"/>
        <v>113185</v>
      </c>
      <c r="K270" s="156" t="b">
        <f t="shared" si="153"/>
        <v>1</v>
      </c>
      <c r="Q270" s="5"/>
    </row>
    <row r="271" spans="1:17">
      <c r="A271" s="130" t="str">
        <f t="shared" si="154"/>
        <v>FEVRIER</v>
      </c>
      <c r="B271" s="135" t="s">
        <v>152</v>
      </c>
      <c r="C271" s="33">
        <f t="shared" ref="C271:C275" si="156">+C249</f>
        <v>19800</v>
      </c>
      <c r="D271" s="32"/>
      <c r="E271" s="33">
        <f t="shared" ref="E271:E275" si="157">+D249</f>
        <v>3247000</v>
      </c>
      <c r="F271" s="33"/>
      <c r="G271" s="110"/>
      <c r="H271" s="57">
        <f t="shared" ref="H271:H275" si="158">+F249</f>
        <v>2081000</v>
      </c>
      <c r="I271" s="33">
        <f t="shared" ref="I271:I275" si="159">+E249</f>
        <v>1165100</v>
      </c>
      <c r="J271" s="31">
        <f t="shared" si="155"/>
        <v>20700</v>
      </c>
      <c r="K271" s="156" t="b">
        <f t="shared" si="153"/>
        <v>1</v>
      </c>
      <c r="Q271" s="5"/>
    </row>
    <row r="272" spans="1:17">
      <c r="A272" s="130" t="str">
        <f t="shared" si="154"/>
        <v>FEVRIER</v>
      </c>
      <c r="B272" s="135" t="s">
        <v>30</v>
      </c>
      <c r="C272" s="33">
        <f t="shared" si="156"/>
        <v>30550</v>
      </c>
      <c r="D272" s="32"/>
      <c r="E272" s="33">
        <f t="shared" si="157"/>
        <v>1493000</v>
      </c>
      <c r="F272" s="33"/>
      <c r="G272" s="110"/>
      <c r="H272" s="57">
        <f t="shared" si="158"/>
        <v>270000</v>
      </c>
      <c r="I272" s="33">
        <f t="shared" si="159"/>
        <v>1238000</v>
      </c>
      <c r="J272" s="31">
        <f t="shared" si="155"/>
        <v>15550</v>
      </c>
      <c r="K272" s="156" t="b">
        <f t="shared" si="153"/>
        <v>1</v>
      </c>
      <c r="Q272" s="5"/>
    </row>
    <row r="273" spans="1:17">
      <c r="A273" s="130" t="str">
        <f>+A271</f>
        <v>FEVRIER</v>
      </c>
      <c r="B273" s="135" t="s">
        <v>94</v>
      </c>
      <c r="C273" s="33">
        <f t="shared" si="156"/>
        <v>13000</v>
      </c>
      <c r="D273" s="32"/>
      <c r="E273" s="33">
        <f t="shared" si="157"/>
        <v>50000</v>
      </c>
      <c r="F273" s="33"/>
      <c r="G273" s="110"/>
      <c r="H273" s="57">
        <f t="shared" si="158"/>
        <v>0</v>
      </c>
      <c r="I273" s="33">
        <f t="shared" si="159"/>
        <v>58200</v>
      </c>
      <c r="J273" s="31">
        <f t="shared" si="155"/>
        <v>4800</v>
      </c>
      <c r="K273" s="156" t="b">
        <f t="shared" si="153"/>
        <v>1</v>
      </c>
      <c r="Q273" s="5"/>
    </row>
    <row r="274" spans="1:17">
      <c r="A274" s="130" t="str">
        <f>+A272</f>
        <v>FEVRIER</v>
      </c>
      <c r="B274" s="135" t="s">
        <v>29</v>
      </c>
      <c r="C274" s="33">
        <f t="shared" si="156"/>
        <v>55700</v>
      </c>
      <c r="D274" s="32"/>
      <c r="E274" s="33">
        <f t="shared" si="157"/>
        <v>1029000</v>
      </c>
      <c r="F274" s="33"/>
      <c r="G274" s="110"/>
      <c r="H274" s="57">
        <f t="shared" si="158"/>
        <v>300000</v>
      </c>
      <c r="I274" s="33">
        <f t="shared" si="159"/>
        <v>648500</v>
      </c>
      <c r="J274" s="31">
        <f t="shared" si="155"/>
        <v>136200</v>
      </c>
      <c r="K274" s="156" t="b">
        <f t="shared" si="153"/>
        <v>1</v>
      </c>
      <c r="Q274" s="5"/>
    </row>
    <row r="275" spans="1:17">
      <c r="A275" s="130" t="str">
        <f t="shared" si="154"/>
        <v>FEVRIER</v>
      </c>
      <c r="B275" s="136" t="s">
        <v>114</v>
      </c>
      <c r="C275" s="33">
        <f t="shared" si="156"/>
        <v>-36237</v>
      </c>
      <c r="D275" s="127"/>
      <c r="E275" s="33">
        <f t="shared" si="157"/>
        <v>210000</v>
      </c>
      <c r="F275" s="53"/>
      <c r="G275" s="147"/>
      <c r="H275" s="57">
        <f t="shared" si="158"/>
        <v>0</v>
      </c>
      <c r="I275" s="33">
        <f t="shared" si="159"/>
        <v>210500</v>
      </c>
      <c r="J275" s="31">
        <f t="shared" si="155"/>
        <v>-36737</v>
      </c>
      <c r="K275" s="156" t="b">
        <f t="shared" si="153"/>
        <v>1</v>
      </c>
      <c r="Q275" s="5"/>
    </row>
    <row r="276" spans="1:17">
      <c r="A276" s="35" t="s">
        <v>61</v>
      </c>
      <c r="B276" s="36"/>
      <c r="C276" s="36"/>
      <c r="D276" s="36"/>
      <c r="E276" s="36"/>
      <c r="F276" s="36"/>
      <c r="G276" s="36"/>
      <c r="H276" s="36"/>
      <c r="I276" s="36"/>
      <c r="J276" s="37"/>
      <c r="K276" s="155"/>
      <c r="Q276" s="5"/>
    </row>
    <row r="277" spans="1:17">
      <c r="A277" s="130" t="str">
        <f>+A275</f>
        <v>FEVRIER</v>
      </c>
      <c r="B277" s="38" t="s">
        <v>62</v>
      </c>
      <c r="C277" s="39">
        <f>+C243</f>
        <v>580885</v>
      </c>
      <c r="D277" s="51"/>
      <c r="E277" s="51">
        <f>D243</f>
        <v>10511000</v>
      </c>
      <c r="F277" s="51"/>
      <c r="G277" s="133"/>
      <c r="H277" s="53">
        <f>+F243</f>
        <v>7774000</v>
      </c>
      <c r="I277" s="134">
        <f>+E243</f>
        <v>2520779</v>
      </c>
      <c r="J277" s="46">
        <f>+SUM(C277:G277)-(H277+I277)</f>
        <v>797106</v>
      </c>
      <c r="K277" s="156" t="b">
        <f>J277=I243</f>
        <v>1</v>
      </c>
      <c r="Q277" s="5"/>
    </row>
    <row r="278" spans="1:17">
      <c r="A278" s="44" t="s">
        <v>63</v>
      </c>
      <c r="B278" s="25"/>
      <c r="C278" s="36"/>
      <c r="D278" s="25"/>
      <c r="E278" s="25"/>
      <c r="F278" s="25"/>
      <c r="G278" s="25"/>
      <c r="H278" s="25"/>
      <c r="I278" s="25"/>
      <c r="J278" s="37"/>
      <c r="K278" s="155"/>
      <c r="Q278" s="5"/>
    </row>
    <row r="279" spans="1:17">
      <c r="A279" s="130" t="str">
        <f>+A277</f>
        <v>FEVRIER</v>
      </c>
      <c r="B279" s="38" t="s">
        <v>167</v>
      </c>
      <c r="C279" s="133">
        <f>+C241</f>
        <v>2172028</v>
      </c>
      <c r="D279" s="140">
        <f>+G241</f>
        <v>0</v>
      </c>
      <c r="E279" s="51"/>
      <c r="F279" s="51"/>
      <c r="G279" s="51"/>
      <c r="H279" s="53">
        <f>+F241</f>
        <v>1000000</v>
      </c>
      <c r="I279" s="55">
        <f>+E241</f>
        <v>283345</v>
      </c>
      <c r="J279" s="46">
        <f>+SUM(C279:G279)-(H279+I279)</f>
        <v>888683</v>
      </c>
      <c r="K279" s="156" t="b">
        <f>+J279=I241</f>
        <v>1</v>
      </c>
      <c r="Q279" s="5"/>
    </row>
    <row r="280" spans="1:17">
      <c r="A280" s="130" t="str">
        <f t="shared" ref="A280" si="160">+A279</f>
        <v>FEVRIER</v>
      </c>
      <c r="B280" s="38" t="s">
        <v>65</v>
      </c>
      <c r="C280" s="133">
        <f>+C242</f>
        <v>14143094</v>
      </c>
      <c r="D280" s="51">
        <f>+G242</f>
        <v>0</v>
      </c>
      <c r="E280" s="50"/>
      <c r="F280" s="50"/>
      <c r="G280" s="50"/>
      <c r="H280" s="33">
        <f>+F242</f>
        <v>9000000</v>
      </c>
      <c r="I280" s="52">
        <f>+E242</f>
        <v>4260592</v>
      </c>
      <c r="J280" s="46">
        <f>SUM(C280:G280)-(H280+I280)</f>
        <v>882502</v>
      </c>
      <c r="K280" s="156" t="b">
        <f>+J280=I242</f>
        <v>1</v>
      </c>
      <c r="Q280" s="5"/>
    </row>
    <row r="281" spans="1:17" ht="15.75">
      <c r="C281" s="151">
        <f>SUM(C265:C280)</f>
        <v>17560283</v>
      </c>
      <c r="I281" s="149">
        <f>SUM(I265:I280)</f>
        <v>14177366</v>
      </c>
      <c r="J281" s="111">
        <f>+SUM(J265:J280)</f>
        <v>3382917</v>
      </c>
      <c r="K281" s="5" t="b">
        <f>J281=I254</f>
        <v>1</v>
      </c>
      <c r="Q281" s="5"/>
    </row>
    <row r="282" spans="1:17" ht="15.75">
      <c r="A282" s="217"/>
      <c r="B282" s="217"/>
      <c r="C282" s="218"/>
      <c r="D282" s="217"/>
      <c r="E282" s="217"/>
      <c r="F282" s="217"/>
      <c r="G282" s="217"/>
      <c r="H282" s="217"/>
      <c r="I282" s="219"/>
      <c r="J282" s="220"/>
      <c r="K282" s="217"/>
      <c r="L282" s="221"/>
      <c r="M282" s="221"/>
      <c r="N282" s="221"/>
      <c r="O282" s="221"/>
      <c r="P282" s="217"/>
      <c r="Q282" s="5"/>
    </row>
    <row r="283" spans="1:17" ht="15.75">
      <c r="A283" s="217"/>
      <c r="B283" s="217"/>
      <c r="C283" s="218"/>
      <c r="D283" s="217"/>
      <c r="E283" s="217"/>
      <c r="F283" s="217"/>
      <c r="G283" s="217"/>
      <c r="H283" s="217"/>
      <c r="I283" s="219"/>
      <c r="J283" s="220"/>
      <c r="K283" s="217"/>
      <c r="L283" s="221"/>
      <c r="M283" s="221"/>
      <c r="N283" s="221"/>
      <c r="O283" s="221"/>
      <c r="P283" s="217"/>
      <c r="Q283" s="5"/>
    </row>
    <row r="285" spans="1:17" ht="15.75">
      <c r="A285" s="6" t="s">
        <v>37</v>
      </c>
      <c r="B285" s="6" t="s">
        <v>1</v>
      </c>
      <c r="C285" s="6">
        <v>44562</v>
      </c>
      <c r="D285" s="7" t="s">
        <v>38</v>
      </c>
      <c r="E285" s="7" t="s">
        <v>39</v>
      </c>
      <c r="F285" s="7" t="s">
        <v>40</v>
      </c>
      <c r="G285" s="7" t="s">
        <v>41</v>
      </c>
      <c r="H285" s="6">
        <v>44592</v>
      </c>
      <c r="I285" s="7" t="s">
        <v>42</v>
      </c>
      <c r="K285" s="47"/>
      <c r="L285" s="47" t="s">
        <v>43</v>
      </c>
      <c r="M285" s="47" t="s">
        <v>44</v>
      </c>
      <c r="N285" s="47" t="s">
        <v>45</v>
      </c>
      <c r="O285" s="47" t="s">
        <v>46</v>
      </c>
      <c r="Q285" s="5"/>
    </row>
    <row r="286" spans="1:17" ht="16.5">
      <c r="A286" s="60" t="str">
        <f>+K286</f>
        <v>B52</v>
      </c>
      <c r="B286" s="61" t="s">
        <v>4</v>
      </c>
      <c r="C286" s="62">
        <v>9500</v>
      </c>
      <c r="D286" s="63">
        <f t="shared" ref="D286:D299" si="161">+L286</f>
        <v>567000</v>
      </c>
      <c r="E286" s="63">
        <f>+N286</f>
        <v>576000</v>
      </c>
      <c r="F286" s="63">
        <f>+M286</f>
        <v>0</v>
      </c>
      <c r="G286" s="63">
        <f t="shared" ref="G286:G297" si="162">+O286</f>
        <v>0</v>
      </c>
      <c r="H286" s="63">
        <v>500</v>
      </c>
      <c r="I286" s="63">
        <f>+C286+D286-E286-F286+G286</f>
        <v>500</v>
      </c>
      <c r="J286" s="9">
        <f>I286-H286</f>
        <v>0</v>
      </c>
      <c r="K286" s="47" t="s">
        <v>173</v>
      </c>
      <c r="L286" s="49">
        <v>567000</v>
      </c>
      <c r="M286" s="49">
        <v>0</v>
      </c>
      <c r="N286" s="49">
        <v>576000</v>
      </c>
      <c r="O286" s="49">
        <v>0</v>
      </c>
      <c r="Q286" s="5"/>
    </row>
    <row r="287" spans="1:17" ht="16.5">
      <c r="A287" s="60" t="str">
        <f>+K287</f>
        <v>BCI</v>
      </c>
      <c r="B287" s="61" t="s">
        <v>47</v>
      </c>
      <c r="C287" s="62">
        <v>3455373</v>
      </c>
      <c r="D287" s="63">
        <f t="shared" si="161"/>
        <v>0</v>
      </c>
      <c r="E287" s="63">
        <f>+N287</f>
        <v>283345</v>
      </c>
      <c r="F287" s="63">
        <f>+M287</f>
        <v>1000000</v>
      </c>
      <c r="G287" s="63">
        <f t="shared" si="162"/>
        <v>0</v>
      </c>
      <c r="H287" s="63">
        <v>2172028</v>
      </c>
      <c r="I287" s="63">
        <f>+C287+D287-E287-F287+G287</f>
        <v>2172028</v>
      </c>
      <c r="J287" s="9">
        <f t="shared" ref="J287:J294" si="163">I287-H287</f>
        <v>0</v>
      </c>
      <c r="K287" s="47" t="s">
        <v>24</v>
      </c>
      <c r="L287" s="49">
        <v>0</v>
      </c>
      <c r="M287" s="49">
        <v>1000000</v>
      </c>
      <c r="N287" s="49">
        <v>283345</v>
      </c>
      <c r="O287" s="49">
        <v>0</v>
      </c>
      <c r="Q287" s="5"/>
    </row>
    <row r="288" spans="1:17" ht="16.5">
      <c r="A288" s="60" t="str">
        <f t="shared" ref="A288:A290" si="164">+K288</f>
        <v>BCI-Sous Compte</v>
      </c>
      <c r="B288" s="61" t="s">
        <v>47</v>
      </c>
      <c r="C288" s="62">
        <v>4841615</v>
      </c>
      <c r="D288" s="63">
        <f t="shared" si="161"/>
        <v>0</v>
      </c>
      <c r="E288" s="63">
        <f>+N288</f>
        <v>6223724</v>
      </c>
      <c r="F288" s="63">
        <f>+M288</f>
        <v>2000000</v>
      </c>
      <c r="G288" s="63">
        <f t="shared" si="162"/>
        <v>17525203</v>
      </c>
      <c r="H288" s="63">
        <v>14143094</v>
      </c>
      <c r="I288" s="63">
        <f>+C288+D288-E288-F288+G288</f>
        <v>14143094</v>
      </c>
      <c r="J288" s="108">
        <f t="shared" si="163"/>
        <v>0</v>
      </c>
      <c r="K288" s="47" t="s">
        <v>158</v>
      </c>
      <c r="L288" s="49">
        <v>0</v>
      </c>
      <c r="M288" s="49">
        <v>2000000</v>
      </c>
      <c r="N288" s="49">
        <v>6223724</v>
      </c>
      <c r="O288" s="49">
        <v>17525203</v>
      </c>
      <c r="Q288" s="5"/>
    </row>
    <row r="289" spans="1:17" ht="16.5">
      <c r="A289" s="60" t="str">
        <f t="shared" si="164"/>
        <v>Caisse</v>
      </c>
      <c r="B289" s="61" t="s">
        <v>25</v>
      </c>
      <c r="C289" s="62">
        <v>1042520</v>
      </c>
      <c r="D289" s="63">
        <f t="shared" si="161"/>
        <v>3035000</v>
      </c>
      <c r="E289" s="63">
        <f t="shared" ref="E289" si="165">+N289</f>
        <v>966635</v>
      </c>
      <c r="F289" s="63">
        <f t="shared" ref="F289:F297" si="166">+M289</f>
        <v>2530000</v>
      </c>
      <c r="G289" s="63">
        <f t="shared" si="162"/>
        <v>0</v>
      </c>
      <c r="H289" s="63">
        <v>580885</v>
      </c>
      <c r="I289" s="63">
        <f>+C289+D289-E289-F289+G289</f>
        <v>580885</v>
      </c>
      <c r="J289" s="9">
        <f t="shared" si="163"/>
        <v>0</v>
      </c>
      <c r="K289" s="47" t="s">
        <v>25</v>
      </c>
      <c r="L289" s="49">
        <v>3035000</v>
      </c>
      <c r="M289" s="49">
        <v>2530000</v>
      </c>
      <c r="N289" s="49">
        <v>966635</v>
      </c>
      <c r="O289" s="49">
        <v>0</v>
      </c>
      <c r="Q289" s="5"/>
    </row>
    <row r="290" spans="1:17" ht="16.5">
      <c r="A290" s="60" t="str">
        <f t="shared" si="164"/>
        <v>Crépin</v>
      </c>
      <c r="B290" s="61" t="s">
        <v>164</v>
      </c>
      <c r="C290" s="62">
        <v>-37100</v>
      </c>
      <c r="D290" s="63">
        <f t="shared" si="161"/>
        <v>256000</v>
      </c>
      <c r="E290" s="63">
        <f>+N290</f>
        <v>189900</v>
      </c>
      <c r="F290" s="63">
        <f t="shared" si="166"/>
        <v>20000</v>
      </c>
      <c r="G290" s="63">
        <f t="shared" si="162"/>
        <v>0</v>
      </c>
      <c r="H290" s="63">
        <v>9000</v>
      </c>
      <c r="I290" s="63">
        <f t="shared" ref="I290" si="167">+C290+D290-E290-F290+G290</f>
        <v>9000</v>
      </c>
      <c r="J290" s="9">
        <f t="shared" si="163"/>
        <v>0</v>
      </c>
      <c r="K290" s="47" t="s">
        <v>48</v>
      </c>
      <c r="L290" s="49">
        <v>256000</v>
      </c>
      <c r="M290" s="49">
        <v>20000</v>
      </c>
      <c r="N290" s="49">
        <v>189900</v>
      </c>
      <c r="O290" s="49">
        <v>0</v>
      </c>
      <c r="Q290" s="5"/>
    </row>
    <row r="291" spans="1:17" ht="16.5">
      <c r="A291" s="60" t="str">
        <f>K291</f>
        <v>Evariste</v>
      </c>
      <c r="B291" s="61" t="s">
        <v>165</v>
      </c>
      <c r="C291" s="62">
        <v>8645</v>
      </c>
      <c r="D291" s="63">
        <f t="shared" si="161"/>
        <v>0</v>
      </c>
      <c r="E291" s="63">
        <f t="shared" ref="E291" si="168">+N291</f>
        <v>0</v>
      </c>
      <c r="F291" s="63">
        <f t="shared" si="166"/>
        <v>0</v>
      </c>
      <c r="G291" s="63">
        <f t="shared" si="162"/>
        <v>0</v>
      </c>
      <c r="H291" s="63">
        <v>8645</v>
      </c>
      <c r="I291" s="63">
        <f>+C291+D291-E291-F291+G291</f>
        <v>8645</v>
      </c>
      <c r="J291" s="9">
        <f t="shared" si="163"/>
        <v>0</v>
      </c>
      <c r="K291" s="47" t="s">
        <v>31</v>
      </c>
      <c r="L291" s="49">
        <v>0</v>
      </c>
      <c r="M291" s="49">
        <v>0</v>
      </c>
      <c r="N291" s="49">
        <v>0</v>
      </c>
      <c r="O291" s="49">
        <v>0</v>
      </c>
      <c r="Q291" s="5"/>
    </row>
    <row r="292" spans="1:17" ht="16.5">
      <c r="A292" s="123" t="str">
        <f t="shared" ref="A292:A299" si="169">+K292</f>
        <v>I55S</v>
      </c>
      <c r="B292" s="124" t="s">
        <v>4</v>
      </c>
      <c r="C292" s="125">
        <v>233614</v>
      </c>
      <c r="D292" s="126">
        <f t="shared" si="161"/>
        <v>0</v>
      </c>
      <c r="E292" s="126">
        <f>+N292</f>
        <v>0</v>
      </c>
      <c r="F292" s="126">
        <f t="shared" si="166"/>
        <v>0</v>
      </c>
      <c r="G292" s="126">
        <f t="shared" si="162"/>
        <v>0</v>
      </c>
      <c r="H292" s="126">
        <v>233614</v>
      </c>
      <c r="I292" s="126">
        <f>+C292+D292-E292-F292+G292</f>
        <v>233614</v>
      </c>
      <c r="J292" s="9">
        <f t="shared" si="163"/>
        <v>0</v>
      </c>
      <c r="K292" s="47" t="s">
        <v>85</v>
      </c>
      <c r="L292" s="49">
        <v>0</v>
      </c>
      <c r="M292" s="49">
        <v>0</v>
      </c>
      <c r="N292" s="49">
        <v>0</v>
      </c>
      <c r="O292" s="49">
        <v>0</v>
      </c>
      <c r="Q292" s="5"/>
    </row>
    <row r="293" spans="1:17" ht="16.5">
      <c r="A293" s="123" t="str">
        <f t="shared" si="169"/>
        <v>I73X</v>
      </c>
      <c r="B293" s="124" t="s">
        <v>4</v>
      </c>
      <c r="C293" s="125">
        <v>249769</v>
      </c>
      <c r="D293" s="126">
        <f t="shared" si="161"/>
        <v>0</v>
      </c>
      <c r="E293" s="126">
        <f>+N293</f>
        <v>0</v>
      </c>
      <c r="F293" s="126">
        <f t="shared" si="166"/>
        <v>0</v>
      </c>
      <c r="G293" s="126">
        <f t="shared" si="162"/>
        <v>0</v>
      </c>
      <c r="H293" s="126">
        <v>249769</v>
      </c>
      <c r="I293" s="126">
        <f t="shared" ref="I293:I296" si="170">+C293+D293-E293-F293+G293</f>
        <v>249769</v>
      </c>
      <c r="J293" s="9">
        <f t="shared" si="163"/>
        <v>0</v>
      </c>
      <c r="K293" s="47" t="s">
        <v>84</v>
      </c>
      <c r="L293" s="49">
        <v>0</v>
      </c>
      <c r="M293" s="49">
        <v>0</v>
      </c>
      <c r="N293" s="49">
        <v>0</v>
      </c>
      <c r="O293" s="49">
        <v>0</v>
      </c>
      <c r="Q293" s="5"/>
    </row>
    <row r="294" spans="1:17" ht="16.5">
      <c r="A294" s="60" t="str">
        <f t="shared" si="169"/>
        <v>Godfré</v>
      </c>
      <c r="B294" s="104" t="s">
        <v>164</v>
      </c>
      <c r="C294" s="62">
        <v>34935</v>
      </c>
      <c r="D294" s="63">
        <f t="shared" si="161"/>
        <v>365000</v>
      </c>
      <c r="E294" s="179">
        <f t="shared" ref="E294" si="171">+N294</f>
        <v>320000</v>
      </c>
      <c r="F294" s="63">
        <f t="shared" si="166"/>
        <v>0</v>
      </c>
      <c r="G294" s="63">
        <f t="shared" si="162"/>
        <v>0</v>
      </c>
      <c r="H294" s="63">
        <v>79935</v>
      </c>
      <c r="I294" s="63">
        <f t="shared" si="170"/>
        <v>79935</v>
      </c>
      <c r="J294" s="9">
        <f t="shared" si="163"/>
        <v>0</v>
      </c>
      <c r="K294" s="47" t="s">
        <v>153</v>
      </c>
      <c r="L294" s="49">
        <v>365000</v>
      </c>
      <c r="M294" s="49"/>
      <c r="N294" s="49">
        <v>320000</v>
      </c>
      <c r="O294" s="49">
        <v>0</v>
      </c>
      <c r="Q294" s="5"/>
    </row>
    <row r="295" spans="1:17" ht="16.5">
      <c r="A295" s="60" t="str">
        <f t="shared" si="169"/>
        <v>Grace</v>
      </c>
      <c r="B295" s="61" t="s">
        <v>2</v>
      </c>
      <c r="C295" s="62">
        <v>44200</v>
      </c>
      <c r="D295" s="63">
        <f t="shared" si="161"/>
        <v>0</v>
      </c>
      <c r="E295" s="179">
        <f>+N295</f>
        <v>9400</v>
      </c>
      <c r="F295" s="63">
        <f t="shared" si="166"/>
        <v>15000</v>
      </c>
      <c r="G295" s="63">
        <f t="shared" si="162"/>
        <v>0</v>
      </c>
      <c r="H295" s="63">
        <v>19800</v>
      </c>
      <c r="I295" s="63">
        <f t="shared" si="170"/>
        <v>19800</v>
      </c>
      <c r="J295" s="9">
        <f>I295-H295</f>
        <v>0</v>
      </c>
      <c r="K295" s="47" t="s">
        <v>152</v>
      </c>
      <c r="L295" s="49">
        <v>0</v>
      </c>
      <c r="M295" s="49">
        <v>15000</v>
      </c>
      <c r="N295" s="49">
        <v>9400</v>
      </c>
      <c r="O295" s="49">
        <v>0</v>
      </c>
      <c r="Q295" s="5"/>
    </row>
    <row r="296" spans="1:17" ht="16.5">
      <c r="A296" s="60" t="str">
        <f t="shared" si="169"/>
        <v>I23C</v>
      </c>
      <c r="B296" s="104" t="s">
        <v>4</v>
      </c>
      <c r="C296" s="62">
        <v>12050</v>
      </c>
      <c r="D296" s="63">
        <f t="shared" si="161"/>
        <v>492000</v>
      </c>
      <c r="E296" s="179">
        <f t="shared" ref="E296:E299" si="172">+N296</f>
        <v>473500</v>
      </c>
      <c r="F296" s="63">
        <f t="shared" si="166"/>
        <v>0</v>
      </c>
      <c r="G296" s="63">
        <f t="shared" si="162"/>
        <v>0</v>
      </c>
      <c r="H296" s="63">
        <v>30550</v>
      </c>
      <c r="I296" s="63">
        <f t="shared" si="170"/>
        <v>30550</v>
      </c>
      <c r="J296" s="9">
        <f t="shared" ref="J296:J297" si="173">I296-H296</f>
        <v>0</v>
      </c>
      <c r="K296" s="47" t="s">
        <v>30</v>
      </c>
      <c r="L296" s="49">
        <v>492000</v>
      </c>
      <c r="M296" s="49">
        <v>0</v>
      </c>
      <c r="N296" s="49">
        <v>473500</v>
      </c>
      <c r="O296" s="49">
        <v>0</v>
      </c>
      <c r="Q296" s="5"/>
    </row>
    <row r="297" spans="1:17" ht="16.5">
      <c r="A297" s="60" t="str">
        <f t="shared" si="169"/>
        <v>Merveille</v>
      </c>
      <c r="B297" s="61" t="s">
        <v>2</v>
      </c>
      <c r="C297" s="62">
        <v>5500</v>
      </c>
      <c r="D297" s="63">
        <f t="shared" si="161"/>
        <v>20000</v>
      </c>
      <c r="E297" s="179">
        <f t="shared" si="172"/>
        <v>12500</v>
      </c>
      <c r="F297" s="63">
        <f t="shared" si="166"/>
        <v>0</v>
      </c>
      <c r="G297" s="63">
        <f t="shared" si="162"/>
        <v>0</v>
      </c>
      <c r="H297" s="63">
        <v>13000</v>
      </c>
      <c r="I297" s="63">
        <f>+C297+D297-E297-F297+G297</f>
        <v>13000</v>
      </c>
      <c r="J297" s="9">
        <f t="shared" si="173"/>
        <v>0</v>
      </c>
      <c r="K297" s="47" t="s">
        <v>94</v>
      </c>
      <c r="L297" s="49">
        <v>20000</v>
      </c>
      <c r="M297" s="49">
        <v>0</v>
      </c>
      <c r="N297" s="49">
        <v>12500</v>
      </c>
      <c r="O297" s="49"/>
      <c r="Q297" s="5"/>
    </row>
    <row r="298" spans="1:17" ht="16.5">
      <c r="A298" s="60" t="str">
        <f t="shared" si="169"/>
        <v>P29</v>
      </c>
      <c r="B298" s="61" t="s">
        <v>4</v>
      </c>
      <c r="C298" s="62">
        <v>58200</v>
      </c>
      <c r="D298" s="63">
        <f t="shared" si="161"/>
        <v>530000</v>
      </c>
      <c r="E298" s="179">
        <f t="shared" si="172"/>
        <v>532500</v>
      </c>
      <c r="F298" s="63">
        <f>+M298</f>
        <v>0</v>
      </c>
      <c r="G298" s="63">
        <f>+O298</f>
        <v>0</v>
      </c>
      <c r="H298" s="63">
        <v>55700</v>
      </c>
      <c r="I298" s="63">
        <f>+C298+D298-E298-F298+G298</f>
        <v>55700</v>
      </c>
      <c r="J298" s="9">
        <f>I298-H298</f>
        <v>0</v>
      </c>
      <c r="K298" s="47" t="s">
        <v>29</v>
      </c>
      <c r="L298" s="49">
        <v>530000</v>
      </c>
      <c r="M298" s="49">
        <v>0</v>
      </c>
      <c r="N298" s="49">
        <v>532500</v>
      </c>
      <c r="O298" s="49">
        <v>0</v>
      </c>
      <c r="Q298" s="5"/>
    </row>
    <row r="299" spans="1:17" ht="16.5">
      <c r="A299" s="60" t="str">
        <f t="shared" si="169"/>
        <v>Tiffany</v>
      </c>
      <c r="B299" s="61" t="s">
        <v>2</v>
      </c>
      <c r="C299" s="62">
        <v>263673</v>
      </c>
      <c r="D299" s="63">
        <f t="shared" si="161"/>
        <v>300000</v>
      </c>
      <c r="E299" s="179">
        <f t="shared" si="172"/>
        <v>599910</v>
      </c>
      <c r="F299" s="63">
        <f t="shared" ref="F299" si="174">+M299</f>
        <v>0</v>
      </c>
      <c r="G299" s="63">
        <f t="shared" ref="G299" si="175">+O299</f>
        <v>0</v>
      </c>
      <c r="H299" s="63">
        <v>-36237</v>
      </c>
      <c r="I299" s="63">
        <f t="shared" ref="I299" si="176">+C299+D299-E299-F299+G299</f>
        <v>-36237</v>
      </c>
      <c r="J299" s="9">
        <f t="shared" ref="J299" si="177">I299-H299</f>
        <v>0</v>
      </c>
      <c r="K299" s="47" t="s">
        <v>114</v>
      </c>
      <c r="L299" s="49">
        <v>300000</v>
      </c>
      <c r="M299" s="49">
        <v>0</v>
      </c>
      <c r="N299" s="49">
        <v>599910</v>
      </c>
      <c r="O299" s="49">
        <v>0</v>
      </c>
      <c r="Q299" s="5"/>
    </row>
    <row r="300" spans="1:17" ht="16.5">
      <c r="A300" s="10" t="s">
        <v>51</v>
      </c>
      <c r="B300" s="11"/>
      <c r="C300" s="12">
        <f t="shared" ref="C300:I300" si="178">SUM(C286:C299)</f>
        <v>10222494</v>
      </c>
      <c r="D300" s="59">
        <f t="shared" si="178"/>
        <v>5565000</v>
      </c>
      <c r="E300" s="59">
        <f t="shared" si="178"/>
        <v>10187414</v>
      </c>
      <c r="F300" s="59">
        <f t="shared" si="178"/>
        <v>5565000</v>
      </c>
      <c r="G300" s="59">
        <f t="shared" si="178"/>
        <v>17525203</v>
      </c>
      <c r="H300" s="59">
        <f t="shared" si="178"/>
        <v>17560283</v>
      </c>
      <c r="I300" s="59">
        <f t="shared" si="178"/>
        <v>17560283</v>
      </c>
      <c r="J300" s="9">
        <f>I300-H300</f>
        <v>0</v>
      </c>
      <c r="K300" s="3"/>
      <c r="L300" s="49">
        <f>+SUM(L286:L299)</f>
        <v>5565000</v>
      </c>
      <c r="M300" s="49">
        <f>+SUM(M286:M299)</f>
        <v>5565000</v>
      </c>
      <c r="N300" s="49">
        <f>+SUM(N286:N299)</f>
        <v>10187414</v>
      </c>
      <c r="O300" s="49">
        <f>+SUM(O286:O299)</f>
        <v>17525203</v>
      </c>
      <c r="Q300" s="5"/>
    </row>
    <row r="301" spans="1:17" ht="16.5">
      <c r="A301" s="10"/>
      <c r="B301" s="11"/>
      <c r="C301" s="12"/>
      <c r="D301" s="13"/>
      <c r="E301" s="12"/>
      <c r="F301" s="13"/>
      <c r="G301" s="12"/>
      <c r="H301" s="12"/>
      <c r="I301" s="143" t="b">
        <f>I300=D303</f>
        <v>1</v>
      </c>
      <c r="L301" s="5"/>
      <c r="M301" s="5"/>
      <c r="N301" s="5"/>
      <c r="O301" s="5"/>
      <c r="Q301" s="5"/>
    </row>
    <row r="302" spans="1:17" ht="16.5">
      <c r="A302" s="10" t="s">
        <v>186</v>
      </c>
      <c r="B302" s="11" t="s">
        <v>188</v>
      </c>
      <c r="C302" s="12" t="s">
        <v>187</v>
      </c>
      <c r="D302" s="12" t="s">
        <v>189</v>
      </c>
      <c r="E302" s="12" t="s">
        <v>52</v>
      </c>
      <c r="F302" s="12"/>
      <c r="G302" s="12">
        <f>+D300-F300</f>
        <v>0</v>
      </c>
      <c r="H302" s="12"/>
      <c r="I302" s="12"/>
      <c r="L302" s="5"/>
      <c r="M302" s="5"/>
      <c r="N302" s="5"/>
      <c r="O302" s="5"/>
      <c r="Q302" s="5"/>
    </row>
    <row r="303" spans="1:17" ht="16.5">
      <c r="A303" s="14">
        <f>C300</f>
        <v>10222494</v>
      </c>
      <c r="B303" s="15">
        <f>G300</f>
        <v>17525203</v>
      </c>
      <c r="C303" s="12">
        <f>E300</f>
        <v>10187414</v>
      </c>
      <c r="D303" s="12">
        <f>A303+B303-C303</f>
        <v>17560283</v>
      </c>
      <c r="E303" s="13">
        <f>I300-D303</f>
        <v>0</v>
      </c>
      <c r="F303" s="12"/>
      <c r="G303" s="12"/>
      <c r="H303" s="12"/>
      <c r="I303" s="12"/>
      <c r="L303" s="5"/>
      <c r="M303" s="5"/>
      <c r="N303" s="5"/>
      <c r="O303" s="5"/>
      <c r="Q303" s="5"/>
    </row>
    <row r="304" spans="1:17" ht="16.5">
      <c r="A304" s="14"/>
      <c r="B304" s="15"/>
      <c r="C304" s="12"/>
      <c r="D304" s="12"/>
      <c r="E304" s="13"/>
      <c r="F304" s="12"/>
      <c r="G304" s="12"/>
      <c r="H304" s="12"/>
      <c r="I304" s="12"/>
      <c r="L304" s="5"/>
      <c r="M304" s="5"/>
      <c r="N304" s="5"/>
      <c r="O304" s="5"/>
      <c r="Q304" s="5"/>
    </row>
    <row r="305" spans="1:17">
      <c r="A305" s="16" t="s">
        <v>53</v>
      </c>
      <c r="B305" s="16"/>
      <c r="C305" s="16"/>
      <c r="D305" s="17"/>
      <c r="E305" s="17"/>
      <c r="F305" s="17"/>
      <c r="G305" s="17"/>
      <c r="H305" s="17"/>
      <c r="I305" s="17"/>
      <c r="L305" s="5"/>
      <c r="M305" s="5"/>
      <c r="N305" s="5"/>
      <c r="O305" s="5"/>
      <c r="Q305" s="5"/>
    </row>
    <row r="306" spans="1:17">
      <c r="A306" s="18" t="s">
        <v>190</v>
      </c>
      <c r="B306" s="18"/>
      <c r="C306" s="18"/>
      <c r="D306" s="18"/>
      <c r="E306" s="18"/>
      <c r="F306" s="18"/>
      <c r="G306" s="18"/>
      <c r="H306" s="18"/>
      <c r="I306" s="18"/>
      <c r="J306" s="18"/>
      <c r="L306" s="5"/>
      <c r="M306" s="5"/>
      <c r="N306" s="5"/>
      <c r="O306" s="5"/>
      <c r="Q306" s="5"/>
    </row>
    <row r="307" spans="1:17">
      <c r="A307" s="19"/>
      <c r="B307" s="20"/>
      <c r="C307" s="21"/>
      <c r="D307" s="21"/>
      <c r="E307" s="21"/>
      <c r="F307" s="21"/>
      <c r="G307" s="21"/>
      <c r="H307" s="20"/>
      <c r="I307" s="20"/>
      <c r="L307" s="5"/>
      <c r="M307" s="5"/>
      <c r="N307" s="5"/>
      <c r="O307" s="5"/>
      <c r="Q307" s="5"/>
    </row>
    <row r="308" spans="1:17">
      <c r="A308" s="506" t="s">
        <v>54</v>
      </c>
      <c r="B308" s="508" t="s">
        <v>55</v>
      </c>
      <c r="C308" s="510" t="s">
        <v>192</v>
      </c>
      <c r="D308" s="512" t="s">
        <v>56</v>
      </c>
      <c r="E308" s="513"/>
      <c r="F308" s="513"/>
      <c r="G308" s="514"/>
      <c r="H308" s="515" t="s">
        <v>57</v>
      </c>
      <c r="I308" s="502" t="s">
        <v>58</v>
      </c>
      <c r="J308" s="20"/>
      <c r="L308" s="5"/>
      <c r="M308" s="5"/>
      <c r="N308" s="5"/>
      <c r="O308" s="5"/>
      <c r="Q308" s="5"/>
    </row>
    <row r="309" spans="1:17" ht="28.5" customHeight="1">
      <c r="A309" s="507"/>
      <c r="B309" s="509"/>
      <c r="C309" s="511"/>
      <c r="D309" s="22" t="s">
        <v>24</v>
      </c>
      <c r="E309" s="22" t="s">
        <v>25</v>
      </c>
      <c r="F309" s="212" t="s">
        <v>124</v>
      </c>
      <c r="G309" s="22" t="s">
        <v>59</v>
      </c>
      <c r="H309" s="516"/>
      <c r="I309" s="503"/>
      <c r="J309" s="504" t="s">
        <v>191</v>
      </c>
      <c r="K309" s="155"/>
      <c r="L309" s="5"/>
      <c r="M309" s="5"/>
      <c r="N309" s="5"/>
      <c r="O309" s="5"/>
      <c r="Q309" s="5"/>
    </row>
    <row r="310" spans="1:17">
      <c r="A310" s="24"/>
      <c r="B310" s="25" t="s">
        <v>60</v>
      </c>
      <c r="C310" s="26"/>
      <c r="D310" s="26"/>
      <c r="E310" s="26"/>
      <c r="F310" s="26"/>
      <c r="G310" s="26"/>
      <c r="H310" s="26"/>
      <c r="I310" s="27"/>
      <c r="J310" s="505"/>
      <c r="K310" s="155"/>
      <c r="L310" s="5"/>
      <c r="M310" s="5"/>
      <c r="N310" s="5"/>
      <c r="O310" s="5"/>
      <c r="Q310" s="5"/>
    </row>
    <row r="311" spans="1:17">
      <c r="A311" s="130" t="s">
        <v>109</v>
      </c>
      <c r="B311" s="135" t="s">
        <v>173</v>
      </c>
      <c r="C311" s="33">
        <f>+C286</f>
        <v>9500</v>
      </c>
      <c r="D311" s="32"/>
      <c r="E311" s="33">
        <f>+D286</f>
        <v>567000</v>
      </c>
      <c r="F311" s="33"/>
      <c r="G311" s="33"/>
      <c r="H311" s="57">
        <f>+F286</f>
        <v>0</v>
      </c>
      <c r="I311" s="33">
        <f>+E286</f>
        <v>576000</v>
      </c>
      <c r="J311" s="31">
        <f t="shared" ref="J311:J312" si="179">+SUM(C311:G311)-(H311+I311)</f>
        <v>500</v>
      </c>
      <c r="K311" s="156" t="b">
        <f>J311=I286</f>
        <v>1</v>
      </c>
      <c r="L311" s="5"/>
      <c r="M311" s="5"/>
      <c r="N311" s="5"/>
      <c r="O311" s="5"/>
      <c r="Q311" s="5"/>
    </row>
    <row r="312" spans="1:17">
      <c r="A312" s="130" t="str">
        <f>+A311</f>
        <v>JANVIER</v>
      </c>
      <c r="B312" s="135" t="s">
        <v>48</v>
      </c>
      <c r="C312" s="33">
        <f>+C290</f>
        <v>-37100</v>
      </c>
      <c r="D312" s="32"/>
      <c r="E312" s="33">
        <f>+D290</f>
        <v>256000</v>
      </c>
      <c r="F312" s="33"/>
      <c r="G312" s="33"/>
      <c r="H312" s="57">
        <f>+F290</f>
        <v>20000</v>
      </c>
      <c r="I312" s="33">
        <f>+E290</f>
        <v>189900</v>
      </c>
      <c r="J312" s="107">
        <f t="shared" si="179"/>
        <v>9000</v>
      </c>
      <c r="K312" s="156" t="b">
        <f t="shared" ref="K312:K321" si="180">J312=I290</f>
        <v>1</v>
      </c>
      <c r="L312" s="5"/>
      <c r="M312" s="5"/>
      <c r="N312" s="5"/>
      <c r="O312" s="5"/>
      <c r="Q312" s="5"/>
    </row>
    <row r="313" spans="1:17">
      <c r="A313" s="130" t="str">
        <f t="shared" ref="A313:A321" si="181">+A312</f>
        <v>JANVIER</v>
      </c>
      <c r="B313" s="136" t="s">
        <v>31</v>
      </c>
      <c r="C313" s="33">
        <f>+C291</f>
        <v>8645</v>
      </c>
      <c r="D313" s="127"/>
      <c r="E313" s="33">
        <f>+D291</f>
        <v>0</v>
      </c>
      <c r="F313" s="53"/>
      <c r="G313" s="53"/>
      <c r="H313" s="57">
        <f>+F291</f>
        <v>0</v>
      </c>
      <c r="I313" s="33">
        <f>+E291</f>
        <v>0</v>
      </c>
      <c r="J313" s="132">
        <f>+SUM(C313:G313)-(H313+I313)</f>
        <v>8645</v>
      </c>
      <c r="K313" s="156" t="b">
        <f t="shared" si="180"/>
        <v>1</v>
      </c>
      <c r="L313" s="5"/>
      <c r="M313" s="5"/>
      <c r="N313" s="5"/>
      <c r="O313" s="5"/>
      <c r="Q313" s="5"/>
    </row>
    <row r="314" spans="1:17">
      <c r="A314" s="130" t="str">
        <f t="shared" si="181"/>
        <v>JANVIER</v>
      </c>
      <c r="B314" s="137" t="s">
        <v>85</v>
      </c>
      <c r="C314" s="128">
        <f>+C292</f>
        <v>233614</v>
      </c>
      <c r="D314" s="131"/>
      <c r="E314" s="128">
        <f>+D292</f>
        <v>0</v>
      </c>
      <c r="F314" s="146"/>
      <c r="G314" s="146"/>
      <c r="H314" s="180">
        <f>+F292</f>
        <v>0</v>
      </c>
      <c r="I314" s="128">
        <f>+E292</f>
        <v>0</v>
      </c>
      <c r="J314" s="129">
        <f>+SUM(C314:G314)-(H314+I314)</f>
        <v>233614</v>
      </c>
      <c r="K314" s="156" t="b">
        <f t="shared" si="180"/>
        <v>1</v>
      </c>
      <c r="L314" s="5"/>
      <c r="M314" s="5"/>
      <c r="N314" s="5"/>
      <c r="O314" s="5"/>
      <c r="Q314" s="5"/>
    </row>
    <row r="315" spans="1:17">
      <c r="A315" s="130" t="str">
        <f t="shared" si="181"/>
        <v>JANVIER</v>
      </c>
      <c r="B315" s="137" t="s">
        <v>84</v>
      </c>
      <c r="C315" s="128">
        <f>+C293</f>
        <v>249769</v>
      </c>
      <c r="D315" s="131"/>
      <c r="E315" s="128">
        <f>+D293</f>
        <v>0</v>
      </c>
      <c r="F315" s="146"/>
      <c r="G315" s="146"/>
      <c r="H315" s="180">
        <f>+F293</f>
        <v>0</v>
      </c>
      <c r="I315" s="128">
        <f>+E293</f>
        <v>0</v>
      </c>
      <c r="J315" s="129">
        <f t="shared" ref="J315:J321" si="182">+SUM(C315:G315)-(H315+I315)</f>
        <v>249769</v>
      </c>
      <c r="K315" s="156" t="b">
        <f t="shared" si="180"/>
        <v>1</v>
      </c>
      <c r="L315" s="5"/>
      <c r="M315" s="5"/>
      <c r="N315" s="5"/>
      <c r="O315" s="5"/>
      <c r="Q315" s="5"/>
    </row>
    <row r="316" spans="1:17">
      <c r="A316" s="130" t="str">
        <f t="shared" si="181"/>
        <v>JANVIER</v>
      </c>
      <c r="B316" s="135" t="s">
        <v>153</v>
      </c>
      <c r="C316" s="33">
        <f>+C294</f>
        <v>34935</v>
      </c>
      <c r="D316" s="32"/>
      <c r="E316" s="33">
        <f>+D294</f>
        <v>365000</v>
      </c>
      <c r="F316" s="33"/>
      <c r="G316" s="110"/>
      <c r="H316" s="57">
        <f>+F294</f>
        <v>0</v>
      </c>
      <c r="I316" s="33">
        <f>+E294</f>
        <v>320000</v>
      </c>
      <c r="J316" s="31">
        <f t="shared" si="182"/>
        <v>79935</v>
      </c>
      <c r="K316" s="156" t="b">
        <f t="shared" si="180"/>
        <v>1</v>
      </c>
      <c r="L316" s="5"/>
      <c r="M316" s="5"/>
      <c r="N316" s="5"/>
      <c r="O316" s="5"/>
      <c r="Q316" s="5"/>
    </row>
    <row r="317" spans="1:17">
      <c r="A317" s="130" t="str">
        <f t="shared" si="181"/>
        <v>JANVIER</v>
      </c>
      <c r="B317" s="135" t="s">
        <v>152</v>
      </c>
      <c r="C317" s="33">
        <f t="shared" ref="C317:C321" si="183">+C295</f>
        <v>44200</v>
      </c>
      <c r="D317" s="32"/>
      <c r="E317" s="33">
        <f t="shared" ref="E317:E321" si="184">+D295</f>
        <v>0</v>
      </c>
      <c r="F317" s="33"/>
      <c r="G317" s="110"/>
      <c r="H317" s="57">
        <f t="shared" ref="H317:H321" si="185">+F295</f>
        <v>15000</v>
      </c>
      <c r="I317" s="33">
        <f t="shared" ref="I317:I321" si="186">+E295</f>
        <v>9400</v>
      </c>
      <c r="J317" s="31">
        <f t="shared" si="182"/>
        <v>19800</v>
      </c>
      <c r="K317" s="156" t="b">
        <f t="shared" si="180"/>
        <v>1</v>
      </c>
      <c r="L317" s="5"/>
      <c r="M317" s="5"/>
      <c r="N317" s="5"/>
      <c r="O317" s="5"/>
      <c r="Q317" s="5"/>
    </row>
    <row r="318" spans="1:17">
      <c r="A318" s="130" t="str">
        <f t="shared" si="181"/>
        <v>JANVIER</v>
      </c>
      <c r="B318" s="135" t="s">
        <v>30</v>
      </c>
      <c r="C318" s="33">
        <f t="shared" si="183"/>
        <v>12050</v>
      </c>
      <c r="D318" s="32"/>
      <c r="E318" s="33">
        <f t="shared" si="184"/>
        <v>492000</v>
      </c>
      <c r="F318" s="33"/>
      <c r="G318" s="110"/>
      <c r="H318" s="57">
        <f t="shared" si="185"/>
        <v>0</v>
      </c>
      <c r="I318" s="33">
        <f t="shared" si="186"/>
        <v>473500</v>
      </c>
      <c r="J318" s="31">
        <f t="shared" si="182"/>
        <v>30550</v>
      </c>
      <c r="K318" s="156" t="b">
        <f t="shared" si="180"/>
        <v>1</v>
      </c>
      <c r="Q318" s="5"/>
    </row>
    <row r="319" spans="1:17">
      <c r="A319" s="130" t="str">
        <f>+A317</f>
        <v>JANVIER</v>
      </c>
      <c r="B319" s="135" t="s">
        <v>94</v>
      </c>
      <c r="C319" s="33">
        <f t="shared" si="183"/>
        <v>5500</v>
      </c>
      <c r="D319" s="32"/>
      <c r="E319" s="33">
        <f t="shared" si="184"/>
        <v>20000</v>
      </c>
      <c r="F319" s="33"/>
      <c r="G319" s="110"/>
      <c r="H319" s="57">
        <f t="shared" si="185"/>
        <v>0</v>
      </c>
      <c r="I319" s="33">
        <f t="shared" si="186"/>
        <v>12500</v>
      </c>
      <c r="J319" s="31">
        <f t="shared" si="182"/>
        <v>13000</v>
      </c>
      <c r="K319" s="156" t="b">
        <f t="shared" si="180"/>
        <v>1</v>
      </c>
      <c r="Q319" s="5"/>
    </row>
    <row r="320" spans="1:17">
      <c r="A320" s="130" t="str">
        <f>+A318</f>
        <v>JANVIER</v>
      </c>
      <c r="B320" s="135" t="s">
        <v>29</v>
      </c>
      <c r="C320" s="33">
        <f t="shared" si="183"/>
        <v>58200</v>
      </c>
      <c r="D320" s="32"/>
      <c r="E320" s="33">
        <f t="shared" si="184"/>
        <v>530000</v>
      </c>
      <c r="F320" s="33"/>
      <c r="G320" s="110"/>
      <c r="H320" s="57">
        <f t="shared" si="185"/>
        <v>0</v>
      </c>
      <c r="I320" s="33">
        <f t="shared" si="186"/>
        <v>532500</v>
      </c>
      <c r="J320" s="31">
        <f t="shared" si="182"/>
        <v>55700</v>
      </c>
      <c r="K320" s="156" t="b">
        <f t="shared" si="180"/>
        <v>1</v>
      </c>
      <c r="Q320" s="5"/>
    </row>
    <row r="321" spans="1:17">
      <c r="A321" s="130" t="str">
        <f t="shared" si="181"/>
        <v>JANVIER</v>
      </c>
      <c r="B321" s="136" t="s">
        <v>114</v>
      </c>
      <c r="C321" s="33">
        <f t="shared" si="183"/>
        <v>263673</v>
      </c>
      <c r="D321" s="127"/>
      <c r="E321" s="33">
        <f t="shared" si="184"/>
        <v>300000</v>
      </c>
      <c r="F321" s="53"/>
      <c r="G321" s="147"/>
      <c r="H321" s="57">
        <f t="shared" si="185"/>
        <v>0</v>
      </c>
      <c r="I321" s="33">
        <f t="shared" si="186"/>
        <v>599910</v>
      </c>
      <c r="J321" s="31">
        <f t="shared" si="182"/>
        <v>-36237</v>
      </c>
      <c r="K321" s="156" t="b">
        <f t="shared" si="180"/>
        <v>1</v>
      </c>
      <c r="Q321" s="5"/>
    </row>
    <row r="322" spans="1:17">
      <c r="A322" s="35" t="s">
        <v>61</v>
      </c>
      <c r="B322" s="36"/>
      <c r="C322" s="36"/>
      <c r="D322" s="36"/>
      <c r="E322" s="36"/>
      <c r="F322" s="36"/>
      <c r="G322" s="36"/>
      <c r="H322" s="36"/>
      <c r="I322" s="36"/>
      <c r="J322" s="37"/>
      <c r="K322" s="155"/>
      <c r="Q322" s="5"/>
    </row>
    <row r="323" spans="1:17">
      <c r="A323" s="130" t="str">
        <f>+A321</f>
        <v>JANVIER</v>
      </c>
      <c r="B323" s="38" t="s">
        <v>62</v>
      </c>
      <c r="C323" s="39">
        <f>+C289</f>
        <v>1042520</v>
      </c>
      <c r="D323" s="51"/>
      <c r="E323" s="51">
        <f>D289</f>
        <v>3035000</v>
      </c>
      <c r="F323" s="51"/>
      <c r="G323" s="133"/>
      <c r="H323" s="53">
        <f>+F289</f>
        <v>2530000</v>
      </c>
      <c r="I323" s="134">
        <f>+E289</f>
        <v>966635</v>
      </c>
      <c r="J323" s="46">
        <f>+SUM(C323:G323)-(H323+I323)</f>
        <v>580885</v>
      </c>
      <c r="K323" s="156" t="b">
        <f>J323=I289</f>
        <v>1</v>
      </c>
      <c r="Q323" s="5"/>
    </row>
    <row r="324" spans="1:17">
      <c r="A324" s="44" t="s">
        <v>63</v>
      </c>
      <c r="B324" s="25"/>
      <c r="C324" s="36"/>
      <c r="D324" s="25"/>
      <c r="E324" s="25"/>
      <c r="F324" s="25"/>
      <c r="G324" s="25"/>
      <c r="H324" s="25"/>
      <c r="I324" s="25"/>
      <c r="J324" s="37"/>
      <c r="K324" s="155"/>
      <c r="Q324" s="5"/>
    </row>
    <row r="325" spans="1:17">
      <c r="A325" s="130" t="str">
        <f>+A323</f>
        <v>JANVIER</v>
      </c>
      <c r="B325" s="38" t="s">
        <v>167</v>
      </c>
      <c r="C325" s="133">
        <f>+C287</f>
        <v>3455373</v>
      </c>
      <c r="D325" s="140">
        <f>+G287</f>
        <v>0</v>
      </c>
      <c r="E325" s="51"/>
      <c r="F325" s="51"/>
      <c r="G325" s="51"/>
      <c r="H325" s="53">
        <f>+F287</f>
        <v>1000000</v>
      </c>
      <c r="I325" s="55">
        <f>+E287</f>
        <v>283345</v>
      </c>
      <c r="J325" s="46">
        <f>+SUM(C325:G325)-(H325+I325)</f>
        <v>2172028</v>
      </c>
      <c r="K325" s="156" t="b">
        <f>+J325=I287</f>
        <v>1</v>
      </c>
      <c r="Q325" s="5"/>
    </row>
    <row r="326" spans="1:17">
      <c r="A326" s="130" t="str">
        <f t="shared" ref="A326" si="187">+A325</f>
        <v>JANVIER</v>
      </c>
      <c r="B326" s="38" t="s">
        <v>65</v>
      </c>
      <c r="C326" s="133">
        <f>+C288</f>
        <v>4841615</v>
      </c>
      <c r="D326" s="51">
        <f>+G288</f>
        <v>17525203</v>
      </c>
      <c r="E326" s="50"/>
      <c r="F326" s="50"/>
      <c r="G326" s="50"/>
      <c r="H326" s="33">
        <f>+F288</f>
        <v>2000000</v>
      </c>
      <c r="I326" s="52">
        <f>+E288</f>
        <v>6223724</v>
      </c>
      <c r="J326" s="46">
        <f>SUM(C326:G326)-(H326+I326)</f>
        <v>14143094</v>
      </c>
      <c r="K326" s="156" t="b">
        <f>+J326=I288</f>
        <v>1</v>
      </c>
      <c r="Q326" s="5"/>
    </row>
    <row r="327" spans="1:17" ht="15.75">
      <c r="C327" s="151">
        <f>SUM(C311:C326)</f>
        <v>10222494</v>
      </c>
      <c r="I327" s="149">
        <f>SUM(I311:I326)</f>
        <v>10187414</v>
      </c>
      <c r="J327" s="111">
        <f>+SUM(J311:J326)</f>
        <v>17560283</v>
      </c>
      <c r="K327" s="5" t="b">
        <f>J327=I300</f>
        <v>1</v>
      </c>
      <c r="Q327" s="5"/>
    </row>
    <row r="328" spans="1:17" ht="15.75">
      <c r="C328" s="151"/>
      <c r="I328" s="149"/>
      <c r="J328" s="111"/>
      <c r="Q328" s="5"/>
    </row>
    <row r="329" spans="1:17" ht="15.75">
      <c r="A329" s="217"/>
      <c r="B329" s="217"/>
      <c r="C329" s="218"/>
      <c r="D329" s="217"/>
      <c r="E329" s="217"/>
      <c r="F329" s="217"/>
      <c r="G329" s="217"/>
      <c r="H329" s="217"/>
      <c r="I329" s="219"/>
      <c r="J329" s="220"/>
      <c r="K329" s="217"/>
      <c r="L329" s="221"/>
      <c r="M329" s="221"/>
      <c r="N329" s="221"/>
      <c r="O329" s="221"/>
      <c r="P329" s="217"/>
      <c r="Q329" s="5"/>
    </row>
    <row r="331" spans="1:17" ht="15.75">
      <c r="A331" s="6" t="s">
        <v>37</v>
      </c>
      <c r="B331" s="6" t="s">
        <v>1</v>
      </c>
      <c r="C331" s="6">
        <v>44531</v>
      </c>
      <c r="D331" s="7" t="s">
        <v>38</v>
      </c>
      <c r="E331" s="7" t="s">
        <v>39</v>
      </c>
      <c r="F331" s="7" t="s">
        <v>40</v>
      </c>
      <c r="G331" s="7" t="s">
        <v>41</v>
      </c>
      <c r="H331" s="6">
        <v>44561</v>
      </c>
      <c r="I331" s="7" t="s">
        <v>42</v>
      </c>
      <c r="K331" s="47"/>
      <c r="L331" s="47" t="s">
        <v>43</v>
      </c>
      <c r="M331" s="47" t="s">
        <v>44</v>
      </c>
      <c r="N331" s="47" t="s">
        <v>45</v>
      </c>
      <c r="O331" s="47" t="s">
        <v>46</v>
      </c>
      <c r="Q331" s="5"/>
    </row>
    <row r="332" spans="1:17" s="185" customFormat="1" ht="16.5">
      <c r="A332" s="60" t="str">
        <f>+K332</f>
        <v>Axel</v>
      </c>
      <c r="B332" s="187" t="s">
        <v>164</v>
      </c>
      <c r="C332" s="62">
        <v>29107</v>
      </c>
      <c r="D332" s="63">
        <f t="shared" ref="D332:D346" si="188">+L332</f>
        <v>1125000</v>
      </c>
      <c r="E332" s="63">
        <f>+N332</f>
        <v>1008750</v>
      </c>
      <c r="F332" s="63">
        <f>+M332</f>
        <v>145357</v>
      </c>
      <c r="G332" s="63">
        <f t="shared" ref="G332:G344" si="189">+O332</f>
        <v>0</v>
      </c>
      <c r="H332" s="63">
        <v>0</v>
      </c>
      <c r="I332" s="63">
        <f>+C332+D332-E332-F332+G332</f>
        <v>0</v>
      </c>
      <c r="J332" s="9">
        <f>I332-H332</f>
        <v>0</v>
      </c>
      <c r="K332" s="186" t="s">
        <v>163</v>
      </c>
      <c r="L332" s="186">
        <v>1125000</v>
      </c>
      <c r="M332" s="186">
        <v>145357</v>
      </c>
      <c r="N332" s="186">
        <v>1008750</v>
      </c>
      <c r="O332" s="186">
        <v>0</v>
      </c>
    </row>
    <row r="333" spans="1:17" ht="16.5">
      <c r="A333" s="60" t="str">
        <f>+K333</f>
        <v>B52</v>
      </c>
      <c r="B333" s="61" t="s">
        <v>4</v>
      </c>
      <c r="C333" s="62">
        <v>4000</v>
      </c>
      <c r="D333" s="63">
        <f t="shared" si="188"/>
        <v>426000</v>
      </c>
      <c r="E333" s="63">
        <f>+N333</f>
        <v>420500</v>
      </c>
      <c r="F333" s="63">
        <f>+M333</f>
        <v>0</v>
      </c>
      <c r="G333" s="63">
        <f t="shared" si="189"/>
        <v>0</v>
      </c>
      <c r="H333" s="63">
        <v>9500</v>
      </c>
      <c r="I333" s="63">
        <f>+C333+D333-E333-F333+G333</f>
        <v>9500</v>
      </c>
      <c r="J333" s="9">
        <f>I333-H333</f>
        <v>0</v>
      </c>
      <c r="K333" s="47" t="s">
        <v>173</v>
      </c>
      <c r="L333" s="49">
        <v>426000</v>
      </c>
      <c r="M333" s="49">
        <v>0</v>
      </c>
      <c r="N333" s="49">
        <v>420500</v>
      </c>
      <c r="O333" s="49">
        <v>0</v>
      </c>
      <c r="Q333" s="5"/>
    </row>
    <row r="334" spans="1:17" ht="16.5">
      <c r="A334" s="60" t="str">
        <f>+K334</f>
        <v>BCI</v>
      </c>
      <c r="B334" s="61" t="s">
        <v>47</v>
      </c>
      <c r="C334" s="62">
        <v>5738718</v>
      </c>
      <c r="D334" s="63">
        <f t="shared" si="188"/>
        <v>0</v>
      </c>
      <c r="E334" s="63">
        <f>+N334</f>
        <v>283345</v>
      </c>
      <c r="F334" s="63">
        <f>+M334</f>
        <v>2000000</v>
      </c>
      <c r="G334" s="63">
        <f t="shared" si="189"/>
        <v>0</v>
      </c>
      <c r="H334" s="63">
        <v>3455373</v>
      </c>
      <c r="I334" s="63">
        <f>+C334+D334-E334-F334+G334</f>
        <v>3455373</v>
      </c>
      <c r="J334" s="9">
        <f t="shared" ref="J334:J341" si="190">I334-H334</f>
        <v>0</v>
      </c>
      <c r="K334" s="47" t="s">
        <v>24</v>
      </c>
      <c r="L334" s="49">
        <v>0</v>
      </c>
      <c r="M334" s="49">
        <v>2000000</v>
      </c>
      <c r="N334" s="49">
        <v>283345</v>
      </c>
      <c r="O334" s="49">
        <v>0</v>
      </c>
      <c r="Q334" s="5"/>
    </row>
    <row r="335" spans="1:17" ht="16.5">
      <c r="A335" s="60" t="str">
        <f t="shared" ref="A335:A337" si="191">+K335</f>
        <v>BCI-Sous Compte</v>
      </c>
      <c r="B335" s="61" t="s">
        <v>47</v>
      </c>
      <c r="C335" s="62">
        <v>16087207</v>
      </c>
      <c r="D335" s="63">
        <f t="shared" si="188"/>
        <v>0</v>
      </c>
      <c r="E335" s="63">
        <f>+N335</f>
        <v>3245592</v>
      </c>
      <c r="F335" s="63">
        <f>+M335</f>
        <v>8000000</v>
      </c>
      <c r="G335" s="63">
        <f t="shared" si="189"/>
        <v>0</v>
      </c>
      <c r="H335" s="63">
        <v>4841615</v>
      </c>
      <c r="I335" s="63">
        <f>+C335+D335-E335-F335+G335</f>
        <v>4841615</v>
      </c>
      <c r="J335" s="108">
        <f t="shared" si="190"/>
        <v>0</v>
      </c>
      <c r="K335" s="47" t="s">
        <v>158</v>
      </c>
      <c r="L335" s="49">
        <v>0</v>
      </c>
      <c r="M335" s="49">
        <v>8000000</v>
      </c>
      <c r="N335" s="49">
        <v>3245592</v>
      </c>
      <c r="O335" s="49">
        <v>0</v>
      </c>
      <c r="Q335" s="5"/>
    </row>
    <row r="336" spans="1:17" ht="16.5">
      <c r="A336" s="60" t="str">
        <f t="shared" si="191"/>
        <v>Caisse</v>
      </c>
      <c r="B336" s="61" t="s">
        <v>25</v>
      </c>
      <c r="C336" s="62">
        <v>926369</v>
      </c>
      <c r="D336" s="63">
        <f t="shared" si="188"/>
        <v>10580357</v>
      </c>
      <c r="E336" s="63">
        <f t="shared" ref="E336" si="192">+N336</f>
        <v>3713706</v>
      </c>
      <c r="F336" s="63">
        <f t="shared" ref="F336:F344" si="193">+M336</f>
        <v>6750500</v>
      </c>
      <c r="G336" s="63">
        <f t="shared" si="189"/>
        <v>0</v>
      </c>
      <c r="H336" s="63">
        <v>1042520</v>
      </c>
      <c r="I336" s="63">
        <f>+C336+D336-E336-F336+G336</f>
        <v>1042520</v>
      </c>
      <c r="J336" s="9">
        <f t="shared" si="190"/>
        <v>0</v>
      </c>
      <c r="K336" s="47" t="s">
        <v>25</v>
      </c>
      <c r="L336" s="49">
        <v>10580357</v>
      </c>
      <c r="M336" s="49">
        <v>6750500</v>
      </c>
      <c r="N336" s="49">
        <v>3713706</v>
      </c>
      <c r="O336" s="49">
        <v>0</v>
      </c>
      <c r="Q336" s="5"/>
    </row>
    <row r="337" spans="1:17" ht="16.5">
      <c r="A337" s="60" t="str">
        <f t="shared" si="191"/>
        <v>Crépin</v>
      </c>
      <c r="B337" s="61" t="s">
        <v>164</v>
      </c>
      <c r="C337" s="62">
        <v>-3675</v>
      </c>
      <c r="D337" s="63">
        <f t="shared" si="188"/>
        <v>1778500</v>
      </c>
      <c r="E337" s="63">
        <f>+N337</f>
        <v>1666925</v>
      </c>
      <c r="F337" s="63">
        <f t="shared" si="193"/>
        <v>145000</v>
      </c>
      <c r="G337" s="63">
        <f t="shared" si="189"/>
        <v>0</v>
      </c>
      <c r="H337" s="63">
        <v>-37100</v>
      </c>
      <c r="I337" s="63">
        <f t="shared" ref="I337" si="194">+C337+D337-E337-F337+G337</f>
        <v>-37100</v>
      </c>
      <c r="J337" s="9">
        <f t="shared" si="190"/>
        <v>0</v>
      </c>
      <c r="K337" s="47" t="s">
        <v>48</v>
      </c>
      <c r="L337" s="49">
        <v>1778500</v>
      </c>
      <c r="M337" s="49">
        <v>145000</v>
      </c>
      <c r="N337" s="49">
        <v>1666925</v>
      </c>
      <c r="O337" s="49">
        <v>0</v>
      </c>
      <c r="Q337" s="5"/>
    </row>
    <row r="338" spans="1:17" ht="16.5">
      <c r="A338" s="60" t="str">
        <f>K338</f>
        <v>Evariste</v>
      </c>
      <c r="B338" s="61" t="s">
        <v>165</v>
      </c>
      <c r="C338" s="62">
        <v>7595</v>
      </c>
      <c r="D338" s="63">
        <f t="shared" si="188"/>
        <v>286000</v>
      </c>
      <c r="E338" s="63">
        <f t="shared" ref="E338" si="195">+N338</f>
        <v>284950</v>
      </c>
      <c r="F338" s="63">
        <f t="shared" si="193"/>
        <v>0</v>
      </c>
      <c r="G338" s="63">
        <f t="shared" si="189"/>
        <v>0</v>
      </c>
      <c r="H338" s="63">
        <v>8645</v>
      </c>
      <c r="I338" s="63">
        <f>+C338+D338-E338-F338+G338</f>
        <v>8645</v>
      </c>
      <c r="J338" s="9">
        <f t="shared" si="190"/>
        <v>0</v>
      </c>
      <c r="K338" s="47" t="s">
        <v>31</v>
      </c>
      <c r="L338" s="49">
        <v>286000</v>
      </c>
      <c r="M338" s="49">
        <v>0</v>
      </c>
      <c r="N338" s="49">
        <v>284950</v>
      </c>
      <c r="O338" s="49">
        <v>0</v>
      </c>
      <c r="Q338" s="5"/>
    </row>
    <row r="339" spans="1:17" ht="16.5">
      <c r="A339" s="123" t="str">
        <f t="shared" ref="A339:A346" si="196">+K339</f>
        <v>I55S</v>
      </c>
      <c r="B339" s="124" t="s">
        <v>4</v>
      </c>
      <c r="C339" s="125">
        <v>233614</v>
      </c>
      <c r="D339" s="126">
        <f t="shared" si="188"/>
        <v>0</v>
      </c>
      <c r="E339" s="126">
        <f>+N339</f>
        <v>0</v>
      </c>
      <c r="F339" s="126">
        <f t="shared" si="193"/>
        <v>0</v>
      </c>
      <c r="G339" s="126">
        <f t="shared" si="189"/>
        <v>0</v>
      </c>
      <c r="H339" s="126">
        <v>233614</v>
      </c>
      <c r="I339" s="126">
        <f>+C339+D339-E339-F339+G339</f>
        <v>233614</v>
      </c>
      <c r="J339" s="9">
        <f t="shared" si="190"/>
        <v>0</v>
      </c>
      <c r="K339" s="47" t="s">
        <v>85</v>
      </c>
      <c r="L339" s="49">
        <v>0</v>
      </c>
      <c r="M339" s="49">
        <v>0</v>
      </c>
      <c r="N339" s="49">
        <v>0</v>
      </c>
      <c r="O339" s="49">
        <v>0</v>
      </c>
      <c r="Q339" s="5"/>
    </row>
    <row r="340" spans="1:17" ht="16.5">
      <c r="A340" s="123" t="str">
        <f t="shared" si="196"/>
        <v>I73X</v>
      </c>
      <c r="B340" s="124" t="s">
        <v>4</v>
      </c>
      <c r="C340" s="125">
        <v>249769</v>
      </c>
      <c r="D340" s="126">
        <f t="shared" si="188"/>
        <v>0</v>
      </c>
      <c r="E340" s="126">
        <f>+N340</f>
        <v>0</v>
      </c>
      <c r="F340" s="126">
        <f t="shared" si="193"/>
        <v>0</v>
      </c>
      <c r="G340" s="126">
        <f t="shared" si="189"/>
        <v>0</v>
      </c>
      <c r="H340" s="126">
        <v>249769</v>
      </c>
      <c r="I340" s="126">
        <f t="shared" ref="I340:I343" si="197">+C340+D340-E340-F340+G340</f>
        <v>249769</v>
      </c>
      <c r="J340" s="9">
        <f t="shared" si="190"/>
        <v>0</v>
      </c>
      <c r="K340" s="47" t="s">
        <v>84</v>
      </c>
      <c r="L340" s="49">
        <v>0</v>
      </c>
      <c r="M340" s="49">
        <v>0</v>
      </c>
      <c r="N340" s="49">
        <v>0</v>
      </c>
      <c r="O340" s="49">
        <v>0</v>
      </c>
      <c r="Q340" s="5"/>
    </row>
    <row r="341" spans="1:17" ht="16.5">
      <c r="A341" s="60" t="str">
        <f t="shared" si="196"/>
        <v>Godfré</v>
      </c>
      <c r="B341" s="104" t="s">
        <v>164</v>
      </c>
      <c r="C341" s="62">
        <v>-6000</v>
      </c>
      <c r="D341" s="63">
        <f t="shared" si="188"/>
        <v>797000</v>
      </c>
      <c r="E341" s="179">
        <f t="shared" ref="E341:E346" si="198">+N341</f>
        <v>578885</v>
      </c>
      <c r="F341" s="63">
        <f t="shared" si="193"/>
        <v>177180</v>
      </c>
      <c r="G341" s="63">
        <f t="shared" si="189"/>
        <v>0</v>
      </c>
      <c r="H341" s="63">
        <v>34935</v>
      </c>
      <c r="I341" s="63">
        <f t="shared" si="197"/>
        <v>34935</v>
      </c>
      <c r="J341" s="9">
        <f t="shared" si="190"/>
        <v>0</v>
      </c>
      <c r="K341" s="47" t="s">
        <v>153</v>
      </c>
      <c r="L341" s="49">
        <v>797000</v>
      </c>
      <c r="M341" s="49">
        <v>177180</v>
      </c>
      <c r="N341" s="49">
        <v>578885</v>
      </c>
      <c r="O341" s="49">
        <v>0</v>
      </c>
      <c r="Q341" s="5"/>
    </row>
    <row r="342" spans="1:17" ht="16.5">
      <c r="A342" s="60" t="str">
        <f t="shared" si="196"/>
        <v>Grace</v>
      </c>
      <c r="B342" s="61" t="s">
        <v>2</v>
      </c>
      <c r="C342" s="62">
        <v>48400</v>
      </c>
      <c r="D342" s="63">
        <f t="shared" si="188"/>
        <v>847000</v>
      </c>
      <c r="E342" s="179">
        <f>+N342</f>
        <v>193200</v>
      </c>
      <c r="F342" s="63">
        <f t="shared" si="193"/>
        <v>658000</v>
      </c>
      <c r="G342" s="63">
        <f t="shared" si="189"/>
        <v>0</v>
      </c>
      <c r="H342" s="63">
        <v>44200</v>
      </c>
      <c r="I342" s="63">
        <f t="shared" si="197"/>
        <v>44200</v>
      </c>
      <c r="J342" s="9">
        <f>I342-H342</f>
        <v>0</v>
      </c>
      <c r="K342" s="47" t="s">
        <v>152</v>
      </c>
      <c r="L342" s="49">
        <v>847000</v>
      </c>
      <c r="M342" s="49">
        <v>658000</v>
      </c>
      <c r="N342" s="49">
        <v>193200</v>
      </c>
      <c r="O342" s="49">
        <v>0</v>
      </c>
      <c r="Q342" s="5"/>
    </row>
    <row r="343" spans="1:17" ht="16.5">
      <c r="A343" s="60" t="str">
        <f t="shared" si="196"/>
        <v>I23C</v>
      </c>
      <c r="B343" s="104" t="s">
        <v>4</v>
      </c>
      <c r="C343" s="62">
        <v>6800</v>
      </c>
      <c r="D343" s="63">
        <f t="shared" si="188"/>
        <v>861000</v>
      </c>
      <c r="E343" s="179">
        <f t="shared" si="198"/>
        <v>855750</v>
      </c>
      <c r="F343" s="63">
        <f t="shared" si="193"/>
        <v>0</v>
      </c>
      <c r="G343" s="63">
        <f t="shared" si="189"/>
        <v>0</v>
      </c>
      <c r="H343" s="63">
        <v>12050</v>
      </c>
      <c r="I343" s="63">
        <f t="shared" si="197"/>
        <v>12050</v>
      </c>
      <c r="J343" s="9">
        <f t="shared" ref="J343:J344" si="199">I343-H343</f>
        <v>0</v>
      </c>
      <c r="K343" s="47" t="s">
        <v>30</v>
      </c>
      <c r="L343" s="49">
        <v>861000</v>
      </c>
      <c r="M343" s="49">
        <v>0</v>
      </c>
      <c r="N343" s="49">
        <v>855750</v>
      </c>
      <c r="O343" s="49">
        <v>0</v>
      </c>
      <c r="Q343" s="5"/>
    </row>
    <row r="344" spans="1:17" ht="16.5">
      <c r="A344" s="60" t="str">
        <f t="shared" si="196"/>
        <v>Merveille</v>
      </c>
      <c r="B344" s="61" t="s">
        <v>2</v>
      </c>
      <c r="C344" s="62">
        <v>5500</v>
      </c>
      <c r="D344" s="63">
        <f t="shared" si="188"/>
        <v>0</v>
      </c>
      <c r="E344" s="179">
        <f t="shared" si="198"/>
        <v>0</v>
      </c>
      <c r="F344" s="63">
        <f t="shared" si="193"/>
        <v>0</v>
      </c>
      <c r="G344" s="63">
        <f t="shared" si="189"/>
        <v>0</v>
      </c>
      <c r="H344" s="63">
        <v>5500</v>
      </c>
      <c r="I344" s="63">
        <f>+C344+D344-E344-F344+G344</f>
        <v>5500</v>
      </c>
      <c r="J344" s="9">
        <f t="shared" si="199"/>
        <v>0</v>
      </c>
      <c r="K344" s="47" t="s">
        <v>94</v>
      </c>
      <c r="L344" s="49">
        <v>0</v>
      </c>
      <c r="M344" s="49">
        <v>0</v>
      </c>
      <c r="N344" s="49">
        <v>0</v>
      </c>
      <c r="O344" s="49"/>
      <c r="Q344" s="5"/>
    </row>
    <row r="345" spans="1:17" ht="16.5">
      <c r="A345" s="60" t="str">
        <f t="shared" si="196"/>
        <v>P29</v>
      </c>
      <c r="B345" s="61" t="s">
        <v>4</v>
      </c>
      <c r="C345" s="62">
        <v>30700</v>
      </c>
      <c r="D345" s="63">
        <f t="shared" si="188"/>
        <v>1215000</v>
      </c>
      <c r="E345" s="179">
        <f t="shared" si="198"/>
        <v>697500</v>
      </c>
      <c r="F345" s="63">
        <f>+M345</f>
        <v>490000</v>
      </c>
      <c r="G345" s="63">
        <f>+O345</f>
        <v>0</v>
      </c>
      <c r="H345" s="63">
        <v>58200</v>
      </c>
      <c r="I345" s="63">
        <f>+C345+D345-E345-F345+G345</f>
        <v>58200</v>
      </c>
      <c r="J345" s="9">
        <f>I345-H345</f>
        <v>0</v>
      </c>
      <c r="K345" s="47" t="s">
        <v>29</v>
      </c>
      <c r="L345" s="49">
        <v>1215000</v>
      </c>
      <c r="M345" s="49">
        <v>490000</v>
      </c>
      <c r="N345" s="49">
        <v>697500</v>
      </c>
      <c r="O345" s="49">
        <v>0</v>
      </c>
      <c r="Q345" s="5"/>
    </row>
    <row r="346" spans="1:17" ht="16.5">
      <c r="A346" s="60" t="str">
        <f t="shared" si="196"/>
        <v>Tiffany</v>
      </c>
      <c r="B346" s="61" t="s">
        <v>2</v>
      </c>
      <c r="C346" s="62">
        <v>9193</v>
      </c>
      <c r="D346" s="63">
        <f t="shared" si="188"/>
        <v>1100180</v>
      </c>
      <c r="E346" s="179">
        <f t="shared" si="198"/>
        <v>195700</v>
      </c>
      <c r="F346" s="63">
        <f t="shared" ref="F346" si="200">+M346</f>
        <v>650000</v>
      </c>
      <c r="G346" s="63">
        <f t="shared" ref="G346" si="201">+O346</f>
        <v>0</v>
      </c>
      <c r="H346" s="63">
        <v>263673</v>
      </c>
      <c r="I346" s="63">
        <f t="shared" ref="I346" si="202">+C346+D346-E346-F346+G346</f>
        <v>263673</v>
      </c>
      <c r="J346" s="9">
        <f t="shared" ref="J346" si="203">I346-H346</f>
        <v>0</v>
      </c>
      <c r="K346" s="47" t="s">
        <v>114</v>
      </c>
      <c r="L346" s="49">
        <v>1100180</v>
      </c>
      <c r="M346" s="49">
        <v>650000</v>
      </c>
      <c r="N346" s="49">
        <v>195700</v>
      </c>
      <c r="O346" s="49">
        <v>0</v>
      </c>
      <c r="Q346" s="5"/>
    </row>
    <row r="347" spans="1:17" ht="16.5">
      <c r="A347" s="10" t="s">
        <v>51</v>
      </c>
      <c r="B347" s="11"/>
      <c r="C347" s="12">
        <f>SUM(C332:C346)</f>
        <v>23367297</v>
      </c>
      <c r="D347" s="59">
        <f t="shared" ref="D347:G347" si="204">SUM(D332:D346)</f>
        <v>19016037</v>
      </c>
      <c r="E347" s="59">
        <f t="shared" si="204"/>
        <v>13144803</v>
      </c>
      <c r="F347" s="59">
        <f t="shared" si="204"/>
        <v>19016037</v>
      </c>
      <c r="G347" s="59">
        <f t="shared" si="204"/>
        <v>0</v>
      </c>
      <c r="H347" s="59">
        <f>SUM(H332:H346)</f>
        <v>10222494</v>
      </c>
      <c r="I347" s="59">
        <f>SUM(I332:I346)</f>
        <v>10222494</v>
      </c>
      <c r="J347" s="9">
        <f>I347-H347</f>
        <v>0</v>
      </c>
      <c r="K347" s="3"/>
      <c r="L347" s="49">
        <f>+SUM(L332:L346)</f>
        <v>19016037</v>
      </c>
      <c r="M347" s="49">
        <f t="shared" ref="M347:O347" si="205">+SUM(M332:M346)</f>
        <v>19016037</v>
      </c>
      <c r="N347" s="49">
        <f>+SUM(N332:N346)</f>
        <v>13144803</v>
      </c>
      <c r="O347" s="49">
        <f t="shared" si="205"/>
        <v>0</v>
      </c>
      <c r="Q347" s="5"/>
    </row>
    <row r="348" spans="1:17" ht="16.5">
      <c r="A348" s="10"/>
      <c r="B348" s="11"/>
      <c r="C348" s="12"/>
      <c r="D348" s="13"/>
      <c r="E348" s="12"/>
      <c r="F348" s="13"/>
      <c r="G348" s="12"/>
      <c r="H348" s="12"/>
      <c r="I348" s="143" t="b">
        <f>I347=D350</f>
        <v>1</v>
      </c>
      <c r="L348" s="5"/>
      <c r="M348" s="5"/>
      <c r="N348" s="5"/>
      <c r="O348" s="5"/>
      <c r="Q348" s="5"/>
    </row>
    <row r="349" spans="1:17" ht="16.5">
      <c r="A349" s="10" t="s">
        <v>175</v>
      </c>
      <c r="B349" s="11" t="s">
        <v>176</v>
      </c>
      <c r="C349" s="12" t="s">
        <v>177</v>
      </c>
      <c r="D349" s="12" t="s">
        <v>184</v>
      </c>
      <c r="E349" s="12" t="s">
        <v>52</v>
      </c>
      <c r="F349" s="12"/>
      <c r="G349" s="12">
        <f>+D347-F347</f>
        <v>0</v>
      </c>
      <c r="H349" s="12"/>
      <c r="I349" s="12"/>
      <c r="Q349" s="5"/>
    </row>
    <row r="350" spans="1:17" ht="16.5">
      <c r="A350" s="14">
        <f>C347</f>
        <v>23367297</v>
      </c>
      <c r="B350" s="15">
        <f>G347</f>
        <v>0</v>
      </c>
      <c r="C350" s="12">
        <f>E347</f>
        <v>13144803</v>
      </c>
      <c r="D350" s="12">
        <f>A350+B350-C350</f>
        <v>10222494</v>
      </c>
      <c r="E350" s="13">
        <f>I347-D350</f>
        <v>0</v>
      </c>
      <c r="F350" s="12"/>
      <c r="G350" s="12"/>
      <c r="H350" s="12"/>
      <c r="I350" s="12"/>
      <c r="L350" s="5"/>
      <c r="M350" s="5"/>
      <c r="N350" s="5"/>
      <c r="O350" s="5"/>
      <c r="Q350" s="5"/>
    </row>
    <row r="351" spans="1:17" ht="16.5">
      <c r="A351" s="14"/>
      <c r="B351" s="15"/>
      <c r="C351" s="12"/>
      <c r="D351" s="12"/>
      <c r="E351" s="13"/>
      <c r="F351" s="12"/>
      <c r="G351" s="12"/>
      <c r="H351" s="12"/>
      <c r="I351" s="12"/>
      <c r="L351" s="5"/>
      <c r="M351" s="5"/>
      <c r="N351" s="5"/>
      <c r="O351" s="5"/>
      <c r="Q351" s="5"/>
    </row>
    <row r="352" spans="1:17">
      <c r="A352" s="16" t="s">
        <v>53</v>
      </c>
      <c r="B352" s="16"/>
      <c r="C352" s="16"/>
      <c r="D352" s="17"/>
      <c r="E352" s="17"/>
      <c r="F352" s="17"/>
      <c r="G352" s="17"/>
      <c r="H352" s="17"/>
      <c r="I352" s="17"/>
      <c r="L352" s="5"/>
      <c r="M352" s="5"/>
      <c r="N352" s="5"/>
      <c r="O352" s="5"/>
      <c r="Q352" s="5"/>
    </row>
    <row r="353" spans="1:17">
      <c r="A353" s="18" t="s">
        <v>183</v>
      </c>
      <c r="B353" s="18"/>
      <c r="C353" s="18"/>
      <c r="D353" s="18"/>
      <c r="E353" s="18"/>
      <c r="F353" s="18"/>
      <c r="G353" s="18"/>
      <c r="H353" s="18"/>
      <c r="I353" s="18"/>
      <c r="J353" s="18"/>
      <c r="L353" s="5"/>
      <c r="M353" s="5"/>
      <c r="N353" s="5"/>
      <c r="O353" s="5"/>
      <c r="Q353" s="5"/>
    </row>
    <row r="354" spans="1:17">
      <c r="A354" s="19"/>
      <c r="B354" s="20"/>
      <c r="C354" s="21"/>
      <c r="D354" s="21"/>
      <c r="E354" s="21"/>
      <c r="F354" s="21"/>
      <c r="G354" s="21"/>
      <c r="H354" s="20"/>
      <c r="I354" s="20"/>
      <c r="L354" s="5"/>
      <c r="M354" s="5"/>
      <c r="N354" s="5"/>
      <c r="O354" s="5"/>
      <c r="Q354" s="5"/>
    </row>
    <row r="355" spans="1:17">
      <c r="A355" s="506" t="s">
        <v>54</v>
      </c>
      <c r="B355" s="508" t="s">
        <v>55</v>
      </c>
      <c r="C355" s="510" t="s">
        <v>178</v>
      </c>
      <c r="D355" s="512" t="s">
        <v>56</v>
      </c>
      <c r="E355" s="513"/>
      <c r="F355" s="513"/>
      <c r="G355" s="514"/>
      <c r="H355" s="515" t="s">
        <v>57</v>
      </c>
      <c r="I355" s="502" t="s">
        <v>58</v>
      </c>
      <c r="J355" s="20"/>
      <c r="L355" s="5"/>
      <c r="M355" s="5"/>
      <c r="N355" s="5"/>
      <c r="O355" s="5"/>
      <c r="Q355" s="5"/>
    </row>
    <row r="356" spans="1:17" ht="28.5" customHeight="1">
      <c r="A356" s="507"/>
      <c r="B356" s="509"/>
      <c r="C356" s="511"/>
      <c r="D356" s="22" t="s">
        <v>24</v>
      </c>
      <c r="E356" s="22" t="s">
        <v>25</v>
      </c>
      <c r="F356" s="204" t="s">
        <v>124</v>
      </c>
      <c r="G356" s="22" t="s">
        <v>59</v>
      </c>
      <c r="H356" s="516"/>
      <c r="I356" s="503"/>
      <c r="J356" s="504" t="s">
        <v>179</v>
      </c>
      <c r="K356" s="155"/>
      <c r="L356" s="5"/>
      <c r="M356" s="5"/>
      <c r="N356" s="5"/>
      <c r="O356" s="5"/>
      <c r="Q356" s="5"/>
    </row>
    <row r="357" spans="1:17">
      <c r="A357" s="24"/>
      <c r="B357" s="25" t="s">
        <v>60</v>
      </c>
      <c r="C357" s="26"/>
      <c r="D357" s="26"/>
      <c r="E357" s="26"/>
      <c r="F357" s="26"/>
      <c r="G357" s="26"/>
      <c r="H357" s="26"/>
      <c r="I357" s="27"/>
      <c r="J357" s="505"/>
      <c r="K357" s="155"/>
      <c r="L357" s="5"/>
      <c r="M357" s="5"/>
      <c r="N357" s="5"/>
      <c r="O357" s="5"/>
      <c r="Q357" s="5"/>
    </row>
    <row r="358" spans="1:17">
      <c r="A358" s="130" t="s">
        <v>104</v>
      </c>
      <c r="B358" s="135" t="s">
        <v>163</v>
      </c>
      <c r="C358" s="33">
        <f>+C332</f>
        <v>29107</v>
      </c>
      <c r="D358" s="32"/>
      <c r="E358" s="33">
        <f>D332</f>
        <v>1125000</v>
      </c>
      <c r="F358" s="33"/>
      <c r="G358" s="33"/>
      <c r="H358" s="57">
        <f>+F332</f>
        <v>145357</v>
      </c>
      <c r="I358" s="33">
        <f>+E332</f>
        <v>1008750</v>
      </c>
      <c r="J358" s="31">
        <f>+SUM(C358:G358)-(H358+I358)</f>
        <v>0</v>
      </c>
      <c r="K358" s="156" t="b">
        <f>J358=I332</f>
        <v>1</v>
      </c>
      <c r="L358" s="5"/>
      <c r="M358" s="5"/>
      <c r="N358" s="5"/>
      <c r="O358" s="5"/>
      <c r="Q358" s="5"/>
    </row>
    <row r="359" spans="1:17">
      <c r="A359" s="130" t="str">
        <f>A358</f>
        <v>DECEMBRE</v>
      </c>
      <c r="B359" s="135" t="s">
        <v>173</v>
      </c>
      <c r="C359" s="33">
        <f>+C333</f>
        <v>4000</v>
      </c>
      <c r="D359" s="32"/>
      <c r="E359" s="33">
        <f>+D333</f>
        <v>426000</v>
      </c>
      <c r="F359" s="33"/>
      <c r="G359" s="33"/>
      <c r="H359" s="57">
        <f>+F333</f>
        <v>0</v>
      </c>
      <c r="I359" s="33">
        <f>+E333</f>
        <v>420500</v>
      </c>
      <c r="J359" s="31">
        <f t="shared" ref="J359:J360" si="206">+SUM(C359:G359)-(H359+I359)</f>
        <v>9500</v>
      </c>
      <c r="K359" s="156" t="b">
        <f>J359=I333</f>
        <v>1</v>
      </c>
      <c r="L359" s="5"/>
      <c r="M359" s="5"/>
      <c r="N359" s="5"/>
      <c r="O359" s="5"/>
      <c r="Q359" s="5"/>
    </row>
    <row r="360" spans="1:17">
      <c r="A360" s="130" t="str">
        <f>+A359</f>
        <v>DECEMBRE</v>
      </c>
      <c r="B360" s="135" t="s">
        <v>48</v>
      </c>
      <c r="C360" s="33">
        <f>+C337</f>
        <v>-3675</v>
      </c>
      <c r="D360" s="32"/>
      <c r="E360" s="33">
        <f>+D337</f>
        <v>1778500</v>
      </c>
      <c r="F360" s="33"/>
      <c r="G360" s="33"/>
      <c r="H360" s="57">
        <f>+F337</f>
        <v>145000</v>
      </c>
      <c r="I360" s="33">
        <f>+E337</f>
        <v>1666925</v>
      </c>
      <c r="J360" s="107">
        <f t="shared" si="206"/>
        <v>-37100</v>
      </c>
      <c r="K360" s="156" t="b">
        <f>J360=I337</f>
        <v>1</v>
      </c>
      <c r="L360" s="5"/>
      <c r="M360" s="5"/>
      <c r="N360" s="5"/>
      <c r="O360" s="5"/>
      <c r="Q360" s="5"/>
    </row>
    <row r="361" spans="1:17">
      <c r="A361" s="130" t="str">
        <f t="shared" ref="A361:A369" si="207">+A360</f>
        <v>DECEMBRE</v>
      </c>
      <c r="B361" s="136" t="s">
        <v>31</v>
      </c>
      <c r="C361" s="33">
        <f>+C338</f>
        <v>7595</v>
      </c>
      <c r="D361" s="127"/>
      <c r="E361" s="33">
        <f>+D338</f>
        <v>286000</v>
      </c>
      <c r="F361" s="53"/>
      <c r="G361" s="53"/>
      <c r="H361" s="57">
        <f>+F338</f>
        <v>0</v>
      </c>
      <c r="I361" s="33">
        <f>+E338</f>
        <v>284950</v>
      </c>
      <c r="J361" s="132">
        <f>+SUM(C361:G361)-(H361+I361)</f>
        <v>8645</v>
      </c>
      <c r="K361" s="156" t="b">
        <f t="shared" ref="K361:K369" si="208">J361=I338</f>
        <v>1</v>
      </c>
      <c r="L361" s="5"/>
      <c r="M361" s="5"/>
      <c r="N361" s="5"/>
      <c r="O361" s="5"/>
      <c r="Q361" s="5"/>
    </row>
    <row r="362" spans="1:17">
      <c r="A362" s="130" t="str">
        <f t="shared" si="207"/>
        <v>DECEMBRE</v>
      </c>
      <c r="B362" s="137" t="s">
        <v>85</v>
      </c>
      <c r="C362" s="128">
        <f>+C339</f>
        <v>233614</v>
      </c>
      <c r="D362" s="131"/>
      <c r="E362" s="128">
        <f>+D339</f>
        <v>0</v>
      </c>
      <c r="F362" s="146"/>
      <c r="G362" s="146"/>
      <c r="H362" s="180">
        <f>+F339</f>
        <v>0</v>
      </c>
      <c r="I362" s="128">
        <f>+E339</f>
        <v>0</v>
      </c>
      <c r="J362" s="129">
        <f>+SUM(C362:G362)-(H362+I362)</f>
        <v>233614</v>
      </c>
      <c r="K362" s="156" t="b">
        <f t="shared" si="208"/>
        <v>1</v>
      </c>
      <c r="L362" s="5"/>
      <c r="M362" s="5"/>
      <c r="N362" s="5"/>
      <c r="O362" s="5"/>
      <c r="Q362" s="5"/>
    </row>
    <row r="363" spans="1:17">
      <c r="A363" s="130" t="str">
        <f t="shared" si="207"/>
        <v>DECEMBRE</v>
      </c>
      <c r="B363" s="137" t="s">
        <v>84</v>
      </c>
      <c r="C363" s="128">
        <f>+C340</f>
        <v>249769</v>
      </c>
      <c r="D363" s="131"/>
      <c r="E363" s="128">
        <f>+D340</f>
        <v>0</v>
      </c>
      <c r="F363" s="146"/>
      <c r="G363" s="146"/>
      <c r="H363" s="180">
        <f>+F340</f>
        <v>0</v>
      </c>
      <c r="I363" s="128">
        <f>+E340</f>
        <v>0</v>
      </c>
      <c r="J363" s="129">
        <f t="shared" ref="J363:J369" si="209">+SUM(C363:G363)-(H363+I363)</f>
        <v>249769</v>
      </c>
      <c r="K363" s="156" t="b">
        <f t="shared" si="208"/>
        <v>1</v>
      </c>
      <c r="L363" s="5"/>
      <c r="M363" s="5"/>
      <c r="N363" s="5"/>
      <c r="O363" s="5"/>
      <c r="Q363" s="5"/>
    </row>
    <row r="364" spans="1:17">
      <c r="A364" s="130" t="str">
        <f t="shared" si="207"/>
        <v>DECEMBRE</v>
      </c>
      <c r="B364" s="135" t="s">
        <v>153</v>
      </c>
      <c r="C364" s="33">
        <f>+C341</f>
        <v>-6000</v>
      </c>
      <c r="D364" s="32"/>
      <c r="E364" s="33">
        <f>+D341</f>
        <v>797000</v>
      </c>
      <c r="F364" s="33"/>
      <c r="G364" s="110"/>
      <c r="H364" s="57">
        <f>+F341</f>
        <v>177180</v>
      </c>
      <c r="I364" s="33">
        <f>+E341</f>
        <v>578885</v>
      </c>
      <c r="J364" s="31">
        <f t="shared" si="209"/>
        <v>34935</v>
      </c>
      <c r="K364" s="156" t="b">
        <f t="shared" si="208"/>
        <v>1</v>
      </c>
      <c r="L364" s="5"/>
      <c r="M364" s="5"/>
      <c r="N364" s="5"/>
      <c r="O364" s="5"/>
      <c r="Q364" s="5"/>
    </row>
    <row r="365" spans="1:17">
      <c r="A365" s="130" t="str">
        <f t="shared" si="207"/>
        <v>DECEMBRE</v>
      </c>
      <c r="B365" s="135" t="s">
        <v>152</v>
      </c>
      <c r="C365" s="33">
        <f t="shared" ref="C365:C369" si="210">+C342</f>
        <v>48400</v>
      </c>
      <c r="D365" s="32"/>
      <c r="E365" s="33">
        <f t="shared" ref="E365:E369" si="211">+D342</f>
        <v>847000</v>
      </c>
      <c r="F365" s="33"/>
      <c r="G365" s="110"/>
      <c r="H365" s="57">
        <f t="shared" ref="H365:H369" si="212">+F342</f>
        <v>658000</v>
      </c>
      <c r="I365" s="33">
        <f t="shared" ref="I365:I369" si="213">+E342</f>
        <v>193200</v>
      </c>
      <c r="J365" s="31">
        <f t="shared" si="209"/>
        <v>44200</v>
      </c>
      <c r="K365" s="156" t="b">
        <f t="shared" si="208"/>
        <v>1</v>
      </c>
      <c r="L365" s="5"/>
      <c r="M365" s="5"/>
      <c r="N365" s="5"/>
      <c r="O365" s="5"/>
      <c r="Q365" s="5"/>
    </row>
    <row r="366" spans="1:17">
      <c r="A366" s="130" t="str">
        <f t="shared" si="207"/>
        <v>DECEMBRE</v>
      </c>
      <c r="B366" s="135" t="s">
        <v>30</v>
      </c>
      <c r="C366" s="33">
        <f t="shared" si="210"/>
        <v>6800</v>
      </c>
      <c r="D366" s="32"/>
      <c r="E366" s="33">
        <f t="shared" si="211"/>
        <v>861000</v>
      </c>
      <c r="F366" s="33"/>
      <c r="G366" s="110"/>
      <c r="H366" s="57">
        <f t="shared" si="212"/>
        <v>0</v>
      </c>
      <c r="I366" s="33">
        <f t="shared" si="213"/>
        <v>855750</v>
      </c>
      <c r="J366" s="31">
        <f t="shared" si="209"/>
        <v>12050</v>
      </c>
      <c r="K366" s="156" t="b">
        <f t="shared" si="208"/>
        <v>1</v>
      </c>
      <c r="Q366" s="5"/>
    </row>
    <row r="367" spans="1:17">
      <c r="A367" s="130" t="str">
        <f>+A365</f>
        <v>DECEMBRE</v>
      </c>
      <c r="B367" s="135" t="s">
        <v>94</v>
      </c>
      <c r="C367" s="33">
        <f t="shared" si="210"/>
        <v>5500</v>
      </c>
      <c r="D367" s="32"/>
      <c r="E367" s="33">
        <f t="shared" si="211"/>
        <v>0</v>
      </c>
      <c r="F367" s="33"/>
      <c r="G367" s="110"/>
      <c r="H367" s="57">
        <f t="shared" si="212"/>
        <v>0</v>
      </c>
      <c r="I367" s="33">
        <f t="shared" si="213"/>
        <v>0</v>
      </c>
      <c r="J367" s="31">
        <f t="shared" si="209"/>
        <v>5500</v>
      </c>
      <c r="K367" s="156" t="b">
        <f t="shared" si="208"/>
        <v>1</v>
      </c>
      <c r="Q367" s="5"/>
    </row>
    <row r="368" spans="1:17">
      <c r="A368" s="130" t="str">
        <f>+A366</f>
        <v>DECEMBRE</v>
      </c>
      <c r="B368" s="135" t="s">
        <v>29</v>
      </c>
      <c r="C368" s="33">
        <f t="shared" si="210"/>
        <v>30700</v>
      </c>
      <c r="D368" s="32"/>
      <c r="E368" s="33">
        <f t="shared" si="211"/>
        <v>1215000</v>
      </c>
      <c r="F368" s="33"/>
      <c r="G368" s="110"/>
      <c r="H368" s="57">
        <f t="shared" si="212"/>
        <v>490000</v>
      </c>
      <c r="I368" s="33">
        <f t="shared" si="213"/>
        <v>697500</v>
      </c>
      <c r="J368" s="31">
        <f t="shared" si="209"/>
        <v>58200</v>
      </c>
      <c r="K368" s="156" t="b">
        <f t="shared" si="208"/>
        <v>1</v>
      </c>
      <c r="Q368" s="5"/>
    </row>
    <row r="369" spans="1:17">
      <c r="A369" s="130" t="str">
        <f t="shared" si="207"/>
        <v>DECEMBRE</v>
      </c>
      <c r="B369" s="136" t="s">
        <v>114</v>
      </c>
      <c r="C369" s="33">
        <f t="shared" si="210"/>
        <v>9193</v>
      </c>
      <c r="D369" s="127"/>
      <c r="E369" s="33">
        <f t="shared" si="211"/>
        <v>1100180</v>
      </c>
      <c r="F369" s="53"/>
      <c r="G369" s="147"/>
      <c r="H369" s="57">
        <f t="shared" si="212"/>
        <v>650000</v>
      </c>
      <c r="I369" s="33">
        <f t="shared" si="213"/>
        <v>195700</v>
      </c>
      <c r="J369" s="31">
        <f t="shared" si="209"/>
        <v>263673</v>
      </c>
      <c r="K369" s="156" t="b">
        <f t="shared" si="208"/>
        <v>1</v>
      </c>
      <c r="Q369" s="5"/>
    </row>
    <row r="370" spans="1:17">
      <c r="A370" s="35" t="s">
        <v>61</v>
      </c>
      <c r="B370" s="36"/>
      <c r="C370" s="36"/>
      <c r="D370" s="36"/>
      <c r="E370" s="36"/>
      <c r="F370" s="36"/>
      <c r="G370" s="36"/>
      <c r="H370" s="36"/>
      <c r="I370" s="36"/>
      <c r="J370" s="37"/>
      <c r="K370" s="155"/>
      <c r="Q370" s="5"/>
    </row>
    <row r="371" spans="1:17">
      <c r="A371" s="130" t="str">
        <f>+A369</f>
        <v>DECEMBRE</v>
      </c>
      <c r="B371" s="38" t="s">
        <v>62</v>
      </c>
      <c r="C371" s="39">
        <f>+C336</f>
        <v>926369</v>
      </c>
      <c r="D371" s="51"/>
      <c r="E371" s="51">
        <f>D336</f>
        <v>10580357</v>
      </c>
      <c r="F371" s="51"/>
      <c r="G371" s="133"/>
      <c r="H371" s="53">
        <f>+F336</f>
        <v>6750500</v>
      </c>
      <c r="I371" s="134">
        <f>+E336</f>
        <v>3713706</v>
      </c>
      <c r="J371" s="46">
        <f>+SUM(C371:G371)-(H371+I371)</f>
        <v>1042520</v>
      </c>
      <c r="K371" s="156" t="b">
        <f>J371=I336</f>
        <v>1</v>
      </c>
      <c r="Q371" s="5"/>
    </row>
    <row r="372" spans="1:17">
      <c r="A372" s="44" t="s">
        <v>63</v>
      </c>
      <c r="B372" s="25"/>
      <c r="C372" s="36"/>
      <c r="D372" s="25"/>
      <c r="E372" s="25"/>
      <c r="F372" s="25"/>
      <c r="G372" s="25"/>
      <c r="H372" s="25"/>
      <c r="I372" s="25"/>
      <c r="J372" s="37"/>
      <c r="K372" s="155"/>
      <c r="Q372" s="5"/>
    </row>
    <row r="373" spans="1:17">
      <c r="A373" s="130" t="str">
        <f>+A371</f>
        <v>DECEMBRE</v>
      </c>
      <c r="B373" s="38" t="s">
        <v>167</v>
      </c>
      <c r="C373" s="133">
        <f>+C334</f>
        <v>5738718</v>
      </c>
      <c r="D373" s="140">
        <f>+G334</f>
        <v>0</v>
      </c>
      <c r="E373" s="51"/>
      <c r="F373" s="51"/>
      <c r="G373" s="51"/>
      <c r="H373" s="53">
        <f>+F334</f>
        <v>2000000</v>
      </c>
      <c r="I373" s="55">
        <f>+E334</f>
        <v>283345</v>
      </c>
      <c r="J373" s="46">
        <f>+SUM(C373:G373)-(H373+I373)</f>
        <v>3455373</v>
      </c>
      <c r="K373" s="156" t="b">
        <f>+J373=I334</f>
        <v>1</v>
      </c>
      <c r="Q373" s="5"/>
    </row>
    <row r="374" spans="1:17">
      <c r="A374" s="130" t="str">
        <f t="shared" ref="A374" si="214">+A373</f>
        <v>DECEMBRE</v>
      </c>
      <c r="B374" s="38" t="s">
        <v>65</v>
      </c>
      <c r="C374" s="133">
        <f>+C335</f>
        <v>16087207</v>
      </c>
      <c r="D374" s="51">
        <f>+G335</f>
        <v>0</v>
      </c>
      <c r="E374" s="50"/>
      <c r="F374" s="50"/>
      <c r="G374" s="50"/>
      <c r="H374" s="33">
        <f>+F335</f>
        <v>8000000</v>
      </c>
      <c r="I374" s="52">
        <f>+E335</f>
        <v>3245592</v>
      </c>
      <c r="J374" s="46">
        <f>SUM(C374:G374)-(H374+I374)</f>
        <v>4841615</v>
      </c>
      <c r="K374" s="156" t="b">
        <f>+J374=I335</f>
        <v>1</v>
      </c>
      <c r="Q374" s="5"/>
    </row>
    <row r="375" spans="1:17" ht="15.75">
      <c r="C375" s="151">
        <f>SUM(C359:C374)</f>
        <v>23338190</v>
      </c>
      <c r="I375" s="149">
        <f>SUM(I359:I374)</f>
        <v>12136053</v>
      </c>
      <c r="J375" s="111">
        <f>+SUM(J358:J374)</f>
        <v>10222494</v>
      </c>
      <c r="K375" s="5" t="b">
        <f>J375=I347</f>
        <v>1</v>
      </c>
      <c r="Q375" s="5"/>
    </row>
    <row r="376" spans="1:17">
      <c r="G376" s="9"/>
      <c r="Q376" s="5"/>
    </row>
    <row r="377" spans="1:17">
      <c r="A377" s="217"/>
      <c r="B377" s="217"/>
      <c r="C377" s="217"/>
      <c r="D377" s="217"/>
      <c r="E377" s="217"/>
      <c r="F377" s="217"/>
      <c r="G377" s="217"/>
      <c r="H377" s="217"/>
      <c r="I377" s="217"/>
      <c r="J377" s="217"/>
      <c r="K377" s="217"/>
      <c r="L377" s="221"/>
      <c r="M377" s="221"/>
      <c r="N377" s="221"/>
      <c r="O377" s="221"/>
      <c r="P377" s="217"/>
      <c r="Q377" s="5"/>
    </row>
    <row r="378" spans="1:17">
      <c r="A378" s="4">
        <v>44530</v>
      </c>
      <c r="Q378" s="5"/>
    </row>
    <row r="379" spans="1:17" ht="15.75">
      <c r="A379" s="6" t="s">
        <v>37</v>
      </c>
      <c r="B379" s="6" t="s">
        <v>1</v>
      </c>
      <c r="C379" s="6">
        <v>44501</v>
      </c>
      <c r="D379" s="7" t="s">
        <v>38</v>
      </c>
      <c r="E379" s="7" t="s">
        <v>39</v>
      </c>
      <c r="F379" s="7" t="s">
        <v>40</v>
      </c>
      <c r="G379" s="7" t="s">
        <v>41</v>
      </c>
      <c r="H379" s="6">
        <v>44530</v>
      </c>
      <c r="I379" s="7" t="s">
        <v>42</v>
      </c>
      <c r="K379" s="47"/>
      <c r="L379" s="47" t="s">
        <v>43</v>
      </c>
      <c r="M379" s="47" t="s">
        <v>44</v>
      </c>
      <c r="N379" s="47" t="s">
        <v>45</v>
      </c>
      <c r="O379" s="47" t="s">
        <v>46</v>
      </c>
      <c r="Q379" s="5"/>
    </row>
    <row r="380" spans="1:17" s="185" customFormat="1" ht="16.5">
      <c r="A380" s="60" t="str">
        <f>+K380</f>
        <v>Axel</v>
      </c>
      <c r="B380" s="187" t="s">
        <v>164</v>
      </c>
      <c r="C380" s="62">
        <v>6757</v>
      </c>
      <c r="D380" s="63">
        <f t="shared" ref="D380:D393" si="215">+L380</f>
        <v>337000</v>
      </c>
      <c r="E380" s="63">
        <f>+N380</f>
        <v>314650</v>
      </c>
      <c r="F380" s="63">
        <f>+M380</f>
        <v>0</v>
      </c>
      <c r="G380" s="63">
        <f t="shared" ref="G380:G382" si="216">+O380</f>
        <v>0</v>
      </c>
      <c r="H380" s="63">
        <v>29107</v>
      </c>
      <c r="I380" s="63">
        <f>+C380+D380-E380-F380+G380</f>
        <v>29107</v>
      </c>
      <c r="J380" s="9">
        <f>I380-H380</f>
        <v>0</v>
      </c>
      <c r="K380" s="186" t="s">
        <v>163</v>
      </c>
      <c r="L380" s="186">
        <v>337000</v>
      </c>
      <c r="M380" s="186">
        <v>0</v>
      </c>
      <c r="N380" s="186">
        <v>314650</v>
      </c>
      <c r="O380" s="186">
        <v>0</v>
      </c>
    </row>
    <row r="381" spans="1:17" ht="16.5">
      <c r="A381" s="60" t="str">
        <f>+K381</f>
        <v>B52</v>
      </c>
      <c r="B381" s="61" t="s">
        <v>4</v>
      </c>
      <c r="C381" s="62">
        <v>0</v>
      </c>
      <c r="D381" s="63">
        <f t="shared" si="215"/>
        <v>118000</v>
      </c>
      <c r="E381" s="63">
        <f>+N381</f>
        <v>114000</v>
      </c>
      <c r="F381" s="63">
        <f>+M381</f>
        <v>0</v>
      </c>
      <c r="G381" s="63">
        <f t="shared" si="216"/>
        <v>0</v>
      </c>
      <c r="H381" s="63">
        <v>4000</v>
      </c>
      <c r="I381" s="63">
        <f>+C381+D381-E381-F381+G381</f>
        <v>4000</v>
      </c>
      <c r="J381" s="9">
        <f>I381-H381</f>
        <v>0</v>
      </c>
      <c r="K381" s="47" t="s">
        <v>173</v>
      </c>
      <c r="L381" s="49">
        <v>118000</v>
      </c>
      <c r="M381" s="49">
        <v>0</v>
      </c>
      <c r="N381" s="49">
        <v>114000</v>
      </c>
      <c r="O381" s="49">
        <v>0</v>
      </c>
      <c r="Q381" s="5"/>
    </row>
    <row r="382" spans="1:17" ht="16.5">
      <c r="A382" s="60" t="str">
        <f>+K382</f>
        <v>BCI</v>
      </c>
      <c r="B382" s="61" t="s">
        <v>47</v>
      </c>
      <c r="C382" s="62">
        <v>6762063</v>
      </c>
      <c r="D382" s="63">
        <f t="shared" si="215"/>
        <v>0</v>
      </c>
      <c r="E382" s="63">
        <f>+N382</f>
        <v>23345</v>
      </c>
      <c r="F382" s="63">
        <f>+M382</f>
        <v>1000000</v>
      </c>
      <c r="G382" s="63">
        <f t="shared" si="216"/>
        <v>0</v>
      </c>
      <c r="H382" s="63">
        <v>5738718</v>
      </c>
      <c r="I382" s="63">
        <f>+C382+D382-E382-F382+G382</f>
        <v>5738718</v>
      </c>
      <c r="J382" s="9">
        <f t="shared" ref="J382:J389" si="217">I382-H382</f>
        <v>0</v>
      </c>
      <c r="K382" s="47" t="s">
        <v>24</v>
      </c>
      <c r="L382" s="49">
        <v>0</v>
      </c>
      <c r="M382" s="49">
        <v>1000000</v>
      </c>
      <c r="N382" s="49">
        <v>23345</v>
      </c>
      <c r="O382" s="49">
        <v>0</v>
      </c>
      <c r="Q382" s="5"/>
    </row>
    <row r="383" spans="1:17" ht="16.5">
      <c r="A383" s="60" t="str">
        <f t="shared" ref="A383:A385" si="218">+K383</f>
        <v>BCI-Sous Compte</v>
      </c>
      <c r="B383" s="61" t="s">
        <v>47</v>
      </c>
      <c r="C383" s="62">
        <v>23107840</v>
      </c>
      <c r="D383" s="63">
        <f t="shared" si="215"/>
        <v>0</v>
      </c>
      <c r="E383" s="63">
        <f>+N383</f>
        <v>4020633</v>
      </c>
      <c r="F383" s="63">
        <f>+M383</f>
        <v>3000000</v>
      </c>
      <c r="G383" s="63">
        <f t="shared" ref="G383:G394" si="219">+O383</f>
        <v>0</v>
      </c>
      <c r="H383" s="63">
        <v>16087207</v>
      </c>
      <c r="I383" s="63">
        <f>+C383+D383-E383-F383+G383</f>
        <v>16087207</v>
      </c>
      <c r="J383" s="108">
        <f t="shared" si="217"/>
        <v>0</v>
      </c>
      <c r="K383" s="47" t="s">
        <v>158</v>
      </c>
      <c r="L383" s="49">
        <v>0</v>
      </c>
      <c r="M383" s="49">
        <v>3000000</v>
      </c>
      <c r="N383" s="49">
        <v>4020633</v>
      </c>
      <c r="O383" s="49">
        <v>0</v>
      </c>
      <c r="Q383" s="5"/>
    </row>
    <row r="384" spans="1:17" ht="16.5">
      <c r="A384" s="60" t="str">
        <f t="shared" si="218"/>
        <v>Caisse</v>
      </c>
      <c r="B384" s="61" t="s">
        <v>25</v>
      </c>
      <c r="C384" s="62">
        <v>1685107</v>
      </c>
      <c r="D384" s="63">
        <f t="shared" si="215"/>
        <v>4090000</v>
      </c>
      <c r="E384" s="63">
        <f t="shared" ref="E384" si="220">+N384</f>
        <v>2854238</v>
      </c>
      <c r="F384" s="63">
        <f t="shared" ref="F384:F391" si="221">+M384</f>
        <v>1994500</v>
      </c>
      <c r="G384" s="63">
        <f t="shared" si="219"/>
        <v>0</v>
      </c>
      <c r="H384" s="63">
        <v>926369</v>
      </c>
      <c r="I384" s="63">
        <f>+C384+D384-E384-F384+G384</f>
        <v>926369</v>
      </c>
      <c r="J384" s="9">
        <f t="shared" si="217"/>
        <v>0</v>
      </c>
      <c r="K384" s="47" t="s">
        <v>25</v>
      </c>
      <c r="L384" s="49">
        <v>4090000</v>
      </c>
      <c r="M384" s="49">
        <v>1994500</v>
      </c>
      <c r="N384" s="49">
        <v>2854238</v>
      </c>
      <c r="O384" s="49">
        <v>0</v>
      </c>
      <c r="Q384" s="5"/>
    </row>
    <row r="385" spans="1:17" ht="16.5">
      <c r="A385" s="60" t="str">
        <f t="shared" si="218"/>
        <v>Crépin</v>
      </c>
      <c r="B385" s="61" t="s">
        <v>164</v>
      </c>
      <c r="C385" s="62">
        <v>7200</v>
      </c>
      <c r="D385" s="63">
        <f t="shared" si="215"/>
        <v>286000</v>
      </c>
      <c r="E385" s="63">
        <f>+N385</f>
        <v>226875</v>
      </c>
      <c r="F385" s="63">
        <f t="shared" si="221"/>
        <v>70000</v>
      </c>
      <c r="G385" s="63">
        <f t="shared" si="219"/>
        <v>0</v>
      </c>
      <c r="H385" s="63">
        <v>-3675</v>
      </c>
      <c r="I385" s="63">
        <f t="shared" ref="I385" si="222">+C385+D385-E385-F385+G385</f>
        <v>-3675</v>
      </c>
      <c r="J385" s="9">
        <f t="shared" si="217"/>
        <v>0</v>
      </c>
      <c r="K385" s="47" t="s">
        <v>48</v>
      </c>
      <c r="L385" s="49">
        <v>286000</v>
      </c>
      <c r="M385" s="49">
        <v>70000</v>
      </c>
      <c r="N385" s="49">
        <v>226875</v>
      </c>
      <c r="O385" s="49">
        <v>0</v>
      </c>
      <c r="Q385" s="5"/>
    </row>
    <row r="386" spans="1:17" ht="16.5">
      <c r="A386" s="60" t="str">
        <f>K386</f>
        <v>Evariste</v>
      </c>
      <c r="B386" s="61" t="s">
        <v>165</v>
      </c>
      <c r="C386" s="62">
        <v>10095</v>
      </c>
      <c r="D386" s="63">
        <f t="shared" si="215"/>
        <v>70500</v>
      </c>
      <c r="E386" s="63">
        <f t="shared" ref="E386" si="223">+N386</f>
        <v>73000</v>
      </c>
      <c r="F386" s="63">
        <f t="shared" si="221"/>
        <v>0</v>
      </c>
      <c r="G386" s="63">
        <f t="shared" si="219"/>
        <v>0</v>
      </c>
      <c r="H386" s="63">
        <v>7595</v>
      </c>
      <c r="I386" s="63">
        <f>+C386+D386-E386-F386+G386</f>
        <v>7595</v>
      </c>
      <c r="J386" s="9">
        <f t="shared" si="217"/>
        <v>0</v>
      </c>
      <c r="K386" s="47" t="s">
        <v>31</v>
      </c>
      <c r="L386" s="49">
        <v>70500</v>
      </c>
      <c r="M386" s="49">
        <v>0</v>
      </c>
      <c r="N386" s="49">
        <v>73000</v>
      </c>
      <c r="O386" s="49">
        <v>0</v>
      </c>
      <c r="Q386" s="5"/>
    </row>
    <row r="387" spans="1:17" ht="16.5">
      <c r="A387" s="123" t="str">
        <f t="shared" ref="A387:A394" si="224">+K387</f>
        <v>I55S</v>
      </c>
      <c r="B387" s="124" t="s">
        <v>4</v>
      </c>
      <c r="C387" s="125">
        <v>233614</v>
      </c>
      <c r="D387" s="126">
        <f t="shared" si="215"/>
        <v>0</v>
      </c>
      <c r="E387" s="126">
        <f>+N387</f>
        <v>0</v>
      </c>
      <c r="F387" s="126">
        <f t="shared" si="221"/>
        <v>0</v>
      </c>
      <c r="G387" s="126">
        <f t="shared" si="219"/>
        <v>0</v>
      </c>
      <c r="H387" s="126">
        <v>233614</v>
      </c>
      <c r="I387" s="126">
        <f>+C387+D387-E387-F387+G387</f>
        <v>233614</v>
      </c>
      <c r="J387" s="9">
        <f t="shared" si="217"/>
        <v>0</v>
      </c>
      <c r="K387" s="47" t="s">
        <v>85</v>
      </c>
      <c r="L387" s="49">
        <v>0</v>
      </c>
      <c r="M387" s="49">
        <v>0</v>
      </c>
      <c r="N387" s="49">
        <v>0</v>
      </c>
      <c r="O387" s="49">
        <v>0</v>
      </c>
      <c r="Q387" s="5"/>
    </row>
    <row r="388" spans="1:17" ht="16.5">
      <c r="A388" s="123" t="str">
        <f t="shared" si="224"/>
        <v>I73X</v>
      </c>
      <c r="B388" s="124" t="s">
        <v>4</v>
      </c>
      <c r="C388" s="125">
        <v>249769</v>
      </c>
      <c r="D388" s="126">
        <f t="shared" si="215"/>
        <v>0</v>
      </c>
      <c r="E388" s="126">
        <f>+N388</f>
        <v>0</v>
      </c>
      <c r="F388" s="126">
        <f t="shared" si="221"/>
        <v>0</v>
      </c>
      <c r="G388" s="126">
        <f t="shared" si="219"/>
        <v>0</v>
      </c>
      <c r="H388" s="126">
        <v>249769</v>
      </c>
      <c r="I388" s="126">
        <f t="shared" ref="I388:I391" si="225">+C388+D388-E388-F388+G388</f>
        <v>249769</v>
      </c>
      <c r="J388" s="9">
        <f t="shared" si="217"/>
        <v>0</v>
      </c>
      <c r="K388" s="47" t="s">
        <v>84</v>
      </c>
      <c r="L388" s="49">
        <v>0</v>
      </c>
      <c r="M388" s="49">
        <v>0</v>
      </c>
      <c r="N388" s="49">
        <v>0</v>
      </c>
      <c r="O388" s="49">
        <v>0</v>
      </c>
      <c r="Q388" s="5"/>
    </row>
    <row r="389" spans="1:17" ht="16.5">
      <c r="A389" s="60" t="str">
        <f t="shared" si="224"/>
        <v>Godfré</v>
      </c>
      <c r="B389" s="104" t="s">
        <v>164</v>
      </c>
      <c r="C389" s="62">
        <v>3550</v>
      </c>
      <c r="D389" s="63">
        <f t="shared" si="215"/>
        <v>43000</v>
      </c>
      <c r="E389" s="179">
        <f t="shared" ref="E389:E394" si="226">+N389</f>
        <v>52550</v>
      </c>
      <c r="F389" s="63">
        <f t="shared" si="221"/>
        <v>0</v>
      </c>
      <c r="G389" s="63">
        <f t="shared" si="219"/>
        <v>0</v>
      </c>
      <c r="H389" s="63">
        <v>-6000</v>
      </c>
      <c r="I389" s="63">
        <f t="shared" si="225"/>
        <v>-6000</v>
      </c>
      <c r="J389" s="9">
        <f t="shared" si="217"/>
        <v>0</v>
      </c>
      <c r="K389" s="47" t="s">
        <v>153</v>
      </c>
      <c r="L389" s="49">
        <v>43000</v>
      </c>
      <c r="M389" s="49">
        <v>0</v>
      </c>
      <c r="N389" s="49">
        <v>52550</v>
      </c>
      <c r="O389" s="49">
        <v>0</v>
      </c>
      <c r="Q389" s="5"/>
    </row>
    <row r="390" spans="1:17" ht="16.5">
      <c r="A390" s="60" t="str">
        <f t="shared" si="224"/>
        <v>Grace</v>
      </c>
      <c r="B390" s="61" t="s">
        <v>2</v>
      </c>
      <c r="C390" s="62">
        <v>61300</v>
      </c>
      <c r="D390" s="63">
        <f t="shared" si="215"/>
        <v>53000</v>
      </c>
      <c r="E390" s="179">
        <f t="shared" si="226"/>
        <v>45900</v>
      </c>
      <c r="F390" s="63">
        <f t="shared" si="221"/>
        <v>20000</v>
      </c>
      <c r="G390" s="63">
        <f t="shared" si="219"/>
        <v>0</v>
      </c>
      <c r="H390" s="63">
        <v>48400</v>
      </c>
      <c r="I390" s="63">
        <f t="shared" si="225"/>
        <v>48400</v>
      </c>
      <c r="J390" s="9">
        <f>I390-H390</f>
        <v>0</v>
      </c>
      <c r="K390" s="47" t="s">
        <v>152</v>
      </c>
      <c r="L390" s="49">
        <v>53000</v>
      </c>
      <c r="M390" s="49">
        <v>20000</v>
      </c>
      <c r="N390" s="49">
        <v>45900</v>
      </c>
      <c r="O390" s="49">
        <v>0</v>
      </c>
      <c r="Q390" s="5"/>
    </row>
    <row r="391" spans="1:17" ht="16.5">
      <c r="A391" s="60" t="str">
        <f t="shared" si="224"/>
        <v>I23C</v>
      </c>
      <c r="B391" s="104" t="s">
        <v>4</v>
      </c>
      <c r="C391" s="62">
        <v>10800</v>
      </c>
      <c r="D391" s="63">
        <f t="shared" si="215"/>
        <v>488000</v>
      </c>
      <c r="E391" s="179">
        <f t="shared" si="226"/>
        <v>492000</v>
      </c>
      <c r="F391" s="63">
        <f t="shared" si="221"/>
        <v>0</v>
      </c>
      <c r="G391" s="63">
        <f t="shared" si="219"/>
        <v>0</v>
      </c>
      <c r="H391" s="63">
        <v>6800</v>
      </c>
      <c r="I391" s="63">
        <f t="shared" si="225"/>
        <v>6800</v>
      </c>
      <c r="J391" s="9">
        <f t="shared" ref="J391" si="227">I391-H391</f>
        <v>0</v>
      </c>
      <c r="K391" s="47" t="s">
        <v>30</v>
      </c>
      <c r="L391" s="49">
        <v>488000</v>
      </c>
      <c r="M391" s="49">
        <v>0</v>
      </c>
      <c r="N391" s="49">
        <v>492000</v>
      </c>
      <c r="O391" s="49">
        <v>0</v>
      </c>
      <c r="Q391" s="5"/>
    </row>
    <row r="392" spans="1:17" ht="16.5">
      <c r="A392" s="60" t="str">
        <f t="shared" si="224"/>
        <v>Merveille</v>
      </c>
      <c r="B392" s="61" t="s">
        <v>2</v>
      </c>
      <c r="C392" s="62">
        <v>9500</v>
      </c>
      <c r="D392" s="63">
        <f t="shared" si="215"/>
        <v>20000</v>
      </c>
      <c r="E392" s="179">
        <f t="shared" si="226"/>
        <v>24000</v>
      </c>
      <c r="F392" s="63">
        <f t="shared" ref="F392" si="228">+M392</f>
        <v>0</v>
      </c>
      <c r="G392" s="63">
        <f t="shared" ref="G392" si="229">+O392</f>
        <v>0</v>
      </c>
      <c r="H392" s="63">
        <v>5500</v>
      </c>
      <c r="I392" s="63">
        <f t="shared" ref="I392" si="230">+C392+D392-E392-F392+G392</f>
        <v>5500</v>
      </c>
      <c r="J392" s="9">
        <f t="shared" ref="J392" si="231">I392-H392</f>
        <v>0</v>
      </c>
      <c r="K392" s="47" t="s">
        <v>94</v>
      </c>
      <c r="L392" s="49">
        <v>20000</v>
      </c>
      <c r="M392" s="49">
        <v>0</v>
      </c>
      <c r="N392" s="49">
        <v>24000</v>
      </c>
      <c r="O392" s="49"/>
      <c r="Q392" s="5"/>
    </row>
    <row r="393" spans="1:17" ht="16.5">
      <c r="A393" s="60" t="str">
        <f t="shared" si="224"/>
        <v>P29</v>
      </c>
      <c r="B393" s="61" t="s">
        <v>4</v>
      </c>
      <c r="C393" s="62">
        <v>21200</v>
      </c>
      <c r="D393" s="63">
        <f t="shared" si="215"/>
        <v>543000</v>
      </c>
      <c r="E393" s="179">
        <f t="shared" si="226"/>
        <v>533500</v>
      </c>
      <c r="F393" s="63">
        <f>+M393</f>
        <v>0</v>
      </c>
      <c r="G393" s="63">
        <f>+O393</f>
        <v>0</v>
      </c>
      <c r="H393" s="63">
        <v>30700</v>
      </c>
      <c r="I393" s="63">
        <f>+C393+D393-E393-F393+G393</f>
        <v>30700</v>
      </c>
      <c r="J393" s="9">
        <f>I393-H393</f>
        <v>0</v>
      </c>
      <c r="K393" s="47" t="s">
        <v>29</v>
      </c>
      <c r="L393" s="49">
        <v>543000</v>
      </c>
      <c r="M393" s="49">
        <v>0</v>
      </c>
      <c r="N393" s="49">
        <v>533500</v>
      </c>
      <c r="O393" s="49">
        <v>0</v>
      </c>
      <c r="Q393" s="5"/>
    </row>
    <row r="394" spans="1:17" ht="16.5">
      <c r="A394" s="60" t="str">
        <f t="shared" si="224"/>
        <v>Tiffany</v>
      </c>
      <c r="B394" s="61" t="s">
        <v>2</v>
      </c>
      <c r="C394" s="62">
        <v>26193</v>
      </c>
      <c r="D394" s="63">
        <f t="shared" ref="D394" si="232">+L394</f>
        <v>36000</v>
      </c>
      <c r="E394" s="179">
        <f t="shared" si="226"/>
        <v>53000</v>
      </c>
      <c r="F394" s="63">
        <f t="shared" ref="F394" si="233">+M394</f>
        <v>0</v>
      </c>
      <c r="G394" s="63">
        <f t="shared" si="219"/>
        <v>0</v>
      </c>
      <c r="H394" s="63">
        <v>9193</v>
      </c>
      <c r="I394" s="63">
        <f t="shared" ref="I394" si="234">+C394+D394-E394-F394+G394</f>
        <v>9193</v>
      </c>
      <c r="J394" s="9">
        <f t="shared" ref="J394" si="235">I394-H394</f>
        <v>0</v>
      </c>
      <c r="K394" s="47" t="s">
        <v>114</v>
      </c>
      <c r="L394" s="49">
        <v>36000</v>
      </c>
      <c r="M394" s="49">
        <v>0</v>
      </c>
      <c r="N394" s="49">
        <v>53000</v>
      </c>
      <c r="O394" s="49">
        <v>0</v>
      </c>
      <c r="Q394" s="5"/>
    </row>
    <row r="395" spans="1:17" ht="16.5">
      <c r="A395" s="10" t="s">
        <v>51</v>
      </c>
      <c r="B395" s="11"/>
      <c r="C395" s="12">
        <f>SUM(C380:C394)</f>
        <v>32194988</v>
      </c>
      <c r="D395" s="59">
        <f t="shared" ref="D395:G395" si="236">SUM(D380:D394)</f>
        <v>6084500</v>
      </c>
      <c r="E395" s="59">
        <f t="shared" si="236"/>
        <v>8827691</v>
      </c>
      <c r="F395" s="59">
        <f t="shared" si="236"/>
        <v>6084500</v>
      </c>
      <c r="G395" s="59">
        <f t="shared" si="236"/>
        <v>0</v>
      </c>
      <c r="H395" s="59">
        <f>SUM(H380:H394)</f>
        <v>23367297</v>
      </c>
      <c r="I395" s="59">
        <f>SUM(I380:I394)</f>
        <v>23367297</v>
      </c>
      <c r="J395" s="9">
        <f>I395-H395</f>
        <v>0</v>
      </c>
      <c r="K395" s="3"/>
      <c r="L395" s="49">
        <v>6084500</v>
      </c>
      <c r="M395" s="49">
        <v>6084500</v>
      </c>
      <c r="N395" s="49">
        <v>8828291</v>
      </c>
      <c r="O395" s="49">
        <v>0</v>
      </c>
      <c r="Q395" s="5"/>
    </row>
    <row r="396" spans="1:17" ht="16.5">
      <c r="A396" s="10"/>
      <c r="B396" s="11"/>
      <c r="C396" s="12"/>
      <c r="D396" s="13"/>
      <c r="E396" s="12"/>
      <c r="F396" s="13"/>
      <c r="G396" s="12"/>
      <c r="H396" s="12"/>
      <c r="I396" s="143" t="b">
        <f>I395=D398</f>
        <v>1</v>
      </c>
      <c r="L396" s="5"/>
      <c r="M396" s="5"/>
      <c r="N396" s="5"/>
      <c r="O396" s="5"/>
      <c r="Q396" s="5"/>
    </row>
    <row r="397" spans="1:17" ht="16.5">
      <c r="A397" s="10" t="s">
        <v>169</v>
      </c>
      <c r="B397" s="11" t="s">
        <v>171</v>
      </c>
      <c r="C397" s="12" t="s">
        <v>174</v>
      </c>
      <c r="D397" s="12" t="s">
        <v>168</v>
      </c>
      <c r="E397" s="12" t="s">
        <v>52</v>
      </c>
      <c r="F397" s="12"/>
      <c r="G397" s="12">
        <f>+D395-F395</f>
        <v>0</v>
      </c>
      <c r="H397" s="12"/>
      <c r="I397" s="12"/>
      <c r="Q397" s="5"/>
    </row>
    <row r="398" spans="1:17" ht="16.5">
      <c r="A398" s="14">
        <f>C395</f>
        <v>32194988</v>
      </c>
      <c r="B398" s="15">
        <f>G395</f>
        <v>0</v>
      </c>
      <c r="C398" s="12">
        <f>E395</f>
        <v>8827691</v>
      </c>
      <c r="D398" s="12">
        <f>A398+B398-C398</f>
        <v>23367297</v>
      </c>
      <c r="E398" s="13">
        <f>I395-D398</f>
        <v>0</v>
      </c>
      <c r="F398" s="12"/>
      <c r="G398" s="12"/>
      <c r="H398" s="12"/>
      <c r="I398" s="12"/>
      <c r="L398" s="5"/>
      <c r="M398" s="5"/>
      <c r="N398" s="5"/>
      <c r="O398" s="5"/>
      <c r="Q398" s="5"/>
    </row>
    <row r="399" spans="1:17" ht="16.5">
      <c r="A399" s="14"/>
      <c r="B399" s="15"/>
      <c r="C399" s="12"/>
      <c r="D399" s="12"/>
      <c r="E399" s="13"/>
      <c r="F399" s="12"/>
      <c r="G399" s="12"/>
      <c r="H399" s="12"/>
      <c r="I399" s="12"/>
      <c r="L399" s="5"/>
      <c r="M399" s="5"/>
      <c r="N399" s="5"/>
      <c r="O399" s="5"/>
      <c r="Q399" s="5"/>
    </row>
    <row r="400" spans="1:17">
      <c r="A400" s="16" t="s">
        <v>53</v>
      </c>
      <c r="B400" s="16"/>
      <c r="C400" s="16"/>
      <c r="D400" s="17"/>
      <c r="E400" s="17"/>
      <c r="F400" s="17"/>
      <c r="G400" s="17"/>
      <c r="H400" s="17"/>
      <c r="I400" s="17"/>
      <c r="L400" s="5"/>
      <c r="M400" s="5"/>
      <c r="N400" s="5"/>
      <c r="O400" s="5"/>
      <c r="Q400" s="5"/>
    </row>
    <row r="401" spans="1:17">
      <c r="A401" s="18" t="s">
        <v>170</v>
      </c>
      <c r="B401" s="18"/>
      <c r="C401" s="18"/>
      <c r="D401" s="18"/>
      <c r="E401" s="18"/>
      <c r="F401" s="18"/>
      <c r="G401" s="18"/>
      <c r="H401" s="18"/>
      <c r="I401" s="18"/>
      <c r="J401" s="18"/>
      <c r="L401" s="5"/>
      <c r="M401" s="5"/>
      <c r="N401" s="5"/>
      <c r="O401" s="5"/>
      <c r="Q401" s="5"/>
    </row>
    <row r="402" spans="1:17">
      <c r="A402" s="19"/>
      <c r="B402" s="20"/>
      <c r="C402" s="21"/>
      <c r="D402" s="21"/>
      <c r="E402" s="21"/>
      <c r="F402" s="21"/>
      <c r="G402" s="21"/>
      <c r="H402" s="20"/>
      <c r="I402" s="20"/>
      <c r="L402" s="5"/>
      <c r="M402" s="5"/>
      <c r="N402" s="5"/>
      <c r="O402" s="5"/>
      <c r="Q402" s="5"/>
    </row>
    <row r="403" spans="1:17">
      <c r="A403" s="506" t="s">
        <v>54</v>
      </c>
      <c r="B403" s="508" t="s">
        <v>55</v>
      </c>
      <c r="C403" s="510" t="s">
        <v>172</v>
      </c>
      <c r="D403" s="512" t="s">
        <v>56</v>
      </c>
      <c r="E403" s="513"/>
      <c r="F403" s="513"/>
      <c r="G403" s="514"/>
      <c r="H403" s="515" t="s">
        <v>57</v>
      </c>
      <c r="I403" s="502" t="s">
        <v>58</v>
      </c>
      <c r="J403" s="20"/>
      <c r="L403" s="5"/>
      <c r="M403" s="5"/>
      <c r="N403" s="5"/>
      <c r="O403" s="5"/>
      <c r="Q403" s="5"/>
    </row>
    <row r="404" spans="1:17" ht="28.5" customHeight="1">
      <c r="A404" s="507"/>
      <c r="B404" s="509"/>
      <c r="C404" s="511"/>
      <c r="D404" s="22" t="s">
        <v>24</v>
      </c>
      <c r="E404" s="22" t="s">
        <v>25</v>
      </c>
      <c r="F404" s="188" t="s">
        <v>124</v>
      </c>
      <c r="G404" s="22" t="s">
        <v>59</v>
      </c>
      <c r="H404" s="516"/>
      <c r="I404" s="503"/>
      <c r="J404" s="504" t="s">
        <v>180</v>
      </c>
      <c r="K404" s="155"/>
      <c r="L404" s="5"/>
      <c r="M404" s="5"/>
      <c r="N404" s="5"/>
      <c r="O404" s="5"/>
      <c r="Q404" s="5"/>
    </row>
    <row r="405" spans="1:17">
      <c r="A405" s="24"/>
      <c r="B405" s="25" t="s">
        <v>60</v>
      </c>
      <c r="C405" s="26"/>
      <c r="D405" s="26"/>
      <c r="E405" s="26"/>
      <c r="F405" s="26"/>
      <c r="G405" s="26"/>
      <c r="H405" s="26"/>
      <c r="I405" s="27"/>
      <c r="J405" s="505"/>
      <c r="K405" s="155"/>
      <c r="L405" s="5"/>
      <c r="M405" s="5"/>
      <c r="N405" s="5"/>
      <c r="O405" s="5"/>
      <c r="Q405" s="5"/>
    </row>
    <row r="406" spans="1:17">
      <c r="A406" s="130" t="s">
        <v>99</v>
      </c>
      <c r="B406" s="135" t="s">
        <v>163</v>
      </c>
      <c r="C406" s="33">
        <f>+C380</f>
        <v>6757</v>
      </c>
      <c r="D406" s="32"/>
      <c r="E406" s="33">
        <f>D380</f>
        <v>337000</v>
      </c>
      <c r="F406" s="33"/>
      <c r="G406" s="33"/>
      <c r="H406" s="57">
        <f>+F380</f>
        <v>0</v>
      </c>
      <c r="I406" s="33">
        <f>+E380</f>
        <v>314650</v>
      </c>
      <c r="J406" s="31">
        <f>+SUM(C406:G406)-(H406+I406)</f>
        <v>29107</v>
      </c>
      <c r="K406" s="156" t="b">
        <f>J406=I380</f>
        <v>1</v>
      </c>
      <c r="L406" s="5"/>
      <c r="M406" s="5"/>
      <c r="N406" s="5"/>
      <c r="O406" s="5"/>
      <c r="Q406" s="5"/>
    </row>
    <row r="407" spans="1:17">
      <c r="A407" s="130" t="str">
        <f>A406</f>
        <v>NOVEMBRE</v>
      </c>
      <c r="B407" s="135" t="s">
        <v>173</v>
      </c>
      <c r="C407" s="33">
        <f>+C381</f>
        <v>0</v>
      </c>
      <c r="D407" s="32"/>
      <c r="E407" s="33">
        <f>+D381</f>
        <v>118000</v>
      </c>
      <c r="F407" s="33"/>
      <c r="G407" s="33"/>
      <c r="H407" s="57">
        <f>+F381</f>
        <v>0</v>
      </c>
      <c r="I407" s="33">
        <f>+E381</f>
        <v>114000</v>
      </c>
      <c r="J407" s="31">
        <f t="shared" ref="J407:J408" si="237">+SUM(C407:G407)-(H407+I407)</f>
        <v>4000</v>
      </c>
      <c r="K407" s="156" t="b">
        <f>J407=I381</f>
        <v>1</v>
      </c>
      <c r="L407" s="5"/>
      <c r="M407" s="5"/>
      <c r="N407" s="5"/>
      <c r="O407" s="5"/>
      <c r="Q407" s="5"/>
    </row>
    <row r="408" spans="1:17">
      <c r="A408" s="130" t="str">
        <f>+A407</f>
        <v>NOVEMBRE</v>
      </c>
      <c r="B408" s="135" t="s">
        <v>48</v>
      </c>
      <c r="C408" s="33">
        <f>+C385</f>
        <v>7200</v>
      </c>
      <c r="D408" s="32"/>
      <c r="E408" s="33">
        <f>+D385</f>
        <v>286000</v>
      </c>
      <c r="F408" s="33"/>
      <c r="G408" s="33"/>
      <c r="H408" s="57">
        <f>+F385</f>
        <v>70000</v>
      </c>
      <c r="I408" s="33">
        <f>+E385</f>
        <v>226875</v>
      </c>
      <c r="J408" s="107">
        <f t="shared" si="237"/>
        <v>-3675</v>
      </c>
      <c r="K408" s="156" t="b">
        <f>J408=I385</f>
        <v>1</v>
      </c>
      <c r="L408" s="5"/>
      <c r="M408" s="5"/>
      <c r="N408" s="5"/>
      <c r="O408" s="5"/>
      <c r="Q408" s="5"/>
    </row>
    <row r="409" spans="1:17">
      <c r="A409" s="130" t="str">
        <f t="shared" ref="A409:A417" si="238">+A408</f>
        <v>NOVEMBRE</v>
      </c>
      <c r="B409" s="136" t="s">
        <v>31</v>
      </c>
      <c r="C409" s="33">
        <f>+C386</f>
        <v>10095</v>
      </c>
      <c r="D409" s="127"/>
      <c r="E409" s="33">
        <f>+D386</f>
        <v>70500</v>
      </c>
      <c r="F409" s="53"/>
      <c r="G409" s="53"/>
      <c r="H409" s="57">
        <f>+F386</f>
        <v>0</v>
      </c>
      <c r="I409" s="33">
        <f>+E386</f>
        <v>73000</v>
      </c>
      <c r="J409" s="132">
        <f>+SUM(C409:G409)-(H409+I409)</f>
        <v>7595</v>
      </c>
      <c r="K409" s="156" t="b">
        <f t="shared" ref="K409:K417" si="239">J409=I386</f>
        <v>1</v>
      </c>
      <c r="L409" s="5"/>
      <c r="M409" s="5"/>
      <c r="N409" s="5"/>
      <c r="O409" s="5"/>
      <c r="Q409" s="5"/>
    </row>
    <row r="410" spans="1:17">
      <c r="A410" s="130" t="str">
        <f t="shared" si="238"/>
        <v>NOVEMBRE</v>
      </c>
      <c r="B410" s="137" t="s">
        <v>85</v>
      </c>
      <c r="C410" s="128">
        <f>+C387</f>
        <v>233614</v>
      </c>
      <c r="D410" s="131"/>
      <c r="E410" s="128">
        <f>+D387</f>
        <v>0</v>
      </c>
      <c r="F410" s="146"/>
      <c r="G410" s="146"/>
      <c r="H410" s="180">
        <f>+F387</f>
        <v>0</v>
      </c>
      <c r="I410" s="128">
        <f>+E387</f>
        <v>0</v>
      </c>
      <c r="J410" s="129">
        <f>+SUM(C410:G410)-(H410+I410)</f>
        <v>233614</v>
      </c>
      <c r="K410" s="156" t="b">
        <f t="shared" si="239"/>
        <v>1</v>
      </c>
      <c r="L410" s="5"/>
      <c r="M410" s="5"/>
      <c r="N410" s="5"/>
      <c r="O410" s="5"/>
      <c r="Q410" s="5"/>
    </row>
    <row r="411" spans="1:17">
      <c r="A411" s="130" t="str">
        <f t="shared" si="238"/>
        <v>NOVEMBRE</v>
      </c>
      <c r="B411" s="137" t="s">
        <v>84</v>
      </c>
      <c r="C411" s="128">
        <f>+C388</f>
        <v>249769</v>
      </c>
      <c r="D411" s="131"/>
      <c r="E411" s="128">
        <f>+D388</f>
        <v>0</v>
      </c>
      <c r="F411" s="146"/>
      <c r="G411" s="146"/>
      <c r="H411" s="180">
        <f>+F388</f>
        <v>0</v>
      </c>
      <c r="I411" s="128">
        <f>+E388</f>
        <v>0</v>
      </c>
      <c r="J411" s="129">
        <f t="shared" ref="J411:J417" si="240">+SUM(C411:G411)-(H411+I411)</f>
        <v>249769</v>
      </c>
      <c r="K411" s="156" t="b">
        <f t="shared" si="239"/>
        <v>1</v>
      </c>
      <c r="L411" s="5"/>
      <c r="M411" s="5"/>
      <c r="N411" s="5"/>
      <c r="O411" s="5"/>
      <c r="Q411" s="5"/>
    </row>
    <row r="412" spans="1:17">
      <c r="A412" s="130" t="str">
        <f t="shared" si="238"/>
        <v>NOVEMBRE</v>
      </c>
      <c r="B412" s="135" t="s">
        <v>153</v>
      </c>
      <c r="C412" s="33">
        <f>+C389</f>
        <v>3550</v>
      </c>
      <c r="D412" s="32"/>
      <c r="E412" s="33">
        <f>+D389</f>
        <v>43000</v>
      </c>
      <c r="F412" s="33"/>
      <c r="G412" s="110"/>
      <c r="H412" s="57">
        <f>+F389</f>
        <v>0</v>
      </c>
      <c r="I412" s="33">
        <f>+E389</f>
        <v>52550</v>
      </c>
      <c r="J412" s="31">
        <f t="shared" si="240"/>
        <v>-6000</v>
      </c>
      <c r="K412" s="156" t="b">
        <f t="shared" si="239"/>
        <v>1</v>
      </c>
      <c r="L412" s="5"/>
      <c r="M412" s="5"/>
      <c r="N412" s="5"/>
      <c r="O412" s="5"/>
      <c r="Q412" s="5"/>
    </row>
    <row r="413" spans="1:17">
      <c r="A413" s="130" t="str">
        <f t="shared" si="238"/>
        <v>NOVEMBRE</v>
      </c>
      <c r="B413" s="135" t="s">
        <v>152</v>
      </c>
      <c r="C413" s="33">
        <f t="shared" ref="C413:C417" si="241">+C390</f>
        <v>61300</v>
      </c>
      <c r="D413" s="32"/>
      <c r="E413" s="33">
        <f t="shared" ref="E413:E417" si="242">+D390</f>
        <v>53000</v>
      </c>
      <c r="F413" s="33"/>
      <c r="G413" s="110"/>
      <c r="H413" s="57">
        <f t="shared" ref="H413:H417" si="243">+F390</f>
        <v>20000</v>
      </c>
      <c r="I413" s="33">
        <f t="shared" ref="I413:I417" si="244">+E390</f>
        <v>45900</v>
      </c>
      <c r="J413" s="31">
        <f t="shared" si="240"/>
        <v>48400</v>
      </c>
      <c r="K413" s="156" t="b">
        <f t="shared" si="239"/>
        <v>1</v>
      </c>
      <c r="L413" s="5"/>
      <c r="M413" s="5"/>
      <c r="N413" s="5"/>
      <c r="O413" s="5"/>
      <c r="Q413" s="5"/>
    </row>
    <row r="414" spans="1:17">
      <c r="A414" s="130" t="str">
        <f t="shared" si="238"/>
        <v>NOVEMBRE</v>
      </c>
      <c r="B414" s="135" t="s">
        <v>30</v>
      </c>
      <c r="C414" s="33">
        <f t="shared" si="241"/>
        <v>10800</v>
      </c>
      <c r="D414" s="32"/>
      <c r="E414" s="33">
        <f t="shared" si="242"/>
        <v>488000</v>
      </c>
      <c r="F414" s="33"/>
      <c r="G414" s="110"/>
      <c r="H414" s="57">
        <f t="shared" si="243"/>
        <v>0</v>
      </c>
      <c r="I414" s="33">
        <f t="shared" si="244"/>
        <v>492000</v>
      </c>
      <c r="J414" s="31">
        <f t="shared" si="240"/>
        <v>6800</v>
      </c>
      <c r="K414" s="156" t="b">
        <f t="shared" si="239"/>
        <v>1</v>
      </c>
      <c r="L414" s="5"/>
      <c r="M414" s="5"/>
      <c r="N414" s="5"/>
      <c r="O414" s="5"/>
      <c r="Q414" s="5"/>
    </row>
    <row r="415" spans="1:17">
      <c r="A415" s="130" t="str">
        <f>+A413</f>
        <v>NOVEMBRE</v>
      </c>
      <c r="B415" s="135" t="s">
        <v>94</v>
      </c>
      <c r="C415" s="33">
        <f t="shared" si="241"/>
        <v>9500</v>
      </c>
      <c r="D415" s="32"/>
      <c r="E415" s="33">
        <f t="shared" si="242"/>
        <v>20000</v>
      </c>
      <c r="F415" s="33"/>
      <c r="G415" s="110"/>
      <c r="H415" s="57">
        <f t="shared" si="243"/>
        <v>0</v>
      </c>
      <c r="I415" s="33">
        <f t="shared" si="244"/>
        <v>24000</v>
      </c>
      <c r="J415" s="31">
        <f t="shared" si="240"/>
        <v>5500</v>
      </c>
      <c r="K415" s="156" t="b">
        <f t="shared" si="239"/>
        <v>1</v>
      </c>
      <c r="L415" s="5"/>
      <c r="M415" s="5"/>
      <c r="N415" s="5"/>
      <c r="O415" s="5"/>
      <c r="Q415" s="5"/>
    </row>
    <row r="416" spans="1:17">
      <c r="A416" s="130" t="str">
        <f>+A414</f>
        <v>NOVEMBRE</v>
      </c>
      <c r="B416" s="135" t="s">
        <v>29</v>
      </c>
      <c r="C416" s="33">
        <f t="shared" si="241"/>
        <v>21200</v>
      </c>
      <c r="D416" s="32"/>
      <c r="E416" s="33">
        <f t="shared" si="242"/>
        <v>543000</v>
      </c>
      <c r="F416" s="33"/>
      <c r="G416" s="110"/>
      <c r="H416" s="57">
        <f t="shared" si="243"/>
        <v>0</v>
      </c>
      <c r="I416" s="33">
        <f t="shared" si="244"/>
        <v>533500</v>
      </c>
      <c r="J416" s="31">
        <f t="shared" si="240"/>
        <v>30700</v>
      </c>
      <c r="K416" s="156" t="b">
        <f t="shared" si="239"/>
        <v>1</v>
      </c>
      <c r="L416" s="5"/>
      <c r="M416" s="5"/>
      <c r="N416" s="5"/>
      <c r="O416" s="5"/>
      <c r="Q416" s="5"/>
    </row>
    <row r="417" spans="1:17">
      <c r="A417" s="130" t="str">
        <f t="shared" si="238"/>
        <v>NOVEMBRE</v>
      </c>
      <c r="B417" s="136" t="s">
        <v>114</v>
      </c>
      <c r="C417" s="33">
        <f t="shared" si="241"/>
        <v>26193</v>
      </c>
      <c r="D417" s="127"/>
      <c r="E417" s="33">
        <f t="shared" si="242"/>
        <v>36000</v>
      </c>
      <c r="F417" s="53"/>
      <c r="G417" s="147"/>
      <c r="H417" s="57">
        <f t="shared" si="243"/>
        <v>0</v>
      </c>
      <c r="I417" s="33">
        <f t="shared" si="244"/>
        <v>53000</v>
      </c>
      <c r="J417" s="31">
        <f t="shared" si="240"/>
        <v>9193</v>
      </c>
      <c r="K417" s="156" t="b">
        <f t="shared" si="239"/>
        <v>1</v>
      </c>
      <c r="L417" s="5"/>
      <c r="M417" s="5"/>
      <c r="N417" s="5"/>
      <c r="O417" s="5"/>
      <c r="Q417" s="5"/>
    </row>
    <row r="418" spans="1:17">
      <c r="A418" s="35" t="s">
        <v>61</v>
      </c>
      <c r="B418" s="36"/>
      <c r="C418" s="36"/>
      <c r="D418" s="36"/>
      <c r="E418" s="36"/>
      <c r="F418" s="36"/>
      <c r="G418" s="36"/>
      <c r="H418" s="36"/>
      <c r="I418" s="36"/>
      <c r="J418" s="37"/>
      <c r="K418" s="155"/>
      <c r="L418" s="5"/>
      <c r="M418" s="5"/>
      <c r="N418" s="5"/>
      <c r="O418" s="5"/>
      <c r="Q418" s="5"/>
    </row>
    <row r="419" spans="1:17">
      <c r="A419" s="130" t="str">
        <f>+A417</f>
        <v>NOVEMBRE</v>
      </c>
      <c r="B419" s="38" t="s">
        <v>62</v>
      </c>
      <c r="C419" s="39">
        <f>+C384</f>
        <v>1685107</v>
      </c>
      <c r="D419" s="51"/>
      <c r="E419" s="51">
        <f>D384</f>
        <v>4090000</v>
      </c>
      <c r="F419" s="51"/>
      <c r="G419" s="133"/>
      <c r="H419" s="53">
        <f>+F384</f>
        <v>1994500</v>
      </c>
      <c r="I419" s="134">
        <f>+E384</f>
        <v>2854238</v>
      </c>
      <c r="J419" s="46">
        <f>+SUM(C419:G419)-(H419+I419)</f>
        <v>926369</v>
      </c>
      <c r="K419" s="156" t="b">
        <f>J419=I384</f>
        <v>1</v>
      </c>
      <c r="L419" s="5"/>
      <c r="M419" s="5"/>
      <c r="N419" s="5"/>
      <c r="O419" s="5"/>
      <c r="Q419" s="5"/>
    </row>
    <row r="420" spans="1:17">
      <c r="A420" s="44" t="s">
        <v>63</v>
      </c>
      <c r="B420" s="25"/>
      <c r="C420" s="36"/>
      <c r="D420" s="25"/>
      <c r="E420" s="25"/>
      <c r="F420" s="25"/>
      <c r="G420" s="25"/>
      <c r="H420" s="25"/>
      <c r="I420" s="25"/>
      <c r="J420" s="37"/>
      <c r="K420" s="155"/>
      <c r="L420" s="5"/>
      <c r="M420" s="5"/>
      <c r="N420" s="5"/>
      <c r="O420" s="5"/>
      <c r="Q420" s="5"/>
    </row>
    <row r="421" spans="1:17">
      <c r="A421" s="130" t="str">
        <f>+A419</f>
        <v>NOVEMBRE</v>
      </c>
      <c r="B421" s="38" t="s">
        <v>167</v>
      </c>
      <c r="C421" s="133">
        <f>+C382</f>
        <v>6762063</v>
      </c>
      <c r="D421" s="140">
        <f>+G382</f>
        <v>0</v>
      </c>
      <c r="E421" s="51"/>
      <c r="F421" s="51"/>
      <c r="G421" s="51"/>
      <c r="H421" s="53">
        <f>+F382</f>
        <v>1000000</v>
      </c>
      <c r="I421" s="55">
        <f>+E382</f>
        <v>23345</v>
      </c>
      <c r="J421" s="46">
        <f>+SUM(C421:G421)-(H421+I421)</f>
        <v>5738718</v>
      </c>
      <c r="K421" s="156" t="b">
        <f>+J421=I382</f>
        <v>1</v>
      </c>
      <c r="L421" s="5"/>
      <c r="M421" s="5"/>
      <c r="N421" s="5"/>
      <c r="O421" s="5"/>
      <c r="Q421" s="5"/>
    </row>
    <row r="422" spans="1:17">
      <c r="A422" s="130" t="str">
        <f t="shared" ref="A422" si="245">+A421</f>
        <v>NOVEMBRE</v>
      </c>
      <c r="B422" s="38" t="s">
        <v>65</v>
      </c>
      <c r="C422" s="133">
        <f>+C383</f>
        <v>23107840</v>
      </c>
      <c r="D422" s="51">
        <f>+G383</f>
        <v>0</v>
      </c>
      <c r="E422" s="50"/>
      <c r="F422" s="50"/>
      <c r="G422" s="50"/>
      <c r="H422" s="33">
        <f>+F383</f>
        <v>3000000</v>
      </c>
      <c r="I422" s="52">
        <f>+E383</f>
        <v>4020633</v>
      </c>
      <c r="J422" s="46">
        <f>SUM(C422:G422)-(H422+I422)</f>
        <v>16087207</v>
      </c>
      <c r="K422" s="156" t="b">
        <f>+J422=I383</f>
        <v>1</v>
      </c>
      <c r="L422" s="5"/>
      <c r="M422" s="5"/>
      <c r="N422" s="5"/>
      <c r="O422" s="5"/>
      <c r="Q422" s="5"/>
    </row>
    <row r="423" spans="1:17" ht="15.75">
      <c r="C423" s="151">
        <f>SUM(C407:C422)</f>
        <v>32188231</v>
      </c>
      <c r="I423" s="149">
        <f>SUM(I407:I422)</f>
        <v>8513041</v>
      </c>
      <c r="J423" s="111">
        <f>+SUM(J406:J422)</f>
        <v>23367297</v>
      </c>
      <c r="K423" s="5" t="b">
        <f>J423=I395</f>
        <v>1</v>
      </c>
      <c r="L423" s="5"/>
      <c r="M423" s="5"/>
      <c r="N423" s="5"/>
      <c r="O423" s="5"/>
      <c r="Q423" s="5"/>
    </row>
    <row r="424" spans="1:17">
      <c r="G424" s="9"/>
      <c r="L424" s="5"/>
      <c r="M424" s="5"/>
      <c r="N424" s="5"/>
      <c r="O424" s="5"/>
      <c r="Q424" s="5"/>
    </row>
    <row r="425" spans="1:17">
      <c r="A425" s="16" t="s">
        <v>53</v>
      </c>
      <c r="B425" s="16"/>
      <c r="C425" s="16"/>
      <c r="D425" s="17"/>
      <c r="E425" s="17"/>
      <c r="F425" s="17"/>
      <c r="G425" s="17"/>
      <c r="H425" s="17"/>
      <c r="I425" s="17"/>
      <c r="L425" s="5"/>
      <c r="M425" s="5"/>
      <c r="N425" s="5"/>
      <c r="O425" s="5"/>
      <c r="Q425" s="5"/>
    </row>
    <row r="426" spans="1:17">
      <c r="A426" s="18" t="s">
        <v>162</v>
      </c>
      <c r="B426" s="18"/>
      <c r="C426" s="18"/>
      <c r="D426" s="18"/>
      <c r="E426" s="18"/>
      <c r="F426" s="18"/>
      <c r="G426" s="18"/>
      <c r="H426" s="18"/>
      <c r="I426" s="18"/>
      <c r="J426" s="18"/>
      <c r="L426" s="5"/>
      <c r="M426" s="5"/>
      <c r="N426" s="5"/>
      <c r="O426" s="5"/>
      <c r="Q426" s="5"/>
    </row>
    <row r="427" spans="1:17">
      <c r="A427" s="19"/>
      <c r="B427" s="20"/>
      <c r="C427" s="21"/>
      <c r="D427" s="21"/>
      <c r="E427" s="21"/>
      <c r="F427" s="21"/>
      <c r="G427" s="21"/>
      <c r="H427" s="20"/>
      <c r="I427" s="20"/>
      <c r="L427" s="5"/>
      <c r="M427" s="5"/>
      <c r="N427" s="5"/>
      <c r="O427" s="5"/>
      <c r="Q427" s="5"/>
    </row>
    <row r="428" spans="1:17">
      <c r="A428" s="506" t="s">
        <v>54</v>
      </c>
      <c r="B428" s="508" t="s">
        <v>55</v>
      </c>
      <c r="C428" s="510" t="s">
        <v>159</v>
      </c>
      <c r="D428" s="512" t="s">
        <v>56</v>
      </c>
      <c r="E428" s="513"/>
      <c r="F428" s="513"/>
      <c r="G428" s="514"/>
      <c r="H428" s="515" t="s">
        <v>57</v>
      </c>
      <c r="I428" s="502" t="s">
        <v>58</v>
      </c>
      <c r="J428" s="20"/>
      <c r="L428" s="5"/>
      <c r="M428" s="5"/>
      <c r="N428" s="5"/>
      <c r="O428" s="5"/>
      <c r="Q428" s="5"/>
    </row>
    <row r="429" spans="1:17">
      <c r="A429" s="507"/>
      <c r="B429" s="509"/>
      <c r="C429" s="511"/>
      <c r="D429" s="22" t="s">
        <v>24</v>
      </c>
      <c r="E429" s="22" t="s">
        <v>25</v>
      </c>
      <c r="F429" s="182" t="s">
        <v>124</v>
      </c>
      <c r="G429" s="22" t="s">
        <v>59</v>
      </c>
      <c r="H429" s="516"/>
      <c r="I429" s="503"/>
      <c r="J429" s="504" t="s">
        <v>160</v>
      </c>
      <c r="K429" s="155"/>
      <c r="L429" s="5"/>
      <c r="M429" s="5"/>
      <c r="N429" s="5"/>
      <c r="O429" s="5"/>
      <c r="Q429" s="5"/>
    </row>
    <row r="430" spans="1:17">
      <c r="A430" s="24"/>
      <c r="B430" s="25" t="s">
        <v>60</v>
      </c>
      <c r="C430" s="26"/>
      <c r="D430" s="26"/>
      <c r="E430" s="26"/>
      <c r="F430" s="26"/>
      <c r="G430" s="26"/>
      <c r="H430" s="26"/>
      <c r="I430" s="27"/>
      <c r="J430" s="505"/>
      <c r="K430" s="155"/>
      <c r="L430" s="5"/>
      <c r="M430" s="5"/>
      <c r="N430" s="5"/>
      <c r="O430" s="5"/>
      <c r="Q430" s="5"/>
    </row>
    <row r="431" spans="1:17">
      <c r="A431" s="130" t="s">
        <v>91</v>
      </c>
      <c r="B431" s="135" t="s">
        <v>163</v>
      </c>
      <c r="C431" s="33">
        <f>+C380</f>
        <v>6757</v>
      </c>
      <c r="D431" s="32"/>
      <c r="E431" s="33">
        <f>+D380</f>
        <v>337000</v>
      </c>
      <c r="F431" s="33"/>
      <c r="G431" s="33"/>
      <c r="H431" s="57">
        <f>+F380</f>
        <v>0</v>
      </c>
      <c r="I431" s="33">
        <f>+E380</f>
        <v>314650</v>
      </c>
      <c r="J431" s="31">
        <f>+SUM(C431:G431)-(H431+I431)</f>
        <v>29107</v>
      </c>
      <c r="K431" s="156" t="b">
        <f>J431=I380</f>
        <v>1</v>
      </c>
      <c r="L431" s="5"/>
      <c r="M431" s="5"/>
      <c r="N431" s="5"/>
      <c r="O431" s="5"/>
      <c r="Q431" s="5"/>
    </row>
    <row r="432" spans="1:17">
      <c r="A432" s="130" t="s">
        <v>91</v>
      </c>
      <c r="B432" s="135" t="s">
        <v>48</v>
      </c>
      <c r="C432" s="33">
        <f t="shared" ref="C432:C441" si="246">C384</f>
        <v>1685107</v>
      </c>
      <c r="D432" s="32"/>
      <c r="E432" s="33">
        <f>+D384</f>
        <v>4090000</v>
      </c>
      <c r="F432" s="33"/>
      <c r="G432" s="33"/>
      <c r="H432" s="57">
        <f t="shared" ref="H432:H441" si="247">+F384</f>
        <v>1994500</v>
      </c>
      <c r="I432" s="33">
        <f t="shared" ref="I432:I441" si="248">+E384</f>
        <v>2854238</v>
      </c>
      <c r="J432" s="31">
        <f t="shared" ref="J432:J433" si="249">+SUM(C432:G432)-(H432+I432)</f>
        <v>926369</v>
      </c>
      <c r="K432" s="156" t="b">
        <f t="shared" ref="K432:K442" si="250">J432=I384</f>
        <v>1</v>
      </c>
      <c r="L432" s="5"/>
      <c r="M432" s="5"/>
      <c r="N432" s="5"/>
      <c r="O432" s="5"/>
      <c r="Q432" s="5"/>
    </row>
    <row r="433" spans="1:17">
      <c r="A433" s="130" t="str">
        <f>+A432</f>
        <v>OCTOBRE</v>
      </c>
      <c r="B433" s="135" t="s">
        <v>31</v>
      </c>
      <c r="C433" s="33">
        <f t="shared" si="246"/>
        <v>7200</v>
      </c>
      <c r="D433" s="32"/>
      <c r="E433" s="33">
        <f>+D385</f>
        <v>286000</v>
      </c>
      <c r="F433" s="33"/>
      <c r="G433" s="33"/>
      <c r="H433" s="57">
        <f t="shared" si="247"/>
        <v>70000</v>
      </c>
      <c r="I433" s="33">
        <f t="shared" si="248"/>
        <v>226875</v>
      </c>
      <c r="J433" s="107">
        <f t="shared" si="249"/>
        <v>-3675</v>
      </c>
      <c r="K433" s="156" t="b">
        <f t="shared" si="250"/>
        <v>1</v>
      </c>
      <c r="L433" s="5"/>
      <c r="M433" s="5"/>
      <c r="N433" s="5"/>
      <c r="O433" s="5"/>
      <c r="Q433" s="5"/>
    </row>
    <row r="434" spans="1:17">
      <c r="A434" s="130" t="str">
        <f t="shared" ref="A434:A442" si="251">+A433</f>
        <v>OCTOBRE</v>
      </c>
      <c r="B434" s="136" t="s">
        <v>153</v>
      </c>
      <c r="C434" s="33">
        <f t="shared" si="246"/>
        <v>10095</v>
      </c>
      <c r="D434" s="127"/>
      <c r="E434" s="33">
        <f>D386</f>
        <v>70500</v>
      </c>
      <c r="F434" s="53"/>
      <c r="G434" s="53"/>
      <c r="H434" s="57">
        <f t="shared" si="247"/>
        <v>0</v>
      </c>
      <c r="I434" s="33">
        <f t="shared" si="248"/>
        <v>73000</v>
      </c>
      <c r="J434" s="132">
        <f>+SUM(C434:G434)-(H434+I434)</f>
        <v>7595</v>
      </c>
      <c r="K434" s="156" t="b">
        <f t="shared" si="250"/>
        <v>1</v>
      </c>
      <c r="L434" s="5"/>
      <c r="M434" s="5"/>
      <c r="N434" s="5"/>
      <c r="O434" s="5"/>
      <c r="Q434" s="5"/>
    </row>
    <row r="435" spans="1:17">
      <c r="A435" s="130" t="str">
        <f t="shared" si="251"/>
        <v>OCTOBRE</v>
      </c>
      <c r="B435" s="137" t="s">
        <v>85</v>
      </c>
      <c r="C435" s="128">
        <f t="shared" si="246"/>
        <v>233614</v>
      </c>
      <c r="D435" s="131"/>
      <c r="E435" s="128">
        <f t="shared" ref="E435:E439" si="252">+D387</f>
        <v>0</v>
      </c>
      <c r="F435" s="146"/>
      <c r="G435" s="146"/>
      <c r="H435" s="180">
        <f t="shared" si="247"/>
        <v>0</v>
      </c>
      <c r="I435" s="128">
        <f t="shared" si="248"/>
        <v>0</v>
      </c>
      <c r="J435" s="129">
        <f>+SUM(C435:G435)-(H435+I435)</f>
        <v>233614</v>
      </c>
      <c r="K435" s="156" t="b">
        <f t="shared" si="250"/>
        <v>1</v>
      </c>
      <c r="L435" s="5"/>
      <c r="M435" s="5"/>
      <c r="N435" s="5"/>
      <c r="O435" s="5"/>
      <c r="Q435" s="5"/>
    </row>
    <row r="436" spans="1:17">
      <c r="A436" s="130" t="str">
        <f t="shared" si="251"/>
        <v>OCTOBRE</v>
      </c>
      <c r="B436" s="137" t="s">
        <v>84</v>
      </c>
      <c r="C436" s="128">
        <f t="shared" si="246"/>
        <v>249769</v>
      </c>
      <c r="D436" s="131"/>
      <c r="E436" s="128">
        <f t="shared" si="252"/>
        <v>0</v>
      </c>
      <c r="F436" s="146"/>
      <c r="G436" s="146"/>
      <c r="H436" s="180">
        <f t="shared" si="247"/>
        <v>0</v>
      </c>
      <c r="I436" s="128">
        <f t="shared" si="248"/>
        <v>0</v>
      </c>
      <c r="J436" s="129">
        <f t="shared" ref="J436:J442" si="253">+SUM(C436:G436)-(H436+I436)</f>
        <v>249769</v>
      </c>
      <c r="K436" s="156" t="b">
        <f t="shared" si="250"/>
        <v>1</v>
      </c>
      <c r="L436" s="5"/>
      <c r="M436" s="5"/>
      <c r="N436" s="5"/>
      <c r="O436" s="5"/>
      <c r="Q436" s="5"/>
    </row>
    <row r="437" spans="1:17">
      <c r="A437" s="130" t="str">
        <f t="shared" si="251"/>
        <v>OCTOBRE</v>
      </c>
      <c r="B437" s="135" t="s">
        <v>152</v>
      </c>
      <c r="C437" s="33">
        <f t="shared" si="246"/>
        <v>3550</v>
      </c>
      <c r="D437" s="32"/>
      <c r="E437" s="33">
        <f t="shared" si="252"/>
        <v>43000</v>
      </c>
      <c r="F437" s="33"/>
      <c r="G437" s="110"/>
      <c r="H437" s="57">
        <f t="shared" si="247"/>
        <v>0</v>
      </c>
      <c r="I437" s="33">
        <f t="shared" si="248"/>
        <v>52550</v>
      </c>
      <c r="J437" s="31">
        <f t="shared" si="253"/>
        <v>-6000</v>
      </c>
      <c r="K437" s="156" t="b">
        <f t="shared" si="250"/>
        <v>1</v>
      </c>
      <c r="L437" s="5"/>
      <c r="M437" s="5"/>
      <c r="N437" s="5"/>
      <c r="O437" s="5"/>
      <c r="Q437" s="5"/>
    </row>
    <row r="438" spans="1:17">
      <c r="A438" s="130" t="str">
        <f t="shared" si="251"/>
        <v>OCTOBRE</v>
      </c>
      <c r="B438" s="135" t="s">
        <v>30</v>
      </c>
      <c r="C438" s="33">
        <f t="shared" si="246"/>
        <v>61300</v>
      </c>
      <c r="D438" s="32"/>
      <c r="E438" s="33">
        <f t="shared" si="252"/>
        <v>53000</v>
      </c>
      <c r="F438" s="33"/>
      <c r="G438" s="110"/>
      <c r="H438" s="57">
        <f t="shared" si="247"/>
        <v>20000</v>
      </c>
      <c r="I438" s="33">
        <f t="shared" si="248"/>
        <v>45900</v>
      </c>
      <c r="J438" s="31">
        <f t="shared" si="253"/>
        <v>48400</v>
      </c>
      <c r="K438" s="156" t="b">
        <f t="shared" si="250"/>
        <v>1</v>
      </c>
      <c r="L438" s="5"/>
      <c r="M438" s="5"/>
      <c r="N438" s="5"/>
      <c r="O438" s="5"/>
      <c r="Q438" s="5"/>
    </row>
    <row r="439" spans="1:17">
      <c r="A439" s="130" t="str">
        <f t="shared" si="251"/>
        <v>OCTOBRE</v>
      </c>
      <c r="B439" s="135" t="s">
        <v>94</v>
      </c>
      <c r="C439" s="33">
        <f t="shared" si="246"/>
        <v>10800</v>
      </c>
      <c r="D439" s="32"/>
      <c r="E439" s="33">
        <f t="shared" si="252"/>
        <v>488000</v>
      </c>
      <c r="F439" s="33"/>
      <c r="G439" s="110"/>
      <c r="H439" s="57">
        <f t="shared" si="247"/>
        <v>0</v>
      </c>
      <c r="I439" s="33">
        <f t="shared" si="248"/>
        <v>492000</v>
      </c>
      <c r="J439" s="31">
        <f t="shared" si="253"/>
        <v>6800</v>
      </c>
      <c r="K439" s="156" t="b">
        <f t="shared" si="250"/>
        <v>1</v>
      </c>
      <c r="L439" s="5"/>
      <c r="M439" s="5"/>
      <c r="N439" s="5"/>
      <c r="O439" s="5"/>
      <c r="Q439" s="5"/>
    </row>
    <row r="440" spans="1:17">
      <c r="A440" s="130" t="str">
        <f>+A438</f>
        <v>OCTOBRE</v>
      </c>
      <c r="B440" s="135" t="s">
        <v>29</v>
      </c>
      <c r="C440" s="33">
        <f t="shared" si="246"/>
        <v>9500</v>
      </c>
      <c r="D440" s="32"/>
      <c r="E440" s="33">
        <f>+D392</f>
        <v>20000</v>
      </c>
      <c r="F440" s="33"/>
      <c r="G440" s="110"/>
      <c r="H440" s="57">
        <f t="shared" si="247"/>
        <v>0</v>
      </c>
      <c r="I440" s="33">
        <f t="shared" si="248"/>
        <v>24000</v>
      </c>
      <c r="J440" s="31">
        <f t="shared" ref="J440" si="254">+SUM(C440:G440)-(H440+I440)</f>
        <v>5500</v>
      </c>
      <c r="K440" s="156" t="b">
        <f t="shared" si="250"/>
        <v>1</v>
      </c>
      <c r="L440" s="5"/>
      <c r="M440" s="5"/>
      <c r="N440" s="5"/>
      <c r="O440" s="5"/>
      <c r="Q440" s="5"/>
    </row>
    <row r="441" spans="1:17">
      <c r="A441" s="130" t="str">
        <f>+A439</f>
        <v>OCTOBRE</v>
      </c>
      <c r="B441" s="135" t="s">
        <v>156</v>
      </c>
      <c r="C441" s="33">
        <f t="shared" si="246"/>
        <v>21200</v>
      </c>
      <c r="D441" s="32"/>
      <c r="E441" s="33">
        <f>+D393</f>
        <v>543000</v>
      </c>
      <c r="F441" s="33"/>
      <c r="G441" s="110"/>
      <c r="H441" s="57">
        <f t="shared" si="247"/>
        <v>0</v>
      </c>
      <c r="I441" s="33">
        <f t="shared" si="248"/>
        <v>533500</v>
      </c>
      <c r="J441" s="31">
        <f t="shared" si="253"/>
        <v>30700</v>
      </c>
      <c r="K441" s="156" t="b">
        <f t="shared" si="250"/>
        <v>1</v>
      </c>
      <c r="L441" s="5"/>
      <c r="M441" s="5"/>
      <c r="N441" s="5"/>
      <c r="O441" s="5"/>
      <c r="Q441" s="5"/>
    </row>
    <row r="442" spans="1:17">
      <c r="A442" s="130" t="str">
        <f t="shared" si="251"/>
        <v>OCTOBRE</v>
      </c>
      <c r="B442" s="136" t="s">
        <v>114</v>
      </c>
      <c r="C442" s="33">
        <f t="shared" ref="C442" si="255">C394</f>
        <v>26193</v>
      </c>
      <c r="D442" s="127"/>
      <c r="E442" s="33">
        <f t="shared" ref="E442" si="256">+D394</f>
        <v>36000</v>
      </c>
      <c r="F442" s="53"/>
      <c r="G442" s="147"/>
      <c r="H442" s="57">
        <f t="shared" ref="H442" si="257">+F394</f>
        <v>0</v>
      </c>
      <c r="I442" s="33">
        <f t="shared" ref="I442" si="258">+E394</f>
        <v>53000</v>
      </c>
      <c r="J442" s="31">
        <f t="shared" si="253"/>
        <v>9193</v>
      </c>
      <c r="K442" s="156" t="b">
        <f t="shared" si="250"/>
        <v>1</v>
      </c>
      <c r="L442" s="5"/>
      <c r="M442" s="5"/>
      <c r="N442" s="5"/>
      <c r="O442" s="5"/>
      <c r="Q442" s="5"/>
    </row>
    <row r="443" spans="1:17">
      <c r="A443" s="35" t="s">
        <v>61</v>
      </c>
      <c r="B443" s="36"/>
      <c r="C443" s="36"/>
      <c r="D443" s="36"/>
      <c r="E443" s="36"/>
      <c r="F443" s="36"/>
      <c r="G443" s="36"/>
      <c r="H443" s="36"/>
      <c r="I443" s="36"/>
      <c r="J443" s="37"/>
      <c r="K443" s="155"/>
      <c r="L443" s="5"/>
      <c r="M443" s="5"/>
      <c r="N443" s="5"/>
      <c r="O443" s="5"/>
      <c r="Q443" s="5"/>
    </row>
    <row r="444" spans="1:17">
      <c r="A444" s="130" t="str">
        <f>+A442</f>
        <v>OCTOBRE</v>
      </c>
      <c r="B444" s="38" t="s">
        <v>62</v>
      </c>
      <c r="C444" s="39">
        <f>C383</f>
        <v>23107840</v>
      </c>
      <c r="D444" s="51"/>
      <c r="E444" s="51">
        <f>D383</f>
        <v>0</v>
      </c>
      <c r="F444" s="51"/>
      <c r="G444" s="133"/>
      <c r="H444" s="53">
        <f>+F383</f>
        <v>3000000</v>
      </c>
      <c r="I444" s="134">
        <f>+E383</f>
        <v>4020633</v>
      </c>
      <c r="J444" s="46">
        <f>+SUM(C444:G444)-(H444+I444)</f>
        <v>16087207</v>
      </c>
      <c r="K444" s="156" t="b">
        <f>J444=I383</f>
        <v>1</v>
      </c>
      <c r="L444" s="5"/>
      <c r="M444" s="5"/>
      <c r="N444" s="5"/>
      <c r="O444" s="5"/>
      <c r="Q444" s="5"/>
    </row>
    <row r="445" spans="1:17">
      <c r="A445" s="44" t="s">
        <v>63</v>
      </c>
      <c r="B445" s="25"/>
      <c r="C445" s="36"/>
      <c r="D445" s="25"/>
      <c r="E445" s="25"/>
      <c r="F445" s="25"/>
      <c r="G445" s="25"/>
      <c r="H445" s="25"/>
      <c r="I445" s="25"/>
      <c r="J445" s="37"/>
      <c r="K445" s="155"/>
      <c r="L445" s="5"/>
      <c r="M445" s="5"/>
      <c r="N445" s="5"/>
      <c r="O445" s="5"/>
      <c r="Q445" s="5"/>
    </row>
    <row r="446" spans="1:17">
      <c r="A446" s="130" t="str">
        <f>+A444</f>
        <v>OCTOBRE</v>
      </c>
      <c r="B446" s="38" t="s">
        <v>167</v>
      </c>
      <c r="C446" s="133">
        <f>C381</f>
        <v>0</v>
      </c>
      <c r="D446" s="140">
        <f>G381</f>
        <v>0</v>
      </c>
      <c r="E446" s="51"/>
      <c r="F446" s="51"/>
      <c r="G446" s="51"/>
      <c r="H446" s="53">
        <f>+F381</f>
        <v>0</v>
      </c>
      <c r="I446" s="55">
        <f>+E381</f>
        <v>114000</v>
      </c>
      <c r="J446" s="46">
        <f>+SUM(C446:G446)-(H446+I446)</f>
        <v>-114000</v>
      </c>
      <c r="K446" s="156" t="b">
        <f>+J446=I381</f>
        <v>0</v>
      </c>
      <c r="L446" s="5"/>
      <c r="M446" s="5"/>
      <c r="N446" s="5"/>
      <c r="O446" s="5"/>
      <c r="Q446" s="5"/>
    </row>
    <row r="447" spans="1:17">
      <c r="A447" s="130" t="str">
        <f t="shared" ref="A447" si="259">+A446</f>
        <v>OCTOBRE</v>
      </c>
      <c r="B447" s="38" t="s">
        <v>65</v>
      </c>
      <c r="C447" s="133">
        <f>C382</f>
        <v>6762063</v>
      </c>
      <c r="D447" s="51">
        <f>G382</f>
        <v>0</v>
      </c>
      <c r="E447" s="50"/>
      <c r="F447" s="50"/>
      <c r="G447" s="50"/>
      <c r="H447" s="33">
        <f>+F382</f>
        <v>1000000</v>
      </c>
      <c r="I447" s="52">
        <f>+E382</f>
        <v>23345</v>
      </c>
      <c r="J447" s="46">
        <f>SUM(C447:G447)-(H447+I447)</f>
        <v>5738718</v>
      </c>
      <c r="K447" s="156" t="b">
        <f>+J447=I382</f>
        <v>1</v>
      </c>
      <c r="L447" s="5"/>
      <c r="M447" s="5"/>
      <c r="N447" s="5"/>
      <c r="O447" s="5"/>
      <c r="Q447" s="5"/>
    </row>
    <row r="448" spans="1:17" ht="15.75">
      <c r="C448" s="151">
        <f>SUM(C432:C447)</f>
        <v>32188231</v>
      </c>
      <c r="I448" s="149">
        <f>SUM(I432:I447)</f>
        <v>8513041</v>
      </c>
      <c r="J448" s="111">
        <f>+SUM(J431:J447)</f>
        <v>23249297</v>
      </c>
      <c r="K448" s="5" t="b">
        <f>J448=I395</f>
        <v>0</v>
      </c>
      <c r="L448" s="5"/>
      <c r="M448" s="5"/>
      <c r="N448" s="5"/>
      <c r="O448" s="5"/>
      <c r="Q448" s="5"/>
    </row>
    <row r="449" spans="1:17">
      <c r="G449" s="9"/>
      <c r="L449" s="5"/>
      <c r="M449" s="5"/>
      <c r="N449" s="5"/>
      <c r="O449" s="5"/>
      <c r="Q449" s="5"/>
    </row>
    <row r="450" spans="1:17">
      <c r="A450" s="16" t="s">
        <v>53</v>
      </c>
      <c r="B450" s="16"/>
      <c r="C450" s="16"/>
      <c r="D450" s="17"/>
      <c r="E450" s="17"/>
      <c r="F450" s="17"/>
      <c r="G450" s="17"/>
      <c r="H450" s="17"/>
      <c r="I450" s="17"/>
      <c r="L450" s="5"/>
      <c r="M450" s="5"/>
      <c r="N450" s="5"/>
      <c r="O450" s="5"/>
      <c r="Q450" s="5"/>
    </row>
    <row r="451" spans="1:17">
      <c r="A451" s="18" t="s">
        <v>154</v>
      </c>
      <c r="B451" s="18"/>
      <c r="C451" s="18"/>
      <c r="D451" s="18"/>
      <c r="E451" s="18"/>
      <c r="F451" s="18"/>
      <c r="G451" s="18"/>
      <c r="H451" s="18"/>
      <c r="I451" s="18"/>
      <c r="J451" s="18"/>
      <c r="L451" s="5"/>
      <c r="M451" s="5"/>
      <c r="N451" s="5"/>
      <c r="O451" s="5"/>
      <c r="Q451" s="5"/>
    </row>
    <row r="452" spans="1:17">
      <c r="A452" s="19"/>
      <c r="B452" s="20"/>
      <c r="C452" s="21"/>
      <c r="D452" s="21"/>
      <c r="E452" s="21"/>
      <c r="F452" s="21"/>
      <c r="G452" s="21"/>
      <c r="H452" s="20"/>
      <c r="I452" s="20"/>
      <c r="L452" s="5"/>
      <c r="M452" s="5"/>
      <c r="N452" s="5"/>
      <c r="O452" s="5"/>
      <c r="Q452" s="5"/>
    </row>
    <row r="453" spans="1:17">
      <c r="A453" s="506" t="s">
        <v>54</v>
      </c>
      <c r="B453" s="508" t="s">
        <v>55</v>
      </c>
      <c r="C453" s="510" t="s">
        <v>155</v>
      </c>
      <c r="D453" s="512" t="s">
        <v>56</v>
      </c>
      <c r="E453" s="513"/>
      <c r="F453" s="513"/>
      <c r="G453" s="514"/>
      <c r="H453" s="515" t="s">
        <v>57</v>
      </c>
      <c r="I453" s="502" t="s">
        <v>58</v>
      </c>
      <c r="J453" s="20"/>
      <c r="L453" s="5"/>
      <c r="M453" s="5"/>
      <c r="N453" s="5"/>
      <c r="O453" s="5"/>
      <c r="Q453" s="5"/>
    </row>
    <row r="454" spans="1:17">
      <c r="A454" s="507"/>
      <c r="B454" s="509"/>
      <c r="C454" s="511"/>
      <c r="D454" s="22" t="s">
        <v>24</v>
      </c>
      <c r="E454" s="22" t="s">
        <v>25</v>
      </c>
      <c r="F454" s="181" t="s">
        <v>124</v>
      </c>
      <c r="G454" s="22" t="s">
        <v>59</v>
      </c>
      <c r="H454" s="516"/>
      <c r="I454" s="503"/>
      <c r="J454" s="504" t="s">
        <v>161</v>
      </c>
      <c r="K454" s="155"/>
      <c r="L454" s="5"/>
      <c r="M454" s="5"/>
      <c r="N454" s="5"/>
      <c r="O454" s="5"/>
      <c r="Q454" s="5"/>
    </row>
    <row r="455" spans="1:17">
      <c r="A455" s="24"/>
      <c r="B455" s="25" t="s">
        <v>60</v>
      </c>
      <c r="C455" s="26"/>
      <c r="D455" s="26"/>
      <c r="E455" s="26"/>
      <c r="F455" s="26"/>
      <c r="G455" s="26"/>
      <c r="H455" s="26"/>
      <c r="I455" s="27"/>
      <c r="J455" s="505"/>
      <c r="K455" s="155"/>
      <c r="L455" s="5"/>
      <c r="M455" s="5"/>
      <c r="N455" s="5"/>
      <c r="O455" s="5"/>
      <c r="Q455" s="5"/>
    </row>
    <row r="456" spans="1:17">
      <c r="A456" s="130" t="s">
        <v>80</v>
      </c>
      <c r="B456" s="135" t="s">
        <v>48</v>
      </c>
      <c r="C456" s="33" t="e">
        <f>#REF!</f>
        <v>#REF!</v>
      </c>
      <c r="D456" s="32"/>
      <c r="E456" s="33" t="e">
        <f>+#REF!</f>
        <v>#REF!</v>
      </c>
      <c r="F456" s="33"/>
      <c r="G456" s="33"/>
      <c r="H456" s="57" t="e">
        <f>+#REF!</f>
        <v>#REF!</v>
      </c>
      <c r="I456" s="33" t="e">
        <f>+#REF!</f>
        <v>#REF!</v>
      </c>
      <c r="J456" s="31" t="e">
        <f t="shared" ref="J456:J457" si="260">+SUM(C456:G456)-(H456+I456)</f>
        <v>#REF!</v>
      </c>
      <c r="K456" s="156" t="e">
        <f>J456=#REF!</f>
        <v>#REF!</v>
      </c>
      <c r="L456" s="5"/>
      <c r="M456" s="5"/>
      <c r="N456" s="5"/>
      <c r="O456" s="5"/>
      <c r="Q456" s="5"/>
    </row>
    <row r="457" spans="1:17">
      <c r="A457" s="130" t="str">
        <f>+A456</f>
        <v>SEPTEMBRE</v>
      </c>
      <c r="B457" s="135" t="s">
        <v>31</v>
      </c>
      <c r="C457" s="33" t="e">
        <f>#REF!</f>
        <v>#REF!</v>
      </c>
      <c r="D457" s="32"/>
      <c r="E457" s="33" t="e">
        <f>+#REF!</f>
        <v>#REF!</v>
      </c>
      <c r="F457" s="33"/>
      <c r="G457" s="33"/>
      <c r="H457" s="57" t="e">
        <f>+#REF!</f>
        <v>#REF!</v>
      </c>
      <c r="I457" s="33" t="e">
        <f>+#REF!</f>
        <v>#REF!</v>
      </c>
      <c r="J457" s="107" t="e">
        <f t="shared" si="260"/>
        <v>#REF!</v>
      </c>
      <c r="K457" s="156" t="e">
        <f>J457=#REF!</f>
        <v>#REF!</v>
      </c>
      <c r="L457" s="5"/>
      <c r="M457" s="5"/>
      <c r="N457" s="5"/>
      <c r="O457" s="5"/>
      <c r="Q457" s="5"/>
    </row>
    <row r="458" spans="1:17">
      <c r="A458" s="130" t="str">
        <f t="shared" ref="A458:A465" si="261">+A457</f>
        <v>SEPTEMBRE</v>
      </c>
      <c r="B458" s="136" t="s">
        <v>153</v>
      </c>
      <c r="C458" s="33" t="e">
        <f>#REF!</f>
        <v>#REF!</v>
      </c>
      <c r="D458" s="127"/>
      <c r="E458" s="33" t="e">
        <f>#REF!</f>
        <v>#REF!</v>
      </c>
      <c r="F458" s="53"/>
      <c r="G458" s="53"/>
      <c r="H458" s="57" t="e">
        <f>+#REF!</f>
        <v>#REF!</v>
      </c>
      <c r="I458" s="33" t="e">
        <f>+#REF!</f>
        <v>#REF!</v>
      </c>
      <c r="J458" s="132" t="e">
        <f>+SUM(C458:G458)-(H458+I458)</f>
        <v>#REF!</v>
      </c>
      <c r="K458" s="156" t="e">
        <f>J458=#REF!</f>
        <v>#REF!</v>
      </c>
      <c r="L458" s="5"/>
      <c r="M458" s="5"/>
      <c r="N458" s="5"/>
      <c r="O458" s="5"/>
      <c r="Q458" s="5"/>
    </row>
    <row r="459" spans="1:17">
      <c r="A459" s="130" t="str">
        <f t="shared" si="261"/>
        <v>SEPTEMBRE</v>
      </c>
      <c r="B459" s="137" t="s">
        <v>85</v>
      </c>
      <c r="C459" s="128" t="e">
        <f>#REF!</f>
        <v>#REF!</v>
      </c>
      <c r="D459" s="131"/>
      <c r="E459" s="128" t="e">
        <f>+#REF!</f>
        <v>#REF!</v>
      </c>
      <c r="F459" s="146"/>
      <c r="G459" s="146"/>
      <c r="H459" s="180" t="e">
        <f>+#REF!</f>
        <v>#REF!</v>
      </c>
      <c r="I459" s="128" t="e">
        <f>+#REF!</f>
        <v>#REF!</v>
      </c>
      <c r="J459" s="129" t="e">
        <f>+SUM(C459:G459)-(H459+I459)</f>
        <v>#REF!</v>
      </c>
      <c r="K459" s="156" t="e">
        <f>J459=#REF!</f>
        <v>#REF!</v>
      </c>
      <c r="L459" s="5"/>
      <c r="M459" s="5"/>
      <c r="N459" s="5"/>
      <c r="O459" s="5"/>
      <c r="Q459" s="5"/>
    </row>
    <row r="460" spans="1:17">
      <c r="A460" s="130" t="str">
        <f t="shared" si="261"/>
        <v>SEPTEMBRE</v>
      </c>
      <c r="B460" s="137" t="s">
        <v>84</v>
      </c>
      <c r="C460" s="128" t="e">
        <f>#REF!</f>
        <v>#REF!</v>
      </c>
      <c r="D460" s="131"/>
      <c r="E460" s="128" t="e">
        <f>+#REF!</f>
        <v>#REF!</v>
      </c>
      <c r="F460" s="146"/>
      <c r="G460" s="146"/>
      <c r="H460" s="180" t="e">
        <f>+#REF!</f>
        <v>#REF!</v>
      </c>
      <c r="I460" s="128" t="e">
        <f>+#REF!</f>
        <v>#REF!</v>
      </c>
      <c r="J460" s="129" t="e">
        <f t="shared" ref="J460:J465" si="262">+SUM(C460:G460)-(H460+I460)</f>
        <v>#REF!</v>
      </c>
      <c r="K460" s="156" t="e">
        <f>J460=#REF!</f>
        <v>#REF!</v>
      </c>
      <c r="L460" s="5"/>
      <c r="M460" s="5"/>
      <c r="N460" s="5"/>
      <c r="O460" s="5"/>
      <c r="Q460" s="5"/>
    </row>
    <row r="461" spans="1:17">
      <c r="A461" s="130" t="str">
        <f t="shared" si="261"/>
        <v>SEPTEMBRE</v>
      </c>
      <c r="B461" s="135" t="s">
        <v>152</v>
      </c>
      <c r="C461" s="33" t="e">
        <f>#REF!</f>
        <v>#REF!</v>
      </c>
      <c r="D461" s="32"/>
      <c r="E461" s="33" t="e">
        <f>+#REF!</f>
        <v>#REF!</v>
      </c>
      <c r="F461" s="33"/>
      <c r="G461" s="110"/>
      <c r="H461" s="57" t="e">
        <f>+#REF!</f>
        <v>#REF!</v>
      </c>
      <c r="I461" s="33" t="e">
        <f>+#REF!</f>
        <v>#REF!</v>
      </c>
      <c r="J461" s="31" t="e">
        <f t="shared" si="262"/>
        <v>#REF!</v>
      </c>
      <c r="K461" s="156" t="e">
        <f>J461=#REF!</f>
        <v>#REF!</v>
      </c>
      <c r="L461" s="5"/>
      <c r="M461" s="5"/>
      <c r="N461" s="5"/>
      <c r="O461" s="5"/>
      <c r="Q461" s="5"/>
    </row>
    <row r="462" spans="1:17">
      <c r="A462" s="130" t="str">
        <f t="shared" si="261"/>
        <v>SEPTEMBRE</v>
      </c>
      <c r="B462" s="135" t="s">
        <v>30</v>
      </c>
      <c r="C462" s="33" t="e">
        <f>#REF!</f>
        <v>#REF!</v>
      </c>
      <c r="D462" s="32"/>
      <c r="E462" s="33" t="e">
        <f>+#REF!</f>
        <v>#REF!</v>
      </c>
      <c r="F462" s="33"/>
      <c r="G462" s="110"/>
      <c r="H462" s="57" t="e">
        <f>+#REF!</f>
        <v>#REF!</v>
      </c>
      <c r="I462" s="33" t="e">
        <f>+#REF!</f>
        <v>#REF!</v>
      </c>
      <c r="J462" s="31" t="e">
        <f t="shared" si="262"/>
        <v>#REF!</v>
      </c>
      <c r="K462" s="156" t="e">
        <f>J462=#REF!</f>
        <v>#REF!</v>
      </c>
      <c r="L462" s="5"/>
      <c r="M462" s="5"/>
      <c r="N462" s="5"/>
      <c r="O462" s="5"/>
      <c r="Q462" s="5"/>
    </row>
    <row r="463" spans="1:17">
      <c r="A463" s="130" t="str">
        <f t="shared" si="261"/>
        <v>SEPTEMBRE</v>
      </c>
      <c r="B463" s="135" t="s">
        <v>94</v>
      </c>
      <c r="C463" s="33" t="e">
        <f>#REF!</f>
        <v>#REF!</v>
      </c>
      <c r="D463" s="32"/>
      <c r="E463" s="33" t="e">
        <f>+#REF!</f>
        <v>#REF!</v>
      </c>
      <c r="F463" s="33"/>
      <c r="G463" s="110"/>
      <c r="H463" s="57" t="e">
        <f>+#REF!</f>
        <v>#REF!</v>
      </c>
      <c r="I463" s="33" t="e">
        <f>+#REF!</f>
        <v>#REF!</v>
      </c>
      <c r="J463" s="31" t="e">
        <f t="shared" si="262"/>
        <v>#REF!</v>
      </c>
      <c r="K463" s="156" t="e">
        <f>J463=#REF!</f>
        <v>#REF!</v>
      </c>
      <c r="L463" s="5"/>
      <c r="M463" s="5"/>
      <c r="N463" s="5"/>
      <c r="O463" s="5"/>
      <c r="Q463" s="5"/>
    </row>
    <row r="464" spans="1:17">
      <c r="A464" s="130" t="str">
        <f t="shared" si="261"/>
        <v>SEPTEMBRE</v>
      </c>
      <c r="B464" s="135" t="s">
        <v>156</v>
      </c>
      <c r="C464" s="33" t="e">
        <f>#REF!</f>
        <v>#REF!</v>
      </c>
      <c r="D464" s="32"/>
      <c r="E464" s="33" t="e">
        <f>+#REF!</f>
        <v>#REF!</v>
      </c>
      <c r="F464" s="33"/>
      <c r="G464" s="110"/>
      <c r="H464" s="57" t="e">
        <f>+#REF!</f>
        <v>#REF!</v>
      </c>
      <c r="I464" s="33" t="e">
        <f>+#REF!</f>
        <v>#REF!</v>
      </c>
      <c r="J464" s="31" t="e">
        <f t="shared" si="262"/>
        <v>#REF!</v>
      </c>
      <c r="K464" s="156" t="e">
        <f>J464=#REF!</f>
        <v>#REF!</v>
      </c>
      <c r="L464" s="5"/>
      <c r="M464" s="5"/>
      <c r="N464" s="5"/>
      <c r="O464" s="5"/>
      <c r="Q464" s="5"/>
    </row>
    <row r="465" spans="1:17">
      <c r="A465" s="130" t="str">
        <f t="shared" si="261"/>
        <v>SEPTEMBRE</v>
      </c>
      <c r="B465" s="136" t="s">
        <v>114</v>
      </c>
      <c r="C465" s="33" t="e">
        <f>#REF!</f>
        <v>#REF!</v>
      </c>
      <c r="D465" s="127"/>
      <c r="E465" s="33" t="e">
        <f>+#REF!</f>
        <v>#REF!</v>
      </c>
      <c r="F465" s="53"/>
      <c r="G465" s="147"/>
      <c r="H465" s="57" t="e">
        <f>+#REF!</f>
        <v>#REF!</v>
      </c>
      <c r="I465" s="33" t="e">
        <f>+#REF!</f>
        <v>#REF!</v>
      </c>
      <c r="J465" s="31" t="e">
        <f t="shared" si="262"/>
        <v>#REF!</v>
      </c>
      <c r="K465" s="156" t="e">
        <f>J465=#REF!</f>
        <v>#REF!</v>
      </c>
      <c r="L465" s="5"/>
      <c r="M465" s="5"/>
      <c r="N465" s="5"/>
      <c r="O465" s="5"/>
      <c r="Q465" s="5"/>
    </row>
    <row r="466" spans="1:17">
      <c r="A466" s="35" t="s">
        <v>61</v>
      </c>
      <c r="B466" s="36"/>
      <c r="C466" s="36"/>
      <c r="D466" s="36"/>
      <c r="E466" s="36"/>
      <c r="F466" s="36"/>
      <c r="G466" s="36"/>
      <c r="H466" s="36"/>
      <c r="I466" s="36"/>
      <c r="J466" s="37"/>
      <c r="K466" s="155"/>
      <c r="L466" s="5"/>
      <c r="M466" s="5"/>
      <c r="N466" s="5"/>
      <c r="O466" s="5"/>
      <c r="Q466" s="5"/>
    </row>
    <row r="467" spans="1:17">
      <c r="A467" s="130" t="str">
        <f>+A465</f>
        <v>SEPTEMBRE</v>
      </c>
      <c r="B467" s="38" t="s">
        <v>62</v>
      </c>
      <c r="C467" s="39" t="e">
        <f>#REF!</f>
        <v>#REF!</v>
      </c>
      <c r="D467" s="51"/>
      <c r="E467" s="51" t="e">
        <f>#REF!</f>
        <v>#REF!</v>
      </c>
      <c r="F467" s="51"/>
      <c r="G467" s="133"/>
      <c r="H467" s="53" t="e">
        <f>+#REF!</f>
        <v>#REF!</v>
      </c>
      <c r="I467" s="134" t="e">
        <f>+#REF!</f>
        <v>#REF!</v>
      </c>
      <c r="J467" s="46" t="e">
        <f>+SUM(C467:G467)-(H467+I467)</f>
        <v>#REF!</v>
      </c>
      <c r="K467" s="156" t="e">
        <f>J467=#REF!</f>
        <v>#REF!</v>
      </c>
      <c r="L467" s="5"/>
      <c r="M467" s="5"/>
      <c r="N467" s="5"/>
      <c r="O467" s="5"/>
      <c r="Q467" s="5"/>
    </row>
    <row r="468" spans="1:17">
      <c r="A468" s="44" t="s">
        <v>63</v>
      </c>
      <c r="B468" s="25"/>
      <c r="C468" s="36"/>
      <c r="D468" s="25"/>
      <c r="E468" s="25"/>
      <c r="F468" s="25"/>
      <c r="G468" s="25"/>
      <c r="H468" s="25"/>
      <c r="I468" s="25"/>
      <c r="J468" s="37"/>
      <c r="K468" s="155"/>
      <c r="L468" s="5"/>
      <c r="M468" s="5"/>
      <c r="N468" s="5"/>
      <c r="O468" s="5"/>
      <c r="Q468" s="5"/>
    </row>
    <row r="469" spans="1:17">
      <c r="A469" s="130" t="str">
        <f>+A467</f>
        <v>SEPTEMBRE</v>
      </c>
      <c r="B469" s="38" t="s">
        <v>64</v>
      </c>
      <c r="C469" s="133" t="e">
        <f>#REF!</f>
        <v>#REF!</v>
      </c>
      <c r="D469" s="140"/>
      <c r="E469" s="51"/>
      <c r="F469" s="51"/>
      <c r="G469" s="51"/>
      <c r="H469" s="53" t="e">
        <f>+#REF!</f>
        <v>#REF!</v>
      </c>
      <c r="I469" s="55" t="e">
        <f>+#REF!</f>
        <v>#REF!</v>
      </c>
      <c r="J469" s="46" t="e">
        <f>+SUM(C469:G469)-(H469+I469)</f>
        <v>#REF!</v>
      </c>
      <c r="K469" s="156" t="e">
        <f>+J469=#REF!</f>
        <v>#REF!</v>
      </c>
      <c r="L469" s="5"/>
      <c r="M469" s="5"/>
      <c r="N469" s="5"/>
      <c r="O469" s="5"/>
      <c r="Q469" s="5"/>
    </row>
    <row r="470" spans="1:17">
      <c r="A470" s="130" t="str">
        <f t="shared" ref="A470" si="263">+A469</f>
        <v>SEPTEMBRE</v>
      </c>
      <c r="B470" s="38" t="s">
        <v>65</v>
      </c>
      <c r="C470" s="133" t="e">
        <f>#REF!</f>
        <v>#REF!</v>
      </c>
      <c r="D470" s="51"/>
      <c r="E470" s="50"/>
      <c r="F470" s="50"/>
      <c r="G470" s="50"/>
      <c r="H470" s="33" t="e">
        <f>+#REF!</f>
        <v>#REF!</v>
      </c>
      <c r="I470" s="52" t="e">
        <f>+#REF!</f>
        <v>#REF!</v>
      </c>
      <c r="J470" s="46" t="e">
        <f>SUM(C470:G470)-(H470+I470)</f>
        <v>#REF!</v>
      </c>
      <c r="K470" s="156" t="e">
        <f>+J470=#REF!</f>
        <v>#REF!</v>
      </c>
      <c r="L470" s="5"/>
      <c r="M470" s="5"/>
      <c r="N470" s="5"/>
      <c r="O470" s="5"/>
      <c r="Q470" s="5"/>
    </row>
    <row r="471" spans="1:17" ht="15.75">
      <c r="C471" s="151" t="e">
        <f>SUM(C456:C470)</f>
        <v>#REF!</v>
      </c>
      <c r="I471" s="149" t="e">
        <f>SUM(I456:I470)</f>
        <v>#REF!</v>
      </c>
      <c r="J471" s="111" t="e">
        <f>+SUM(J456:J470)</f>
        <v>#REF!</v>
      </c>
      <c r="K471" s="5" t="e">
        <f>J471=#REF!</f>
        <v>#REF!</v>
      </c>
      <c r="L471" s="5"/>
      <c r="M471" s="5"/>
      <c r="N471" s="5"/>
      <c r="O471" s="5"/>
      <c r="Q471" s="5"/>
    </row>
    <row r="472" spans="1:17">
      <c r="G472" s="9"/>
      <c r="L472" s="5"/>
      <c r="M472" s="5"/>
      <c r="N472" s="5"/>
      <c r="O472" s="5"/>
      <c r="Q472" s="5"/>
    </row>
    <row r="473" spans="1:17">
      <c r="A473" s="16" t="s">
        <v>53</v>
      </c>
      <c r="B473" s="16"/>
      <c r="C473" s="16"/>
      <c r="D473" s="17"/>
      <c r="E473" s="17"/>
      <c r="F473" s="17"/>
      <c r="G473" s="17"/>
      <c r="H473" s="17"/>
      <c r="I473" s="17"/>
      <c r="L473" s="5"/>
      <c r="M473" s="5"/>
      <c r="N473" s="5"/>
      <c r="O473" s="5"/>
      <c r="Q473" s="5"/>
    </row>
    <row r="474" spans="1:17">
      <c r="A474" s="18" t="s">
        <v>150</v>
      </c>
      <c r="B474" s="18"/>
      <c r="C474" s="18"/>
      <c r="D474" s="18"/>
      <c r="E474" s="18"/>
      <c r="F474" s="18"/>
      <c r="G474" s="18"/>
      <c r="H474" s="18"/>
      <c r="I474" s="18"/>
      <c r="J474" s="17"/>
      <c r="L474" s="5"/>
      <c r="M474" s="5"/>
      <c r="N474" s="5"/>
      <c r="O474" s="5"/>
      <c r="Q474" s="5"/>
    </row>
    <row r="475" spans="1:17">
      <c r="A475" s="19"/>
      <c r="B475" s="20"/>
      <c r="C475" s="21"/>
      <c r="D475" s="21"/>
      <c r="E475" s="21"/>
      <c r="F475" s="21"/>
      <c r="G475" s="21"/>
      <c r="H475" s="20"/>
      <c r="I475" s="20"/>
      <c r="J475" s="18"/>
      <c r="L475" s="5"/>
      <c r="M475" s="5"/>
      <c r="N475" s="5"/>
      <c r="O475" s="5"/>
      <c r="Q475" s="5"/>
    </row>
    <row r="476" spans="1:17">
      <c r="A476" s="506" t="s">
        <v>54</v>
      </c>
      <c r="B476" s="508" t="s">
        <v>55</v>
      </c>
      <c r="C476" s="510" t="s">
        <v>149</v>
      </c>
      <c r="D476" s="512" t="s">
        <v>56</v>
      </c>
      <c r="E476" s="513"/>
      <c r="F476" s="513"/>
      <c r="G476" s="514"/>
      <c r="H476" s="515" t="s">
        <v>57</v>
      </c>
      <c r="I476" s="502" t="s">
        <v>58</v>
      </c>
      <c r="J476" s="20"/>
      <c r="L476" s="5"/>
      <c r="M476" s="5"/>
      <c r="N476" s="5"/>
      <c r="O476" s="5"/>
      <c r="Q476" s="5"/>
    </row>
    <row r="477" spans="1:17">
      <c r="A477" s="507"/>
      <c r="B477" s="509"/>
      <c r="C477" s="511"/>
      <c r="D477" s="22" t="s">
        <v>24</v>
      </c>
      <c r="E477" s="22" t="s">
        <v>25</v>
      </c>
      <c r="F477" s="176" t="s">
        <v>124</v>
      </c>
      <c r="G477" s="22" t="s">
        <v>59</v>
      </c>
      <c r="H477" s="516"/>
      <c r="I477" s="503"/>
      <c r="J477" s="504" t="s">
        <v>151</v>
      </c>
      <c r="K477" s="155"/>
      <c r="L477" s="5"/>
      <c r="M477" s="5"/>
      <c r="N477" s="5"/>
      <c r="O477" s="5"/>
      <c r="Q477" s="5"/>
    </row>
    <row r="478" spans="1:17">
      <c r="A478" s="24"/>
      <c r="B478" s="25" t="s">
        <v>60</v>
      </c>
      <c r="C478" s="26"/>
      <c r="D478" s="26"/>
      <c r="E478" s="26"/>
      <c r="F478" s="26"/>
      <c r="G478" s="26"/>
      <c r="H478" s="26"/>
      <c r="I478" s="27"/>
      <c r="J478" s="505"/>
      <c r="K478" s="155"/>
      <c r="L478" s="5"/>
      <c r="M478" s="5"/>
      <c r="N478" s="5"/>
      <c r="O478" s="5"/>
      <c r="Q478" s="5"/>
    </row>
    <row r="479" spans="1:17">
      <c r="A479" s="130" t="s">
        <v>148</v>
      </c>
      <c r="B479" s="135" t="s">
        <v>48</v>
      </c>
      <c r="C479" s="33" t="e">
        <f>#REF!</f>
        <v>#REF!</v>
      </c>
      <c r="D479" s="32"/>
      <c r="E479" s="33" t="e">
        <f>+#REF!</f>
        <v>#REF!</v>
      </c>
      <c r="F479" s="33"/>
      <c r="G479" s="33"/>
      <c r="H479" s="57" t="e">
        <f>+#REF!</f>
        <v>#REF!</v>
      </c>
      <c r="I479" s="33" t="e">
        <f>+#REF!</f>
        <v>#REF!</v>
      </c>
      <c r="J479" s="31" t="e">
        <f t="shared" ref="J479:J480" si="264">+SUM(C479:G479)-(H479+I479)</f>
        <v>#REF!</v>
      </c>
      <c r="K479" s="156" t="e">
        <f>J479=#REF!</f>
        <v>#REF!</v>
      </c>
      <c r="L479" s="5"/>
      <c r="M479" s="5"/>
      <c r="N479" s="5"/>
      <c r="O479" s="5"/>
      <c r="Q479" s="5"/>
    </row>
    <row r="480" spans="1:17">
      <c r="A480" s="130" t="s">
        <v>148</v>
      </c>
      <c r="B480" s="135" t="s">
        <v>31</v>
      </c>
      <c r="C480" s="33" t="e">
        <f>#REF!</f>
        <v>#REF!</v>
      </c>
      <c r="D480" s="32"/>
      <c r="E480" s="33" t="e">
        <f>+#REF!</f>
        <v>#REF!</v>
      </c>
      <c r="F480" s="33"/>
      <c r="G480" s="33"/>
      <c r="H480" s="57" t="e">
        <f>+#REF!</f>
        <v>#REF!</v>
      </c>
      <c r="I480" s="33" t="e">
        <f>+#REF!</f>
        <v>#REF!</v>
      </c>
      <c r="J480" s="107" t="e">
        <f t="shared" si="264"/>
        <v>#REF!</v>
      </c>
      <c r="K480" s="156" t="e">
        <f>J480=#REF!</f>
        <v>#REF!</v>
      </c>
      <c r="L480" s="5"/>
      <c r="M480" s="5"/>
      <c r="N480" s="5"/>
      <c r="O480" s="5"/>
      <c r="Q480" s="5"/>
    </row>
    <row r="481" spans="1:17">
      <c r="A481" s="130" t="s">
        <v>148</v>
      </c>
      <c r="B481" s="136" t="s">
        <v>153</v>
      </c>
      <c r="C481" s="33" t="e">
        <f>#REF!</f>
        <v>#REF!</v>
      </c>
      <c r="D481" s="127"/>
      <c r="E481" s="33">
        <v>30000</v>
      </c>
      <c r="F481" s="53">
        <v>240000</v>
      </c>
      <c r="G481" s="53"/>
      <c r="H481" s="57" t="e">
        <f>+#REF!</f>
        <v>#REF!</v>
      </c>
      <c r="I481" s="33" t="e">
        <f>+#REF!</f>
        <v>#REF!</v>
      </c>
      <c r="J481" s="132" t="e">
        <f>+SUM(C481:G481)-(H481+I481)</f>
        <v>#REF!</v>
      </c>
      <c r="K481" s="156" t="e">
        <f>J481=#REF!</f>
        <v>#REF!</v>
      </c>
      <c r="L481" s="5"/>
      <c r="M481" s="5"/>
      <c r="N481" s="5"/>
      <c r="O481" s="5"/>
      <c r="Q481" s="5"/>
    </row>
    <row r="482" spans="1:17">
      <c r="A482" s="130" t="s">
        <v>148</v>
      </c>
      <c r="B482" s="137" t="s">
        <v>85</v>
      </c>
      <c r="C482" s="128" t="e">
        <f>#REF!</f>
        <v>#REF!</v>
      </c>
      <c r="D482" s="131"/>
      <c r="E482" s="128" t="e">
        <f>+#REF!</f>
        <v>#REF!</v>
      </c>
      <c r="F482" s="146"/>
      <c r="G482" s="146"/>
      <c r="H482" s="180" t="e">
        <f>+#REF!</f>
        <v>#REF!</v>
      </c>
      <c r="I482" s="128" t="e">
        <f>+#REF!</f>
        <v>#REF!</v>
      </c>
      <c r="J482" s="129" t="e">
        <f>+SUM(C482:G482)-(H482+I482)</f>
        <v>#REF!</v>
      </c>
      <c r="K482" s="156" t="e">
        <f>J482=#REF!</f>
        <v>#REF!</v>
      </c>
      <c r="L482" s="5"/>
      <c r="M482" s="5"/>
      <c r="N482" s="5"/>
      <c r="O482" s="5"/>
      <c r="Q482" s="5"/>
    </row>
    <row r="483" spans="1:17">
      <c r="A483" s="130" t="s">
        <v>148</v>
      </c>
      <c r="B483" s="137" t="s">
        <v>84</v>
      </c>
      <c r="C483" s="128" t="e">
        <f>#REF!</f>
        <v>#REF!</v>
      </c>
      <c r="D483" s="131"/>
      <c r="E483" s="128" t="e">
        <f>+#REF!</f>
        <v>#REF!</v>
      </c>
      <c r="F483" s="146"/>
      <c r="G483" s="146"/>
      <c r="H483" s="180" t="e">
        <f>+#REF!</f>
        <v>#REF!</v>
      </c>
      <c r="I483" s="128" t="e">
        <f>+#REF!</f>
        <v>#REF!</v>
      </c>
      <c r="J483" s="129" t="e">
        <f t="shared" ref="J483:J489" si="265">+SUM(C483:G483)-(H483+I483)</f>
        <v>#REF!</v>
      </c>
      <c r="K483" s="156" t="e">
        <f>J483=#REF!</f>
        <v>#REF!</v>
      </c>
      <c r="L483" s="5"/>
      <c r="M483" s="5"/>
      <c r="N483" s="5"/>
      <c r="O483" s="5"/>
      <c r="Q483" s="5"/>
    </row>
    <row r="484" spans="1:17">
      <c r="A484" s="130" t="s">
        <v>148</v>
      </c>
      <c r="B484" s="135" t="s">
        <v>152</v>
      </c>
      <c r="C484" s="33" t="e">
        <f>#REF!</f>
        <v>#REF!</v>
      </c>
      <c r="D484" s="32"/>
      <c r="E484" s="33" t="e">
        <f>+#REF!</f>
        <v>#REF!</v>
      </c>
      <c r="F484" s="33"/>
      <c r="G484" s="110"/>
      <c r="H484" s="57" t="e">
        <f>+#REF!</f>
        <v>#REF!</v>
      </c>
      <c r="I484" s="33" t="e">
        <f>+#REF!</f>
        <v>#REF!</v>
      </c>
      <c r="J484" s="31" t="e">
        <f t="shared" si="265"/>
        <v>#REF!</v>
      </c>
      <c r="K484" s="156" t="e">
        <f>J484=#REF!</f>
        <v>#REF!</v>
      </c>
      <c r="L484" s="5"/>
      <c r="M484" s="5"/>
      <c r="N484" s="5"/>
      <c r="O484" s="5"/>
      <c r="Q484" s="5"/>
    </row>
    <row r="485" spans="1:17">
      <c r="A485" s="130" t="s">
        <v>148</v>
      </c>
      <c r="B485" s="135" t="s">
        <v>30</v>
      </c>
      <c r="C485" s="33" t="e">
        <f>#REF!</f>
        <v>#REF!</v>
      </c>
      <c r="D485" s="32"/>
      <c r="E485" s="33" t="e">
        <f>+#REF!</f>
        <v>#REF!</v>
      </c>
      <c r="F485" s="33"/>
      <c r="G485" s="110"/>
      <c r="H485" s="57" t="e">
        <f>+#REF!</f>
        <v>#REF!</v>
      </c>
      <c r="I485" s="33" t="e">
        <f>+#REF!</f>
        <v>#REF!</v>
      </c>
      <c r="J485" s="31" t="e">
        <f t="shared" si="265"/>
        <v>#REF!</v>
      </c>
      <c r="K485" s="156" t="e">
        <f>J485=#REF!</f>
        <v>#REF!</v>
      </c>
      <c r="L485" s="5"/>
      <c r="M485" s="5"/>
      <c r="N485" s="5"/>
      <c r="O485" s="5"/>
      <c r="Q485" s="5"/>
    </row>
    <row r="486" spans="1:17">
      <c r="A486" s="130" t="s">
        <v>148</v>
      </c>
      <c r="B486" s="135" t="s">
        <v>36</v>
      </c>
      <c r="C486" s="33" t="e">
        <f>#REF!</f>
        <v>#REF!</v>
      </c>
      <c r="D486" s="32"/>
      <c r="E486" s="33">
        <v>15000</v>
      </c>
      <c r="F486" s="33">
        <v>496625</v>
      </c>
      <c r="G486" s="110"/>
      <c r="H486" s="57" t="e">
        <f>+#REF!</f>
        <v>#REF!</v>
      </c>
      <c r="I486" s="33" t="e">
        <f>+#REF!</f>
        <v>#REF!</v>
      </c>
      <c r="J486" s="31" t="e">
        <f t="shared" si="265"/>
        <v>#REF!</v>
      </c>
      <c r="K486" s="156" t="e">
        <f>J486=#REF!</f>
        <v>#REF!</v>
      </c>
      <c r="L486" s="5"/>
      <c r="M486" s="5"/>
      <c r="N486" s="5"/>
      <c r="O486" s="5"/>
      <c r="Q486" s="5"/>
    </row>
    <row r="487" spans="1:17">
      <c r="A487" s="130" t="s">
        <v>148</v>
      </c>
      <c r="B487" s="135" t="s">
        <v>94</v>
      </c>
      <c r="C487" s="33" t="e">
        <f>#REF!</f>
        <v>#REF!</v>
      </c>
      <c r="D487" s="32"/>
      <c r="E487" s="33" t="e">
        <f>+#REF!</f>
        <v>#REF!</v>
      </c>
      <c r="F487" s="33"/>
      <c r="G487" s="110"/>
      <c r="H487" s="57" t="e">
        <f>+#REF!</f>
        <v>#REF!</v>
      </c>
      <c r="I487" s="33" t="e">
        <f>+#REF!</f>
        <v>#REF!</v>
      </c>
      <c r="J487" s="31" t="e">
        <f t="shared" si="265"/>
        <v>#REF!</v>
      </c>
      <c r="K487" s="156" t="e">
        <f>J487=#REF!</f>
        <v>#REF!</v>
      </c>
      <c r="L487" s="5"/>
      <c r="M487" s="5"/>
      <c r="N487" s="5"/>
      <c r="O487" s="5"/>
      <c r="Q487" s="5"/>
    </row>
    <row r="488" spans="1:17">
      <c r="A488" s="130" t="s">
        <v>148</v>
      </c>
      <c r="B488" s="135" t="s">
        <v>29</v>
      </c>
      <c r="C488" s="33" t="e">
        <f>#REF!</f>
        <v>#REF!</v>
      </c>
      <c r="D488" s="32"/>
      <c r="E488" s="33" t="e">
        <f>+#REF!</f>
        <v>#REF!</v>
      </c>
      <c r="F488" s="33"/>
      <c r="G488" s="110"/>
      <c r="H488" s="57" t="e">
        <f>+#REF!</f>
        <v>#REF!</v>
      </c>
      <c r="I488" s="33" t="e">
        <f>+#REF!</f>
        <v>#REF!</v>
      </c>
      <c r="J488" s="31" t="e">
        <f t="shared" ref="J488" si="266">+SUM(C488:G488)-(H488+I488)</f>
        <v>#REF!</v>
      </c>
      <c r="K488" s="156" t="e">
        <f>J488=#REF!</f>
        <v>#REF!</v>
      </c>
      <c r="L488" s="5"/>
      <c r="M488" s="5"/>
      <c r="N488" s="5"/>
      <c r="O488" s="5"/>
      <c r="Q488" s="5"/>
    </row>
    <row r="489" spans="1:17">
      <c r="A489" s="130" t="s">
        <v>148</v>
      </c>
      <c r="B489" s="136" t="s">
        <v>114</v>
      </c>
      <c r="C489" s="33" t="e">
        <f>#REF!</f>
        <v>#REF!</v>
      </c>
      <c r="D489" s="127"/>
      <c r="E489" s="33" t="e">
        <f>+#REF!</f>
        <v>#REF!</v>
      </c>
      <c r="F489" s="53"/>
      <c r="G489" s="147"/>
      <c r="H489" s="57" t="e">
        <f>+#REF!</f>
        <v>#REF!</v>
      </c>
      <c r="I489" s="33" t="e">
        <f>+#REF!</f>
        <v>#REF!</v>
      </c>
      <c r="J489" s="31" t="e">
        <f t="shared" si="265"/>
        <v>#REF!</v>
      </c>
      <c r="K489" s="156" t="e">
        <f>J489=#REF!</f>
        <v>#REF!</v>
      </c>
      <c r="L489" s="5"/>
      <c r="M489" s="5"/>
      <c r="N489" s="5"/>
      <c r="O489" s="5"/>
      <c r="Q489" s="5"/>
    </row>
    <row r="490" spans="1:17">
      <c r="A490" s="35" t="s">
        <v>61</v>
      </c>
      <c r="B490" s="36"/>
      <c r="C490" s="36"/>
      <c r="D490" s="36"/>
      <c r="E490" s="36"/>
      <c r="F490" s="36"/>
      <c r="G490" s="36"/>
      <c r="H490" s="36"/>
      <c r="I490" s="36"/>
      <c r="J490" s="37"/>
      <c r="K490" s="155"/>
      <c r="L490" s="5"/>
      <c r="M490" s="5"/>
      <c r="N490" s="5"/>
      <c r="O490" s="5"/>
      <c r="Q490" s="5"/>
    </row>
    <row r="491" spans="1:17">
      <c r="A491" s="130" t="s">
        <v>148</v>
      </c>
      <c r="B491" s="38" t="s">
        <v>62</v>
      </c>
      <c r="C491" s="39" t="e">
        <f>#REF!</f>
        <v>#REF!</v>
      </c>
      <c r="D491" s="51">
        <v>4000000</v>
      </c>
      <c r="E491" s="109"/>
      <c r="F491" s="51"/>
      <c r="G491" s="133">
        <v>15000</v>
      </c>
      <c r="H491" s="53" t="e">
        <f>+#REF!</f>
        <v>#REF!</v>
      </c>
      <c r="I491" s="134" t="e">
        <f>+#REF!</f>
        <v>#REF!</v>
      </c>
      <c r="J491" s="46" t="e">
        <f>+SUM(C491:G491)-(H491+I491)</f>
        <v>#REF!</v>
      </c>
      <c r="K491" s="156" t="e">
        <f>J491=#REF!</f>
        <v>#REF!</v>
      </c>
      <c r="L491" s="5"/>
      <c r="M491" s="5"/>
      <c r="N491" s="5"/>
      <c r="O491" s="5"/>
      <c r="Q491" s="5"/>
    </row>
    <row r="492" spans="1:17">
      <c r="A492" s="44" t="s">
        <v>63</v>
      </c>
      <c r="B492" s="25"/>
      <c r="C492" s="36"/>
      <c r="D492" s="25"/>
      <c r="E492" s="25"/>
      <c r="F492" s="25"/>
      <c r="G492" s="25"/>
      <c r="H492" s="25"/>
      <c r="I492" s="25"/>
      <c r="J492" s="37"/>
      <c r="K492" s="155"/>
      <c r="L492" s="5"/>
      <c r="M492" s="5"/>
      <c r="N492" s="5"/>
      <c r="O492" s="5"/>
      <c r="Q492" s="5"/>
    </row>
    <row r="493" spans="1:17">
      <c r="A493" s="130" t="s">
        <v>148</v>
      </c>
      <c r="B493" s="38" t="s">
        <v>64</v>
      </c>
      <c r="C493" s="133" t="e">
        <f>#REF!</f>
        <v>#REF!</v>
      </c>
      <c r="D493" s="140"/>
      <c r="E493" s="51"/>
      <c r="F493" s="51"/>
      <c r="G493" s="51"/>
      <c r="H493" s="53" t="e">
        <f>+#REF!</f>
        <v>#REF!</v>
      </c>
      <c r="I493" s="55" t="e">
        <f>+#REF!</f>
        <v>#REF!</v>
      </c>
      <c r="J493" s="46" t="e">
        <f>+SUM(C493:G493)-(H493+I493)</f>
        <v>#REF!</v>
      </c>
      <c r="K493" s="156" t="e">
        <f>+J493=#REF!</f>
        <v>#REF!</v>
      </c>
      <c r="L493" s="5"/>
      <c r="M493" s="5"/>
      <c r="N493" s="5"/>
      <c r="O493" s="5"/>
      <c r="Q493" s="5"/>
    </row>
    <row r="494" spans="1:17">
      <c r="A494" s="130" t="s">
        <v>148</v>
      </c>
      <c r="B494" s="38" t="s">
        <v>65</v>
      </c>
      <c r="C494" s="133" t="e">
        <f>#REF!</f>
        <v>#REF!</v>
      </c>
      <c r="D494" s="51"/>
      <c r="E494" s="50"/>
      <c r="F494" s="50"/>
      <c r="G494" s="50"/>
      <c r="H494" s="33" t="e">
        <f>+#REF!</f>
        <v>#REF!</v>
      </c>
      <c r="I494" s="52" t="e">
        <f>+#REF!</f>
        <v>#REF!</v>
      </c>
      <c r="J494" s="46" t="e">
        <f>SUM(C494:G494)-(H494+I494)</f>
        <v>#REF!</v>
      </c>
      <c r="K494" s="156" t="e">
        <f>+J494=#REF!</f>
        <v>#REF!</v>
      </c>
      <c r="Q494" s="5"/>
    </row>
    <row r="495" spans="1:17" ht="15.75">
      <c r="C495" s="151" t="e">
        <f>SUM(C479:C494)</f>
        <v>#REF!</v>
      </c>
      <c r="I495" s="149" t="e">
        <f>SUM(I479:I494)</f>
        <v>#REF!</v>
      </c>
      <c r="J495" s="111" t="e">
        <f>+SUM(J479:J494)</f>
        <v>#REF!</v>
      </c>
      <c r="K495" s="5" t="e">
        <f>J495=#REF!</f>
        <v>#REF!</v>
      </c>
      <c r="Q495" s="5"/>
    </row>
    <row r="496" spans="1:17" s="171" customFormat="1" ht="16.5">
      <c r="A496" s="14"/>
      <c r="B496" s="175"/>
      <c r="C496" s="174"/>
      <c r="D496" s="174"/>
      <c r="E496" s="173"/>
      <c r="F496" s="174"/>
      <c r="G496" s="174" t="e">
        <f>+#REF!-J495</f>
        <v>#REF!</v>
      </c>
      <c r="H496" s="174"/>
      <c r="I496" s="174"/>
      <c r="L496" s="172"/>
      <c r="M496" s="172"/>
      <c r="N496" s="172"/>
      <c r="O496" s="172"/>
    </row>
    <row r="497" spans="1:17">
      <c r="A497" s="16" t="s">
        <v>53</v>
      </c>
      <c r="B497" s="16"/>
      <c r="C497" s="16"/>
      <c r="D497" s="17"/>
      <c r="E497" s="17"/>
      <c r="F497" s="17"/>
      <c r="G497" s="17"/>
      <c r="H497" s="17"/>
      <c r="I497" s="17"/>
      <c r="Q497" s="5"/>
    </row>
    <row r="498" spans="1:17">
      <c r="A498" s="18" t="s">
        <v>145</v>
      </c>
      <c r="B498" s="18"/>
      <c r="C498" s="18"/>
      <c r="D498" s="18"/>
      <c r="E498" s="18"/>
      <c r="F498" s="18"/>
      <c r="G498" s="18"/>
      <c r="H498" s="18"/>
      <c r="I498" s="18"/>
      <c r="J498" s="17"/>
      <c r="Q498" s="5"/>
    </row>
    <row r="499" spans="1:17">
      <c r="A499" s="19"/>
      <c r="B499" s="20"/>
      <c r="C499" s="21"/>
      <c r="D499" s="21"/>
      <c r="E499" s="21"/>
      <c r="F499" s="21"/>
      <c r="G499" s="21"/>
      <c r="H499" s="20"/>
      <c r="I499" s="20"/>
      <c r="J499" s="18"/>
      <c r="Q499" s="5"/>
    </row>
    <row r="500" spans="1:17">
      <c r="A500" s="506" t="s">
        <v>54</v>
      </c>
      <c r="B500" s="508" t="s">
        <v>55</v>
      </c>
      <c r="C500" s="510" t="s">
        <v>146</v>
      </c>
      <c r="D500" s="512" t="s">
        <v>56</v>
      </c>
      <c r="E500" s="513"/>
      <c r="F500" s="513"/>
      <c r="G500" s="514"/>
      <c r="H500" s="515" t="s">
        <v>57</v>
      </c>
      <c r="I500" s="502" t="s">
        <v>58</v>
      </c>
      <c r="J500" s="20"/>
      <c r="Q500" s="5"/>
    </row>
    <row r="501" spans="1:17">
      <c r="A501" s="507"/>
      <c r="B501" s="509"/>
      <c r="C501" s="511"/>
      <c r="D501" s="22" t="s">
        <v>24</v>
      </c>
      <c r="E501" s="22" t="s">
        <v>25</v>
      </c>
      <c r="F501" s="170" t="s">
        <v>124</v>
      </c>
      <c r="G501" s="22" t="s">
        <v>59</v>
      </c>
      <c r="H501" s="516"/>
      <c r="I501" s="503"/>
      <c r="J501" s="504" t="s">
        <v>147</v>
      </c>
      <c r="K501" s="155"/>
      <c r="Q501" s="5"/>
    </row>
    <row r="502" spans="1:17">
      <c r="A502" s="24"/>
      <c r="B502" s="25" t="s">
        <v>60</v>
      </c>
      <c r="C502" s="26"/>
      <c r="D502" s="26"/>
      <c r="E502" s="26"/>
      <c r="F502" s="26"/>
      <c r="G502" s="26"/>
      <c r="H502" s="26"/>
      <c r="I502" s="27"/>
      <c r="J502" s="505"/>
      <c r="K502" s="155"/>
      <c r="Q502" s="5"/>
    </row>
    <row r="503" spans="1:17">
      <c r="A503" s="130" t="s">
        <v>73</v>
      </c>
      <c r="B503" s="135" t="s">
        <v>48</v>
      </c>
      <c r="C503" s="33" t="e">
        <f>#REF!</f>
        <v>#REF!</v>
      </c>
      <c r="D503" s="32"/>
      <c r="E503" s="33">
        <v>970765</v>
      </c>
      <c r="F503" s="33"/>
      <c r="G503" s="33"/>
      <c r="H503" s="57">
        <v>0</v>
      </c>
      <c r="I503" s="33">
        <v>980165</v>
      </c>
      <c r="J503" s="31" t="e">
        <f t="shared" ref="J503:J504" si="267">+SUM(C503:G503)-(H503+I503)</f>
        <v>#REF!</v>
      </c>
      <c r="K503" s="156" t="e">
        <f>J503=#REF!</f>
        <v>#REF!</v>
      </c>
      <c r="Q503" s="5"/>
    </row>
    <row r="504" spans="1:17">
      <c r="A504" s="130" t="s">
        <v>73</v>
      </c>
      <c r="B504" s="135" t="s">
        <v>31</v>
      </c>
      <c r="C504" s="33" t="e">
        <f>#REF!</f>
        <v>#REF!</v>
      </c>
      <c r="D504" s="32"/>
      <c r="E504" s="33">
        <v>58000</v>
      </c>
      <c r="F504" s="33"/>
      <c r="G504" s="33"/>
      <c r="H504" s="33">
        <v>0</v>
      </c>
      <c r="I504" s="33">
        <v>59500</v>
      </c>
      <c r="J504" s="107" t="e">
        <f t="shared" si="267"/>
        <v>#REF!</v>
      </c>
      <c r="K504" s="156" t="e">
        <f>J504=#REF!</f>
        <v>#REF!</v>
      </c>
      <c r="Q504" s="5"/>
    </row>
    <row r="505" spans="1:17">
      <c r="A505" s="130" t="s">
        <v>73</v>
      </c>
      <c r="B505" s="136" t="s">
        <v>30</v>
      </c>
      <c r="C505" s="33" t="e">
        <f>#REF!</f>
        <v>#REF!</v>
      </c>
      <c r="D505" s="127"/>
      <c r="E505" s="53">
        <v>557150</v>
      </c>
      <c r="F505" s="53"/>
      <c r="G505" s="53"/>
      <c r="H505" s="53">
        <v>0</v>
      </c>
      <c r="I505" s="53">
        <v>556650</v>
      </c>
      <c r="J505" s="132" t="e">
        <f>+SUM(C505:G505)-(H505+I505)</f>
        <v>#REF!</v>
      </c>
      <c r="K505" s="156" t="e">
        <f>J505=#REF!</f>
        <v>#REF!</v>
      </c>
      <c r="Q505" s="5"/>
    </row>
    <row r="506" spans="1:17">
      <c r="A506" s="130" t="s">
        <v>73</v>
      </c>
      <c r="B506" s="137" t="s">
        <v>85</v>
      </c>
      <c r="C506" s="128" t="e">
        <f>#REF!</f>
        <v>#REF!</v>
      </c>
      <c r="D506" s="131"/>
      <c r="E506" s="146"/>
      <c r="F506" s="146"/>
      <c r="G506" s="146"/>
      <c r="H506" s="146">
        <v>0</v>
      </c>
      <c r="I506" s="146">
        <v>0</v>
      </c>
      <c r="J506" s="129" t="e">
        <f>+SUM(C506:G506)-(H506+I506)</f>
        <v>#REF!</v>
      </c>
      <c r="K506" s="156" t="e">
        <f>J506=#REF!</f>
        <v>#REF!</v>
      </c>
      <c r="Q506" s="5"/>
    </row>
    <row r="507" spans="1:17">
      <c r="A507" s="130" t="s">
        <v>73</v>
      </c>
      <c r="B507" s="137" t="s">
        <v>84</v>
      </c>
      <c r="C507" s="128" t="e">
        <f>#REF!</f>
        <v>#REF!</v>
      </c>
      <c r="D507" s="131"/>
      <c r="E507" s="146"/>
      <c r="F507" s="146"/>
      <c r="G507" s="146"/>
      <c r="H507" s="146">
        <v>0</v>
      </c>
      <c r="I507" s="146">
        <v>0</v>
      </c>
      <c r="J507" s="129" t="e">
        <f t="shared" ref="J507:J512" si="268">+SUM(C507:G507)-(H507+I507)</f>
        <v>#REF!</v>
      </c>
      <c r="K507" s="156" t="e">
        <f>J507=#REF!</f>
        <v>#REF!</v>
      </c>
      <c r="Q507" s="5"/>
    </row>
    <row r="508" spans="1:17">
      <c r="A508" s="130" t="s">
        <v>73</v>
      </c>
      <c r="B508" s="135" t="s">
        <v>36</v>
      </c>
      <c r="C508" s="33" t="e">
        <f>#REF!</f>
        <v>#REF!</v>
      </c>
      <c r="D508" s="32"/>
      <c r="E508" s="33">
        <v>941000</v>
      </c>
      <c r="F508" s="33"/>
      <c r="G508" s="110"/>
      <c r="H508" s="110">
        <v>0</v>
      </c>
      <c r="I508" s="33">
        <v>1084725</v>
      </c>
      <c r="J508" s="31" t="e">
        <f t="shared" si="268"/>
        <v>#REF!</v>
      </c>
      <c r="K508" s="156" t="e">
        <f>J508=#REF!</f>
        <v>#REF!</v>
      </c>
      <c r="Q508" s="5"/>
    </row>
    <row r="509" spans="1:17">
      <c r="A509" s="130" t="s">
        <v>73</v>
      </c>
      <c r="B509" s="135" t="s">
        <v>94</v>
      </c>
      <c r="C509" s="33" t="e">
        <f>#REF!</f>
        <v>#REF!</v>
      </c>
      <c r="D509" s="32"/>
      <c r="E509" s="33">
        <v>52000</v>
      </c>
      <c r="F509" s="110"/>
      <c r="G509" s="110"/>
      <c r="H509" s="110">
        <v>0</v>
      </c>
      <c r="I509" s="33">
        <v>67000</v>
      </c>
      <c r="J509" s="31" t="e">
        <f t="shared" si="268"/>
        <v>#REF!</v>
      </c>
      <c r="K509" s="156" t="e">
        <f>J509=#REF!</f>
        <v>#REF!</v>
      </c>
      <c r="Q509" s="5"/>
    </row>
    <row r="510" spans="1:17">
      <c r="A510" s="130" t="s">
        <v>73</v>
      </c>
      <c r="B510" s="135" t="s">
        <v>29</v>
      </c>
      <c r="C510" s="33" t="e">
        <f>#REF!</f>
        <v>#REF!</v>
      </c>
      <c r="D510" s="32"/>
      <c r="E510" s="33">
        <v>515000</v>
      </c>
      <c r="F510" s="110"/>
      <c r="G510" s="110"/>
      <c r="H510" s="110">
        <v>0</v>
      </c>
      <c r="I510" s="33">
        <v>655500</v>
      </c>
      <c r="J510" s="31" t="e">
        <f t="shared" si="268"/>
        <v>#REF!</v>
      </c>
      <c r="K510" s="156" t="e">
        <f>J510=#REF!</f>
        <v>#REF!</v>
      </c>
      <c r="Q510" s="5"/>
    </row>
    <row r="511" spans="1:17">
      <c r="A511" s="130" t="s">
        <v>73</v>
      </c>
      <c r="B511" s="135" t="s">
        <v>32</v>
      </c>
      <c r="C511" s="33" t="e">
        <f>#REF!</f>
        <v>#REF!</v>
      </c>
      <c r="D511" s="32"/>
      <c r="E511" s="33">
        <v>10000</v>
      </c>
      <c r="F511" s="110"/>
      <c r="G511" s="110"/>
      <c r="H511" s="33">
        <v>500</v>
      </c>
      <c r="I511" s="33">
        <v>15300</v>
      </c>
      <c r="J511" s="31" t="e">
        <f t="shared" si="268"/>
        <v>#REF!</v>
      </c>
      <c r="K511" s="156" t="e">
        <f>J511=#REF!</f>
        <v>#REF!</v>
      </c>
      <c r="Q511" s="5"/>
    </row>
    <row r="512" spans="1:17">
      <c r="A512" s="130" t="s">
        <v>73</v>
      </c>
      <c r="B512" s="136" t="s">
        <v>114</v>
      </c>
      <c r="C512" s="33" t="e">
        <f>#REF!</f>
        <v>#REF!</v>
      </c>
      <c r="D512" s="127"/>
      <c r="E512" s="53">
        <v>20000</v>
      </c>
      <c r="F512" s="53"/>
      <c r="G512" s="147"/>
      <c r="H512" s="53">
        <v>0</v>
      </c>
      <c r="I512" s="53">
        <v>28000</v>
      </c>
      <c r="J512" s="31" t="e">
        <f t="shared" si="268"/>
        <v>#REF!</v>
      </c>
      <c r="K512" s="156" t="e">
        <f>J512=#REF!</f>
        <v>#REF!</v>
      </c>
      <c r="Q512" s="5"/>
    </row>
    <row r="513" spans="1:17">
      <c r="A513" s="35" t="s">
        <v>61</v>
      </c>
      <c r="B513" s="36"/>
      <c r="C513" s="36"/>
      <c r="D513" s="36"/>
      <c r="E513" s="36"/>
      <c r="F513" s="36"/>
      <c r="G513" s="36"/>
      <c r="H513" s="36"/>
      <c r="I513" s="36"/>
      <c r="J513" s="37"/>
      <c r="K513" s="155"/>
      <c r="Q513" s="5"/>
    </row>
    <row r="514" spans="1:17">
      <c r="A514" s="130" t="s">
        <v>73</v>
      </c>
      <c r="B514" s="38" t="s">
        <v>62</v>
      </c>
      <c r="C514" s="39" t="e">
        <f>#REF!</f>
        <v>#REF!</v>
      </c>
      <c r="D514" s="51">
        <v>6000500</v>
      </c>
      <c r="E514" s="109"/>
      <c r="F514" s="51"/>
      <c r="G514" s="148"/>
      <c r="H514" s="53">
        <v>3123915</v>
      </c>
      <c r="I514" s="134">
        <v>3367697</v>
      </c>
      <c r="J514" s="46" t="e">
        <f>+SUM(C514:G514)-(H514+I514)</f>
        <v>#REF!</v>
      </c>
      <c r="K514" s="156" t="e">
        <f>J514=#REF!</f>
        <v>#REF!</v>
      </c>
      <c r="Q514" s="5"/>
    </row>
    <row r="515" spans="1:17">
      <c r="A515" s="44" t="s">
        <v>63</v>
      </c>
      <c r="B515" s="25"/>
      <c r="C515" s="36"/>
      <c r="D515" s="25"/>
      <c r="E515" s="25"/>
      <c r="F515" s="25"/>
      <c r="G515" s="25"/>
      <c r="H515" s="25"/>
      <c r="I515" s="25"/>
      <c r="J515" s="37"/>
      <c r="K515" s="155"/>
      <c r="Q515" s="5"/>
    </row>
    <row r="516" spans="1:17">
      <c r="A516" s="130" t="s">
        <v>73</v>
      </c>
      <c r="B516" s="38" t="s">
        <v>64</v>
      </c>
      <c r="C516" s="133" t="e">
        <f>#REF!</f>
        <v>#REF!</v>
      </c>
      <c r="D516" s="140"/>
      <c r="E516" s="51"/>
      <c r="F516" s="51"/>
      <c r="G516" s="51"/>
      <c r="H516" s="53">
        <v>2000000</v>
      </c>
      <c r="I516" s="55">
        <v>271244</v>
      </c>
      <c r="J516" s="46" t="e">
        <f>+SUM(C516:G516)-(H516+I516)</f>
        <v>#REF!</v>
      </c>
      <c r="K516" s="156" t="e">
        <f>+J516=#REF!</f>
        <v>#REF!</v>
      </c>
      <c r="Q516" s="5"/>
    </row>
    <row r="517" spans="1:17">
      <c r="A517" s="130" t="s">
        <v>73</v>
      </c>
      <c r="B517" s="38" t="s">
        <v>65</v>
      </c>
      <c r="C517" s="133" t="e">
        <f>#REF!</f>
        <v>#REF!</v>
      </c>
      <c r="D517" s="51">
        <v>31201251</v>
      </c>
      <c r="E517" s="50"/>
      <c r="F517" s="50"/>
      <c r="G517" s="50"/>
      <c r="H517" s="33">
        <v>4000000</v>
      </c>
      <c r="I517" s="52">
        <v>6204544</v>
      </c>
      <c r="J517" s="46" t="e">
        <f>SUM(C517:G517)-(H517+I517)</f>
        <v>#REF!</v>
      </c>
      <c r="K517" s="156" t="e">
        <f>+J517=#REF!</f>
        <v>#REF!</v>
      </c>
      <c r="Q517" s="5"/>
    </row>
    <row r="518" spans="1:17" ht="15.75">
      <c r="C518" s="151" t="e">
        <f>SUM(C503:C517)</f>
        <v>#REF!</v>
      </c>
      <c r="I518" s="149">
        <f>SUM(I503:I517)</f>
        <v>13290325</v>
      </c>
      <c r="J518" s="111" t="e">
        <f>+SUM(J503:J517)</f>
        <v>#REF!</v>
      </c>
      <c r="K518" s="5" t="e">
        <f>J518=#REF!</f>
        <v>#REF!</v>
      </c>
      <c r="Q518" s="5"/>
    </row>
    <row r="519" spans="1:17" s="171" customFormat="1" ht="16.5">
      <c r="A519" s="14"/>
      <c r="B519" s="175"/>
      <c r="C519" s="174"/>
      <c r="D519" s="174"/>
      <c r="E519" s="173"/>
      <c r="F519" s="174"/>
      <c r="G519" s="174" t="e">
        <f>+#REF!-J518</f>
        <v>#REF!</v>
      </c>
      <c r="H519" s="174"/>
      <c r="I519" s="174"/>
      <c r="L519" s="172"/>
      <c r="M519" s="172"/>
      <c r="N519" s="172"/>
      <c r="O519" s="172"/>
    </row>
    <row r="520" spans="1:17" ht="16.5">
      <c r="A520" s="14"/>
      <c r="B520" s="15"/>
      <c r="C520" s="12"/>
      <c r="D520" s="12"/>
      <c r="E520" s="13"/>
      <c r="F520" s="12"/>
      <c r="G520" s="12"/>
      <c r="H520" s="12"/>
      <c r="I520" s="12"/>
      <c r="Q520" s="5"/>
    </row>
    <row r="521" spans="1:17">
      <c r="A521" s="16" t="s">
        <v>53</v>
      </c>
      <c r="B521" s="16"/>
      <c r="C521" s="16"/>
      <c r="D521" s="17"/>
      <c r="E521" s="17"/>
      <c r="F521" s="17"/>
      <c r="G521" s="17"/>
      <c r="H521" s="17"/>
      <c r="I521" s="17"/>
      <c r="Q521" s="5"/>
    </row>
    <row r="522" spans="1:17">
      <c r="A522" s="18" t="s">
        <v>141</v>
      </c>
      <c r="B522" s="18"/>
      <c r="C522" s="18"/>
      <c r="D522" s="18"/>
      <c r="E522" s="18"/>
      <c r="F522" s="18"/>
      <c r="G522" s="18"/>
      <c r="H522" s="18"/>
      <c r="I522" s="18"/>
      <c r="J522" s="17"/>
      <c r="Q522" s="5"/>
    </row>
    <row r="523" spans="1:17">
      <c r="A523" s="19"/>
      <c r="B523" s="20"/>
      <c r="C523" s="21"/>
      <c r="D523" s="21"/>
      <c r="E523" s="21"/>
      <c r="F523" s="21"/>
      <c r="G523" s="21"/>
      <c r="H523" s="20"/>
      <c r="I523" s="20"/>
      <c r="J523" s="18"/>
      <c r="Q523" s="5"/>
    </row>
    <row r="524" spans="1:17">
      <c r="A524" s="506" t="s">
        <v>54</v>
      </c>
      <c r="B524" s="508" t="s">
        <v>55</v>
      </c>
      <c r="C524" s="510" t="s">
        <v>143</v>
      </c>
      <c r="D524" s="512" t="s">
        <v>56</v>
      </c>
      <c r="E524" s="513"/>
      <c r="F524" s="513"/>
      <c r="G524" s="514"/>
      <c r="H524" s="515" t="s">
        <v>57</v>
      </c>
      <c r="I524" s="502" t="s">
        <v>58</v>
      </c>
      <c r="J524" s="20"/>
      <c r="Q524" s="5"/>
    </row>
    <row r="525" spans="1:17">
      <c r="A525" s="507"/>
      <c r="B525" s="509"/>
      <c r="C525" s="511"/>
      <c r="D525" s="22" t="s">
        <v>24</v>
      </c>
      <c r="E525" s="22" t="s">
        <v>25</v>
      </c>
      <c r="F525" s="168" t="s">
        <v>124</v>
      </c>
      <c r="G525" s="22" t="s">
        <v>59</v>
      </c>
      <c r="H525" s="516"/>
      <c r="I525" s="503"/>
      <c r="J525" s="504" t="s">
        <v>142</v>
      </c>
      <c r="K525" s="155"/>
      <c r="Q525" s="5"/>
    </row>
    <row r="526" spans="1:17">
      <c r="A526" s="24"/>
      <c r="B526" s="25" t="s">
        <v>60</v>
      </c>
      <c r="C526" s="26"/>
      <c r="D526" s="26"/>
      <c r="E526" s="26"/>
      <c r="F526" s="26"/>
      <c r="G526" s="26"/>
      <c r="H526" s="26"/>
      <c r="I526" s="27"/>
      <c r="J526" s="505"/>
      <c r="K526" s="155"/>
      <c r="L526" s="5"/>
      <c r="M526" s="5"/>
      <c r="N526" s="5"/>
      <c r="O526" s="5"/>
      <c r="Q526" s="5"/>
    </row>
    <row r="527" spans="1:17">
      <c r="A527" s="130" t="s">
        <v>144</v>
      </c>
      <c r="B527" s="135" t="s">
        <v>77</v>
      </c>
      <c r="C527" s="33" t="e">
        <f>+#REF!</f>
        <v>#REF!</v>
      </c>
      <c r="D527" s="32"/>
      <c r="E527" s="33">
        <v>114000</v>
      </c>
      <c r="F527" s="33"/>
      <c r="G527" s="33"/>
      <c r="H527" s="57">
        <v>11050</v>
      </c>
      <c r="I527" s="33">
        <v>112000</v>
      </c>
      <c r="J527" s="31" t="e">
        <f>+SUM(C527:G527)-(H527+I527)</f>
        <v>#REF!</v>
      </c>
      <c r="K527" s="156" t="e">
        <f>J527=#REF!</f>
        <v>#REF!</v>
      </c>
      <c r="L527" s="5"/>
      <c r="M527" s="5"/>
      <c r="N527" s="5"/>
      <c r="O527" s="5"/>
      <c r="Q527" s="5"/>
    </row>
    <row r="528" spans="1:17">
      <c r="A528" s="130" t="s">
        <v>144</v>
      </c>
      <c r="B528" s="135" t="s">
        <v>48</v>
      </c>
      <c r="C528" s="33" t="e">
        <f t="shared" ref="C528:C538" si="269">+C505</f>
        <v>#REF!</v>
      </c>
      <c r="D528" s="32"/>
      <c r="E528" s="33">
        <v>87350</v>
      </c>
      <c r="F528" s="33">
        <f>60000+62000</f>
        <v>122000</v>
      </c>
      <c r="G528" s="33"/>
      <c r="H528" s="57">
        <v>161395</v>
      </c>
      <c r="I528" s="33">
        <v>281200</v>
      </c>
      <c r="J528" s="31" t="e">
        <f t="shared" ref="J528:J529" si="270">+SUM(C528:G528)-(H528+I528)</f>
        <v>#REF!</v>
      </c>
      <c r="K528" s="156" t="e">
        <f t="shared" ref="K528:K538" si="271">J528=I505</f>
        <v>#REF!</v>
      </c>
      <c r="L528" s="5"/>
      <c r="M528" s="5"/>
      <c r="N528" s="5"/>
      <c r="O528" s="5"/>
      <c r="Q528" s="5"/>
    </row>
    <row r="529" spans="1:17">
      <c r="A529" s="130" t="s">
        <v>144</v>
      </c>
      <c r="B529" s="135" t="s">
        <v>31</v>
      </c>
      <c r="C529" s="33" t="e">
        <f t="shared" si="269"/>
        <v>#REF!</v>
      </c>
      <c r="D529" s="32"/>
      <c r="E529" s="33">
        <v>371500</v>
      </c>
      <c r="F529" s="33"/>
      <c r="G529" s="33"/>
      <c r="H529" s="33">
        <f>62000+81500+137000</f>
        <v>280500</v>
      </c>
      <c r="I529" s="33">
        <v>177000</v>
      </c>
      <c r="J529" s="107" t="e">
        <f t="shared" si="270"/>
        <v>#REF!</v>
      </c>
      <c r="K529" s="156" t="e">
        <f t="shared" si="271"/>
        <v>#REF!</v>
      </c>
      <c r="L529" s="5"/>
      <c r="M529" s="5"/>
      <c r="N529" s="5"/>
      <c r="O529" s="5"/>
      <c r="Q529" s="5"/>
    </row>
    <row r="530" spans="1:17">
      <c r="A530" s="130" t="s">
        <v>144</v>
      </c>
      <c r="B530" s="135" t="s">
        <v>78</v>
      </c>
      <c r="C530" s="33" t="e">
        <f t="shared" si="269"/>
        <v>#REF!</v>
      </c>
      <c r="D530" s="110"/>
      <c r="E530" s="33">
        <v>35560</v>
      </c>
      <c r="F530" s="33">
        <f>10000+81500</f>
        <v>91500</v>
      </c>
      <c r="G530" s="33"/>
      <c r="H530" s="33">
        <v>35000</v>
      </c>
      <c r="I530" s="33">
        <v>159750</v>
      </c>
      <c r="J530" s="107" t="e">
        <f>+SUM(C530:G530)-(H530+I530)</f>
        <v>#REF!</v>
      </c>
      <c r="K530" s="156" t="e">
        <f t="shared" si="271"/>
        <v>#REF!</v>
      </c>
      <c r="L530" s="5"/>
      <c r="M530" s="5"/>
      <c r="N530" s="5"/>
      <c r="O530" s="5"/>
      <c r="Q530" s="5"/>
    </row>
    <row r="531" spans="1:17">
      <c r="A531" s="130" t="s">
        <v>144</v>
      </c>
      <c r="B531" s="136" t="s">
        <v>30</v>
      </c>
      <c r="C531" s="33" t="e">
        <f t="shared" si="269"/>
        <v>#REF!</v>
      </c>
      <c r="D531" s="127"/>
      <c r="E531" s="53">
        <v>372085</v>
      </c>
      <c r="F531" s="53"/>
      <c r="G531" s="53"/>
      <c r="H531" s="53"/>
      <c r="I531" s="53">
        <v>336400</v>
      </c>
      <c r="J531" s="132" t="e">
        <f>+SUM(C531:G531)-(H531+I531)</f>
        <v>#REF!</v>
      </c>
      <c r="K531" s="156" t="e">
        <f t="shared" si="271"/>
        <v>#REF!</v>
      </c>
      <c r="L531" s="5"/>
      <c r="M531" s="5"/>
      <c r="N531" s="5"/>
      <c r="O531" s="5"/>
      <c r="Q531" s="5"/>
    </row>
    <row r="532" spans="1:17">
      <c r="A532" s="130" t="s">
        <v>144</v>
      </c>
      <c r="B532" s="137" t="s">
        <v>85</v>
      </c>
      <c r="C532" s="128" t="e">
        <f t="shared" si="269"/>
        <v>#REF!</v>
      </c>
      <c r="D532" s="131"/>
      <c r="E532" s="146"/>
      <c r="F532" s="146"/>
      <c r="G532" s="146"/>
      <c r="H532" s="146"/>
      <c r="I532" s="146"/>
      <c r="J532" s="129" t="e">
        <f>+SUM(C532:G532)-(H532+I532)</f>
        <v>#REF!</v>
      </c>
      <c r="K532" s="156" t="e">
        <f t="shared" si="271"/>
        <v>#REF!</v>
      </c>
      <c r="L532" s="5"/>
      <c r="M532" s="5"/>
      <c r="N532" s="5"/>
      <c r="O532" s="5"/>
      <c r="Q532" s="5"/>
    </row>
    <row r="533" spans="1:17">
      <c r="A533" s="130" t="s">
        <v>144</v>
      </c>
      <c r="B533" s="137" t="s">
        <v>84</v>
      </c>
      <c r="C533" s="128" t="e">
        <f t="shared" si="269"/>
        <v>#REF!</v>
      </c>
      <c r="D533" s="131"/>
      <c r="E533" s="146"/>
      <c r="F533" s="146"/>
      <c r="G533" s="146"/>
      <c r="H533" s="146"/>
      <c r="I533" s="146"/>
      <c r="J533" s="129" t="e">
        <f t="shared" ref="J533:J538" si="272">+SUM(C533:G533)-(H533+I533)</f>
        <v>#REF!</v>
      </c>
      <c r="K533" s="156" t="e">
        <f t="shared" si="271"/>
        <v>#REF!</v>
      </c>
      <c r="L533" s="5"/>
      <c r="M533" s="5"/>
      <c r="N533" s="5"/>
      <c r="O533" s="5"/>
      <c r="Q533" s="5"/>
    </row>
    <row r="534" spans="1:17">
      <c r="A534" s="130" t="s">
        <v>144</v>
      </c>
      <c r="B534" s="135" t="s">
        <v>36</v>
      </c>
      <c r="C534" s="33" t="e">
        <f t="shared" si="269"/>
        <v>#REF!</v>
      </c>
      <c r="D534" s="32"/>
      <c r="E534" s="33">
        <v>400000</v>
      </c>
      <c r="F534" s="33">
        <v>137000</v>
      </c>
      <c r="G534" s="110"/>
      <c r="H534" s="110"/>
      <c r="I534" s="33">
        <v>563500</v>
      </c>
      <c r="J534" s="31" t="e">
        <f t="shared" si="272"/>
        <v>#REF!</v>
      </c>
      <c r="K534" s="156" t="e">
        <f t="shared" si="271"/>
        <v>#REF!</v>
      </c>
      <c r="L534" s="5"/>
      <c r="M534" s="5"/>
      <c r="N534" s="5"/>
      <c r="O534" s="5"/>
      <c r="Q534" s="5"/>
    </row>
    <row r="535" spans="1:17">
      <c r="A535" s="130" t="s">
        <v>144</v>
      </c>
      <c r="B535" s="135" t="s">
        <v>94</v>
      </c>
      <c r="C535" s="33" t="e">
        <f t="shared" si="269"/>
        <v>#REF!</v>
      </c>
      <c r="D535" s="32"/>
      <c r="E535" s="33">
        <v>35000</v>
      </c>
      <c r="F535" s="110"/>
      <c r="G535" s="110"/>
      <c r="H535" s="110"/>
      <c r="I535" s="33">
        <v>23500</v>
      </c>
      <c r="J535" s="31" t="e">
        <f t="shared" si="272"/>
        <v>#REF!</v>
      </c>
      <c r="K535" s="156" t="e">
        <f t="shared" si="271"/>
        <v>#REF!</v>
      </c>
      <c r="L535" s="5"/>
      <c r="M535" s="5"/>
      <c r="N535" s="5"/>
      <c r="O535" s="5"/>
      <c r="Q535" s="5"/>
    </row>
    <row r="536" spans="1:17">
      <c r="A536" s="130" t="s">
        <v>144</v>
      </c>
      <c r="B536" s="135" t="s">
        <v>29</v>
      </c>
      <c r="C536" s="33">
        <f t="shared" si="269"/>
        <v>0</v>
      </c>
      <c r="D536" s="32"/>
      <c r="E536" s="33">
        <v>454000</v>
      </c>
      <c r="F536" s="110"/>
      <c r="G536" s="110"/>
      <c r="H536" s="110"/>
      <c r="I536" s="33">
        <v>329100</v>
      </c>
      <c r="J536" s="31">
        <f t="shared" si="272"/>
        <v>124900</v>
      </c>
      <c r="K536" s="156" t="b">
        <f t="shared" si="271"/>
        <v>0</v>
      </c>
      <c r="L536" s="5"/>
      <c r="M536" s="5"/>
      <c r="N536" s="5"/>
      <c r="O536" s="5"/>
      <c r="Q536" s="5"/>
    </row>
    <row r="537" spans="1:17">
      <c r="A537" s="130" t="s">
        <v>144</v>
      </c>
      <c r="B537" s="135" t="s">
        <v>32</v>
      </c>
      <c r="C537" s="33" t="e">
        <f t="shared" si="269"/>
        <v>#REF!</v>
      </c>
      <c r="D537" s="32"/>
      <c r="E537" s="33"/>
      <c r="F537" s="110"/>
      <c r="G537" s="110"/>
      <c r="H537" s="33">
        <v>20000</v>
      </c>
      <c r="I537" s="33">
        <v>5000</v>
      </c>
      <c r="J537" s="31" t="e">
        <f t="shared" si="272"/>
        <v>#REF!</v>
      </c>
      <c r="K537" s="156" t="e">
        <f t="shared" si="271"/>
        <v>#REF!</v>
      </c>
      <c r="L537" s="5"/>
      <c r="M537" s="5"/>
      <c r="N537" s="5"/>
      <c r="O537" s="5"/>
      <c r="Q537" s="5"/>
    </row>
    <row r="538" spans="1:17">
      <c r="A538" s="130" t="s">
        <v>144</v>
      </c>
      <c r="B538" s="136" t="s">
        <v>114</v>
      </c>
      <c r="C538" s="33">
        <f t="shared" si="269"/>
        <v>0</v>
      </c>
      <c r="D538" s="127"/>
      <c r="E538" s="53">
        <v>231000</v>
      </c>
      <c r="F538" s="53"/>
      <c r="G538" s="147"/>
      <c r="H538" s="53">
        <v>90000</v>
      </c>
      <c r="I538" s="53">
        <v>180000</v>
      </c>
      <c r="J538" s="31">
        <f t="shared" si="272"/>
        <v>-39000</v>
      </c>
      <c r="K538" s="156" t="b">
        <f t="shared" si="271"/>
        <v>0</v>
      </c>
      <c r="L538" s="5"/>
      <c r="M538" s="5"/>
      <c r="N538" s="5"/>
      <c r="O538" s="5"/>
      <c r="Q538" s="5"/>
    </row>
    <row r="539" spans="1:17">
      <c r="A539" s="35" t="s">
        <v>61</v>
      </c>
      <c r="B539" s="36"/>
      <c r="C539" s="36"/>
      <c r="D539" s="36"/>
      <c r="E539" s="36"/>
      <c r="F539" s="36"/>
      <c r="G539" s="36"/>
      <c r="H539" s="36"/>
      <c r="I539" s="36"/>
      <c r="J539" s="37"/>
      <c r="K539" s="155"/>
      <c r="L539" s="5"/>
      <c r="M539" s="5"/>
      <c r="N539" s="5"/>
      <c r="O539" s="5"/>
      <c r="Q539" s="5"/>
    </row>
    <row r="540" spans="1:17">
      <c r="A540" s="130" t="s">
        <v>144</v>
      </c>
      <c r="B540" s="38" t="s">
        <v>62</v>
      </c>
      <c r="C540" s="39" t="e">
        <f>+C504</f>
        <v>#REF!</v>
      </c>
      <c r="D540" s="51">
        <v>5000000</v>
      </c>
      <c r="E540" s="109"/>
      <c r="F540" s="51">
        <v>217445</v>
      </c>
      <c r="G540" s="148"/>
      <c r="H540" s="139">
        <v>2070495</v>
      </c>
      <c r="I540" s="134">
        <v>3286349</v>
      </c>
      <c r="J540" s="46" t="e">
        <f>+SUM(C540:G540)-(H540+I540)</f>
        <v>#REF!</v>
      </c>
      <c r="K540" s="156" t="e">
        <f>J540=I504</f>
        <v>#REF!</v>
      </c>
      <c r="L540" s="5"/>
      <c r="M540" s="5"/>
      <c r="N540" s="5"/>
      <c r="O540" s="5"/>
      <c r="Q540" s="5"/>
    </row>
    <row r="541" spans="1:17">
      <c r="A541" s="44" t="s">
        <v>63</v>
      </c>
      <c r="B541" s="25"/>
      <c r="C541" s="36"/>
      <c r="D541" s="25"/>
      <c r="E541" s="25"/>
      <c r="F541" s="25"/>
      <c r="G541" s="25"/>
      <c r="H541" s="25"/>
      <c r="I541" s="25"/>
      <c r="J541" s="37"/>
      <c r="K541" s="155"/>
      <c r="L541" s="5"/>
      <c r="M541" s="5"/>
      <c r="N541" s="5"/>
      <c r="O541" s="5"/>
      <c r="Q541" s="5"/>
    </row>
    <row r="542" spans="1:17">
      <c r="A542" s="130" t="s">
        <v>144</v>
      </c>
      <c r="B542" s="38" t="s">
        <v>64</v>
      </c>
      <c r="C542" s="133" t="e">
        <f>+#REF!</f>
        <v>#REF!</v>
      </c>
      <c r="D542" s="140">
        <v>7900099</v>
      </c>
      <c r="E542" s="51"/>
      <c r="F542" s="51"/>
      <c r="G542" s="51"/>
      <c r="H542" s="53">
        <v>3000000</v>
      </c>
      <c r="I542" s="55">
        <v>379529</v>
      </c>
      <c r="J542" s="46" t="e">
        <f>+SUM(C542:G542)-(H542+I542)</f>
        <v>#REF!</v>
      </c>
      <c r="K542" s="156" t="e">
        <f>+J542=#REF!</f>
        <v>#REF!</v>
      </c>
      <c r="L542" s="5"/>
      <c r="M542" s="5"/>
      <c r="N542" s="5"/>
      <c r="O542" s="5"/>
      <c r="Q542" s="5"/>
    </row>
    <row r="543" spans="1:17">
      <c r="A543" s="130" t="s">
        <v>144</v>
      </c>
      <c r="B543" s="38" t="s">
        <v>65</v>
      </c>
      <c r="C543" s="133" t="e">
        <f>+C503</f>
        <v>#REF!</v>
      </c>
      <c r="D543" s="51"/>
      <c r="E543" s="50"/>
      <c r="F543" s="50"/>
      <c r="G543" s="50"/>
      <c r="H543" s="33">
        <v>2000000</v>
      </c>
      <c r="I543" s="52">
        <v>5392233</v>
      </c>
      <c r="J543" s="46" t="e">
        <f>SUM(C543:G543)-(H543+I543)</f>
        <v>#REF!</v>
      </c>
      <c r="K543" s="156" t="e">
        <f>+J543=I503</f>
        <v>#REF!</v>
      </c>
      <c r="L543" s="5"/>
      <c r="M543" s="5"/>
      <c r="N543" s="5"/>
      <c r="O543" s="5"/>
      <c r="Q543" s="5"/>
    </row>
    <row r="544" spans="1:17" ht="15.75">
      <c r="C544" s="151" t="e">
        <f>SUM(C527:C543)</f>
        <v>#REF!</v>
      </c>
      <c r="I544" s="149">
        <f>SUM(I527:I543)</f>
        <v>11225561</v>
      </c>
      <c r="J544" s="111" t="e">
        <f>+SUM(J527:J543)</f>
        <v>#REF!</v>
      </c>
      <c r="K544" s="5" t="e">
        <f>J544=I516</f>
        <v>#REF!</v>
      </c>
      <c r="L544" s="5"/>
      <c r="M544" s="5"/>
      <c r="N544" s="5"/>
      <c r="O544" s="5"/>
      <c r="Q544" s="5"/>
    </row>
    <row r="545" spans="1:17" ht="16.5">
      <c r="A545" s="14"/>
      <c r="B545" s="15"/>
      <c r="C545" s="12"/>
      <c r="D545" s="12"/>
      <c r="E545" s="13"/>
      <c r="F545" s="12"/>
      <c r="G545" s="12"/>
      <c r="H545" s="12"/>
      <c r="I545" s="12"/>
      <c r="L545" s="5"/>
      <c r="M545" s="5"/>
      <c r="N545" s="5"/>
      <c r="O545" s="5"/>
      <c r="Q545" s="5"/>
    </row>
    <row r="546" spans="1:17">
      <c r="A546" s="16" t="s">
        <v>53</v>
      </c>
      <c r="B546" s="16"/>
      <c r="C546" s="16"/>
      <c r="D546" s="17"/>
      <c r="E546" s="17"/>
      <c r="F546" s="17"/>
      <c r="G546" s="17"/>
      <c r="H546" s="17"/>
      <c r="I546" s="17"/>
      <c r="L546" s="5"/>
      <c r="M546" s="5"/>
      <c r="N546" s="5"/>
      <c r="O546" s="5"/>
      <c r="Q546" s="5"/>
    </row>
    <row r="547" spans="1:17">
      <c r="A547" s="18" t="s">
        <v>132</v>
      </c>
      <c r="B547" s="18"/>
      <c r="C547" s="18"/>
      <c r="D547" s="18"/>
      <c r="E547" s="18"/>
      <c r="F547" s="18"/>
      <c r="G547" s="18"/>
      <c r="H547" s="18"/>
      <c r="I547" s="18"/>
      <c r="J547" s="17"/>
      <c r="L547" s="5"/>
      <c r="M547" s="5"/>
      <c r="N547" s="5"/>
      <c r="O547" s="5"/>
      <c r="Q547" s="5"/>
    </row>
    <row r="548" spans="1:17">
      <c r="A548" s="19"/>
      <c r="B548" s="20"/>
      <c r="C548" s="21"/>
      <c r="D548" s="21"/>
      <c r="E548" s="21"/>
      <c r="F548" s="21"/>
      <c r="G548" s="21"/>
      <c r="H548" s="20"/>
      <c r="I548" s="20"/>
      <c r="J548" s="18"/>
      <c r="L548" s="5"/>
      <c r="M548" s="5"/>
      <c r="N548" s="5"/>
      <c r="O548" s="5"/>
      <c r="Q548" s="5"/>
    </row>
    <row r="549" spans="1:17">
      <c r="A549" s="506" t="s">
        <v>54</v>
      </c>
      <c r="B549" s="508" t="s">
        <v>55</v>
      </c>
      <c r="C549" s="510" t="s">
        <v>133</v>
      </c>
      <c r="D549" s="512" t="s">
        <v>56</v>
      </c>
      <c r="E549" s="513"/>
      <c r="F549" s="513"/>
      <c r="G549" s="514"/>
      <c r="H549" s="515" t="s">
        <v>57</v>
      </c>
      <c r="I549" s="502" t="s">
        <v>58</v>
      </c>
      <c r="J549" s="20"/>
      <c r="L549" s="5"/>
      <c r="M549" s="5"/>
      <c r="N549" s="5"/>
      <c r="O549" s="5"/>
      <c r="Q549" s="5"/>
    </row>
    <row r="550" spans="1:17">
      <c r="A550" s="507"/>
      <c r="B550" s="509"/>
      <c r="C550" s="511"/>
      <c r="D550" s="22" t="s">
        <v>24</v>
      </c>
      <c r="E550" s="22" t="s">
        <v>25</v>
      </c>
      <c r="F550" s="167" t="s">
        <v>124</v>
      </c>
      <c r="G550" s="22" t="s">
        <v>59</v>
      </c>
      <c r="H550" s="516"/>
      <c r="I550" s="503"/>
      <c r="J550" s="504" t="s">
        <v>134</v>
      </c>
      <c r="K550" s="155"/>
      <c r="L550" s="5"/>
      <c r="M550" s="5"/>
      <c r="N550" s="5"/>
      <c r="O550" s="5"/>
      <c r="Q550" s="5"/>
    </row>
    <row r="551" spans="1:17">
      <c r="A551" s="24"/>
      <c r="B551" s="25" t="s">
        <v>60</v>
      </c>
      <c r="C551" s="26"/>
      <c r="D551" s="26"/>
      <c r="E551" s="26"/>
      <c r="F551" s="26"/>
      <c r="G551" s="26"/>
      <c r="H551" s="26"/>
      <c r="I551" s="27"/>
      <c r="J551" s="505"/>
      <c r="K551" s="155"/>
      <c r="L551" s="5"/>
      <c r="M551" s="5"/>
      <c r="N551" s="5"/>
      <c r="O551" s="5"/>
      <c r="Q551" s="5"/>
    </row>
    <row r="552" spans="1:17">
      <c r="A552" s="130" t="s">
        <v>135</v>
      </c>
      <c r="B552" s="135" t="s">
        <v>77</v>
      </c>
      <c r="C552" s="33">
        <v>40050</v>
      </c>
      <c r="D552" s="32"/>
      <c r="E552" s="33">
        <v>104000</v>
      </c>
      <c r="F552" s="33"/>
      <c r="G552" s="33"/>
      <c r="H552" s="57">
        <v>54000</v>
      </c>
      <c r="I552" s="33">
        <v>81000</v>
      </c>
      <c r="J552" s="31">
        <f>+SUM(C552:G552)-(H552+I552)</f>
        <v>9050</v>
      </c>
      <c r="K552" s="156" t="e">
        <f>J552=#REF!</f>
        <v>#REF!</v>
      </c>
      <c r="L552" s="5"/>
      <c r="M552" s="5"/>
      <c r="N552" s="5"/>
      <c r="O552" s="5"/>
      <c r="Q552" s="5"/>
    </row>
    <row r="553" spans="1:17">
      <c r="A553" s="130" t="s">
        <v>135</v>
      </c>
      <c r="B553" s="135" t="s">
        <v>48</v>
      </c>
      <c r="C553" s="33">
        <v>38845</v>
      </c>
      <c r="D553" s="32"/>
      <c r="E553" s="33">
        <v>1550000</v>
      </c>
      <c r="F553" s="33"/>
      <c r="G553" s="33"/>
      <c r="H553" s="57">
        <v>311000</v>
      </c>
      <c r="I553" s="33">
        <v>1017400</v>
      </c>
      <c r="J553" s="31">
        <f t="shared" ref="J553:J554" si="273">+SUM(C553:G553)-(H553+I553)</f>
        <v>260445</v>
      </c>
      <c r="K553" s="156" t="b">
        <f>J553=I505</f>
        <v>0</v>
      </c>
      <c r="L553" s="5"/>
      <c r="M553" s="5"/>
      <c r="N553" s="5"/>
      <c r="O553" s="5"/>
      <c r="Q553" s="5"/>
    </row>
    <row r="554" spans="1:17">
      <c r="A554" s="130" t="s">
        <v>135</v>
      </c>
      <c r="B554" s="135" t="s">
        <v>31</v>
      </c>
      <c r="C554" s="33">
        <v>6895</v>
      </c>
      <c r="D554" s="32"/>
      <c r="E554" s="33">
        <v>581000</v>
      </c>
      <c r="F554" s="33"/>
      <c r="G554" s="33"/>
      <c r="H554" s="33"/>
      <c r="I554" s="33">
        <v>498900</v>
      </c>
      <c r="J554" s="107">
        <f t="shared" si="273"/>
        <v>88995</v>
      </c>
      <c r="K554" s="156" t="b">
        <f>J554=I506</f>
        <v>0</v>
      </c>
      <c r="L554" s="5"/>
      <c r="M554" s="5"/>
      <c r="N554" s="5"/>
      <c r="O554" s="5"/>
      <c r="Q554" s="5"/>
    </row>
    <row r="555" spans="1:17">
      <c r="A555" s="130" t="s">
        <v>135</v>
      </c>
      <c r="B555" s="135" t="s">
        <v>78</v>
      </c>
      <c r="C555" s="33">
        <v>28540</v>
      </c>
      <c r="D555" s="110"/>
      <c r="E555" s="33">
        <v>332000</v>
      </c>
      <c r="F555" s="33">
        <v>10000</v>
      </c>
      <c r="G555" s="33"/>
      <c r="H555" s="33"/>
      <c r="I555" s="33">
        <v>302850</v>
      </c>
      <c r="J555" s="107">
        <f>+SUM(C555:G555)-(H555+I555)</f>
        <v>67690</v>
      </c>
      <c r="K555" s="156" t="b">
        <f>J555=I507</f>
        <v>0</v>
      </c>
      <c r="L555" s="5"/>
      <c r="M555" s="5"/>
      <c r="N555" s="5"/>
      <c r="O555" s="5"/>
      <c r="Q555" s="5"/>
    </row>
    <row r="556" spans="1:17">
      <c r="A556" s="130" t="s">
        <v>135</v>
      </c>
      <c r="B556" s="135" t="s">
        <v>70</v>
      </c>
      <c r="C556" s="33">
        <v>184</v>
      </c>
      <c r="D556" s="110"/>
      <c r="E556" s="33"/>
      <c r="F556" s="33"/>
      <c r="G556" s="33"/>
      <c r="H556" s="33">
        <v>184</v>
      </c>
      <c r="I556" s="33"/>
      <c r="J556" s="107">
        <f t="shared" ref="J556" si="274">+SUM(C556:G556)-(H556+I556)</f>
        <v>0</v>
      </c>
      <c r="K556" s="156" t="e">
        <f>J556=#REF!</f>
        <v>#REF!</v>
      </c>
      <c r="L556" s="5"/>
      <c r="M556" s="5"/>
      <c r="N556" s="5"/>
      <c r="O556" s="5"/>
      <c r="Q556" s="5"/>
    </row>
    <row r="557" spans="1:17">
      <c r="A557" s="130" t="s">
        <v>135</v>
      </c>
      <c r="B557" s="136" t="s">
        <v>30</v>
      </c>
      <c r="C557" s="33">
        <v>68200</v>
      </c>
      <c r="D557" s="127"/>
      <c r="E557" s="53">
        <v>638000</v>
      </c>
      <c r="F557" s="53">
        <v>45000</v>
      </c>
      <c r="G557" s="53"/>
      <c r="H557" s="53"/>
      <c r="I557" s="53">
        <v>787385</v>
      </c>
      <c r="J557" s="132">
        <f>+SUM(C557:G557)-(H557+I557)</f>
        <v>-36185</v>
      </c>
      <c r="K557" s="156" t="b">
        <f t="shared" ref="K557:K564" si="275">J557=I508</f>
        <v>0</v>
      </c>
      <c r="L557" s="5"/>
      <c r="M557" s="5"/>
      <c r="N557" s="5"/>
      <c r="O557" s="5"/>
      <c r="Q557" s="5"/>
    </row>
    <row r="558" spans="1:17">
      <c r="A558" s="130" t="s">
        <v>135</v>
      </c>
      <c r="B558" s="137" t="s">
        <v>85</v>
      </c>
      <c r="C558" s="128">
        <v>233614</v>
      </c>
      <c r="D558" s="131"/>
      <c r="E558" s="146"/>
      <c r="F558" s="146"/>
      <c r="G558" s="146"/>
      <c r="H558" s="146"/>
      <c r="I558" s="146"/>
      <c r="J558" s="129">
        <f>+SUM(C558:G558)-(H558+I558)</f>
        <v>233614</v>
      </c>
      <c r="K558" s="156" t="b">
        <f t="shared" si="275"/>
        <v>0</v>
      </c>
      <c r="L558" s="5"/>
      <c r="M558" s="5"/>
      <c r="N558" s="5"/>
      <c r="O558" s="5"/>
      <c r="Q558" s="5"/>
    </row>
    <row r="559" spans="1:17">
      <c r="A559" s="130" t="s">
        <v>135</v>
      </c>
      <c r="B559" s="137" t="s">
        <v>84</v>
      </c>
      <c r="C559" s="128">
        <v>249769</v>
      </c>
      <c r="D559" s="131"/>
      <c r="E559" s="146"/>
      <c r="F559" s="146"/>
      <c r="G559" s="146"/>
      <c r="H559" s="146"/>
      <c r="I559" s="146"/>
      <c r="J559" s="129">
        <f t="shared" ref="J559:J564" si="276">+SUM(C559:G559)-(H559+I559)</f>
        <v>249769</v>
      </c>
      <c r="K559" s="156" t="b">
        <f t="shared" si="275"/>
        <v>0</v>
      </c>
      <c r="L559" s="5"/>
      <c r="M559" s="5"/>
      <c r="N559" s="5"/>
      <c r="O559" s="5"/>
      <c r="Q559" s="5"/>
    </row>
    <row r="560" spans="1:17">
      <c r="A560" s="130" t="s">
        <v>135</v>
      </c>
      <c r="B560" s="135" t="s">
        <v>36</v>
      </c>
      <c r="C560" s="33">
        <v>-4675</v>
      </c>
      <c r="D560" s="32"/>
      <c r="E560" s="33">
        <v>494000</v>
      </c>
      <c r="F560" s="33">
        <v>256000</v>
      </c>
      <c r="G560" s="110"/>
      <c r="H560" s="110">
        <v>6500</v>
      </c>
      <c r="I560" s="33">
        <v>607250</v>
      </c>
      <c r="J560" s="31">
        <f t="shared" si="276"/>
        <v>131575</v>
      </c>
      <c r="K560" s="156" t="b">
        <f t="shared" si="275"/>
        <v>0</v>
      </c>
      <c r="L560" s="5"/>
      <c r="M560" s="5"/>
      <c r="N560" s="5"/>
      <c r="O560" s="5"/>
      <c r="Q560" s="5"/>
    </row>
    <row r="561" spans="1:17">
      <c r="A561" s="130" t="s">
        <v>135</v>
      </c>
      <c r="B561" s="135" t="s">
        <v>94</v>
      </c>
      <c r="C561" s="33">
        <v>5000</v>
      </c>
      <c r="D561" s="32"/>
      <c r="E561" s="33">
        <v>30000</v>
      </c>
      <c r="F561" s="110"/>
      <c r="G561" s="110"/>
      <c r="H561" s="110"/>
      <c r="I561" s="33">
        <v>29500</v>
      </c>
      <c r="J561" s="31">
        <f t="shared" si="276"/>
        <v>5500</v>
      </c>
      <c r="K561" s="156" t="b">
        <f t="shared" si="275"/>
        <v>0</v>
      </c>
      <c r="L561" s="5"/>
      <c r="M561" s="5"/>
      <c r="N561" s="5"/>
      <c r="O561" s="5"/>
      <c r="Q561" s="5"/>
    </row>
    <row r="562" spans="1:17">
      <c r="A562" s="130" t="s">
        <v>135</v>
      </c>
      <c r="B562" s="135" t="s">
        <v>29</v>
      </c>
      <c r="C562" s="33">
        <v>72800</v>
      </c>
      <c r="D562" s="32"/>
      <c r="E562" s="33">
        <v>446000</v>
      </c>
      <c r="F562" s="110"/>
      <c r="G562" s="110"/>
      <c r="H562" s="110"/>
      <c r="I562" s="33">
        <v>512600</v>
      </c>
      <c r="J562" s="31">
        <f t="shared" si="276"/>
        <v>6200</v>
      </c>
      <c r="K562" s="156" t="b">
        <f t="shared" si="275"/>
        <v>0</v>
      </c>
      <c r="L562" s="5"/>
      <c r="M562" s="5"/>
      <c r="N562" s="5"/>
      <c r="O562" s="5"/>
      <c r="Q562" s="5"/>
    </row>
    <row r="563" spans="1:17">
      <c r="A563" s="130" t="s">
        <v>135</v>
      </c>
      <c r="B563" s="135" t="s">
        <v>32</v>
      </c>
      <c r="C563" s="33">
        <v>47300</v>
      </c>
      <c r="D563" s="32"/>
      <c r="E563" s="33">
        <v>5000</v>
      </c>
      <c r="F563" s="110">
        <v>6500</v>
      </c>
      <c r="G563" s="110"/>
      <c r="H563" s="33">
        <v>20000</v>
      </c>
      <c r="I563" s="33">
        <v>8000</v>
      </c>
      <c r="J563" s="31">
        <f t="shared" si="276"/>
        <v>30800</v>
      </c>
      <c r="K563" s="156" t="b">
        <f t="shared" si="275"/>
        <v>0</v>
      </c>
      <c r="L563" s="5"/>
      <c r="M563" s="5"/>
      <c r="N563" s="5"/>
      <c r="O563" s="5"/>
      <c r="Q563" s="5"/>
    </row>
    <row r="564" spans="1:17">
      <c r="A564" s="130" t="s">
        <v>135</v>
      </c>
      <c r="B564" s="136" t="s">
        <v>114</v>
      </c>
      <c r="C564" s="33">
        <v>79600</v>
      </c>
      <c r="D564" s="127"/>
      <c r="E564" s="53"/>
      <c r="F564" s="53"/>
      <c r="G564" s="147"/>
      <c r="H564" s="53"/>
      <c r="I564" s="53">
        <v>37707</v>
      </c>
      <c r="J564" s="31">
        <f t="shared" si="276"/>
        <v>41893</v>
      </c>
      <c r="K564" s="156" t="b">
        <f t="shared" si="275"/>
        <v>0</v>
      </c>
      <c r="L564" s="5"/>
      <c r="M564" s="5"/>
      <c r="N564" s="5"/>
      <c r="O564" s="5"/>
      <c r="Q564" s="5"/>
    </row>
    <row r="565" spans="1:17">
      <c r="A565" s="35" t="s">
        <v>61</v>
      </c>
      <c r="B565" s="36"/>
      <c r="C565" s="36"/>
      <c r="D565" s="36"/>
      <c r="E565" s="36"/>
      <c r="F565" s="36"/>
      <c r="G565" s="36"/>
      <c r="H565" s="36"/>
      <c r="I565" s="36"/>
      <c r="J565" s="37"/>
      <c r="K565" s="155"/>
      <c r="L565" s="5"/>
      <c r="M565" s="5"/>
      <c r="N565" s="5"/>
      <c r="O565" s="5"/>
      <c r="Q565" s="5"/>
    </row>
    <row r="566" spans="1:17">
      <c r="A566" s="130" t="s">
        <v>135</v>
      </c>
      <c r="B566" s="38" t="s">
        <v>62</v>
      </c>
      <c r="C566" s="39">
        <v>467929</v>
      </c>
      <c r="D566" s="51">
        <v>6310000</v>
      </c>
      <c r="E566" s="109"/>
      <c r="F566" s="51">
        <v>74184</v>
      </c>
      <c r="G566" s="148"/>
      <c r="H566" s="139">
        <v>4180000</v>
      </c>
      <c r="I566" s="134">
        <v>1710965</v>
      </c>
      <c r="J566" s="46">
        <f>+SUM(C566:G566)-(H566+I566)</f>
        <v>961148</v>
      </c>
      <c r="K566" s="156" t="b">
        <f>J566=I504</f>
        <v>0</v>
      </c>
      <c r="L566" s="5"/>
      <c r="M566" s="5"/>
      <c r="N566" s="5"/>
      <c r="O566" s="5"/>
      <c r="Q566" s="5"/>
    </row>
    <row r="567" spans="1:17">
      <c r="A567" s="44" t="s">
        <v>63</v>
      </c>
      <c r="B567" s="25"/>
      <c r="C567" s="36"/>
      <c r="D567" s="25"/>
      <c r="E567" s="25"/>
      <c r="F567" s="25"/>
      <c r="G567" s="25"/>
      <c r="H567" s="25"/>
      <c r="I567" s="25"/>
      <c r="J567" s="37"/>
      <c r="K567" s="155"/>
      <c r="L567" s="5"/>
      <c r="M567" s="5"/>
      <c r="N567" s="5"/>
      <c r="O567" s="5"/>
      <c r="Q567" s="5"/>
    </row>
    <row r="568" spans="1:17">
      <c r="A568" s="130" t="s">
        <v>135</v>
      </c>
      <c r="B568" s="38" t="s">
        <v>64</v>
      </c>
      <c r="C568" s="133">
        <v>7405927</v>
      </c>
      <c r="D568" s="140"/>
      <c r="E568" s="51"/>
      <c r="F568" s="51"/>
      <c r="G568" s="51"/>
      <c r="H568" s="53">
        <v>2000000</v>
      </c>
      <c r="I568" s="55">
        <v>1710232</v>
      </c>
      <c r="J568" s="46">
        <f>+SUM(C568:G568)-(H568+I568)</f>
        <v>3695695</v>
      </c>
      <c r="K568" s="156" t="e">
        <f>+J568=#REF!</f>
        <v>#REF!</v>
      </c>
      <c r="L568" s="5"/>
      <c r="M568" s="5"/>
      <c r="N568" s="5"/>
      <c r="O568" s="5"/>
      <c r="Q568" s="5"/>
    </row>
    <row r="569" spans="1:17">
      <c r="A569" s="130" t="s">
        <v>135</v>
      </c>
      <c r="B569" s="38" t="s">
        <v>65</v>
      </c>
      <c r="C569" s="133">
        <v>22972065</v>
      </c>
      <c r="D569" s="51"/>
      <c r="E569" s="50"/>
      <c r="F569" s="50"/>
      <c r="G569" s="50"/>
      <c r="H569" s="33">
        <v>4310000</v>
      </c>
      <c r="I569" s="52">
        <v>3055511</v>
      </c>
      <c r="J569" s="46">
        <f>SUM(C569:G569)-(H569+I569)</f>
        <v>15606554</v>
      </c>
      <c r="K569" s="156" t="b">
        <f>+J569=I503</f>
        <v>0</v>
      </c>
      <c r="L569" s="5"/>
      <c r="M569" s="5"/>
      <c r="N569" s="5"/>
      <c r="O569" s="5"/>
      <c r="Q569" s="5"/>
    </row>
    <row r="570" spans="1:17" ht="15.75">
      <c r="C570" s="151">
        <f>SUM(C552:C569)</f>
        <v>31712043</v>
      </c>
      <c r="I570" s="149">
        <f>SUM(I552:I569)</f>
        <v>10359300</v>
      </c>
      <c r="J570" s="111">
        <f>+SUM(J552:J569)</f>
        <v>21352743</v>
      </c>
      <c r="K570" s="5" t="b">
        <f>J570=I516</f>
        <v>0</v>
      </c>
      <c r="L570" s="5"/>
      <c r="M570" s="5"/>
      <c r="N570" s="5"/>
      <c r="O570" s="5"/>
      <c r="Q570" s="5"/>
    </row>
    <row r="571" spans="1:17" ht="16.5">
      <c r="A571" s="14"/>
      <c r="B571" s="15"/>
      <c r="C571" s="12"/>
      <c r="D571" s="12"/>
      <c r="E571" s="13"/>
      <c r="F571" s="12"/>
      <c r="G571" s="12"/>
      <c r="H571" s="12"/>
      <c r="I571" s="12"/>
      <c r="L571" s="5"/>
      <c r="M571" s="5"/>
      <c r="N571" s="5"/>
      <c r="O571" s="5"/>
      <c r="Q571" s="5"/>
    </row>
    <row r="572" spans="1:17">
      <c r="A572" s="16" t="s">
        <v>53</v>
      </c>
      <c r="B572" s="16"/>
      <c r="C572" s="16"/>
      <c r="D572" s="17"/>
      <c r="E572" s="17"/>
      <c r="F572" s="17"/>
      <c r="G572" s="17"/>
      <c r="H572" s="17"/>
      <c r="I572" s="17"/>
      <c r="L572" s="5"/>
      <c r="M572" s="5"/>
      <c r="N572" s="5"/>
      <c r="O572" s="5"/>
      <c r="Q572" s="5"/>
    </row>
    <row r="573" spans="1:17">
      <c r="A573" s="18" t="s">
        <v>125</v>
      </c>
      <c r="B573" s="18"/>
      <c r="C573" s="18"/>
      <c r="D573" s="18"/>
      <c r="E573" s="18"/>
      <c r="F573" s="18"/>
      <c r="G573" s="18"/>
      <c r="H573" s="18"/>
      <c r="I573" s="18"/>
      <c r="J573" s="17"/>
      <c r="L573" s="5"/>
      <c r="M573" s="5"/>
      <c r="N573" s="5"/>
      <c r="O573" s="5"/>
      <c r="Q573" s="5"/>
    </row>
    <row r="574" spans="1:17">
      <c r="A574" s="19"/>
      <c r="B574" s="20"/>
      <c r="C574" s="21"/>
      <c r="D574" s="21"/>
      <c r="E574" s="21"/>
      <c r="F574" s="21"/>
      <c r="G574" s="21"/>
      <c r="H574" s="20"/>
      <c r="I574" s="20"/>
      <c r="J574" s="18"/>
      <c r="L574" s="5"/>
      <c r="M574" s="5"/>
      <c r="N574" s="5"/>
      <c r="O574" s="5"/>
      <c r="Q574" s="5"/>
    </row>
    <row r="575" spans="1:17">
      <c r="A575" s="506" t="s">
        <v>54</v>
      </c>
      <c r="B575" s="508" t="s">
        <v>55</v>
      </c>
      <c r="C575" s="510" t="s">
        <v>126</v>
      </c>
      <c r="D575" s="512" t="s">
        <v>56</v>
      </c>
      <c r="E575" s="513"/>
      <c r="F575" s="513"/>
      <c r="G575" s="514"/>
      <c r="H575" s="515" t="s">
        <v>57</v>
      </c>
      <c r="I575" s="502" t="s">
        <v>58</v>
      </c>
      <c r="J575" s="20"/>
      <c r="L575" s="5"/>
      <c r="M575" s="5"/>
      <c r="N575" s="5"/>
      <c r="O575" s="5"/>
      <c r="Q575" s="5"/>
    </row>
    <row r="576" spans="1:17">
      <c r="A576" s="507"/>
      <c r="B576" s="509"/>
      <c r="C576" s="511"/>
      <c r="D576" s="22" t="s">
        <v>24</v>
      </c>
      <c r="E576" s="22" t="s">
        <v>25</v>
      </c>
      <c r="F576" s="166" t="s">
        <v>124</v>
      </c>
      <c r="G576" s="22" t="s">
        <v>59</v>
      </c>
      <c r="H576" s="516"/>
      <c r="I576" s="503"/>
      <c r="J576" s="504" t="s">
        <v>127</v>
      </c>
      <c r="K576" s="155"/>
      <c r="L576" s="5"/>
      <c r="M576" s="5"/>
      <c r="N576" s="5"/>
      <c r="O576" s="5"/>
      <c r="Q576" s="5"/>
    </row>
    <row r="577" spans="1:17">
      <c r="A577" s="24"/>
      <c r="B577" s="25" t="s">
        <v>60</v>
      </c>
      <c r="C577" s="26"/>
      <c r="D577" s="26"/>
      <c r="E577" s="26"/>
      <c r="F577" s="26"/>
      <c r="G577" s="26"/>
      <c r="H577" s="26"/>
      <c r="I577" s="27"/>
      <c r="J577" s="505"/>
      <c r="K577" s="155"/>
      <c r="L577" s="5"/>
      <c r="M577" s="5"/>
      <c r="N577" s="5"/>
      <c r="O577" s="5"/>
      <c r="Q577" s="5"/>
    </row>
    <row r="578" spans="1:17">
      <c r="A578" s="130" t="s">
        <v>128</v>
      </c>
      <c r="B578" s="135" t="s">
        <v>77</v>
      </c>
      <c r="C578" s="33">
        <v>-450</v>
      </c>
      <c r="D578" s="32"/>
      <c r="E578" s="33">
        <v>168000</v>
      </c>
      <c r="F578" s="33">
        <v>55000</v>
      </c>
      <c r="G578" s="33"/>
      <c r="H578" s="57"/>
      <c r="I578" s="33">
        <v>182500</v>
      </c>
      <c r="J578" s="31">
        <f>+SUM(C578:G578)-(H578+I578)</f>
        <v>40050</v>
      </c>
      <c r="K578" s="156"/>
      <c r="L578" s="5"/>
      <c r="M578" s="5"/>
      <c r="N578" s="5"/>
      <c r="O578" s="5"/>
      <c r="Q578" s="5"/>
    </row>
    <row r="579" spans="1:17">
      <c r="A579" s="130" t="s">
        <v>128</v>
      </c>
      <c r="B579" s="135" t="s">
        <v>48</v>
      </c>
      <c r="C579" s="33">
        <v>12510</v>
      </c>
      <c r="D579" s="32"/>
      <c r="E579" s="33">
        <v>303000</v>
      </c>
      <c r="F579" s="33"/>
      <c r="G579" s="33"/>
      <c r="H579" s="57"/>
      <c r="I579" s="33">
        <v>276665</v>
      </c>
      <c r="J579" s="31">
        <f t="shared" ref="J579:J580" si="277">+SUM(C579:G579)-(H579+I579)</f>
        <v>38845</v>
      </c>
      <c r="K579" s="156"/>
      <c r="L579" s="5"/>
      <c r="M579" s="5"/>
      <c r="N579" s="5"/>
      <c r="O579" s="5"/>
      <c r="Q579" s="5"/>
    </row>
    <row r="580" spans="1:17">
      <c r="A580" s="130" t="s">
        <v>128</v>
      </c>
      <c r="B580" s="135" t="s">
        <v>31</v>
      </c>
      <c r="C580" s="33">
        <v>2895</v>
      </c>
      <c r="D580" s="32"/>
      <c r="E580" s="33">
        <v>40000</v>
      </c>
      <c r="F580" s="33"/>
      <c r="G580" s="33"/>
      <c r="H580" s="33"/>
      <c r="I580" s="33">
        <v>36000</v>
      </c>
      <c r="J580" s="107">
        <f t="shared" si="277"/>
        <v>6895</v>
      </c>
      <c r="K580" s="156"/>
      <c r="L580" s="5"/>
      <c r="M580" s="5"/>
      <c r="N580" s="5"/>
      <c r="O580" s="5"/>
      <c r="Q580" s="5"/>
    </row>
    <row r="581" spans="1:17">
      <c r="A581" s="130" t="s">
        <v>128</v>
      </c>
      <c r="B581" s="135" t="s">
        <v>78</v>
      </c>
      <c r="C581" s="33">
        <v>62040</v>
      </c>
      <c r="D581" s="110"/>
      <c r="E581" s="33"/>
      <c r="F581" s="33"/>
      <c r="G581" s="33"/>
      <c r="H581" s="33">
        <v>25000</v>
      </c>
      <c r="I581" s="33">
        <v>8500</v>
      </c>
      <c r="J581" s="107">
        <f>+SUM(C581:G581)-(H581+I581)</f>
        <v>28540</v>
      </c>
      <c r="K581" s="156"/>
      <c r="L581" s="5"/>
      <c r="M581" s="5"/>
      <c r="N581" s="5"/>
      <c r="O581" s="5"/>
      <c r="Q581" s="5"/>
    </row>
    <row r="582" spans="1:17">
      <c r="A582" s="130" t="s">
        <v>128</v>
      </c>
      <c r="B582" s="135" t="s">
        <v>70</v>
      </c>
      <c r="C582" s="33">
        <v>184</v>
      </c>
      <c r="D582" s="110"/>
      <c r="E582" s="33">
        <v>0</v>
      </c>
      <c r="F582" s="33"/>
      <c r="G582" s="33"/>
      <c r="H582" s="33"/>
      <c r="I582" s="33">
        <v>0</v>
      </c>
      <c r="J582" s="107">
        <f t="shared" ref="J582" si="278">+SUM(C582:G582)-(H582+I582)</f>
        <v>184</v>
      </c>
      <c r="K582" s="156"/>
      <c r="L582" s="5"/>
      <c r="M582" s="5"/>
      <c r="N582" s="5"/>
      <c r="O582" s="5"/>
      <c r="Q582" s="5"/>
    </row>
    <row r="583" spans="1:17">
      <c r="A583" s="130" t="s">
        <v>128</v>
      </c>
      <c r="B583" s="136" t="s">
        <v>30</v>
      </c>
      <c r="C583" s="33">
        <v>-36500</v>
      </c>
      <c r="D583" s="127"/>
      <c r="E583" s="53">
        <v>523500</v>
      </c>
      <c r="F583" s="53"/>
      <c r="G583" s="53"/>
      <c r="H583" s="53"/>
      <c r="I583" s="53">
        <v>418800</v>
      </c>
      <c r="J583" s="132">
        <f>+SUM(C583:G583)-(H583+I583)</f>
        <v>68200</v>
      </c>
      <c r="K583" s="156"/>
      <c r="L583" s="5"/>
      <c r="M583" s="5"/>
      <c r="N583" s="5"/>
      <c r="O583" s="5"/>
      <c r="Q583" s="5"/>
    </row>
    <row r="584" spans="1:17">
      <c r="A584" s="130" t="s">
        <v>128</v>
      </c>
      <c r="B584" s="137" t="s">
        <v>85</v>
      </c>
      <c r="C584" s="128">
        <v>233614</v>
      </c>
      <c r="D584" s="131"/>
      <c r="E584" s="146"/>
      <c r="F584" s="146"/>
      <c r="G584" s="146"/>
      <c r="H584" s="146"/>
      <c r="I584" s="146"/>
      <c r="J584" s="129">
        <f>+SUM(C584:G584)-(H584+I584)</f>
        <v>233614</v>
      </c>
      <c r="K584" s="156"/>
      <c r="L584" s="5"/>
      <c r="M584" s="5"/>
      <c r="N584" s="5"/>
      <c r="O584" s="5"/>
      <c r="Q584" s="5"/>
    </row>
    <row r="585" spans="1:17">
      <c r="A585" s="130" t="s">
        <v>128</v>
      </c>
      <c r="B585" s="137" t="s">
        <v>84</v>
      </c>
      <c r="C585" s="128">
        <v>249769</v>
      </c>
      <c r="D585" s="131"/>
      <c r="E585" s="146"/>
      <c r="F585" s="146"/>
      <c r="G585" s="146"/>
      <c r="H585" s="146"/>
      <c r="I585" s="146"/>
      <c r="J585" s="129">
        <f t="shared" ref="J585:J590" si="279">+SUM(C585:G585)-(H585+I585)</f>
        <v>249769</v>
      </c>
      <c r="K585" s="156"/>
      <c r="L585" s="5"/>
      <c r="M585" s="5"/>
      <c r="N585" s="5"/>
      <c r="O585" s="5"/>
      <c r="Q585" s="5"/>
    </row>
    <row r="586" spans="1:17">
      <c r="A586" s="130" t="s">
        <v>128</v>
      </c>
      <c r="B586" s="135" t="s">
        <v>36</v>
      </c>
      <c r="C586" s="33">
        <v>71200</v>
      </c>
      <c r="D586" s="32"/>
      <c r="E586" s="33">
        <v>1056000</v>
      </c>
      <c r="F586" s="33"/>
      <c r="G586" s="110"/>
      <c r="H586" s="110">
        <v>55000</v>
      </c>
      <c r="I586" s="33">
        <v>1076875</v>
      </c>
      <c r="J586" s="31">
        <f t="shared" si="279"/>
        <v>-4675</v>
      </c>
      <c r="K586" s="156"/>
      <c r="L586" s="5"/>
      <c r="M586" s="5"/>
      <c r="N586" s="5"/>
      <c r="O586" s="5"/>
      <c r="Q586" s="5"/>
    </row>
    <row r="587" spans="1:17">
      <c r="A587" s="130" t="s">
        <v>128</v>
      </c>
      <c r="B587" s="135" t="s">
        <v>94</v>
      </c>
      <c r="C587" s="33">
        <v>6000</v>
      </c>
      <c r="D587" s="32"/>
      <c r="E587" s="33">
        <v>20000</v>
      </c>
      <c r="F587" s="110"/>
      <c r="G587" s="110"/>
      <c r="H587" s="110"/>
      <c r="I587" s="33">
        <v>21000</v>
      </c>
      <c r="J587" s="31">
        <f t="shared" si="279"/>
        <v>5000</v>
      </c>
      <c r="K587" s="156"/>
      <c r="L587" s="5"/>
      <c r="M587" s="5"/>
      <c r="N587" s="5"/>
      <c r="O587" s="5"/>
      <c r="Q587" s="5"/>
    </row>
    <row r="588" spans="1:17">
      <c r="A588" s="130" t="s">
        <v>128</v>
      </c>
      <c r="B588" s="135" t="s">
        <v>29</v>
      </c>
      <c r="C588" s="33">
        <v>167700</v>
      </c>
      <c r="D588" s="32"/>
      <c r="E588" s="33">
        <v>473000</v>
      </c>
      <c r="F588" s="110"/>
      <c r="G588" s="110"/>
      <c r="H588" s="110"/>
      <c r="I588" s="33">
        <v>567900</v>
      </c>
      <c r="J588" s="31">
        <f t="shared" si="279"/>
        <v>72800</v>
      </c>
      <c r="K588" s="156"/>
      <c r="L588" s="5"/>
      <c r="M588" s="5"/>
      <c r="N588" s="5"/>
      <c r="O588" s="5"/>
      <c r="Q588" s="5"/>
    </row>
    <row r="589" spans="1:17">
      <c r="A589" s="130" t="s">
        <v>128</v>
      </c>
      <c r="B589" s="135" t="s">
        <v>32</v>
      </c>
      <c r="C589" s="33">
        <v>65300</v>
      </c>
      <c r="D589" s="32"/>
      <c r="E589" s="33">
        <v>10000</v>
      </c>
      <c r="F589" s="110"/>
      <c r="G589" s="110"/>
      <c r="H589" s="110">
        <v>20000</v>
      </c>
      <c r="I589" s="33">
        <v>8000</v>
      </c>
      <c r="J589" s="31">
        <f t="shared" si="279"/>
        <v>47300</v>
      </c>
      <c r="K589" s="156"/>
      <c r="L589" s="5"/>
      <c r="M589" s="5"/>
      <c r="N589" s="5"/>
      <c r="O589" s="5"/>
      <c r="Q589" s="5"/>
    </row>
    <row r="590" spans="1:17">
      <c r="A590" s="130" t="s">
        <v>128</v>
      </c>
      <c r="B590" s="136" t="s">
        <v>114</v>
      </c>
      <c r="C590" s="33">
        <v>-11700</v>
      </c>
      <c r="D590" s="127"/>
      <c r="E590" s="53">
        <v>385800</v>
      </c>
      <c r="F590" s="53"/>
      <c r="G590" s="147"/>
      <c r="H590" s="53"/>
      <c r="I590" s="53">
        <v>294500</v>
      </c>
      <c r="J590" s="31">
        <f t="shared" si="279"/>
        <v>79600</v>
      </c>
      <c r="K590" s="156"/>
      <c r="L590" s="5"/>
      <c r="M590" s="5"/>
      <c r="N590" s="5"/>
      <c r="O590" s="5"/>
      <c r="Q590" s="5"/>
    </row>
    <row r="591" spans="1:17">
      <c r="A591" s="35" t="s">
        <v>61</v>
      </c>
      <c r="B591" s="36"/>
      <c r="C591" s="36"/>
      <c r="D591" s="36"/>
      <c r="E591" s="36"/>
      <c r="F591" s="36"/>
      <c r="G591" s="36"/>
      <c r="H591" s="36"/>
      <c r="I591" s="36"/>
      <c r="J591" s="37"/>
      <c r="K591" s="155"/>
      <c r="L591" s="5"/>
      <c r="M591" s="5"/>
      <c r="N591" s="5"/>
      <c r="O591" s="5"/>
      <c r="Q591" s="5"/>
    </row>
    <row r="592" spans="1:17">
      <c r="A592" s="130" t="s">
        <v>128</v>
      </c>
      <c r="B592" s="38" t="s">
        <v>62</v>
      </c>
      <c r="C592" s="39">
        <v>1672959</v>
      </c>
      <c r="D592" s="51">
        <v>3341000</v>
      </c>
      <c r="E592" s="109"/>
      <c r="F592" s="109">
        <v>45000</v>
      </c>
      <c r="G592" s="148"/>
      <c r="H592" s="139">
        <v>2979300</v>
      </c>
      <c r="I592" s="134">
        <v>1611730</v>
      </c>
      <c r="J592" s="46">
        <f>+SUM(C592:G592)-(H592+I592)</f>
        <v>467929</v>
      </c>
      <c r="K592" s="156"/>
      <c r="L592" s="5"/>
      <c r="M592" s="5"/>
      <c r="N592" s="5"/>
      <c r="O592" s="5"/>
      <c r="Q592" s="5"/>
    </row>
    <row r="593" spans="1:17">
      <c r="A593" s="44" t="s">
        <v>63</v>
      </c>
      <c r="B593" s="25"/>
      <c r="C593" s="36"/>
      <c r="D593" s="25"/>
      <c r="E593" s="25"/>
      <c r="F593" s="25"/>
      <c r="G593" s="25"/>
      <c r="H593" s="25"/>
      <c r="I593" s="25"/>
      <c r="J593" s="37"/>
      <c r="K593" s="155"/>
      <c r="L593" s="5"/>
      <c r="M593" s="5"/>
      <c r="N593" s="5"/>
      <c r="O593" s="5"/>
      <c r="Q593" s="5"/>
    </row>
    <row r="594" spans="1:17">
      <c r="A594" s="130" t="s">
        <v>128</v>
      </c>
      <c r="B594" s="38" t="s">
        <v>64</v>
      </c>
      <c r="C594" s="133">
        <v>2957378</v>
      </c>
      <c r="D594" s="140">
        <v>7828953</v>
      </c>
      <c r="E594" s="51"/>
      <c r="F594" s="51"/>
      <c r="G594" s="51"/>
      <c r="H594" s="53">
        <v>3000000</v>
      </c>
      <c r="I594" s="55">
        <v>380404</v>
      </c>
      <c r="J594" s="46">
        <f>+SUM(C594:G594)-(H594+I594)</f>
        <v>7405927</v>
      </c>
      <c r="K594" s="156"/>
      <c r="L594" s="5"/>
      <c r="M594" s="5"/>
      <c r="N594" s="5"/>
      <c r="O594" s="5"/>
      <c r="Q594" s="5"/>
    </row>
    <row r="595" spans="1:17">
      <c r="A595" s="130" t="s">
        <v>128</v>
      </c>
      <c r="B595" s="38" t="s">
        <v>65</v>
      </c>
      <c r="C595" s="133">
        <v>28018504</v>
      </c>
      <c r="D595" s="51"/>
      <c r="E595" s="50"/>
      <c r="F595" s="50"/>
      <c r="G595" s="50"/>
      <c r="H595" s="33">
        <v>341000</v>
      </c>
      <c r="I595" s="52">
        <v>4705439</v>
      </c>
      <c r="J595" s="46">
        <f>SUM(C595:G595)-(H595+I595)</f>
        <v>22972065</v>
      </c>
      <c r="K595" s="156"/>
      <c r="L595" s="5"/>
      <c r="M595" s="5"/>
      <c r="N595" s="5"/>
      <c r="O595" s="5"/>
      <c r="Q595" s="5"/>
    </row>
    <row r="596" spans="1:17" ht="15.75">
      <c r="C596" s="151">
        <f>SUM(C578:C595)</f>
        <v>33471403</v>
      </c>
      <c r="I596" s="149">
        <f>SUM(I578:I595)</f>
        <v>9588313</v>
      </c>
      <c r="J596" s="111">
        <f>+SUM(J578:J595)</f>
        <v>31712043</v>
      </c>
      <c r="L596" s="5"/>
      <c r="M596" s="5"/>
      <c r="N596" s="5"/>
      <c r="O596" s="5"/>
      <c r="Q596" s="5"/>
    </row>
    <row r="597" spans="1:17" ht="16.5">
      <c r="A597" s="14"/>
      <c r="B597" s="15"/>
      <c r="C597" s="12" t="e">
        <f>C596=C516</f>
        <v>#REF!</v>
      </c>
      <c r="D597" s="12"/>
      <c r="E597" s="13"/>
      <c r="F597" s="12"/>
      <c r="G597" s="12"/>
      <c r="H597" s="12"/>
      <c r="I597" s="12"/>
      <c r="L597" s="5"/>
      <c r="M597" s="5"/>
      <c r="N597" s="5"/>
      <c r="O597" s="5"/>
      <c r="Q597" s="5"/>
    </row>
    <row r="598" spans="1:17">
      <c r="A598" s="16" t="s">
        <v>53</v>
      </c>
      <c r="B598" s="16"/>
      <c r="C598" s="16"/>
      <c r="D598" s="17"/>
      <c r="E598" s="17"/>
      <c r="F598" s="17"/>
      <c r="G598" s="17"/>
      <c r="H598" s="17"/>
      <c r="I598" s="17"/>
      <c r="L598" s="5"/>
      <c r="M598" s="5"/>
      <c r="N598" s="5"/>
      <c r="O598" s="5"/>
      <c r="Q598" s="5"/>
    </row>
    <row r="599" spans="1:17">
      <c r="A599" s="18" t="s">
        <v>120</v>
      </c>
      <c r="B599" s="18"/>
      <c r="C599" s="18"/>
      <c r="D599" s="18"/>
      <c r="E599" s="18"/>
      <c r="F599" s="18"/>
      <c r="G599" s="18"/>
      <c r="H599" s="18"/>
      <c r="I599" s="18"/>
      <c r="J599" s="17"/>
      <c r="L599" s="5"/>
      <c r="M599" s="5"/>
      <c r="N599" s="5"/>
      <c r="O599" s="5"/>
      <c r="Q599" s="5"/>
    </row>
    <row r="600" spans="1:17">
      <c r="A600" s="19"/>
      <c r="B600" s="20"/>
      <c r="C600" s="21"/>
      <c r="D600" s="21"/>
      <c r="E600" s="21"/>
      <c r="F600" s="21"/>
      <c r="G600" s="21"/>
      <c r="H600" s="20"/>
      <c r="I600" s="20"/>
      <c r="J600" s="18"/>
      <c r="L600" s="5"/>
      <c r="M600" s="5"/>
      <c r="N600" s="5"/>
      <c r="O600" s="5"/>
      <c r="Q600" s="5"/>
    </row>
    <row r="601" spans="1:17">
      <c r="A601" s="506" t="s">
        <v>54</v>
      </c>
      <c r="B601" s="508" t="s">
        <v>55</v>
      </c>
      <c r="C601" s="510" t="s">
        <v>122</v>
      </c>
      <c r="D601" s="512" t="s">
        <v>56</v>
      </c>
      <c r="E601" s="513"/>
      <c r="F601" s="513"/>
      <c r="G601" s="514"/>
      <c r="H601" s="515" t="s">
        <v>57</v>
      </c>
      <c r="I601" s="502" t="s">
        <v>58</v>
      </c>
      <c r="J601" s="20"/>
      <c r="L601" s="5"/>
      <c r="M601" s="5"/>
      <c r="N601" s="5"/>
      <c r="O601" s="5"/>
      <c r="Q601" s="5"/>
    </row>
    <row r="602" spans="1:17">
      <c r="A602" s="507"/>
      <c r="B602" s="509"/>
      <c r="C602" s="511"/>
      <c r="D602" s="22" t="s">
        <v>24</v>
      </c>
      <c r="E602" s="22" t="s">
        <v>25</v>
      </c>
      <c r="F602" s="154" t="s">
        <v>124</v>
      </c>
      <c r="G602" s="22" t="s">
        <v>59</v>
      </c>
      <c r="H602" s="516"/>
      <c r="I602" s="503"/>
      <c r="J602" s="504" t="s">
        <v>123</v>
      </c>
      <c r="K602" s="155"/>
      <c r="L602" s="5"/>
      <c r="M602" s="5"/>
      <c r="N602" s="5"/>
      <c r="O602" s="5"/>
      <c r="Q602" s="5"/>
    </row>
    <row r="603" spans="1:17">
      <c r="A603" s="24"/>
      <c r="B603" s="25" t="s">
        <v>60</v>
      </c>
      <c r="C603" s="26"/>
      <c r="D603" s="26"/>
      <c r="E603" s="26"/>
      <c r="F603" s="26"/>
      <c r="G603" s="26"/>
      <c r="H603" s="26"/>
      <c r="I603" s="27"/>
      <c r="J603" s="505"/>
      <c r="K603" s="155"/>
      <c r="L603" s="5"/>
      <c r="M603" s="5"/>
      <c r="N603" s="5"/>
      <c r="O603" s="5"/>
      <c r="Q603" s="5"/>
    </row>
    <row r="604" spans="1:17">
      <c r="A604" s="130" t="s">
        <v>121</v>
      </c>
      <c r="B604" s="135" t="s">
        <v>77</v>
      </c>
      <c r="C604" s="33">
        <v>7670</v>
      </c>
      <c r="D604" s="32"/>
      <c r="E604" s="33">
        <v>438000</v>
      </c>
      <c r="F604" s="33"/>
      <c r="G604" s="33"/>
      <c r="H604" s="57">
        <v>40000</v>
      </c>
      <c r="I604" s="33">
        <v>406120</v>
      </c>
      <c r="J604" s="31">
        <f>+SUM(C604:G604)-(H604+I604)</f>
        <v>-450</v>
      </c>
      <c r="K604" s="156" t="e">
        <f>J604=#REF!</f>
        <v>#REF!</v>
      </c>
      <c r="L604" s="5"/>
      <c r="M604" s="5"/>
      <c r="N604" s="5"/>
      <c r="O604" s="5"/>
      <c r="Q604" s="5"/>
    </row>
    <row r="605" spans="1:17">
      <c r="A605" s="130" t="s">
        <v>121</v>
      </c>
      <c r="B605" s="135" t="s">
        <v>48</v>
      </c>
      <c r="C605" s="33">
        <v>4710</v>
      </c>
      <c r="D605" s="32"/>
      <c r="E605" s="33">
        <v>303000</v>
      </c>
      <c r="F605" s="33">
        <f>25000+91000+62000</f>
        <v>178000</v>
      </c>
      <c r="G605" s="33"/>
      <c r="H605" s="57">
        <v>29000</v>
      </c>
      <c r="I605" s="33">
        <v>444200</v>
      </c>
      <c r="J605" s="31">
        <f t="shared" ref="J605:J606" si="280">+SUM(C605:G605)-(H605+I605)</f>
        <v>12510</v>
      </c>
      <c r="K605" s="156" t="b">
        <f>J605=I505</f>
        <v>0</v>
      </c>
      <c r="L605" s="5"/>
      <c r="M605" s="5"/>
      <c r="N605" s="5"/>
      <c r="O605" s="5"/>
      <c r="Q605" s="5"/>
    </row>
    <row r="606" spans="1:17">
      <c r="A606" s="130" t="s">
        <v>121</v>
      </c>
      <c r="B606" s="135" t="s">
        <v>31</v>
      </c>
      <c r="C606" s="33">
        <v>9295</v>
      </c>
      <c r="D606" s="32"/>
      <c r="E606" s="33">
        <v>743000</v>
      </c>
      <c r="F606" s="33">
        <v>2000</v>
      </c>
      <c r="G606" s="33"/>
      <c r="H606" s="33">
        <f>103000+91000+137000+101000+91000</f>
        <v>523000</v>
      </c>
      <c r="I606" s="33">
        <v>228400</v>
      </c>
      <c r="J606" s="107">
        <f t="shared" si="280"/>
        <v>2895</v>
      </c>
      <c r="K606" s="156" t="b">
        <f>J606=I506</f>
        <v>0</v>
      </c>
      <c r="L606" s="5"/>
      <c r="M606" s="5"/>
      <c r="N606" s="5"/>
      <c r="O606" s="5"/>
      <c r="Q606" s="5"/>
    </row>
    <row r="607" spans="1:17">
      <c r="A607" s="130" t="s">
        <v>121</v>
      </c>
      <c r="B607" s="135" t="s">
        <v>78</v>
      </c>
      <c r="C607" s="33">
        <v>-25100</v>
      </c>
      <c r="D607" s="110"/>
      <c r="E607" s="33">
        <v>121100</v>
      </c>
      <c r="F607" s="33">
        <f>103000+1000+28000+137000</f>
        <v>269000</v>
      </c>
      <c r="G607" s="33"/>
      <c r="H607" s="33"/>
      <c r="I607" s="33">
        <v>302960</v>
      </c>
      <c r="J607" s="107">
        <f>+SUM(C607:G607)-(H607+I607)</f>
        <v>62040</v>
      </c>
      <c r="K607" s="156" t="b">
        <f>J607=I507</f>
        <v>0</v>
      </c>
      <c r="L607" s="5"/>
      <c r="M607" s="5"/>
      <c r="N607" s="5"/>
      <c r="O607" s="5"/>
      <c r="Q607" s="5"/>
    </row>
    <row r="608" spans="1:17">
      <c r="A608" s="130" t="s">
        <v>121</v>
      </c>
      <c r="B608" s="135" t="s">
        <v>70</v>
      </c>
      <c r="C608" s="33">
        <v>7384</v>
      </c>
      <c r="D608" s="110"/>
      <c r="E608" s="33">
        <v>319000</v>
      </c>
      <c r="F608" s="33">
        <v>101000</v>
      </c>
      <c r="G608" s="33"/>
      <c r="H608" s="33">
        <v>62000</v>
      </c>
      <c r="I608" s="33">
        <v>365200</v>
      </c>
      <c r="J608" s="107">
        <f t="shared" ref="J608" si="281">+SUM(C608:G608)-(H608+I608)</f>
        <v>184</v>
      </c>
      <c r="K608" s="156" t="e">
        <f>J608=#REF!</f>
        <v>#REF!</v>
      </c>
      <c r="L608" s="5"/>
      <c r="M608" s="5"/>
      <c r="N608" s="5"/>
      <c r="O608" s="5"/>
      <c r="Q608" s="5"/>
    </row>
    <row r="609" spans="1:17">
      <c r="A609" s="130" t="s">
        <v>121</v>
      </c>
      <c r="B609" s="136" t="s">
        <v>30</v>
      </c>
      <c r="C609" s="33">
        <v>61300</v>
      </c>
      <c r="D609" s="127"/>
      <c r="E609" s="53">
        <v>931200</v>
      </c>
      <c r="F609" s="53"/>
      <c r="G609" s="53"/>
      <c r="H609" s="53">
        <v>28000</v>
      </c>
      <c r="I609" s="53">
        <v>1001000</v>
      </c>
      <c r="J609" s="132">
        <f>+SUM(C609:G609)-(H609+I609)</f>
        <v>-36500</v>
      </c>
      <c r="K609" s="156" t="b">
        <f t="shared" ref="K609:K616" si="282">J609=I508</f>
        <v>0</v>
      </c>
      <c r="L609" s="5"/>
      <c r="M609" s="5"/>
      <c r="N609" s="5"/>
      <c r="O609" s="5"/>
      <c r="Q609" s="5"/>
    </row>
    <row r="610" spans="1:17">
      <c r="A610" s="130" t="s">
        <v>121</v>
      </c>
      <c r="B610" s="137" t="s">
        <v>85</v>
      </c>
      <c r="C610" s="128">
        <v>233614</v>
      </c>
      <c r="D610" s="131"/>
      <c r="E610" s="146"/>
      <c r="F610" s="146"/>
      <c r="G610" s="146"/>
      <c r="H610" s="146"/>
      <c r="I610" s="146"/>
      <c r="J610" s="129">
        <f>+SUM(C610:G610)-(H610+I610)</f>
        <v>233614</v>
      </c>
      <c r="K610" s="156" t="b">
        <f t="shared" si="282"/>
        <v>0</v>
      </c>
      <c r="L610" s="5"/>
      <c r="M610" s="5"/>
      <c r="N610" s="5"/>
      <c r="O610" s="5"/>
      <c r="Q610" s="5"/>
    </row>
    <row r="611" spans="1:17">
      <c r="A611" s="130" t="s">
        <v>121</v>
      </c>
      <c r="B611" s="137" t="s">
        <v>84</v>
      </c>
      <c r="C611" s="128">
        <v>249769</v>
      </c>
      <c r="D611" s="131"/>
      <c r="E611" s="146"/>
      <c r="F611" s="146"/>
      <c r="G611" s="146"/>
      <c r="H611" s="146"/>
      <c r="I611" s="146"/>
      <c r="J611" s="129">
        <f t="shared" ref="J611:J614" si="283">+SUM(C611:G611)-(H611+I611)</f>
        <v>249769</v>
      </c>
      <c r="K611" s="156" t="b">
        <f t="shared" si="282"/>
        <v>0</v>
      </c>
      <c r="L611" s="5"/>
      <c r="M611" s="5"/>
      <c r="N611" s="5"/>
      <c r="O611" s="5"/>
      <c r="Q611" s="5"/>
    </row>
    <row r="612" spans="1:17">
      <c r="A612" s="130" t="s">
        <v>121</v>
      </c>
      <c r="B612" s="135" t="s">
        <v>36</v>
      </c>
      <c r="C612" s="33">
        <v>4500</v>
      </c>
      <c r="D612" s="32"/>
      <c r="E612" s="33">
        <v>234000</v>
      </c>
      <c r="F612" s="33">
        <v>40000</v>
      </c>
      <c r="G612" s="110"/>
      <c r="H612" s="110"/>
      <c r="I612" s="33">
        <v>207300</v>
      </c>
      <c r="J612" s="31">
        <f t="shared" si="283"/>
        <v>71200</v>
      </c>
      <c r="K612" s="156" t="b">
        <f t="shared" si="282"/>
        <v>0</v>
      </c>
      <c r="L612" s="5"/>
      <c r="M612" s="5"/>
      <c r="N612" s="5"/>
      <c r="O612" s="5"/>
      <c r="Q612" s="5"/>
    </row>
    <row r="613" spans="1:17">
      <c r="A613" s="130" t="s">
        <v>121</v>
      </c>
      <c r="B613" s="135" t="s">
        <v>94</v>
      </c>
      <c r="C613" s="33">
        <v>-6000</v>
      </c>
      <c r="D613" s="32"/>
      <c r="E613" s="33">
        <v>61000</v>
      </c>
      <c r="F613" s="110"/>
      <c r="G613" s="110"/>
      <c r="H613" s="110"/>
      <c r="I613" s="33">
        <v>49000</v>
      </c>
      <c r="J613" s="31">
        <f t="shared" si="283"/>
        <v>6000</v>
      </c>
      <c r="K613" s="156" t="b">
        <f t="shared" si="282"/>
        <v>0</v>
      </c>
      <c r="L613" s="5"/>
      <c r="M613" s="5"/>
      <c r="N613" s="5"/>
      <c r="O613" s="5"/>
      <c r="Q613" s="5"/>
    </row>
    <row r="614" spans="1:17">
      <c r="A614" s="130" t="s">
        <v>121</v>
      </c>
      <c r="B614" s="135" t="s">
        <v>29</v>
      </c>
      <c r="C614" s="33">
        <v>72200</v>
      </c>
      <c r="D614" s="32"/>
      <c r="E614" s="33">
        <v>722000</v>
      </c>
      <c r="F614" s="110"/>
      <c r="G614" s="110"/>
      <c r="H614" s="110"/>
      <c r="I614" s="33">
        <v>626500</v>
      </c>
      <c r="J614" s="31">
        <f t="shared" si="283"/>
        <v>167700</v>
      </c>
      <c r="K614" s="156" t="b">
        <f t="shared" si="282"/>
        <v>0</v>
      </c>
      <c r="L614" s="5"/>
      <c r="M614" s="5"/>
      <c r="N614" s="5"/>
      <c r="O614" s="5"/>
      <c r="Q614" s="5"/>
    </row>
    <row r="615" spans="1:17">
      <c r="A615" s="130" t="s">
        <v>121</v>
      </c>
      <c r="B615" s="135" t="s">
        <v>32</v>
      </c>
      <c r="C615" s="33">
        <v>9300</v>
      </c>
      <c r="D615" s="32"/>
      <c r="E615" s="33">
        <v>60000</v>
      </c>
      <c r="F615" s="110"/>
      <c r="G615" s="110"/>
      <c r="H615" s="110"/>
      <c r="I615" s="33">
        <v>4000</v>
      </c>
      <c r="J615" s="31">
        <f t="shared" ref="J615:J616" si="284">+SUM(C615:G615)-(H615+I615)</f>
        <v>65300</v>
      </c>
      <c r="K615" s="156" t="b">
        <f t="shared" si="282"/>
        <v>0</v>
      </c>
      <c r="L615" s="5"/>
      <c r="M615" s="5"/>
      <c r="N615" s="5"/>
      <c r="O615" s="5"/>
      <c r="Q615" s="5"/>
    </row>
    <row r="616" spans="1:17">
      <c r="A616" s="130" t="s">
        <v>121</v>
      </c>
      <c r="B616" s="136" t="s">
        <v>114</v>
      </c>
      <c r="C616" s="33">
        <v>-14000</v>
      </c>
      <c r="D616" s="127"/>
      <c r="E616" s="53">
        <v>378000</v>
      </c>
      <c r="F616" s="53">
        <f>29000+91000</f>
        <v>120000</v>
      </c>
      <c r="G616" s="147"/>
      <c r="H616" s="53">
        <f>2000+1000+25000</f>
        <v>28000</v>
      </c>
      <c r="I616" s="53">
        <v>467700</v>
      </c>
      <c r="J616" s="31">
        <f t="shared" si="284"/>
        <v>-11700</v>
      </c>
      <c r="K616" s="156" t="b">
        <f t="shared" si="282"/>
        <v>0</v>
      </c>
      <c r="L616" s="5"/>
      <c r="M616" s="5"/>
      <c r="N616" s="5"/>
      <c r="O616" s="5"/>
      <c r="Q616" s="5"/>
    </row>
    <row r="617" spans="1:17">
      <c r="A617" s="35" t="s">
        <v>61</v>
      </c>
      <c r="B617" s="36"/>
      <c r="C617" s="36"/>
      <c r="D617" s="36"/>
      <c r="E617" s="36"/>
      <c r="F617" s="36"/>
      <c r="G617" s="36"/>
      <c r="H617" s="36"/>
      <c r="I617" s="36"/>
      <c r="J617" s="37"/>
      <c r="K617" s="155"/>
      <c r="L617" s="5"/>
      <c r="M617" s="5"/>
      <c r="N617" s="5"/>
      <c r="O617" s="5"/>
      <c r="Q617" s="5"/>
    </row>
    <row r="618" spans="1:17">
      <c r="A618" s="130" t="s">
        <v>121</v>
      </c>
      <c r="B618" s="38" t="s">
        <v>62</v>
      </c>
      <c r="C618" s="39">
        <v>1148337</v>
      </c>
      <c r="D618" s="51">
        <v>7000000</v>
      </c>
      <c r="E618" s="109"/>
      <c r="F618" s="109"/>
      <c r="G618" s="148"/>
      <c r="H618" s="139">
        <v>4310300</v>
      </c>
      <c r="I618" s="134">
        <v>2165078</v>
      </c>
      <c r="J618" s="46">
        <f>+SUM(C618:G618)-(H618+I618)</f>
        <v>1672959</v>
      </c>
      <c r="K618" s="156" t="b">
        <f>J618=I504</f>
        <v>0</v>
      </c>
      <c r="L618" s="5"/>
      <c r="M618" s="5"/>
      <c r="N618" s="5"/>
      <c r="O618" s="5"/>
      <c r="Q618" s="5"/>
    </row>
    <row r="619" spans="1:17">
      <c r="A619" s="44" t="s">
        <v>63</v>
      </c>
      <c r="B619" s="25"/>
      <c r="C619" s="36"/>
      <c r="D619" s="25"/>
      <c r="E619" s="25"/>
      <c r="F619" s="25"/>
      <c r="G619" s="25"/>
      <c r="H619" s="25"/>
      <c r="I619" s="25"/>
      <c r="J619" s="37"/>
      <c r="K619" s="155"/>
      <c r="L619" s="5"/>
      <c r="M619" s="5"/>
      <c r="N619" s="5"/>
      <c r="O619" s="5"/>
      <c r="Q619" s="5"/>
    </row>
    <row r="620" spans="1:17">
      <c r="A620" s="130" t="s">
        <v>121</v>
      </c>
      <c r="B620" s="38" t="s">
        <v>64</v>
      </c>
      <c r="C620" s="133">
        <v>10113263</v>
      </c>
      <c r="D620" s="140">
        <v>0</v>
      </c>
      <c r="E620" s="51"/>
      <c r="F620" s="51"/>
      <c r="G620" s="51"/>
      <c r="H620" s="53">
        <v>7000000</v>
      </c>
      <c r="I620" s="55">
        <v>155885</v>
      </c>
      <c r="J620" s="46">
        <f>+SUM(C620:G620)-(H620+I620)</f>
        <v>2957378</v>
      </c>
      <c r="K620" s="156" t="e">
        <f>+J620=#REF!</f>
        <v>#REF!</v>
      </c>
      <c r="L620" s="5"/>
      <c r="M620" s="5"/>
      <c r="N620" s="5"/>
      <c r="O620" s="5"/>
      <c r="Q620" s="5"/>
    </row>
    <row r="621" spans="1:17">
      <c r="A621" s="130" t="s">
        <v>121</v>
      </c>
      <c r="B621" s="38" t="s">
        <v>65</v>
      </c>
      <c r="C621" s="133">
        <v>6219904</v>
      </c>
      <c r="D621" s="51">
        <v>28506579</v>
      </c>
      <c r="E621" s="50"/>
      <c r="F621" s="50"/>
      <c r="G621" s="50"/>
      <c r="H621" s="33"/>
      <c r="I621" s="52">
        <v>6707979</v>
      </c>
      <c r="J621" s="46">
        <f>SUM(C621:G621)-(H621+I621)</f>
        <v>28018504</v>
      </c>
      <c r="K621" s="156" t="b">
        <f>+J621=I503</f>
        <v>0</v>
      </c>
      <c r="L621" s="5"/>
      <c r="M621" s="5"/>
      <c r="N621" s="5"/>
      <c r="O621" s="5"/>
      <c r="Q621" s="5"/>
    </row>
    <row r="622" spans="1:17" ht="15.75">
      <c r="C622" s="151">
        <f>SUM(C604:C621)</f>
        <v>18096146</v>
      </c>
      <c r="I622" s="149">
        <f>SUM(I604:I621)</f>
        <v>13131322</v>
      </c>
      <c r="J622" s="111">
        <f>+SUM(J604:J621)</f>
        <v>33471403</v>
      </c>
      <c r="K622" s="5" t="b">
        <f>J622=I516</f>
        <v>0</v>
      </c>
      <c r="L622" s="5"/>
      <c r="M622" s="5"/>
      <c r="N622" s="5"/>
      <c r="O622" s="5"/>
      <c r="Q622" s="5"/>
    </row>
    <row r="623" spans="1:17" ht="16.5">
      <c r="A623" s="14"/>
      <c r="B623" s="15"/>
      <c r="C623" s="12" t="e">
        <f>C622=C516</f>
        <v>#REF!</v>
      </c>
      <c r="D623" s="12"/>
      <c r="E623" s="13"/>
      <c r="F623" s="12"/>
      <c r="G623" s="12"/>
      <c r="H623" s="12"/>
      <c r="I623" s="12"/>
      <c r="L623" s="5"/>
      <c r="M623" s="5"/>
      <c r="N623" s="5"/>
      <c r="O623" s="5"/>
      <c r="Q623" s="5"/>
    </row>
    <row r="624" spans="1:17" ht="16.5">
      <c r="A624" s="14"/>
      <c r="B624" s="15"/>
      <c r="C624" s="12"/>
      <c r="D624" s="12"/>
      <c r="E624" s="13"/>
      <c r="F624" s="12"/>
      <c r="G624" s="12"/>
      <c r="H624" s="12"/>
      <c r="I624" s="12"/>
      <c r="L624" s="5"/>
      <c r="M624" s="5"/>
      <c r="N624" s="5"/>
      <c r="O624" s="5"/>
      <c r="Q624" s="5"/>
    </row>
    <row r="625" spans="1:17">
      <c r="A625" s="16" t="s">
        <v>53</v>
      </c>
      <c r="B625" s="16"/>
      <c r="C625" s="16"/>
      <c r="D625" s="17"/>
      <c r="E625" s="17"/>
      <c r="F625" s="17"/>
      <c r="G625" s="17"/>
      <c r="H625" s="17"/>
      <c r="I625" s="17"/>
      <c r="L625" s="5"/>
      <c r="M625" s="5"/>
      <c r="N625" s="5"/>
      <c r="O625" s="5"/>
      <c r="Q625" s="5"/>
    </row>
    <row r="626" spans="1:17">
      <c r="A626" s="18" t="s">
        <v>115</v>
      </c>
      <c r="B626" s="18"/>
      <c r="C626" s="18"/>
      <c r="D626" s="18"/>
      <c r="E626" s="18"/>
      <c r="F626" s="18"/>
      <c r="G626" s="18"/>
      <c r="H626" s="18"/>
      <c r="I626" s="18"/>
      <c r="J626" s="17"/>
      <c r="L626" s="5"/>
      <c r="M626" s="5"/>
      <c r="N626" s="5"/>
      <c r="O626" s="5"/>
      <c r="Q626" s="5"/>
    </row>
    <row r="627" spans="1:17">
      <c r="A627" s="19"/>
      <c r="B627" s="20"/>
      <c r="C627" s="21"/>
      <c r="D627" s="21"/>
      <c r="E627" s="21"/>
      <c r="F627" s="21"/>
      <c r="G627" s="21"/>
      <c r="H627" s="20"/>
      <c r="I627" s="20"/>
      <c r="J627" s="18"/>
      <c r="L627" s="5"/>
      <c r="M627" s="5"/>
      <c r="N627" s="5"/>
      <c r="O627" s="5"/>
      <c r="Q627" s="5"/>
    </row>
    <row r="628" spans="1:17">
      <c r="A628" s="506" t="s">
        <v>54</v>
      </c>
      <c r="B628" s="508" t="s">
        <v>55</v>
      </c>
      <c r="C628" s="510" t="s">
        <v>117</v>
      </c>
      <c r="D628" s="512" t="s">
        <v>56</v>
      </c>
      <c r="E628" s="513"/>
      <c r="F628" s="513"/>
      <c r="G628" s="514"/>
      <c r="H628" s="515" t="s">
        <v>57</v>
      </c>
      <c r="I628" s="502" t="s">
        <v>58</v>
      </c>
      <c r="J628" s="20"/>
      <c r="L628" s="5"/>
      <c r="M628" s="5"/>
      <c r="N628" s="5"/>
      <c r="O628" s="5"/>
      <c r="Q628" s="5"/>
    </row>
    <row r="629" spans="1:17">
      <c r="A629" s="507"/>
      <c r="B629" s="509"/>
      <c r="C629" s="511"/>
      <c r="D629" s="22" t="s">
        <v>24</v>
      </c>
      <c r="E629" s="22" t="s">
        <v>25</v>
      </c>
      <c r="F629" s="152" t="s">
        <v>119</v>
      </c>
      <c r="G629" s="22" t="s">
        <v>59</v>
      </c>
      <c r="H629" s="516"/>
      <c r="I629" s="503"/>
      <c r="J629" s="504" t="s">
        <v>118</v>
      </c>
      <c r="L629" s="5"/>
      <c r="M629" s="5"/>
      <c r="N629" s="5"/>
      <c r="O629" s="5"/>
      <c r="Q629" s="5"/>
    </row>
    <row r="630" spans="1:17">
      <c r="A630" s="24"/>
      <c r="B630" s="25" t="s">
        <v>60</v>
      </c>
      <c r="C630" s="26"/>
      <c r="D630" s="26"/>
      <c r="E630" s="26"/>
      <c r="F630" s="26"/>
      <c r="G630" s="26"/>
      <c r="H630" s="26"/>
      <c r="I630" s="27"/>
      <c r="J630" s="505"/>
      <c r="L630" s="5"/>
      <c r="M630" s="5"/>
      <c r="N630" s="5"/>
      <c r="O630" s="5"/>
      <c r="Q630" s="5"/>
    </row>
    <row r="631" spans="1:17">
      <c r="A631" s="130" t="s">
        <v>116</v>
      </c>
      <c r="B631" s="135" t="s">
        <v>77</v>
      </c>
      <c r="C631" s="33">
        <v>3670</v>
      </c>
      <c r="D631" s="32"/>
      <c r="E631" s="33">
        <v>118000</v>
      </c>
      <c r="F631" s="33">
        <v>4000</v>
      </c>
      <c r="G631" s="33"/>
      <c r="H631" s="57"/>
      <c r="I631" s="33">
        <v>118000</v>
      </c>
      <c r="J631" s="31">
        <f>+SUM(C631:G631)-(H631+I631)</f>
        <v>7670</v>
      </c>
      <c r="K631" s="153"/>
      <c r="L631" s="5"/>
      <c r="M631" s="5"/>
      <c r="N631" s="5"/>
      <c r="O631" s="5"/>
      <c r="Q631" s="5"/>
    </row>
    <row r="632" spans="1:17">
      <c r="A632" s="130" t="s">
        <v>116</v>
      </c>
      <c r="B632" s="135" t="s">
        <v>48</v>
      </c>
      <c r="C632" s="33">
        <v>-540</v>
      </c>
      <c r="D632" s="32"/>
      <c r="E632" s="33">
        <v>209750</v>
      </c>
      <c r="F632" s="33">
        <v>5000</v>
      </c>
      <c r="G632" s="33"/>
      <c r="H632" s="57"/>
      <c r="I632" s="33">
        <v>209500</v>
      </c>
      <c r="J632" s="31">
        <f t="shared" ref="J632:J633" si="285">+SUM(C632:G632)-(H632+I632)</f>
        <v>4710</v>
      </c>
      <c r="K632" s="153"/>
      <c r="L632" s="5"/>
      <c r="M632" s="5"/>
      <c r="N632" s="5"/>
      <c r="O632" s="5"/>
      <c r="Q632" s="5"/>
    </row>
    <row r="633" spans="1:17">
      <c r="A633" s="130" t="s">
        <v>116</v>
      </c>
      <c r="B633" s="135" t="s">
        <v>31</v>
      </c>
      <c r="C633" s="33">
        <v>2395</v>
      </c>
      <c r="D633" s="32"/>
      <c r="E633" s="33">
        <v>70000</v>
      </c>
      <c r="F633" s="33">
        <v>4000</v>
      </c>
      <c r="G633" s="33"/>
      <c r="H633" s="33"/>
      <c r="I633" s="33">
        <v>67100</v>
      </c>
      <c r="J633" s="107">
        <f t="shared" si="285"/>
        <v>9295</v>
      </c>
      <c r="K633" s="153"/>
      <c r="L633" s="5"/>
      <c r="M633" s="5"/>
      <c r="N633" s="5"/>
      <c r="O633" s="5"/>
      <c r="Q633" s="5"/>
    </row>
    <row r="634" spans="1:17">
      <c r="A634" s="130" t="s">
        <v>116</v>
      </c>
      <c r="B634" s="135" t="s">
        <v>78</v>
      </c>
      <c r="C634" s="33">
        <v>96100</v>
      </c>
      <c r="D634" s="110"/>
      <c r="E634" s="33">
        <v>488100</v>
      </c>
      <c r="F634" s="33">
        <v>4000</v>
      </c>
      <c r="G634" s="33"/>
      <c r="H634" s="33">
        <v>61600</v>
      </c>
      <c r="I634" s="33">
        <v>551700</v>
      </c>
      <c r="J634" s="107">
        <f>+SUM(C634:G634)-(H634+I634)</f>
        <v>-25100</v>
      </c>
      <c r="K634" s="153"/>
      <c r="L634" s="5"/>
      <c r="M634" s="5"/>
      <c r="N634" s="5"/>
      <c r="O634" s="5"/>
      <c r="Q634" s="5"/>
    </row>
    <row r="635" spans="1:17">
      <c r="A635" s="130" t="s">
        <v>116</v>
      </c>
      <c r="B635" s="135" t="s">
        <v>70</v>
      </c>
      <c r="C635" s="33">
        <v>13884</v>
      </c>
      <c r="D635" s="110"/>
      <c r="E635" s="33">
        <v>194000</v>
      </c>
      <c r="F635" s="33"/>
      <c r="G635" s="33"/>
      <c r="H635" s="33">
        <v>17000</v>
      </c>
      <c r="I635" s="33">
        <v>183500</v>
      </c>
      <c r="J635" s="107">
        <f t="shared" ref="J635" si="286">+SUM(C635:G635)-(H635+I635)</f>
        <v>7384</v>
      </c>
      <c r="K635" s="153"/>
      <c r="L635" s="5"/>
      <c r="M635" s="5"/>
      <c r="N635" s="5"/>
      <c r="O635" s="5"/>
      <c r="Q635" s="5"/>
    </row>
    <row r="636" spans="1:17">
      <c r="A636" s="130" t="s">
        <v>116</v>
      </c>
      <c r="B636" s="136" t="s">
        <v>30</v>
      </c>
      <c r="C636" s="33">
        <v>72400</v>
      </c>
      <c r="D636" s="127"/>
      <c r="E636" s="53">
        <v>599900</v>
      </c>
      <c r="F636" s="53"/>
      <c r="G636" s="53"/>
      <c r="H636" s="53"/>
      <c r="I636" s="53">
        <v>611000</v>
      </c>
      <c r="J636" s="132">
        <f>+SUM(C636:G636)-(H636+I636)</f>
        <v>61300</v>
      </c>
      <c r="K636" s="153"/>
      <c r="L636" s="5"/>
      <c r="M636" s="5"/>
      <c r="N636" s="5"/>
      <c r="O636" s="5"/>
      <c r="Q636" s="5"/>
    </row>
    <row r="637" spans="1:17">
      <c r="A637" s="130" t="s">
        <v>116</v>
      </c>
      <c r="B637" s="137" t="s">
        <v>85</v>
      </c>
      <c r="C637" s="128">
        <v>233614</v>
      </c>
      <c r="D637" s="131"/>
      <c r="E637" s="146"/>
      <c r="F637" s="146"/>
      <c r="G637" s="146"/>
      <c r="H637" s="146"/>
      <c r="I637" s="146"/>
      <c r="J637" s="129">
        <f>+SUM(C637:G637)-(H637+I637)</f>
        <v>233614</v>
      </c>
      <c r="K637" s="153"/>
      <c r="L637" s="5"/>
      <c r="M637" s="5"/>
      <c r="N637" s="5"/>
      <c r="O637" s="5"/>
      <c r="Q637" s="5"/>
    </row>
    <row r="638" spans="1:17">
      <c r="A638" s="130" t="s">
        <v>116</v>
      </c>
      <c r="B638" s="137" t="s">
        <v>84</v>
      </c>
      <c r="C638" s="128">
        <v>249769</v>
      </c>
      <c r="D638" s="131"/>
      <c r="E638" s="146"/>
      <c r="F638" s="146"/>
      <c r="G638" s="146"/>
      <c r="H638" s="146"/>
      <c r="I638" s="146"/>
      <c r="J638" s="129">
        <f t="shared" ref="J638:J645" si="287">+SUM(C638:G638)-(H638+I638)</f>
        <v>249769</v>
      </c>
      <c r="K638" s="153"/>
      <c r="L638" s="5"/>
      <c r="M638" s="5"/>
      <c r="N638" s="5"/>
      <c r="O638" s="5"/>
      <c r="Q638" s="5"/>
    </row>
    <row r="639" spans="1:17">
      <c r="A639" s="130" t="s">
        <v>116</v>
      </c>
      <c r="B639" s="135" t="s">
        <v>36</v>
      </c>
      <c r="C639" s="33">
        <v>18490</v>
      </c>
      <c r="D639" s="32"/>
      <c r="E639" s="33">
        <v>796460</v>
      </c>
      <c r="F639" s="33">
        <v>61600</v>
      </c>
      <c r="G639" s="110"/>
      <c r="H639" s="110"/>
      <c r="I639" s="33">
        <v>872050</v>
      </c>
      <c r="J639" s="31">
        <f t="shared" si="287"/>
        <v>4500</v>
      </c>
      <c r="K639" s="153"/>
      <c r="L639" s="5"/>
      <c r="M639" s="5"/>
      <c r="N639" s="5"/>
      <c r="O639" s="5"/>
      <c r="Q639" s="5"/>
    </row>
    <row r="640" spans="1:17">
      <c r="A640" s="130" t="s">
        <v>116</v>
      </c>
      <c r="B640" s="135" t="s">
        <v>94</v>
      </c>
      <c r="C640" s="33">
        <v>4500</v>
      </c>
      <c r="D640" s="32"/>
      <c r="E640" s="33">
        <v>40000</v>
      </c>
      <c r="F640" s="110"/>
      <c r="G640" s="110"/>
      <c r="H640" s="110"/>
      <c r="I640" s="33">
        <v>50500</v>
      </c>
      <c r="J640" s="31">
        <f t="shared" si="287"/>
        <v>-6000</v>
      </c>
      <c r="K640" s="153"/>
      <c r="L640" s="5"/>
      <c r="M640" s="5"/>
      <c r="N640" s="5"/>
      <c r="O640" s="5"/>
      <c r="Q640" s="5"/>
    </row>
    <row r="641" spans="1:17">
      <c r="A641" s="130" t="s">
        <v>116</v>
      </c>
      <c r="B641" s="135" t="s">
        <v>29</v>
      </c>
      <c r="C641" s="33">
        <v>44200</v>
      </c>
      <c r="D641" s="32"/>
      <c r="E641" s="33">
        <v>60000</v>
      </c>
      <c r="F641" s="110"/>
      <c r="G641" s="110"/>
      <c r="H641" s="110"/>
      <c r="I641" s="33">
        <v>32000</v>
      </c>
      <c r="J641" s="31">
        <f t="shared" si="287"/>
        <v>72200</v>
      </c>
      <c r="K641" s="153"/>
      <c r="L641" s="5"/>
      <c r="M641" s="5"/>
      <c r="N641" s="5"/>
      <c r="O641" s="5"/>
      <c r="Q641" s="5"/>
    </row>
    <row r="642" spans="1:17">
      <c r="A642" s="130" t="s">
        <v>116</v>
      </c>
      <c r="B642" s="135" t="s">
        <v>95</v>
      </c>
      <c r="C642" s="33">
        <v>-851709</v>
      </c>
      <c r="D642" s="32"/>
      <c r="E642" s="33">
        <v>851709</v>
      </c>
      <c r="F642" s="110"/>
      <c r="G642" s="110"/>
      <c r="H642" s="110"/>
      <c r="I642" s="33"/>
      <c r="J642" s="31">
        <f>+SUM(C642:G642)-(H642+I642)</f>
        <v>0</v>
      </c>
      <c r="K642" s="153"/>
      <c r="L642" s="5"/>
      <c r="M642" s="5"/>
      <c r="N642" s="5"/>
      <c r="O642" s="5"/>
      <c r="Q642" s="5"/>
    </row>
    <row r="643" spans="1:17">
      <c r="A643" s="130" t="s">
        <v>116</v>
      </c>
      <c r="B643" s="135" t="s">
        <v>102</v>
      </c>
      <c r="C643" s="33">
        <v>90300</v>
      </c>
      <c r="D643" s="32"/>
      <c r="E643" s="33">
        <v>69200</v>
      </c>
      <c r="F643" s="110"/>
      <c r="G643" s="110"/>
      <c r="H643" s="110"/>
      <c r="I643" s="33">
        <v>159500</v>
      </c>
      <c r="J643" s="31">
        <f t="shared" si="287"/>
        <v>0</v>
      </c>
      <c r="K643" s="153"/>
      <c r="L643" s="5"/>
      <c r="M643" s="5"/>
      <c r="N643" s="5"/>
      <c r="O643" s="5"/>
      <c r="Q643" s="5"/>
    </row>
    <row r="644" spans="1:17">
      <c r="A644" s="130" t="s">
        <v>116</v>
      </c>
      <c r="B644" s="135" t="s">
        <v>32</v>
      </c>
      <c r="C644" s="33">
        <v>300</v>
      </c>
      <c r="D644" s="32"/>
      <c r="E644" s="33">
        <v>20000</v>
      </c>
      <c r="F644" s="110"/>
      <c r="G644" s="110"/>
      <c r="H644" s="110"/>
      <c r="I644" s="33">
        <v>11000</v>
      </c>
      <c r="J644" s="31">
        <f t="shared" si="287"/>
        <v>9300</v>
      </c>
      <c r="K644" s="153"/>
      <c r="L644" s="5"/>
      <c r="M644" s="5"/>
      <c r="N644" s="5"/>
      <c r="O644" s="5"/>
      <c r="Q644" s="5"/>
    </row>
    <row r="645" spans="1:17">
      <c r="A645" s="130" t="s">
        <v>116</v>
      </c>
      <c r="B645" s="136" t="s">
        <v>114</v>
      </c>
      <c r="C645" s="33">
        <v>0</v>
      </c>
      <c r="D645" s="127"/>
      <c r="E645" s="145"/>
      <c r="F645" s="145"/>
      <c r="G645" s="147"/>
      <c r="H645" s="145"/>
      <c r="I645" s="53">
        <v>14000</v>
      </c>
      <c r="J645" s="31">
        <f t="shared" si="287"/>
        <v>-14000</v>
      </c>
      <c r="K645" s="153"/>
      <c r="L645" s="5"/>
      <c r="M645" s="5"/>
      <c r="N645" s="5"/>
      <c r="O645" s="5"/>
      <c r="Q645" s="5"/>
    </row>
    <row r="646" spans="1:17">
      <c r="A646" s="35" t="s">
        <v>61</v>
      </c>
      <c r="B646" s="36"/>
      <c r="C646" s="36"/>
      <c r="D646" s="36"/>
      <c r="E646" s="36"/>
      <c r="F646" s="36"/>
      <c r="G646" s="36"/>
      <c r="H646" s="36"/>
      <c r="I646" s="36"/>
      <c r="J646" s="37"/>
      <c r="L646" s="5"/>
      <c r="M646" s="5"/>
      <c r="N646" s="5"/>
      <c r="O646" s="5"/>
      <c r="Q646" s="5"/>
    </row>
    <row r="647" spans="1:17">
      <c r="A647" s="130" t="s">
        <v>116</v>
      </c>
      <c r="B647" s="38" t="s">
        <v>62</v>
      </c>
      <c r="C647" s="39" t="e">
        <f>C504</f>
        <v>#REF!</v>
      </c>
      <c r="D647" s="51">
        <v>5872000</v>
      </c>
      <c r="E647" s="109"/>
      <c r="F647" s="109"/>
      <c r="G647" s="148"/>
      <c r="H647" s="139">
        <v>3517119</v>
      </c>
      <c r="I647" s="134">
        <v>1523260</v>
      </c>
      <c r="J647" s="46" t="e">
        <f>+SUM(C647:G647)-(H647+I647)</f>
        <v>#REF!</v>
      </c>
      <c r="K647" s="153"/>
      <c r="L647" s="5"/>
      <c r="M647" s="5"/>
      <c r="N647" s="5"/>
      <c r="O647" s="5"/>
      <c r="Q647" s="5"/>
    </row>
    <row r="648" spans="1:17">
      <c r="A648" s="44" t="s">
        <v>63</v>
      </c>
      <c r="B648" s="25"/>
      <c r="C648" s="36"/>
      <c r="D648" s="25"/>
      <c r="E648" s="25"/>
      <c r="F648" s="25"/>
      <c r="G648" s="25"/>
      <c r="H648" s="25"/>
      <c r="I648" s="25"/>
      <c r="J648" s="37"/>
      <c r="L648" s="5"/>
      <c r="M648" s="5"/>
      <c r="N648" s="5"/>
      <c r="O648" s="5"/>
      <c r="Q648" s="5"/>
    </row>
    <row r="649" spans="1:17">
      <c r="A649" s="130" t="s">
        <v>116</v>
      </c>
      <c r="B649" s="38" t="s">
        <v>64</v>
      </c>
      <c r="C649" s="133" t="e">
        <f>#REF!</f>
        <v>#REF!</v>
      </c>
      <c r="D649" s="140">
        <v>10380044</v>
      </c>
      <c r="E649" s="51"/>
      <c r="F649" s="51"/>
      <c r="G649" s="51"/>
      <c r="H649" s="53">
        <v>5500000</v>
      </c>
      <c r="I649" s="55">
        <v>277455</v>
      </c>
      <c r="J649" s="46" t="e">
        <f>+SUM(C649:G649)-(H649+I649)</f>
        <v>#REF!</v>
      </c>
      <c r="K649" s="153"/>
      <c r="L649" s="5"/>
      <c r="M649" s="5"/>
      <c r="N649" s="5"/>
      <c r="O649" s="5"/>
      <c r="Q649" s="5"/>
    </row>
    <row r="650" spans="1:17">
      <c r="A650" s="130" t="s">
        <v>116</v>
      </c>
      <c r="B650" s="38" t="s">
        <v>65</v>
      </c>
      <c r="C650" s="133" t="e">
        <f>C503</f>
        <v>#REF!</v>
      </c>
      <c r="D650" s="51"/>
      <c r="E650" s="50"/>
      <c r="F650" s="50"/>
      <c r="G650" s="50"/>
      <c r="H650" s="33">
        <v>372000</v>
      </c>
      <c r="I650" s="52">
        <v>4601760</v>
      </c>
      <c r="J650" s="46" t="e">
        <f>SUM(C650:G650)-(H650+I650)</f>
        <v>#REF!</v>
      </c>
      <c r="K650" s="153"/>
      <c r="L650" s="5"/>
      <c r="M650" s="5"/>
      <c r="N650" s="5"/>
      <c r="O650" s="5"/>
      <c r="Q650" s="5"/>
    </row>
    <row r="651" spans="1:17" ht="15.75">
      <c r="C651" s="151" t="e">
        <f>SUM(C631:C650)</f>
        <v>#REF!</v>
      </c>
      <c r="I651" s="149">
        <f>SUM(I631:I650)</f>
        <v>9282325</v>
      </c>
      <c r="J651" s="111" t="e">
        <f>+SUM(J631:J650)</f>
        <v>#REF!</v>
      </c>
      <c r="L651" s="5"/>
      <c r="M651" s="5"/>
      <c r="N651" s="5"/>
      <c r="O651" s="5"/>
      <c r="Q651" s="5"/>
    </row>
    <row r="652" spans="1:17" ht="16.5">
      <c r="A652" s="14"/>
      <c r="B652" s="15"/>
      <c r="C652" s="12"/>
      <c r="D652" s="12"/>
      <c r="E652" s="13"/>
      <c r="F652" s="12"/>
      <c r="G652" s="12"/>
      <c r="H652" s="12"/>
      <c r="I652" s="12"/>
      <c r="L652" s="5"/>
      <c r="M652" s="5"/>
      <c r="N652" s="5"/>
      <c r="O652" s="5"/>
      <c r="Q652" s="5"/>
    </row>
    <row r="653" spans="1:17">
      <c r="A653" s="16" t="s">
        <v>53</v>
      </c>
      <c r="B653" s="16"/>
      <c r="C653" s="16"/>
      <c r="D653" s="17"/>
      <c r="E653" s="17"/>
      <c r="F653" s="17"/>
      <c r="G653" s="17"/>
      <c r="H653" s="17"/>
      <c r="I653" s="17"/>
      <c r="L653" s="5"/>
      <c r="M653" s="5"/>
      <c r="N653" s="5"/>
      <c r="O653" s="5"/>
      <c r="Q653" s="5"/>
    </row>
    <row r="654" spans="1:17">
      <c r="A654" s="18" t="s">
        <v>110</v>
      </c>
      <c r="B654" s="18"/>
      <c r="C654" s="18"/>
      <c r="D654" s="18"/>
      <c r="E654" s="18"/>
      <c r="F654" s="18"/>
      <c r="G654" s="18"/>
      <c r="H654" s="18"/>
      <c r="I654" s="18"/>
      <c r="J654" s="17"/>
      <c r="L654" s="5"/>
      <c r="M654" s="5"/>
      <c r="N654" s="5"/>
      <c r="O654" s="5"/>
      <c r="Q654" s="5"/>
    </row>
    <row r="655" spans="1:17">
      <c r="A655" s="19"/>
      <c r="B655" s="20"/>
      <c r="C655" s="21"/>
      <c r="D655" s="21"/>
      <c r="E655" s="21"/>
      <c r="F655" s="21"/>
      <c r="G655" s="21"/>
      <c r="H655" s="20"/>
      <c r="I655" s="20"/>
      <c r="J655" s="18"/>
      <c r="L655" s="5"/>
      <c r="M655" s="5"/>
      <c r="N655" s="5"/>
      <c r="O655" s="5"/>
      <c r="Q655" s="5"/>
    </row>
    <row r="656" spans="1:17">
      <c r="A656" s="506" t="s">
        <v>54</v>
      </c>
      <c r="B656" s="508" t="s">
        <v>55</v>
      </c>
      <c r="C656" s="510" t="s">
        <v>111</v>
      </c>
      <c r="D656" s="512" t="s">
        <v>56</v>
      </c>
      <c r="E656" s="513"/>
      <c r="F656" s="513"/>
      <c r="G656" s="514"/>
      <c r="H656" s="515" t="s">
        <v>57</v>
      </c>
      <c r="I656" s="502" t="s">
        <v>58</v>
      </c>
      <c r="J656" s="20"/>
      <c r="L656" s="5"/>
      <c r="M656" s="5"/>
      <c r="N656" s="5"/>
      <c r="O656" s="5"/>
      <c r="Q656" s="5"/>
    </row>
    <row r="657" spans="1:17">
      <c r="A657" s="507"/>
      <c r="B657" s="509"/>
      <c r="C657" s="511"/>
      <c r="D657" s="22" t="s">
        <v>24</v>
      </c>
      <c r="E657" s="22" t="s">
        <v>25</v>
      </c>
      <c r="F657" s="150" t="s">
        <v>113</v>
      </c>
      <c r="G657" s="22" t="s">
        <v>59</v>
      </c>
      <c r="H657" s="516"/>
      <c r="I657" s="503"/>
      <c r="J657" s="504" t="s">
        <v>112</v>
      </c>
      <c r="L657" s="5"/>
      <c r="M657" s="5"/>
      <c r="N657" s="5"/>
      <c r="O657" s="5"/>
      <c r="Q657" s="5"/>
    </row>
    <row r="658" spans="1:17">
      <c r="A658" s="24"/>
      <c r="B658" s="25" t="s">
        <v>60</v>
      </c>
      <c r="C658" s="26"/>
      <c r="D658" s="26"/>
      <c r="E658" s="26"/>
      <c r="F658" s="26"/>
      <c r="G658" s="26"/>
      <c r="H658" s="26"/>
      <c r="I658" s="27"/>
      <c r="J658" s="505"/>
      <c r="L658" s="5"/>
      <c r="M658" s="5"/>
      <c r="N658" s="5"/>
      <c r="O658" s="5"/>
      <c r="Q658" s="5"/>
    </row>
    <row r="659" spans="1:17">
      <c r="A659" s="130" t="s">
        <v>109</v>
      </c>
      <c r="B659" s="135" t="s">
        <v>77</v>
      </c>
      <c r="C659" s="33">
        <v>-11330</v>
      </c>
      <c r="D659" s="32"/>
      <c r="E659" s="33">
        <v>201400</v>
      </c>
      <c r="F659" s="33">
        <v>184300</v>
      </c>
      <c r="G659" s="33"/>
      <c r="H659" s="57"/>
      <c r="I659" s="33">
        <v>370700</v>
      </c>
      <c r="J659" s="31">
        <f>+SUM(C659:G659)-(H659+I659)</f>
        <v>3670</v>
      </c>
      <c r="K659" s="70"/>
      <c r="L659" s="5"/>
      <c r="M659" s="5"/>
      <c r="N659" s="5"/>
      <c r="O659" s="5"/>
      <c r="Q659" s="5"/>
    </row>
    <row r="660" spans="1:17">
      <c r="A660" s="130" t="s">
        <v>109</v>
      </c>
      <c r="B660" s="135" t="s">
        <v>48</v>
      </c>
      <c r="C660" s="33">
        <v>8260</v>
      </c>
      <c r="D660" s="32"/>
      <c r="E660" s="33">
        <v>357900</v>
      </c>
      <c r="F660" s="33"/>
      <c r="G660" s="33"/>
      <c r="H660" s="57">
        <v>50000</v>
      </c>
      <c r="I660" s="33">
        <v>316700</v>
      </c>
      <c r="J660" s="31">
        <f t="shared" ref="J660:J661" si="288">+SUM(C660:G660)-(H660+I660)</f>
        <v>-540</v>
      </c>
      <c r="K660" s="70"/>
      <c r="L660" s="5"/>
      <c r="M660" s="5"/>
      <c r="N660" s="5"/>
      <c r="O660" s="5"/>
      <c r="Q660" s="5"/>
    </row>
    <row r="661" spans="1:17">
      <c r="A661" s="130" t="s">
        <v>109</v>
      </c>
      <c r="B661" s="135" t="s">
        <v>31</v>
      </c>
      <c r="C661" s="33">
        <v>3795</v>
      </c>
      <c r="D661" s="32"/>
      <c r="E661" s="33">
        <v>20000</v>
      </c>
      <c r="F661" s="33"/>
      <c r="G661" s="33"/>
      <c r="H661" s="33"/>
      <c r="I661" s="33">
        <v>21400</v>
      </c>
      <c r="J661" s="107">
        <f t="shared" si="288"/>
        <v>2395</v>
      </c>
      <c r="K661" s="70"/>
      <c r="L661" s="5"/>
      <c r="M661" s="5"/>
      <c r="N661" s="5"/>
      <c r="O661" s="5"/>
      <c r="Q661" s="5"/>
    </row>
    <row r="662" spans="1:17">
      <c r="A662" s="130" t="s">
        <v>109</v>
      </c>
      <c r="B662" s="135" t="s">
        <v>78</v>
      </c>
      <c r="C662" s="33">
        <v>-83100</v>
      </c>
      <c r="D662" s="110"/>
      <c r="E662" s="33">
        <v>699200</v>
      </c>
      <c r="F662" s="33"/>
      <c r="G662" s="33"/>
      <c r="H662" s="33"/>
      <c r="I662" s="33">
        <v>520000</v>
      </c>
      <c r="J662" s="107">
        <f>+SUM(C662:G662)-(H662+I662)</f>
        <v>96100</v>
      </c>
      <c r="K662" s="70"/>
      <c r="L662" s="5"/>
      <c r="M662" s="5"/>
      <c r="N662" s="5"/>
      <c r="O662" s="5"/>
      <c r="Q662" s="5"/>
    </row>
    <row r="663" spans="1:17">
      <c r="A663" s="130" t="s">
        <v>109</v>
      </c>
      <c r="B663" s="135" t="s">
        <v>70</v>
      </c>
      <c r="C663" s="33">
        <v>1784</v>
      </c>
      <c r="D663" s="110"/>
      <c r="E663" s="33">
        <v>568600</v>
      </c>
      <c r="F663" s="33">
        <v>50000</v>
      </c>
      <c r="G663" s="33"/>
      <c r="H663" s="33">
        <v>184300</v>
      </c>
      <c r="I663" s="33">
        <v>422200</v>
      </c>
      <c r="J663" s="107">
        <f t="shared" ref="J663" si="289">+SUM(C663:G663)-(H663+I663)</f>
        <v>13884</v>
      </c>
      <c r="K663" s="70"/>
      <c r="L663" s="5"/>
      <c r="M663" s="5"/>
      <c r="N663" s="5"/>
      <c r="O663" s="5"/>
      <c r="Q663" s="5"/>
    </row>
    <row r="664" spans="1:17">
      <c r="A664" s="130" t="s">
        <v>109</v>
      </c>
      <c r="B664" s="136" t="s">
        <v>30</v>
      </c>
      <c r="C664" s="33">
        <v>88800</v>
      </c>
      <c r="D664" s="127"/>
      <c r="E664" s="53">
        <v>694600</v>
      </c>
      <c r="F664" s="53"/>
      <c r="G664" s="53"/>
      <c r="H664" s="53"/>
      <c r="I664" s="53">
        <v>711000</v>
      </c>
      <c r="J664" s="132">
        <f>+SUM(C664:G664)-(H664+I664)</f>
        <v>72400</v>
      </c>
      <c r="K664" s="70"/>
      <c r="L664" s="5"/>
      <c r="M664" s="5"/>
      <c r="N664" s="5"/>
      <c r="O664" s="5"/>
      <c r="Q664" s="5"/>
    </row>
    <row r="665" spans="1:17">
      <c r="A665" s="130" t="s">
        <v>109</v>
      </c>
      <c r="B665" s="137" t="s">
        <v>85</v>
      </c>
      <c r="C665" s="128">
        <v>233614</v>
      </c>
      <c r="D665" s="131"/>
      <c r="E665" s="146"/>
      <c r="F665" s="146"/>
      <c r="G665" s="146"/>
      <c r="H665" s="146"/>
      <c r="I665" s="146"/>
      <c r="J665" s="129">
        <f>+SUM(C665:G665)-(H665+I665)</f>
        <v>233614</v>
      </c>
      <c r="K665" s="70"/>
      <c r="L665" s="5"/>
      <c r="M665" s="5"/>
      <c r="N665" s="5"/>
      <c r="O665" s="5"/>
      <c r="Q665" s="5"/>
    </row>
    <row r="666" spans="1:17">
      <c r="A666" s="130" t="s">
        <v>109</v>
      </c>
      <c r="B666" s="137" t="s">
        <v>84</v>
      </c>
      <c r="C666" s="128">
        <v>249769</v>
      </c>
      <c r="D666" s="131"/>
      <c r="E666" s="146"/>
      <c r="F666" s="146"/>
      <c r="G666" s="146"/>
      <c r="H666" s="146"/>
      <c r="I666" s="146"/>
      <c r="J666" s="129">
        <f t="shared" ref="J666:J670" si="290">+SUM(C666:G666)-(H666+I666)</f>
        <v>249769</v>
      </c>
      <c r="K666" s="70"/>
      <c r="L666" s="5"/>
      <c r="M666" s="5"/>
      <c r="N666" s="5"/>
      <c r="O666" s="5"/>
      <c r="Q666" s="5"/>
    </row>
    <row r="667" spans="1:17">
      <c r="A667" s="130" t="s">
        <v>109</v>
      </c>
      <c r="B667" s="135" t="s">
        <v>36</v>
      </c>
      <c r="C667" s="33">
        <v>7890</v>
      </c>
      <c r="D667" s="32"/>
      <c r="E667" s="33">
        <v>135600</v>
      </c>
      <c r="F667" s="110"/>
      <c r="G667" s="110"/>
      <c r="H667" s="110"/>
      <c r="I667" s="33">
        <v>125000</v>
      </c>
      <c r="J667" s="31">
        <f t="shared" si="290"/>
        <v>18490</v>
      </c>
      <c r="K667" s="70"/>
      <c r="L667" s="5"/>
      <c r="M667" s="5"/>
      <c r="N667" s="5"/>
      <c r="O667" s="5"/>
      <c r="Q667" s="5"/>
    </row>
    <row r="668" spans="1:17">
      <c r="A668" s="130" t="s">
        <v>109</v>
      </c>
      <c r="B668" s="135" t="s">
        <v>94</v>
      </c>
      <c r="C668" s="33">
        <v>5000</v>
      </c>
      <c r="D668" s="32"/>
      <c r="E668" s="33">
        <v>30000</v>
      </c>
      <c r="F668" s="110"/>
      <c r="G668" s="110"/>
      <c r="H668" s="110"/>
      <c r="I668" s="33">
        <v>30500</v>
      </c>
      <c r="J668" s="31">
        <f t="shared" si="290"/>
        <v>4500</v>
      </c>
      <c r="K668" s="70"/>
      <c r="L668" s="5"/>
      <c r="M668" s="5"/>
      <c r="N668" s="5"/>
      <c r="O668" s="5"/>
      <c r="Q668" s="5"/>
    </row>
    <row r="669" spans="1:17">
      <c r="A669" s="130" t="s">
        <v>109</v>
      </c>
      <c r="B669" s="135" t="s">
        <v>29</v>
      </c>
      <c r="C669" s="33">
        <v>57700</v>
      </c>
      <c r="D669" s="32"/>
      <c r="E669" s="33">
        <v>639000</v>
      </c>
      <c r="F669" s="110"/>
      <c r="G669" s="110"/>
      <c r="H669" s="110"/>
      <c r="I669" s="33">
        <v>652500</v>
      </c>
      <c r="J669" s="31">
        <f t="shared" si="290"/>
        <v>44200</v>
      </c>
      <c r="K669" s="70"/>
      <c r="L669" s="5"/>
      <c r="M669" s="5"/>
      <c r="N669" s="5"/>
      <c r="O669" s="5"/>
      <c r="Q669" s="5"/>
    </row>
    <row r="670" spans="1:17">
      <c r="A670" s="130" t="s">
        <v>109</v>
      </c>
      <c r="B670" s="135" t="s">
        <v>95</v>
      </c>
      <c r="C670" s="33">
        <v>-32081</v>
      </c>
      <c r="D670" s="32"/>
      <c r="E670" s="110"/>
      <c r="F670" s="110"/>
      <c r="G670" s="110"/>
      <c r="H670" s="110"/>
      <c r="I670" s="33">
        <v>819628</v>
      </c>
      <c r="J670" s="31">
        <f t="shared" si="290"/>
        <v>-851709</v>
      </c>
      <c r="K670" s="70"/>
      <c r="L670" s="5"/>
      <c r="M670" s="5"/>
      <c r="N670" s="5"/>
      <c r="O670" s="5"/>
      <c r="Q670" s="5"/>
    </row>
    <row r="671" spans="1:17">
      <c r="A671" s="130" t="s">
        <v>109</v>
      </c>
      <c r="B671" s="135" t="s">
        <v>102</v>
      </c>
      <c r="C671" s="33">
        <v>62000</v>
      </c>
      <c r="D671" s="32"/>
      <c r="E671" s="33">
        <v>622600</v>
      </c>
      <c r="F671" s="110"/>
      <c r="G671" s="110"/>
      <c r="H671" s="110"/>
      <c r="I671" s="33">
        <v>594300</v>
      </c>
      <c r="J671" s="31">
        <f>+SUM(C671:G671)-(H671+I671)</f>
        <v>90300</v>
      </c>
      <c r="K671" s="70"/>
      <c r="L671" s="5"/>
      <c r="M671" s="5"/>
      <c r="N671" s="5"/>
      <c r="O671" s="5"/>
      <c r="Q671" s="5"/>
    </row>
    <row r="672" spans="1:17">
      <c r="A672" s="130" t="s">
        <v>109</v>
      </c>
      <c r="B672" s="136" t="s">
        <v>32</v>
      </c>
      <c r="C672" s="33">
        <v>4300</v>
      </c>
      <c r="D672" s="127"/>
      <c r="E672" s="145"/>
      <c r="F672" s="145"/>
      <c r="G672" s="147"/>
      <c r="H672" s="145"/>
      <c r="I672" s="53">
        <v>4000</v>
      </c>
      <c r="J672" s="31">
        <f t="shared" ref="J672" si="291">+SUM(C672:G672)-(H672+I672)</f>
        <v>300</v>
      </c>
      <c r="K672" s="70"/>
      <c r="L672" s="5"/>
      <c r="M672" s="5"/>
      <c r="N672" s="5"/>
      <c r="O672" s="5"/>
      <c r="Q672" s="5"/>
    </row>
    <row r="673" spans="1:17">
      <c r="A673" s="35" t="s">
        <v>61</v>
      </c>
      <c r="B673" s="36"/>
      <c r="C673" s="36"/>
      <c r="D673" s="36"/>
      <c r="E673" s="36"/>
      <c r="F673" s="36"/>
      <c r="G673" s="36"/>
      <c r="H673" s="36"/>
      <c r="I673" s="36"/>
      <c r="J673" s="37"/>
      <c r="K673" s="70"/>
      <c r="L673" s="5"/>
      <c r="M673" s="5"/>
      <c r="N673" s="5"/>
      <c r="O673" s="5"/>
      <c r="Q673" s="5"/>
    </row>
    <row r="674" spans="1:17">
      <c r="A674" s="130" t="s">
        <v>109</v>
      </c>
      <c r="B674" s="38" t="s">
        <v>62</v>
      </c>
      <c r="C674" s="39">
        <v>62150</v>
      </c>
      <c r="D674" s="51">
        <v>5500000</v>
      </c>
      <c r="E674" s="109"/>
      <c r="F674" s="109"/>
      <c r="G674" s="148"/>
      <c r="H674" s="139">
        <v>3968900</v>
      </c>
      <c r="I674" s="134">
        <v>1276534</v>
      </c>
      <c r="J674" s="46">
        <f>+SUM(C674:G674)-(H674+I674)</f>
        <v>316716</v>
      </c>
      <c r="K674" s="70"/>
      <c r="L674" s="5"/>
      <c r="M674" s="5"/>
      <c r="N674" s="5"/>
      <c r="O674" s="5"/>
      <c r="Q674" s="5"/>
    </row>
    <row r="675" spans="1:17">
      <c r="A675" s="44" t="s">
        <v>63</v>
      </c>
      <c r="B675" s="25"/>
      <c r="C675" s="36"/>
      <c r="D675" s="25"/>
      <c r="E675" s="25"/>
      <c r="F675" s="25"/>
      <c r="G675" s="25"/>
      <c r="H675" s="25"/>
      <c r="I675" s="25"/>
      <c r="J675" s="37"/>
      <c r="L675" s="5"/>
      <c r="M675" s="5"/>
      <c r="N675" s="5"/>
      <c r="O675" s="5"/>
      <c r="Q675" s="5"/>
    </row>
    <row r="676" spans="1:17">
      <c r="A676" s="130" t="s">
        <v>109</v>
      </c>
      <c r="B676" s="38" t="s">
        <v>64</v>
      </c>
      <c r="C676" s="133">
        <v>11284555</v>
      </c>
      <c r="D676" s="140"/>
      <c r="E676" s="51"/>
      <c r="F676" s="51"/>
      <c r="G676" s="51"/>
      <c r="H676" s="53">
        <v>5500000</v>
      </c>
      <c r="I676" s="55">
        <v>273881</v>
      </c>
      <c r="J676" s="46">
        <f>+SUM(C676:G676)-(H676+I676)</f>
        <v>5510674</v>
      </c>
      <c r="K676" s="70"/>
      <c r="L676" s="5"/>
      <c r="M676" s="5"/>
      <c r="N676" s="5"/>
      <c r="O676" s="5"/>
      <c r="Q676" s="5"/>
    </row>
    <row r="677" spans="1:17">
      <c r="A677" s="130" t="s">
        <v>109</v>
      </c>
      <c r="B677" s="38" t="s">
        <v>65</v>
      </c>
      <c r="C677" s="133">
        <v>2158645</v>
      </c>
      <c r="D677" s="51">
        <v>15435980</v>
      </c>
      <c r="E677" s="50"/>
      <c r="F677" s="50"/>
      <c r="G677" s="50"/>
      <c r="H677" s="33"/>
      <c r="I677" s="52">
        <v>6400961</v>
      </c>
      <c r="J677" s="46">
        <f>SUM(C677:G677)-(H677+I677)</f>
        <v>11193664</v>
      </c>
      <c r="K677" s="70"/>
      <c r="L677" s="5"/>
      <c r="M677" s="5"/>
      <c r="N677" s="5"/>
      <c r="O677" s="5"/>
      <c r="Q677" s="5"/>
    </row>
    <row r="678" spans="1:17" ht="15.75">
      <c r="C678" s="151">
        <f>SUM(C659:C677)</f>
        <v>14101751</v>
      </c>
      <c r="I678" s="149">
        <f>SUM(I659:I677)</f>
        <v>12539304</v>
      </c>
      <c r="J678" s="111">
        <f>+SUM(J659:J677)</f>
        <v>16998427</v>
      </c>
      <c r="L678" s="5"/>
      <c r="M678" s="5"/>
      <c r="N678" s="5"/>
      <c r="O678" s="5"/>
      <c r="Q678" s="5"/>
    </row>
    <row r="679" spans="1:17" ht="16.5">
      <c r="A679" s="10"/>
      <c r="B679" s="11"/>
      <c r="C679" s="12"/>
      <c r="D679" s="12"/>
      <c r="E679" s="12"/>
      <c r="F679" s="12"/>
      <c r="G679" s="12"/>
      <c r="H679" s="12"/>
      <c r="I679" s="12"/>
      <c r="J679" s="141"/>
      <c r="L679" s="5"/>
      <c r="M679" s="5"/>
      <c r="N679" s="5"/>
      <c r="O679" s="5"/>
      <c r="Q679" s="5"/>
    </row>
    <row r="680" spans="1:17" ht="16.5">
      <c r="A680" s="14"/>
      <c r="B680" s="15"/>
      <c r="C680" s="12"/>
      <c r="D680" s="12"/>
      <c r="E680" s="13"/>
      <c r="F680" s="12"/>
      <c r="G680" s="12"/>
      <c r="H680" s="12"/>
      <c r="I680" s="12"/>
      <c r="L680" s="5"/>
      <c r="M680" s="5"/>
      <c r="N680" s="5"/>
      <c r="O680" s="5"/>
      <c r="Q680" s="5"/>
    </row>
    <row r="681" spans="1:17">
      <c r="A681" s="16" t="s">
        <v>53</v>
      </c>
      <c r="B681" s="16"/>
      <c r="C681" s="16"/>
      <c r="D681" s="17"/>
      <c r="E681" s="17"/>
      <c r="F681" s="17"/>
      <c r="G681" s="17"/>
      <c r="H681" s="17"/>
      <c r="I681" s="17"/>
      <c r="L681" s="5"/>
      <c r="M681" s="5"/>
      <c r="N681" s="5"/>
      <c r="O681" s="5"/>
      <c r="Q681" s="5"/>
    </row>
    <row r="682" spans="1:17">
      <c r="A682" s="18" t="s">
        <v>107</v>
      </c>
      <c r="B682" s="18"/>
      <c r="C682" s="18"/>
      <c r="D682" s="18"/>
      <c r="E682" s="18"/>
      <c r="F682" s="18"/>
      <c r="G682" s="18"/>
      <c r="H682" s="18"/>
      <c r="I682" s="18"/>
      <c r="J682" s="17"/>
      <c r="L682" s="5"/>
      <c r="M682" s="5"/>
      <c r="N682" s="5"/>
      <c r="O682" s="5"/>
      <c r="Q682" s="5"/>
    </row>
    <row r="683" spans="1:17">
      <c r="A683" s="19"/>
      <c r="B683" s="20"/>
      <c r="C683" s="21"/>
      <c r="D683" s="21"/>
      <c r="E683" s="21"/>
      <c r="F683" s="21"/>
      <c r="G683" s="21"/>
      <c r="H683" s="20"/>
      <c r="I683" s="20"/>
      <c r="J683" s="18"/>
      <c r="L683" s="5"/>
      <c r="M683" s="5"/>
      <c r="N683" s="5"/>
      <c r="O683" s="5"/>
      <c r="Q683" s="5"/>
    </row>
    <row r="684" spans="1:17">
      <c r="A684" s="506" t="s">
        <v>54</v>
      </c>
      <c r="B684" s="508" t="s">
        <v>55</v>
      </c>
      <c r="C684" s="510" t="s">
        <v>105</v>
      </c>
      <c r="D684" s="512" t="s">
        <v>56</v>
      </c>
      <c r="E684" s="513"/>
      <c r="F684" s="513"/>
      <c r="G684" s="514"/>
      <c r="H684" s="515" t="s">
        <v>57</v>
      </c>
      <c r="I684" s="502" t="s">
        <v>58</v>
      </c>
      <c r="J684" s="20"/>
      <c r="L684" s="5"/>
      <c r="M684" s="5"/>
      <c r="N684" s="5"/>
      <c r="O684" s="5"/>
      <c r="Q684" s="5"/>
    </row>
    <row r="685" spans="1:17">
      <c r="A685" s="507"/>
      <c r="B685" s="509"/>
      <c r="C685" s="511"/>
      <c r="D685" s="22" t="s">
        <v>24</v>
      </c>
      <c r="E685" s="22" t="s">
        <v>25</v>
      </c>
      <c r="F685" s="142" t="s">
        <v>108</v>
      </c>
      <c r="G685" s="22" t="s">
        <v>59</v>
      </c>
      <c r="H685" s="516"/>
      <c r="I685" s="503"/>
      <c r="J685" s="504" t="s">
        <v>106</v>
      </c>
      <c r="L685" s="5"/>
      <c r="M685" s="5"/>
      <c r="N685" s="5"/>
      <c r="O685" s="5"/>
      <c r="Q685" s="5"/>
    </row>
    <row r="686" spans="1:17">
      <c r="A686" s="24"/>
      <c r="B686" s="25" t="s">
        <v>60</v>
      </c>
      <c r="C686" s="26"/>
      <c r="D686" s="26"/>
      <c r="E686" s="26"/>
      <c r="F686" s="26"/>
      <c r="G686" s="26"/>
      <c r="H686" s="26"/>
      <c r="I686" s="27"/>
      <c r="J686" s="505"/>
      <c r="L686" s="5"/>
      <c r="M686" s="5"/>
      <c r="N686" s="5"/>
      <c r="O686" s="5"/>
      <c r="Q686" s="5"/>
    </row>
    <row r="687" spans="1:17">
      <c r="A687" s="130" t="s">
        <v>104</v>
      </c>
      <c r="B687" s="135" t="s">
        <v>77</v>
      </c>
      <c r="C687" s="33">
        <v>22200</v>
      </c>
      <c r="D687" s="32"/>
      <c r="E687" s="33">
        <v>439970</v>
      </c>
      <c r="F687" s="110"/>
      <c r="G687" s="110"/>
      <c r="H687" s="144"/>
      <c r="I687" s="33">
        <v>473500</v>
      </c>
      <c r="J687" s="31">
        <f>+SUM(C687:G687)-(H687+I687)</f>
        <v>-11330</v>
      </c>
      <c r="K687" s="70"/>
      <c r="L687" s="5"/>
      <c r="M687" s="5"/>
      <c r="N687" s="5"/>
      <c r="O687" s="5"/>
      <c r="Q687" s="5"/>
    </row>
    <row r="688" spans="1:17">
      <c r="A688" s="130" t="s">
        <v>104</v>
      </c>
      <c r="B688" s="135" t="s">
        <v>48</v>
      </c>
      <c r="C688" s="33">
        <v>3060</v>
      </c>
      <c r="D688" s="32"/>
      <c r="E688" s="33">
        <v>157200</v>
      </c>
      <c r="F688" s="33"/>
      <c r="G688" s="33"/>
      <c r="H688" s="57"/>
      <c r="I688" s="33">
        <v>152000</v>
      </c>
      <c r="J688" s="31">
        <f t="shared" ref="J688:J689" si="292">+SUM(C688:G688)-(H688+I688)</f>
        <v>8260</v>
      </c>
      <c r="K688" s="70"/>
      <c r="L688" s="5"/>
      <c r="M688" s="5"/>
      <c r="N688" s="5"/>
      <c r="O688" s="5"/>
      <c r="Q688" s="5"/>
    </row>
    <row r="689" spans="1:17">
      <c r="A689" s="130" t="s">
        <v>104</v>
      </c>
      <c r="B689" s="135" t="s">
        <v>31</v>
      </c>
      <c r="C689" s="33">
        <v>3795</v>
      </c>
      <c r="D689" s="32"/>
      <c r="E689" s="33">
        <v>45000</v>
      </c>
      <c r="F689" s="33"/>
      <c r="G689" s="33"/>
      <c r="H689" s="33"/>
      <c r="I689" s="33">
        <v>45000</v>
      </c>
      <c r="J689" s="107">
        <f t="shared" si="292"/>
        <v>3795</v>
      </c>
      <c r="K689" s="70"/>
      <c r="L689" s="5"/>
      <c r="M689" s="5"/>
      <c r="N689" s="5"/>
      <c r="O689" s="5"/>
      <c r="Q689" s="5"/>
    </row>
    <row r="690" spans="1:17">
      <c r="A690" s="130" t="s">
        <v>104</v>
      </c>
      <c r="B690" s="135" t="s">
        <v>78</v>
      </c>
      <c r="C690" s="33">
        <v>2300</v>
      </c>
      <c r="D690" s="110"/>
      <c r="E690" s="33">
        <v>266600</v>
      </c>
      <c r="F690" s="33">
        <v>159900</v>
      </c>
      <c r="G690" s="33"/>
      <c r="H690" s="33">
        <v>25000</v>
      </c>
      <c r="I690" s="33">
        <v>486900</v>
      </c>
      <c r="J690" s="107">
        <f>+SUM(C690:G690)-(H690+I690)</f>
        <v>-83100</v>
      </c>
      <c r="K690" s="70"/>
      <c r="L690" s="5"/>
      <c r="M690" s="5"/>
      <c r="N690" s="5"/>
      <c r="O690" s="5"/>
      <c r="Q690" s="5"/>
    </row>
    <row r="691" spans="1:17">
      <c r="A691" s="130" t="s">
        <v>104</v>
      </c>
      <c r="B691" s="135" t="s">
        <v>70</v>
      </c>
      <c r="C691" s="33">
        <v>-14216</v>
      </c>
      <c r="D691" s="110"/>
      <c r="E691" s="33">
        <v>622600</v>
      </c>
      <c r="F691" s="33">
        <v>25000</v>
      </c>
      <c r="G691" s="33"/>
      <c r="H691" s="33">
        <v>260700</v>
      </c>
      <c r="I691" s="33">
        <v>370900</v>
      </c>
      <c r="J691" s="107">
        <f>+SUM(C691:G691)-(H691+I691)</f>
        <v>1784</v>
      </c>
      <c r="K691" s="70"/>
      <c r="L691" s="5"/>
      <c r="M691" s="5"/>
      <c r="N691" s="5"/>
      <c r="O691" s="5"/>
      <c r="Q691" s="5"/>
    </row>
    <row r="692" spans="1:17">
      <c r="A692" s="130" t="s">
        <v>104</v>
      </c>
      <c r="B692" s="136" t="s">
        <v>30</v>
      </c>
      <c r="C692" s="53">
        <v>143300</v>
      </c>
      <c r="D692" s="127"/>
      <c r="E692" s="53">
        <v>466500</v>
      </c>
      <c r="F692" s="145"/>
      <c r="G692" s="145"/>
      <c r="H692" s="145"/>
      <c r="I692" s="53">
        <v>521000</v>
      </c>
      <c r="J692" s="132">
        <f>+SUM(C692:G692)-(H692+I692)</f>
        <v>88800</v>
      </c>
      <c r="K692" s="70"/>
      <c r="L692" s="5"/>
      <c r="M692" s="5"/>
      <c r="N692" s="5"/>
      <c r="O692" s="5"/>
      <c r="Q692" s="5"/>
    </row>
    <row r="693" spans="1:17">
      <c r="A693" s="130" t="s">
        <v>104</v>
      </c>
      <c r="B693" s="137" t="s">
        <v>85</v>
      </c>
      <c r="C693" s="128">
        <v>233614</v>
      </c>
      <c r="D693" s="131"/>
      <c r="E693" s="146"/>
      <c r="F693" s="146"/>
      <c r="G693" s="146"/>
      <c r="H693" s="146"/>
      <c r="I693" s="146"/>
      <c r="J693" s="129">
        <f>+SUM(C693:G693)-(H693+I693)</f>
        <v>233614</v>
      </c>
      <c r="K693" s="70"/>
      <c r="L693" s="5"/>
      <c r="M693" s="5"/>
      <c r="N693" s="5"/>
      <c r="O693" s="5"/>
      <c r="Q693" s="5"/>
    </row>
    <row r="694" spans="1:17">
      <c r="A694" s="130" t="s">
        <v>104</v>
      </c>
      <c r="B694" s="137" t="s">
        <v>84</v>
      </c>
      <c r="C694" s="128">
        <v>249768</v>
      </c>
      <c r="D694" s="131"/>
      <c r="E694" s="146"/>
      <c r="F694" s="146"/>
      <c r="G694" s="146"/>
      <c r="H694" s="146"/>
      <c r="I694" s="146"/>
      <c r="J694" s="129">
        <f t="shared" ref="J694:J700" si="293">+SUM(C694:G694)-(H694+I694)</f>
        <v>249768</v>
      </c>
      <c r="K694" s="70"/>
      <c r="L694" s="5"/>
      <c r="M694" s="5"/>
      <c r="N694" s="5"/>
      <c r="O694" s="5"/>
      <c r="Q694" s="5"/>
    </row>
    <row r="695" spans="1:17">
      <c r="A695" s="130" t="s">
        <v>104</v>
      </c>
      <c r="B695" s="135" t="s">
        <v>36</v>
      </c>
      <c r="C695" s="33">
        <v>55090</v>
      </c>
      <c r="D695" s="32"/>
      <c r="E695" s="33">
        <v>143000</v>
      </c>
      <c r="F695" s="33">
        <v>70800</v>
      </c>
      <c r="G695" s="110"/>
      <c r="H695" s="110"/>
      <c r="I695" s="33">
        <v>261000</v>
      </c>
      <c r="J695" s="31">
        <f t="shared" si="293"/>
        <v>7890</v>
      </c>
      <c r="K695" s="70"/>
      <c r="L695" s="5"/>
      <c r="M695" s="5"/>
      <c r="N695" s="5"/>
      <c r="O695" s="5"/>
      <c r="Q695" s="5"/>
    </row>
    <row r="696" spans="1:17">
      <c r="A696" s="130" t="s">
        <v>104</v>
      </c>
      <c r="B696" s="135" t="s">
        <v>94</v>
      </c>
      <c r="C696" s="33">
        <v>0</v>
      </c>
      <c r="D696" s="32"/>
      <c r="E696" s="33">
        <v>30000</v>
      </c>
      <c r="F696" s="110"/>
      <c r="G696" s="110"/>
      <c r="H696" s="110"/>
      <c r="I696" s="33">
        <v>25000</v>
      </c>
      <c r="J696" s="31">
        <f t="shared" si="293"/>
        <v>5000</v>
      </c>
      <c r="K696" s="70"/>
      <c r="L696" s="5"/>
      <c r="M696" s="5"/>
      <c r="N696" s="5"/>
      <c r="O696" s="5"/>
      <c r="Q696" s="5"/>
    </row>
    <row r="697" spans="1:17">
      <c r="A697" s="130" t="s">
        <v>104</v>
      </c>
      <c r="B697" s="135" t="s">
        <v>29</v>
      </c>
      <c r="C697" s="33">
        <v>110700</v>
      </c>
      <c r="D697" s="32"/>
      <c r="E697" s="33">
        <v>375000</v>
      </c>
      <c r="F697" s="33">
        <v>30000</v>
      </c>
      <c r="G697" s="110"/>
      <c r="H697" s="110"/>
      <c r="I697" s="33">
        <v>458000</v>
      </c>
      <c r="J697" s="31">
        <f t="shared" si="293"/>
        <v>57700</v>
      </c>
      <c r="K697" s="70"/>
      <c r="L697" s="5"/>
      <c r="M697" s="5"/>
      <c r="N697" s="5"/>
      <c r="O697" s="5"/>
      <c r="Q697" s="5"/>
    </row>
    <row r="698" spans="1:17">
      <c r="A698" s="130" t="s">
        <v>104</v>
      </c>
      <c r="B698" s="135" t="s">
        <v>95</v>
      </c>
      <c r="C698" s="33">
        <v>-32081</v>
      </c>
      <c r="D698" s="32"/>
      <c r="E698" s="110">
        <v>0</v>
      </c>
      <c r="F698" s="110"/>
      <c r="G698" s="110"/>
      <c r="H698" s="110"/>
      <c r="I698" s="110">
        <v>0</v>
      </c>
      <c r="J698" s="31">
        <f t="shared" si="293"/>
        <v>-32081</v>
      </c>
      <c r="K698" s="70"/>
      <c r="L698" s="5"/>
      <c r="M698" s="5"/>
      <c r="N698" s="5"/>
      <c r="O698" s="5"/>
      <c r="Q698" s="5"/>
    </row>
    <row r="699" spans="1:17">
      <c r="A699" s="130" t="s">
        <v>104</v>
      </c>
      <c r="B699" s="135" t="s">
        <v>102</v>
      </c>
      <c r="C699" s="33">
        <v>0</v>
      </c>
      <c r="D699" s="32"/>
      <c r="E699" s="33">
        <v>82000</v>
      </c>
      <c r="F699" s="110"/>
      <c r="G699" s="110"/>
      <c r="H699" s="110"/>
      <c r="I699" s="33">
        <v>20000</v>
      </c>
      <c r="J699" s="31">
        <f>+SUM(C699:G699)-(H699+I699)</f>
        <v>62000</v>
      </c>
      <c r="K699" s="70"/>
      <c r="L699" s="5"/>
      <c r="M699" s="5"/>
      <c r="N699" s="5"/>
      <c r="O699" s="5"/>
      <c r="Q699" s="5"/>
    </row>
    <row r="700" spans="1:17">
      <c r="A700" s="130" t="s">
        <v>104</v>
      </c>
      <c r="B700" s="136" t="s">
        <v>32</v>
      </c>
      <c r="C700" s="53">
        <v>7300</v>
      </c>
      <c r="D700" s="127"/>
      <c r="E700" s="145"/>
      <c r="F700" s="145"/>
      <c r="G700" s="147"/>
      <c r="H700" s="145"/>
      <c r="I700" s="53">
        <v>3000</v>
      </c>
      <c r="J700" s="31">
        <f t="shared" si="293"/>
        <v>4300</v>
      </c>
      <c r="K700" s="70"/>
      <c r="L700" s="5"/>
      <c r="M700" s="5"/>
      <c r="N700" s="5"/>
      <c r="O700" s="5"/>
      <c r="Q700" s="5"/>
    </row>
    <row r="701" spans="1:17">
      <c r="A701" s="35" t="s">
        <v>61</v>
      </c>
      <c r="B701" s="36"/>
      <c r="C701" s="36"/>
      <c r="D701" s="36"/>
      <c r="E701" s="36"/>
      <c r="F701" s="36"/>
      <c r="G701" s="36"/>
      <c r="H701" s="36"/>
      <c r="I701" s="36"/>
      <c r="J701" s="37"/>
      <c r="K701" s="70"/>
      <c r="L701" s="5"/>
      <c r="M701" s="5"/>
      <c r="N701" s="5"/>
      <c r="O701" s="5"/>
      <c r="Q701" s="5"/>
    </row>
    <row r="702" spans="1:17">
      <c r="A702" s="130" t="s">
        <v>104</v>
      </c>
      <c r="B702" s="38" t="s">
        <v>62</v>
      </c>
      <c r="C702" s="39">
        <v>817769</v>
      </c>
      <c r="D702" s="51">
        <v>3000000</v>
      </c>
      <c r="E702" s="109"/>
      <c r="F702" s="109"/>
      <c r="G702" s="148"/>
      <c r="H702" s="139">
        <v>2627870</v>
      </c>
      <c r="I702" s="134">
        <v>1127749</v>
      </c>
      <c r="J702" s="46">
        <f>+SUM(C702:G702)-(H702+I702)</f>
        <v>62150</v>
      </c>
      <c r="K702" s="70"/>
      <c r="L702" s="5"/>
      <c r="M702" s="5"/>
      <c r="N702" s="5"/>
      <c r="O702" s="5"/>
      <c r="Q702" s="5"/>
    </row>
    <row r="703" spans="1:17">
      <c r="A703" s="44" t="s">
        <v>63</v>
      </c>
      <c r="B703" s="25"/>
      <c r="C703" s="36"/>
      <c r="D703" s="25"/>
      <c r="E703" s="25"/>
      <c r="F703" s="25"/>
      <c r="G703" s="25"/>
      <c r="H703" s="25"/>
      <c r="I703" s="25"/>
      <c r="J703" s="37"/>
      <c r="L703" s="5"/>
      <c r="M703" s="5"/>
      <c r="N703" s="5"/>
      <c r="O703" s="5"/>
      <c r="Q703" s="5"/>
    </row>
    <row r="704" spans="1:17">
      <c r="A704" s="130" t="s">
        <v>104</v>
      </c>
      <c r="B704" s="38" t="s">
        <v>64</v>
      </c>
      <c r="C704" s="133">
        <v>14712920</v>
      </c>
      <c r="D704" s="140"/>
      <c r="E704" s="51"/>
      <c r="F704" s="51"/>
      <c r="G704" s="51"/>
      <c r="H704" s="53">
        <v>3000000</v>
      </c>
      <c r="I704" s="55">
        <v>428365</v>
      </c>
      <c r="J704" s="46">
        <f>+SUM(C704:G704)-(H704+I704)</f>
        <v>11284555</v>
      </c>
      <c r="K704" s="70"/>
      <c r="L704" s="5"/>
      <c r="M704" s="5"/>
      <c r="N704" s="5"/>
      <c r="O704" s="5"/>
      <c r="Q704" s="5"/>
    </row>
    <row r="705" spans="1:17">
      <c r="A705" s="130" t="s">
        <v>104</v>
      </c>
      <c r="B705" s="38" t="s">
        <v>65</v>
      </c>
      <c r="C705" s="133">
        <v>8361083</v>
      </c>
      <c r="D705" s="51"/>
      <c r="E705" s="50"/>
      <c r="F705" s="50"/>
      <c r="G705" s="50"/>
      <c r="H705" s="33"/>
      <c r="I705" s="52">
        <v>6202438</v>
      </c>
      <c r="J705" s="46">
        <f>SUM(C705:G705)-(H705+I705)</f>
        <v>2158645</v>
      </c>
      <c r="K705" s="70"/>
      <c r="L705" s="5"/>
      <c r="M705" s="5"/>
      <c r="N705" s="5"/>
      <c r="O705" s="5"/>
      <c r="Q705" s="5"/>
    </row>
    <row r="706" spans="1:17" ht="15.75">
      <c r="C706" s="9"/>
      <c r="I706" s="149">
        <f>SUM(I687:I705)</f>
        <v>10574852</v>
      </c>
      <c r="J706" s="111">
        <f>+SUM(J687:J705)</f>
        <v>14101750</v>
      </c>
      <c r="K706" s="9">
        <f>J706-C678</f>
        <v>-1</v>
      </c>
      <c r="L706" s="5"/>
      <c r="M706" s="5"/>
      <c r="N706" s="5"/>
      <c r="O706" s="5"/>
      <c r="Q706" s="5"/>
    </row>
    <row r="707" spans="1:17" ht="16.5">
      <c r="A707" s="10"/>
      <c r="B707" s="11"/>
      <c r="C707" s="12"/>
      <c r="D707" s="12"/>
      <c r="E707" s="12"/>
      <c r="F707" s="12"/>
      <c r="G707" s="12"/>
      <c r="H707" s="12"/>
      <c r="I707" s="12"/>
      <c r="J707" s="141"/>
      <c r="L707" s="5"/>
      <c r="M707" s="5"/>
      <c r="N707" s="5"/>
      <c r="O707" s="5"/>
      <c r="Q707" s="5"/>
    </row>
    <row r="708" spans="1:17">
      <c r="A708" s="16" t="s">
        <v>53</v>
      </c>
      <c r="B708" s="16"/>
      <c r="C708" s="16"/>
      <c r="D708" s="17"/>
      <c r="E708" s="17"/>
      <c r="F708" s="17"/>
      <c r="G708" s="17"/>
      <c r="H708" s="17"/>
      <c r="I708" s="17"/>
      <c r="L708" s="5"/>
      <c r="M708" s="5"/>
      <c r="N708" s="5"/>
      <c r="O708" s="5"/>
      <c r="Q708" s="5"/>
    </row>
    <row r="709" spans="1:17">
      <c r="A709" s="18" t="s">
        <v>96</v>
      </c>
      <c r="B709" s="18"/>
      <c r="C709" s="18"/>
      <c r="D709" s="18"/>
      <c r="E709" s="18"/>
      <c r="F709" s="18"/>
      <c r="G709" s="18"/>
      <c r="H709" s="18"/>
      <c r="I709" s="18"/>
      <c r="J709" s="17"/>
      <c r="L709" s="5"/>
      <c r="M709" s="5"/>
      <c r="N709" s="5"/>
      <c r="O709" s="5"/>
      <c r="Q709" s="5"/>
    </row>
    <row r="710" spans="1:17">
      <c r="A710" s="19"/>
      <c r="B710" s="20"/>
      <c r="C710" s="21"/>
      <c r="D710" s="21"/>
      <c r="E710" s="21"/>
      <c r="F710" s="21"/>
      <c r="G710" s="21"/>
      <c r="H710" s="20"/>
      <c r="I710" s="20"/>
      <c r="J710" s="18"/>
      <c r="L710" s="5"/>
      <c r="M710" s="5"/>
      <c r="N710" s="5"/>
      <c r="O710" s="5"/>
      <c r="Q710" s="5"/>
    </row>
    <row r="711" spans="1:17" ht="15" customHeight="1">
      <c r="A711" s="506" t="s">
        <v>54</v>
      </c>
      <c r="B711" s="508" t="s">
        <v>55</v>
      </c>
      <c r="C711" s="510" t="s">
        <v>97</v>
      </c>
      <c r="D711" s="512" t="s">
        <v>56</v>
      </c>
      <c r="E711" s="513"/>
      <c r="F711" s="513"/>
      <c r="G711" s="514"/>
      <c r="H711" s="515" t="s">
        <v>57</v>
      </c>
      <c r="I711" s="502" t="s">
        <v>58</v>
      </c>
      <c r="J711" s="20"/>
      <c r="L711" s="5"/>
      <c r="M711" s="5"/>
      <c r="N711" s="5"/>
      <c r="O711" s="5"/>
      <c r="Q711" s="5"/>
    </row>
    <row r="712" spans="1:17" ht="15" customHeight="1">
      <c r="A712" s="507"/>
      <c r="B712" s="509"/>
      <c r="C712" s="511"/>
      <c r="D712" s="22" t="s">
        <v>24</v>
      </c>
      <c r="E712" s="22" t="s">
        <v>25</v>
      </c>
      <c r="F712" s="122" t="s">
        <v>100</v>
      </c>
      <c r="G712" s="22" t="s">
        <v>59</v>
      </c>
      <c r="H712" s="516"/>
      <c r="I712" s="503"/>
      <c r="J712" s="504" t="s">
        <v>98</v>
      </c>
      <c r="L712" s="5"/>
      <c r="M712" s="5"/>
      <c r="N712" s="5"/>
      <c r="O712" s="5"/>
      <c r="Q712" s="5"/>
    </row>
    <row r="713" spans="1:17">
      <c r="A713" s="24"/>
      <c r="B713" s="25" t="s">
        <v>60</v>
      </c>
      <c r="C713" s="26"/>
      <c r="D713" s="26"/>
      <c r="E713" s="26"/>
      <c r="F713" s="26"/>
      <c r="G713" s="26"/>
      <c r="H713" s="26"/>
      <c r="I713" s="27"/>
      <c r="J713" s="505"/>
      <c r="L713" s="5"/>
      <c r="M713" s="5"/>
      <c r="N713" s="5"/>
      <c r="O713" s="5"/>
      <c r="Q713" s="5"/>
    </row>
    <row r="714" spans="1:17">
      <c r="A714" s="130" t="s">
        <v>99</v>
      </c>
      <c r="B714" s="135" t="s">
        <v>77</v>
      </c>
      <c r="C714" s="33">
        <v>-10750</v>
      </c>
      <c r="D714" s="32"/>
      <c r="E714" s="32">
        <v>170625</v>
      </c>
      <c r="F714" s="32">
        <v>301700</v>
      </c>
      <c r="G714" s="32"/>
      <c r="H714" s="57">
        <v>27000</v>
      </c>
      <c r="I714" s="33">
        <v>412375</v>
      </c>
      <c r="J714" s="31">
        <f>+SUM(C714:G714)-(H714+I714)</f>
        <v>22200</v>
      </c>
      <c r="K714" s="70"/>
      <c r="L714" s="5"/>
      <c r="M714" s="5"/>
      <c r="N714" s="5"/>
      <c r="O714" s="5"/>
      <c r="Q714" s="5"/>
    </row>
    <row r="715" spans="1:17">
      <c r="A715" s="130" t="s">
        <v>99</v>
      </c>
      <c r="B715" s="135" t="s">
        <v>48</v>
      </c>
      <c r="C715" s="33">
        <v>9060</v>
      </c>
      <c r="D715" s="32"/>
      <c r="E715" s="32">
        <v>0</v>
      </c>
      <c r="F715" s="32"/>
      <c r="G715" s="32"/>
      <c r="H715" s="57"/>
      <c r="I715" s="33">
        <v>6000</v>
      </c>
      <c r="J715" s="31">
        <f t="shared" ref="J715:J716" si="294">+SUM(C715:G715)-(H715+I715)</f>
        <v>3060</v>
      </c>
      <c r="K715" s="70"/>
      <c r="L715" s="5"/>
      <c r="M715" s="5"/>
      <c r="N715" s="5"/>
      <c r="O715" s="5"/>
      <c r="Q715" s="5"/>
    </row>
    <row r="716" spans="1:17">
      <c r="A716" s="130" t="s">
        <v>99</v>
      </c>
      <c r="B716" s="135" t="s">
        <v>31</v>
      </c>
      <c r="C716" s="33">
        <v>1195</v>
      </c>
      <c r="D716" s="32"/>
      <c r="E716" s="32">
        <v>75000</v>
      </c>
      <c r="F716" s="33"/>
      <c r="G716" s="33"/>
      <c r="H716" s="33"/>
      <c r="I716" s="33">
        <v>72400</v>
      </c>
      <c r="J716" s="107">
        <f t="shared" si="294"/>
        <v>3795</v>
      </c>
      <c r="K716" s="70"/>
      <c r="L716" s="5"/>
      <c r="M716" s="5"/>
      <c r="N716" s="5"/>
      <c r="O716" s="5"/>
      <c r="Q716" s="5"/>
    </row>
    <row r="717" spans="1:17">
      <c r="A717" s="130" t="s">
        <v>99</v>
      </c>
      <c r="B717" s="135" t="s">
        <v>78</v>
      </c>
      <c r="C717" s="33">
        <v>-8600</v>
      </c>
      <c r="D717" s="110"/>
      <c r="E717" s="32">
        <v>596900</v>
      </c>
      <c r="F717" s="33"/>
      <c r="G717" s="33"/>
      <c r="H717" s="33"/>
      <c r="I717" s="33">
        <v>586000</v>
      </c>
      <c r="J717" s="107">
        <f>+SUM(C717:G717)-(H717+I717)</f>
        <v>2300</v>
      </c>
      <c r="K717" s="70"/>
      <c r="L717" s="5"/>
      <c r="M717" s="5"/>
      <c r="N717" s="5"/>
      <c r="O717" s="5"/>
      <c r="Q717" s="5"/>
    </row>
    <row r="718" spans="1:17">
      <c r="A718" s="130" t="s">
        <v>99</v>
      </c>
      <c r="B718" s="135" t="s">
        <v>70</v>
      </c>
      <c r="C718" s="33">
        <v>8884</v>
      </c>
      <c r="D718" s="110"/>
      <c r="E718" s="32">
        <v>618600</v>
      </c>
      <c r="F718" s="33">
        <v>27000</v>
      </c>
      <c r="G718" s="33"/>
      <c r="H718" s="33">
        <v>301700</v>
      </c>
      <c r="I718" s="33">
        <v>367000</v>
      </c>
      <c r="J718" s="107">
        <f t="shared" ref="J718" si="295">+SUM(C718:G718)-(H718+I718)</f>
        <v>-14216</v>
      </c>
      <c r="K718" s="70"/>
      <c r="L718" s="5"/>
      <c r="M718" s="5"/>
      <c r="N718" s="5"/>
      <c r="O718" s="5"/>
      <c r="Q718" s="5"/>
    </row>
    <row r="719" spans="1:17">
      <c r="A719" s="127" t="s">
        <v>99</v>
      </c>
      <c r="B719" s="136" t="s">
        <v>30</v>
      </c>
      <c r="C719" s="53">
        <v>191600</v>
      </c>
      <c r="D719" s="127"/>
      <c r="E719" s="127">
        <v>777000</v>
      </c>
      <c r="F719" s="53"/>
      <c r="G719" s="53"/>
      <c r="H719" s="53"/>
      <c r="I719" s="53">
        <v>825300</v>
      </c>
      <c r="J719" s="132">
        <f>+SUM(C719:G719)-(H719+I719)</f>
        <v>143300</v>
      </c>
      <c r="K719" s="70"/>
      <c r="L719" s="5"/>
      <c r="M719" s="5"/>
      <c r="N719" s="5"/>
      <c r="O719" s="5"/>
      <c r="Q719" s="5"/>
    </row>
    <row r="720" spans="1:17">
      <c r="A720" s="131" t="s">
        <v>99</v>
      </c>
      <c r="B720" s="137" t="s">
        <v>85</v>
      </c>
      <c r="C720" s="128">
        <v>233614</v>
      </c>
      <c r="D720" s="131"/>
      <c r="E720" s="131"/>
      <c r="F720" s="131"/>
      <c r="G720" s="131"/>
      <c r="H720" s="128"/>
      <c r="I720" s="128"/>
      <c r="J720" s="129">
        <f>+SUM(C720:G720)-(H720+I720)</f>
        <v>233614</v>
      </c>
      <c r="K720" s="70"/>
      <c r="L720" s="5"/>
      <c r="M720" s="5"/>
      <c r="N720" s="5"/>
      <c r="O720" s="5"/>
      <c r="Q720" s="5"/>
    </row>
    <row r="721" spans="1:17">
      <c r="A721" s="131" t="s">
        <v>99</v>
      </c>
      <c r="B721" s="137" t="s">
        <v>84</v>
      </c>
      <c r="C721" s="128">
        <v>249769</v>
      </c>
      <c r="D721" s="131"/>
      <c r="E721" s="131"/>
      <c r="F721" s="131"/>
      <c r="G721" s="131"/>
      <c r="H721" s="128"/>
      <c r="I721" s="128"/>
      <c r="J721" s="129">
        <f t="shared" ref="J721:J726" si="296">+SUM(C721:G721)-(H721+I721)</f>
        <v>249769</v>
      </c>
      <c r="K721" s="70"/>
      <c r="L721" s="5"/>
      <c r="M721" s="5"/>
      <c r="N721" s="5"/>
      <c r="O721" s="5"/>
      <c r="Q721" s="5"/>
    </row>
    <row r="722" spans="1:17">
      <c r="A722" s="130" t="s">
        <v>99</v>
      </c>
      <c r="B722" s="135" t="s">
        <v>36</v>
      </c>
      <c r="C722" s="33">
        <v>-3510</v>
      </c>
      <c r="D722" s="32"/>
      <c r="E722" s="32">
        <v>240100</v>
      </c>
      <c r="F722" s="32"/>
      <c r="G722" s="32"/>
      <c r="H722" s="33"/>
      <c r="I722" s="33">
        <v>181500</v>
      </c>
      <c r="J722" s="31">
        <f t="shared" si="296"/>
        <v>55090</v>
      </c>
      <c r="K722" s="70"/>
      <c r="L722" s="5"/>
      <c r="M722" s="5"/>
      <c r="N722" s="5"/>
      <c r="O722" s="5"/>
      <c r="Q722" s="5"/>
    </row>
    <row r="723" spans="1:17">
      <c r="A723" s="130" t="s">
        <v>99</v>
      </c>
      <c r="B723" s="135" t="s">
        <v>94</v>
      </c>
      <c r="C723" s="33">
        <v>0</v>
      </c>
      <c r="D723" s="32"/>
      <c r="E723" s="32">
        <v>5000</v>
      </c>
      <c r="F723" s="32"/>
      <c r="G723" s="32"/>
      <c r="H723" s="33"/>
      <c r="I723" s="33">
        <v>5000</v>
      </c>
      <c r="J723" s="31">
        <f t="shared" si="296"/>
        <v>0</v>
      </c>
      <c r="K723" s="70"/>
      <c r="L723" s="5"/>
      <c r="M723" s="5"/>
      <c r="N723" s="5"/>
      <c r="O723" s="5"/>
      <c r="Q723" s="5"/>
    </row>
    <row r="724" spans="1:17">
      <c r="A724" s="130" t="s">
        <v>99</v>
      </c>
      <c r="B724" s="135" t="s">
        <v>29</v>
      </c>
      <c r="C724" s="33">
        <v>111200</v>
      </c>
      <c r="D724" s="32"/>
      <c r="E724" s="32">
        <v>704000</v>
      </c>
      <c r="F724" s="32"/>
      <c r="G724" s="32"/>
      <c r="H724" s="33"/>
      <c r="I724" s="33">
        <v>704500</v>
      </c>
      <c r="J724" s="31">
        <f t="shared" si="296"/>
        <v>110700</v>
      </c>
      <c r="K724" s="70"/>
      <c r="L724" s="5"/>
      <c r="M724" s="5"/>
      <c r="N724" s="5"/>
      <c r="O724" s="5"/>
      <c r="Q724" s="5"/>
    </row>
    <row r="725" spans="1:17">
      <c r="A725" s="130" t="s">
        <v>99</v>
      </c>
      <c r="B725" s="135" t="s">
        <v>95</v>
      </c>
      <c r="C725" s="33">
        <v>-32081</v>
      </c>
      <c r="D725" s="32"/>
      <c r="E725" s="32">
        <v>0</v>
      </c>
      <c r="F725" s="32"/>
      <c r="G725" s="32"/>
      <c r="H725" s="33"/>
      <c r="I725" s="33">
        <v>0</v>
      </c>
      <c r="J725" s="31">
        <f t="shared" si="296"/>
        <v>-32081</v>
      </c>
      <c r="K725" s="70"/>
      <c r="L725" s="5"/>
      <c r="M725" s="5"/>
      <c r="N725" s="5"/>
      <c r="O725" s="5"/>
      <c r="Q725" s="5"/>
    </row>
    <row r="726" spans="1:17">
      <c r="A726" s="130" t="s">
        <v>99</v>
      </c>
      <c r="B726" s="136" t="s">
        <v>32</v>
      </c>
      <c r="C726" s="53">
        <v>5300</v>
      </c>
      <c r="D726" s="127"/>
      <c r="E726" s="127">
        <v>10000</v>
      </c>
      <c r="F726" s="127"/>
      <c r="G726" s="138"/>
      <c r="H726" s="53"/>
      <c r="I726" s="53">
        <v>8000</v>
      </c>
      <c r="J726" s="31">
        <f t="shared" si="296"/>
        <v>7300</v>
      </c>
      <c r="K726" s="70"/>
      <c r="L726" s="5"/>
      <c r="M726" s="5"/>
      <c r="N726" s="5"/>
      <c r="O726" s="5"/>
      <c r="Q726" s="5"/>
    </row>
    <row r="727" spans="1:17">
      <c r="A727" s="35" t="s">
        <v>61</v>
      </c>
      <c r="B727" s="36"/>
      <c r="C727" s="36"/>
      <c r="D727" s="36"/>
      <c r="E727" s="36"/>
      <c r="F727" s="36"/>
      <c r="G727" s="36"/>
      <c r="H727" s="36"/>
      <c r="I727" s="36"/>
      <c r="J727" s="37"/>
      <c r="K727" s="70"/>
      <c r="L727" s="5"/>
      <c r="M727" s="5"/>
      <c r="N727" s="5"/>
      <c r="O727" s="5"/>
      <c r="Q727" s="5"/>
    </row>
    <row r="728" spans="1:17">
      <c r="A728" s="28" t="s">
        <v>99</v>
      </c>
      <c r="B728" s="38" t="s">
        <v>62</v>
      </c>
      <c r="C728" s="39">
        <v>733034</v>
      </c>
      <c r="D728" s="40">
        <v>4293000</v>
      </c>
      <c r="E728" s="40"/>
      <c r="F728" s="40"/>
      <c r="G728" s="133"/>
      <c r="H728" s="139">
        <v>3197225</v>
      </c>
      <c r="I728" s="134">
        <v>1011040</v>
      </c>
      <c r="J728" s="46">
        <f>+SUM(C728:G728)-(H728+I728)</f>
        <v>817769</v>
      </c>
      <c r="K728" s="70"/>
      <c r="L728" s="5"/>
      <c r="M728" s="5"/>
      <c r="N728" s="5"/>
      <c r="O728" s="5"/>
      <c r="Q728" s="5"/>
    </row>
    <row r="729" spans="1:17">
      <c r="A729" s="44" t="s">
        <v>63</v>
      </c>
      <c r="B729" s="25"/>
      <c r="C729" s="36"/>
      <c r="D729" s="25"/>
      <c r="E729" s="25"/>
      <c r="F729" s="25"/>
      <c r="G729" s="25"/>
      <c r="H729" s="25"/>
      <c r="I729" s="25"/>
      <c r="J729" s="37"/>
      <c r="L729" s="5"/>
      <c r="M729" s="5"/>
      <c r="N729" s="5"/>
      <c r="O729" s="5"/>
      <c r="Q729" s="5"/>
    </row>
    <row r="730" spans="1:17">
      <c r="A730" s="28" t="s">
        <v>99</v>
      </c>
      <c r="B730" s="38" t="s">
        <v>64</v>
      </c>
      <c r="C730" s="133">
        <v>19184971</v>
      </c>
      <c r="D730" s="140"/>
      <c r="E730" s="51"/>
      <c r="F730" s="51"/>
      <c r="G730" s="51"/>
      <c r="H730" s="53">
        <v>4000000</v>
      </c>
      <c r="I730" s="55">
        <v>472051</v>
      </c>
      <c r="J730" s="46">
        <f>+SUM(C730:G730)-(H730+I730)</f>
        <v>14712920</v>
      </c>
      <c r="K730" s="70"/>
      <c r="L730" s="5"/>
      <c r="M730" s="5"/>
      <c r="N730" s="5"/>
      <c r="O730" s="5"/>
      <c r="Q730" s="5"/>
    </row>
    <row r="731" spans="1:17">
      <c r="A731" s="28" t="s">
        <v>99</v>
      </c>
      <c r="B731" s="38" t="s">
        <v>65</v>
      </c>
      <c r="C731" s="133">
        <v>14419055</v>
      </c>
      <c r="D731" s="51"/>
      <c r="E731" s="50"/>
      <c r="F731" s="50"/>
      <c r="G731" s="50"/>
      <c r="H731" s="33">
        <v>293000</v>
      </c>
      <c r="I731" s="52">
        <v>5764972</v>
      </c>
      <c r="J731" s="46">
        <f>SUM(C731:G731)-(H731+I731)</f>
        <v>8361083</v>
      </c>
      <c r="K731" s="70"/>
      <c r="L731" s="5"/>
      <c r="M731" s="5"/>
      <c r="N731" s="5"/>
      <c r="O731" s="5"/>
      <c r="Q731" s="5"/>
    </row>
    <row r="732" spans="1:17" ht="15.75">
      <c r="C732" s="9"/>
      <c r="I732" s="9"/>
      <c r="J732" s="111">
        <f>+SUM(J714:J731)</f>
        <v>24676603</v>
      </c>
      <c r="L732" s="5"/>
      <c r="M732" s="5"/>
      <c r="N732" s="5"/>
      <c r="O732" s="5"/>
      <c r="Q732" s="5"/>
    </row>
    <row r="733" spans="1:17" ht="16.5">
      <c r="A733" s="10"/>
      <c r="B733" s="11"/>
      <c r="C733" s="12"/>
      <c r="D733" s="12"/>
      <c r="E733" s="12"/>
      <c r="F733" s="12"/>
      <c r="G733" s="12"/>
      <c r="H733" s="12"/>
      <c r="I733" s="12"/>
      <c r="J733" s="141"/>
      <c r="L733" s="5"/>
      <c r="M733" s="5"/>
      <c r="N733" s="5"/>
      <c r="O733" s="5"/>
      <c r="Q733" s="5"/>
    </row>
    <row r="734" spans="1:17">
      <c r="A734" s="16" t="s">
        <v>53</v>
      </c>
      <c r="B734" s="16"/>
      <c r="C734" s="16"/>
      <c r="D734" s="17"/>
      <c r="E734" s="17"/>
      <c r="F734" s="17"/>
      <c r="G734" s="17"/>
      <c r="H734" s="17"/>
      <c r="I734" s="17"/>
      <c r="L734" s="5"/>
      <c r="M734" s="5"/>
      <c r="N734" s="5"/>
      <c r="O734" s="5"/>
      <c r="Q734" s="5"/>
    </row>
    <row r="735" spans="1:17">
      <c r="A735" s="18" t="s">
        <v>88</v>
      </c>
      <c r="B735" s="18"/>
      <c r="C735" s="18"/>
      <c r="D735" s="18"/>
      <c r="E735" s="18"/>
      <c r="F735" s="18"/>
      <c r="G735" s="18"/>
      <c r="H735" s="18"/>
      <c r="I735" s="18"/>
      <c r="J735" s="17"/>
      <c r="L735" s="5"/>
      <c r="M735" s="5"/>
      <c r="N735" s="5"/>
      <c r="O735" s="5"/>
      <c r="Q735" s="5"/>
    </row>
    <row r="736" spans="1:17" ht="15" customHeight="1">
      <c r="A736" s="19"/>
      <c r="B736" s="20"/>
      <c r="C736" s="21"/>
      <c r="D736" s="21"/>
      <c r="E736" s="21"/>
      <c r="F736" s="21"/>
      <c r="G736" s="21"/>
      <c r="H736" s="20"/>
      <c r="I736" s="20"/>
      <c r="J736" s="18"/>
      <c r="L736" s="5"/>
      <c r="M736" s="5"/>
      <c r="N736" s="5"/>
      <c r="O736" s="5"/>
      <c r="Q736" s="5"/>
    </row>
    <row r="737" spans="1:17" ht="15" customHeight="1">
      <c r="A737" s="506" t="s">
        <v>54</v>
      </c>
      <c r="B737" s="508" t="s">
        <v>55</v>
      </c>
      <c r="C737" s="510" t="s">
        <v>89</v>
      </c>
      <c r="D737" s="512" t="s">
        <v>56</v>
      </c>
      <c r="E737" s="513"/>
      <c r="F737" s="513"/>
      <c r="G737" s="514"/>
      <c r="H737" s="515" t="s">
        <v>57</v>
      </c>
      <c r="I737" s="502" t="s">
        <v>58</v>
      </c>
      <c r="J737" s="20"/>
      <c r="L737" s="5"/>
      <c r="M737" s="5"/>
      <c r="N737" s="5"/>
      <c r="O737" s="5"/>
      <c r="Q737" s="5"/>
    </row>
    <row r="738" spans="1:17" ht="15" customHeight="1">
      <c r="A738" s="507"/>
      <c r="B738" s="509"/>
      <c r="C738" s="511"/>
      <c r="D738" s="22" t="s">
        <v>24</v>
      </c>
      <c r="E738" s="22" t="s">
        <v>25</v>
      </c>
      <c r="F738" s="112" t="s">
        <v>92</v>
      </c>
      <c r="G738" s="22" t="s">
        <v>59</v>
      </c>
      <c r="H738" s="516"/>
      <c r="I738" s="503"/>
      <c r="J738" s="504" t="s">
        <v>90</v>
      </c>
      <c r="L738" s="5"/>
      <c r="M738" s="5"/>
      <c r="N738" s="5"/>
      <c r="O738" s="5"/>
      <c r="Q738" s="5"/>
    </row>
    <row r="739" spans="1:17">
      <c r="A739" s="24"/>
      <c r="B739" s="25" t="s">
        <v>60</v>
      </c>
      <c r="C739" s="26"/>
      <c r="D739" s="26"/>
      <c r="E739" s="26"/>
      <c r="F739" s="26"/>
      <c r="G739" s="26"/>
      <c r="H739" s="26"/>
      <c r="I739" s="27"/>
      <c r="J739" s="505"/>
      <c r="L739" s="5"/>
      <c r="M739" s="5"/>
      <c r="N739" s="5"/>
      <c r="O739" s="5"/>
      <c r="Q739" s="5"/>
    </row>
    <row r="740" spans="1:17" ht="16.5">
      <c r="A740" s="28" t="s">
        <v>91</v>
      </c>
      <c r="B740" s="8" t="s">
        <v>77</v>
      </c>
      <c r="C740" s="29" t="e">
        <f>+#REF!</f>
        <v>#REF!</v>
      </c>
      <c r="D740" s="30"/>
      <c r="E740" s="30">
        <v>271100</v>
      </c>
      <c r="F740" s="30">
        <f>112800+126500</f>
        <v>239300</v>
      </c>
      <c r="G740" s="30"/>
      <c r="H740" s="57"/>
      <c r="I740" s="34">
        <v>521950</v>
      </c>
      <c r="J740" s="31" t="e">
        <f>+SUM(C740:G740)-(H740+I740)</f>
        <v>#REF!</v>
      </c>
      <c r="L740" s="5"/>
      <c r="M740" s="5"/>
      <c r="N740" s="5"/>
      <c r="O740" s="5"/>
      <c r="Q740" s="5"/>
    </row>
    <row r="741" spans="1:17" ht="16.5">
      <c r="A741" s="28" t="s">
        <v>91</v>
      </c>
      <c r="B741" s="8" t="s">
        <v>48</v>
      </c>
      <c r="C741" s="29" t="e">
        <f>+C505</f>
        <v>#REF!</v>
      </c>
      <c r="D741" s="30"/>
      <c r="E741" s="30">
        <v>625000</v>
      </c>
      <c r="F741" s="30"/>
      <c r="G741" s="30"/>
      <c r="H741" s="57">
        <v>247500</v>
      </c>
      <c r="I741" s="34">
        <v>371500</v>
      </c>
      <c r="J741" s="31" t="e">
        <f t="shared" ref="J741:J742" si="297">+SUM(C741:G741)-(H741+I741)</f>
        <v>#REF!</v>
      </c>
      <c r="L741" s="5"/>
      <c r="M741" s="5"/>
      <c r="N741" s="5"/>
      <c r="O741" s="5"/>
      <c r="Q741" s="5"/>
    </row>
    <row r="742" spans="1:17" ht="16.5">
      <c r="A742" s="28" t="s">
        <v>91</v>
      </c>
      <c r="B742" s="8" t="s">
        <v>31</v>
      </c>
      <c r="C742" s="29" t="e">
        <f>+C506</f>
        <v>#REF!</v>
      </c>
      <c r="D742" s="30"/>
      <c r="E742" s="30">
        <v>60000</v>
      </c>
      <c r="F742" s="106"/>
      <c r="G742" s="106"/>
      <c r="H742" s="33"/>
      <c r="I742" s="56">
        <v>67200</v>
      </c>
      <c r="J742" s="107" t="e">
        <f t="shared" si="297"/>
        <v>#REF!</v>
      </c>
      <c r="L742" s="5"/>
      <c r="M742" s="5"/>
      <c r="N742" s="5"/>
      <c r="O742" s="5"/>
      <c r="Q742" s="5"/>
    </row>
    <row r="743" spans="1:17" ht="15.75" customHeight="1">
      <c r="A743" s="28" t="s">
        <v>91</v>
      </c>
      <c r="B743" s="8" t="s">
        <v>78</v>
      </c>
      <c r="C743" s="29" t="e">
        <f>+C507</f>
        <v>#REF!</v>
      </c>
      <c r="D743" s="58"/>
      <c r="E743" s="30">
        <v>140000</v>
      </c>
      <c r="F743" s="106">
        <v>270500</v>
      </c>
      <c r="G743" s="106"/>
      <c r="H743" s="33"/>
      <c r="I743" s="33">
        <v>417300</v>
      </c>
      <c r="J743" s="107" t="e">
        <f>+SUM(C743:G743)-(H743+I743)</f>
        <v>#REF!</v>
      </c>
      <c r="L743" s="5"/>
      <c r="M743" s="5"/>
      <c r="N743" s="5"/>
      <c r="O743" s="5"/>
      <c r="Q743" s="5"/>
    </row>
    <row r="744" spans="1:17" ht="16.5">
      <c r="A744" s="28" t="s">
        <v>91</v>
      </c>
      <c r="B744" s="8" t="s">
        <v>70</v>
      </c>
      <c r="C744" s="29">
        <v>15984</v>
      </c>
      <c r="D744" s="58"/>
      <c r="E744" s="30">
        <v>256400</v>
      </c>
      <c r="F744" s="106"/>
      <c r="G744" s="106"/>
      <c r="H744" s="33"/>
      <c r="I744" s="34">
        <v>263500</v>
      </c>
      <c r="J744" s="107">
        <f t="shared" ref="J744" si="298">+SUM(C744:G744)-(H744+I744)</f>
        <v>8884</v>
      </c>
      <c r="L744" s="5"/>
      <c r="M744" s="5"/>
      <c r="N744" s="5"/>
      <c r="O744" s="5"/>
      <c r="Q744" s="5"/>
    </row>
    <row r="745" spans="1:17" ht="16.5">
      <c r="A745" s="28" t="s">
        <v>91</v>
      </c>
      <c r="B745" s="8" t="s">
        <v>30</v>
      </c>
      <c r="C745" s="29" t="e">
        <f t="shared" ref="C745:C749" si="299">+C508</f>
        <v>#REF!</v>
      </c>
      <c r="D745" s="30"/>
      <c r="E745" s="30">
        <v>858500</v>
      </c>
      <c r="F745" s="106"/>
      <c r="G745" s="106"/>
      <c r="H745" s="33"/>
      <c r="I745" s="34">
        <v>645000</v>
      </c>
      <c r="J745" s="107" t="e">
        <f>+SUM(C745:G745)-(H745+I745)</f>
        <v>#REF!</v>
      </c>
      <c r="L745" s="5"/>
      <c r="M745" s="5"/>
      <c r="N745" s="5"/>
      <c r="O745" s="5"/>
      <c r="Q745" s="5"/>
    </row>
    <row r="746" spans="1:17" ht="16.5">
      <c r="A746" s="28" t="s">
        <v>91</v>
      </c>
      <c r="B746" s="8" t="s">
        <v>36</v>
      </c>
      <c r="C746" s="29" t="e">
        <f t="shared" si="299"/>
        <v>#REF!</v>
      </c>
      <c r="D746" s="30"/>
      <c r="E746" s="30">
        <v>800700</v>
      </c>
      <c r="F746" s="30"/>
      <c r="G746" s="30"/>
      <c r="H746" s="33">
        <v>262300</v>
      </c>
      <c r="I746" s="34">
        <v>543600</v>
      </c>
      <c r="J746" s="31" t="e">
        <f>+SUM(C746:G746)-(H746+I746)</f>
        <v>#REF!</v>
      </c>
      <c r="L746" s="5"/>
      <c r="M746" s="5"/>
      <c r="N746" s="5"/>
      <c r="O746" s="5"/>
      <c r="Q746" s="5"/>
    </row>
    <row r="747" spans="1:17" ht="16.5">
      <c r="A747" s="28" t="s">
        <v>91</v>
      </c>
      <c r="B747" s="8" t="s">
        <v>29</v>
      </c>
      <c r="C747" s="29" t="e">
        <f t="shared" si="299"/>
        <v>#REF!</v>
      </c>
      <c r="D747" s="30"/>
      <c r="E747" s="30">
        <v>971600</v>
      </c>
      <c r="F747" s="30"/>
      <c r="G747" s="30"/>
      <c r="H747" s="33">
        <v>200000</v>
      </c>
      <c r="I747" s="34">
        <v>639450</v>
      </c>
      <c r="J747" s="31" t="e">
        <f t="shared" ref="J747:J748" si="300">+SUM(C747:G747)-(H747+I747)</f>
        <v>#REF!</v>
      </c>
      <c r="L747" s="5"/>
      <c r="M747" s="5"/>
      <c r="N747" s="5"/>
      <c r="O747" s="5"/>
      <c r="Q747" s="5"/>
    </row>
    <row r="748" spans="1:17" ht="16.5">
      <c r="A748" s="28" t="s">
        <v>91</v>
      </c>
      <c r="B748" s="8" t="s">
        <v>5</v>
      </c>
      <c r="C748" s="29" t="e">
        <f t="shared" si="299"/>
        <v>#REF!</v>
      </c>
      <c r="D748" s="30"/>
      <c r="E748" s="30"/>
      <c r="F748" s="30"/>
      <c r="G748" s="30"/>
      <c r="H748" s="33"/>
      <c r="I748" s="56">
        <v>23000</v>
      </c>
      <c r="J748" s="31" t="e">
        <f t="shared" si="300"/>
        <v>#REF!</v>
      </c>
      <c r="L748" s="5"/>
      <c r="M748" s="5"/>
      <c r="N748" s="5"/>
      <c r="O748" s="5"/>
      <c r="Q748" s="5"/>
    </row>
    <row r="749" spans="1:17" ht="16.5">
      <c r="A749" s="28" t="s">
        <v>91</v>
      </c>
      <c r="B749" s="8" t="s">
        <v>32</v>
      </c>
      <c r="C749" s="29" t="e">
        <f t="shared" si="299"/>
        <v>#REF!</v>
      </c>
      <c r="D749" s="30"/>
      <c r="E749" s="30"/>
      <c r="F749" s="30"/>
      <c r="G749" s="30"/>
      <c r="H749" s="33"/>
      <c r="I749" s="34">
        <v>0</v>
      </c>
      <c r="J749" s="31" t="e">
        <f>+SUM(C749:G749)-(H749+I749)</f>
        <v>#REF!</v>
      </c>
      <c r="L749" s="5"/>
      <c r="M749" s="5"/>
      <c r="N749" s="5"/>
      <c r="O749" s="5"/>
      <c r="Q749" s="5"/>
    </row>
    <row r="750" spans="1:17" ht="16.5">
      <c r="A750" s="114" t="s">
        <v>91</v>
      </c>
      <c r="B750" s="115" t="s">
        <v>93</v>
      </c>
      <c r="C750" s="116">
        <v>3721074</v>
      </c>
      <c r="D750" s="117"/>
      <c r="E750" s="118"/>
      <c r="F750" s="117"/>
      <c r="G750" s="119"/>
      <c r="H750" s="116">
        <v>3721074</v>
      </c>
      <c r="I750" s="120"/>
      <c r="J750" s="121">
        <f>+SUM(C750:G750)-(H750+I750)</f>
        <v>0</v>
      </c>
      <c r="L750" s="5"/>
      <c r="M750" s="5"/>
      <c r="N750" s="5"/>
      <c r="O750" s="5"/>
      <c r="Q750" s="5"/>
    </row>
    <row r="751" spans="1:17">
      <c r="A751" s="35" t="s">
        <v>61</v>
      </c>
      <c r="B751" s="36"/>
      <c r="C751" s="36"/>
      <c r="D751" s="36"/>
      <c r="E751" s="36"/>
      <c r="F751" s="36"/>
      <c r="G751" s="36"/>
      <c r="H751" s="36"/>
      <c r="I751" s="36"/>
      <c r="J751" s="37"/>
      <c r="L751" s="5"/>
      <c r="M751" s="5"/>
      <c r="N751" s="5"/>
      <c r="O751" s="5"/>
      <c r="Q751" s="5"/>
    </row>
    <row r="752" spans="1:17">
      <c r="A752" s="28" t="s">
        <v>91</v>
      </c>
      <c r="B752" s="38" t="s">
        <v>62</v>
      </c>
      <c r="C752" s="39" t="e">
        <f>+C504</f>
        <v>#REF!</v>
      </c>
      <c r="D752" s="40">
        <v>5000000</v>
      </c>
      <c r="E752" s="40"/>
      <c r="F752" s="40"/>
      <c r="G752" s="41">
        <v>200000</v>
      </c>
      <c r="H752" s="49">
        <v>3983300</v>
      </c>
      <c r="I752" s="42">
        <v>776245</v>
      </c>
      <c r="J752" s="43" t="e">
        <f>+SUM(C752:G752)-(H752+I752)</f>
        <v>#REF!</v>
      </c>
      <c r="L752" s="5"/>
      <c r="M752" s="5"/>
      <c r="N752" s="5"/>
      <c r="O752" s="5"/>
      <c r="Q752" s="5"/>
    </row>
    <row r="753" spans="1:17">
      <c r="A753" s="44" t="s">
        <v>63</v>
      </c>
      <c r="B753" s="25"/>
      <c r="C753" s="36"/>
      <c r="D753" s="25"/>
      <c r="E753" s="25"/>
      <c r="F753" s="25"/>
      <c r="G753" s="25"/>
      <c r="H753" s="25"/>
      <c r="I753" s="25"/>
      <c r="J753" s="37"/>
      <c r="L753" s="5"/>
      <c r="M753" s="5"/>
      <c r="N753" s="5"/>
      <c r="O753" s="5"/>
      <c r="Q753" s="5"/>
    </row>
    <row r="754" spans="1:17">
      <c r="A754" s="28" t="s">
        <v>91</v>
      </c>
      <c r="B754" s="38" t="s">
        <v>64</v>
      </c>
      <c r="C754" s="45" t="e">
        <f>+#REF!</f>
        <v>#REF!</v>
      </c>
      <c r="D754" s="54">
        <v>19826114</v>
      </c>
      <c r="E754" s="51"/>
      <c r="F754" s="51"/>
      <c r="G754" s="51"/>
      <c r="H754" s="53">
        <v>5000000</v>
      </c>
      <c r="I754" s="55">
        <v>455737</v>
      </c>
      <c r="J754" s="46" t="e">
        <f>+SUM(C754:G754)-(H754+I754)</f>
        <v>#REF!</v>
      </c>
      <c r="L754" s="5"/>
      <c r="M754" s="5"/>
      <c r="N754" s="5"/>
      <c r="O754" s="5"/>
      <c r="Q754" s="5"/>
    </row>
    <row r="755" spans="1:17">
      <c r="A755" s="28" t="s">
        <v>91</v>
      </c>
      <c r="B755" s="38" t="s">
        <v>65</v>
      </c>
      <c r="C755" s="45" t="e">
        <f>+C503</f>
        <v>#REF!</v>
      </c>
      <c r="D755" s="51">
        <v>13119140</v>
      </c>
      <c r="E755" s="50"/>
      <c r="F755" s="50"/>
      <c r="G755" s="50"/>
      <c r="H755" s="33"/>
      <c r="I755" s="52">
        <v>3445919</v>
      </c>
      <c r="J755" s="46" t="e">
        <f>SUM(C755:G755)-(H755+I755)</f>
        <v>#REF!</v>
      </c>
      <c r="L755" s="5"/>
      <c r="M755" s="5"/>
      <c r="N755" s="5"/>
      <c r="O755" s="5"/>
      <c r="Q755" s="5"/>
    </row>
    <row r="756" spans="1:17">
      <c r="A756" s="162" t="s">
        <v>91</v>
      </c>
      <c r="B756" s="158" t="s">
        <v>84</v>
      </c>
      <c r="C756" s="163">
        <v>249769</v>
      </c>
      <c r="D756" s="51"/>
      <c r="E756" s="51"/>
      <c r="F756" s="51"/>
      <c r="G756" s="51"/>
      <c r="H756" s="33"/>
      <c r="I756" s="52"/>
      <c r="J756" s="164">
        <f>SUM(C756:G756)-(H756+I756)</f>
        <v>249769</v>
      </c>
      <c r="L756" s="5"/>
      <c r="M756" s="5"/>
      <c r="N756" s="5"/>
      <c r="O756" s="5"/>
      <c r="Q756" s="5"/>
    </row>
    <row r="757" spans="1:17">
      <c r="A757" s="162" t="s">
        <v>91</v>
      </c>
      <c r="B757" s="160" t="s">
        <v>85</v>
      </c>
      <c r="C757" s="163">
        <v>233614</v>
      </c>
      <c r="D757" s="51"/>
      <c r="E757" s="51"/>
      <c r="F757" s="51"/>
      <c r="G757" s="51"/>
      <c r="H757" s="33"/>
      <c r="I757" s="52"/>
      <c r="J757" s="164">
        <f>SUM(C757:G757)-(H757+I757)</f>
        <v>233614</v>
      </c>
      <c r="L757" s="5"/>
      <c r="M757" s="5"/>
      <c r="N757" s="5"/>
      <c r="O757" s="5"/>
      <c r="Q757" s="5"/>
    </row>
    <row r="758" spans="1:17">
      <c r="A758" s="162" t="s">
        <v>91</v>
      </c>
      <c r="B758" s="161" t="s">
        <v>86</v>
      </c>
      <c r="C758" s="163">
        <v>330169</v>
      </c>
      <c r="D758" s="165"/>
      <c r="E758" s="165"/>
      <c r="F758" s="165"/>
      <c r="G758" s="165"/>
      <c r="H758" s="165"/>
      <c r="I758" s="165"/>
      <c r="J758" s="164">
        <f>SUM(C758:G758)-(H758+I758)</f>
        <v>330169</v>
      </c>
      <c r="L758" s="5"/>
      <c r="M758" s="5"/>
      <c r="N758" s="5"/>
      <c r="O758" s="5"/>
      <c r="Q758" s="5"/>
    </row>
    <row r="759" spans="1:17" ht="15.75">
      <c r="C759" s="9"/>
      <c r="I759" s="9"/>
      <c r="J759" s="111" t="e">
        <f>+SUM(J740:J758)</f>
        <v>#REF!</v>
      </c>
      <c r="K759" s="113" t="e">
        <f>+J759-I516</f>
        <v>#REF!</v>
      </c>
      <c r="L759" s="5"/>
      <c r="M759" s="5"/>
      <c r="N759" s="5"/>
      <c r="O759" s="5"/>
      <c r="Q759" s="5"/>
    </row>
    <row r="761" spans="1:17">
      <c r="A761" s="16" t="s">
        <v>53</v>
      </c>
      <c r="B761" s="16"/>
      <c r="C761" s="16"/>
      <c r="D761" s="17"/>
      <c r="E761" s="17"/>
      <c r="F761" s="17"/>
      <c r="G761" s="17"/>
      <c r="H761" s="17"/>
      <c r="I761" s="17"/>
      <c r="L761" s="5"/>
      <c r="M761" s="5"/>
      <c r="N761" s="5"/>
      <c r="O761" s="5"/>
      <c r="Q761" s="5"/>
    </row>
    <row r="762" spans="1:17">
      <c r="A762" s="18" t="s">
        <v>79</v>
      </c>
      <c r="B762" s="18"/>
      <c r="C762" s="18"/>
      <c r="D762" s="18"/>
      <c r="E762" s="18"/>
      <c r="F762" s="18"/>
      <c r="G762" s="18"/>
      <c r="H762" s="18"/>
      <c r="I762" s="18"/>
      <c r="J762" s="17"/>
      <c r="L762" s="5"/>
      <c r="M762" s="5"/>
      <c r="N762" s="5"/>
      <c r="O762" s="5"/>
      <c r="Q762" s="5"/>
    </row>
    <row r="763" spans="1:17">
      <c r="A763" s="19"/>
      <c r="B763" s="20"/>
      <c r="C763" s="21"/>
      <c r="D763" s="21"/>
      <c r="E763" s="21"/>
      <c r="F763" s="21"/>
      <c r="G763" s="21"/>
      <c r="H763" s="20"/>
      <c r="I763" s="20"/>
      <c r="J763" s="18"/>
      <c r="L763" s="5"/>
      <c r="M763" s="5"/>
      <c r="N763" s="5"/>
      <c r="O763" s="5"/>
      <c r="Q763" s="5"/>
    </row>
    <row r="764" spans="1:17">
      <c r="A764" s="506" t="s">
        <v>54</v>
      </c>
      <c r="B764" s="508" t="s">
        <v>55</v>
      </c>
      <c r="C764" s="510" t="s">
        <v>81</v>
      </c>
      <c r="D764" s="512" t="s">
        <v>56</v>
      </c>
      <c r="E764" s="513"/>
      <c r="F764" s="513"/>
      <c r="G764" s="514"/>
      <c r="H764" s="515" t="s">
        <v>57</v>
      </c>
      <c r="I764" s="502" t="s">
        <v>58</v>
      </c>
      <c r="J764" s="20"/>
      <c r="L764" s="5"/>
      <c r="M764" s="5"/>
      <c r="N764" s="5"/>
      <c r="O764" s="5"/>
      <c r="Q764" s="5"/>
    </row>
    <row r="765" spans="1:17" ht="36.75" customHeight="1">
      <c r="A765" s="507"/>
      <c r="B765" s="509"/>
      <c r="C765" s="511"/>
      <c r="D765" s="22" t="s">
        <v>24</v>
      </c>
      <c r="E765" s="22" t="s">
        <v>25</v>
      </c>
      <c r="F765" s="23" t="s">
        <v>70</v>
      </c>
      <c r="G765" s="22" t="s">
        <v>59</v>
      </c>
      <c r="H765" s="516"/>
      <c r="I765" s="503"/>
      <c r="J765" s="504" t="s">
        <v>87</v>
      </c>
      <c r="L765" s="5"/>
      <c r="M765" s="5"/>
      <c r="N765" s="5"/>
      <c r="O765" s="5"/>
      <c r="Q765" s="5"/>
    </row>
    <row r="766" spans="1:17">
      <c r="A766" s="24"/>
      <c r="B766" s="25" t="s">
        <v>60</v>
      </c>
      <c r="C766" s="26"/>
      <c r="D766" s="26"/>
      <c r="E766" s="26"/>
      <c r="F766" s="26"/>
      <c r="G766" s="26"/>
      <c r="H766" s="26"/>
      <c r="I766" s="27"/>
      <c r="J766" s="505"/>
      <c r="L766" s="5"/>
      <c r="M766" s="5"/>
      <c r="N766" s="5"/>
      <c r="O766" s="5"/>
      <c r="Q766" s="5"/>
    </row>
    <row r="767" spans="1:17" ht="16.5">
      <c r="A767" s="28" t="s">
        <v>80</v>
      </c>
      <c r="B767" s="8" t="s">
        <v>77</v>
      </c>
      <c r="C767" s="29">
        <v>0</v>
      </c>
      <c r="D767" s="30"/>
      <c r="E767" s="30">
        <v>40000</v>
      </c>
      <c r="F767" s="30"/>
      <c r="G767" s="30"/>
      <c r="H767" s="57"/>
      <c r="I767" s="34">
        <v>39200</v>
      </c>
      <c r="J767" s="31">
        <f>+SUM(C767:G767)-(H767+I767)</f>
        <v>800</v>
      </c>
      <c r="L767" s="5"/>
      <c r="M767" s="5"/>
      <c r="N767" s="5"/>
      <c r="O767" s="5"/>
      <c r="Q767" s="5"/>
    </row>
    <row r="768" spans="1:17" ht="16.5">
      <c r="A768" s="28" t="s">
        <v>80</v>
      </c>
      <c r="B768" s="8" t="str">
        <f>+A505</f>
        <v>JUILLET</v>
      </c>
      <c r="C768" s="29">
        <v>19060</v>
      </c>
      <c r="D768" s="30"/>
      <c r="E768" s="30">
        <v>20000</v>
      </c>
      <c r="F768" s="30"/>
      <c r="G768" s="30"/>
      <c r="H768" s="57"/>
      <c r="I768" s="34">
        <v>36000</v>
      </c>
      <c r="J768" s="31">
        <f t="shared" ref="J768:J775" si="301">+SUM(C768:G768)-(H768+I768)</f>
        <v>3060</v>
      </c>
      <c r="L768" s="5"/>
      <c r="M768" s="5"/>
      <c r="N768" s="5"/>
      <c r="O768" s="5"/>
      <c r="Q768" s="5"/>
    </row>
    <row r="769" spans="1:17" ht="16.5">
      <c r="A769" s="28" t="s">
        <v>80</v>
      </c>
      <c r="B769" s="8" t="str">
        <f>+A506</f>
        <v>JUILLET</v>
      </c>
      <c r="C769" s="29">
        <v>8395</v>
      </c>
      <c r="D769" s="30"/>
      <c r="E769" s="30">
        <v>20000</v>
      </c>
      <c r="F769" s="106"/>
      <c r="G769" s="106"/>
      <c r="H769" s="33"/>
      <c r="I769" s="56">
        <v>20000</v>
      </c>
      <c r="J769" s="107">
        <f t="shared" si="301"/>
        <v>8395</v>
      </c>
      <c r="L769" s="5"/>
      <c r="M769" s="5"/>
      <c r="N769" s="5"/>
      <c r="O769" s="5"/>
      <c r="Q769" s="5"/>
    </row>
    <row r="770" spans="1:17" ht="16.5">
      <c r="A770" s="28" t="s">
        <v>80</v>
      </c>
      <c r="B770" s="8" t="str">
        <f>+A507</f>
        <v>JUILLET</v>
      </c>
      <c r="C770" s="29">
        <v>0</v>
      </c>
      <c r="D770" s="58"/>
      <c r="E770" s="30">
        <v>100000</v>
      </c>
      <c r="F770" s="106">
        <v>102200</v>
      </c>
      <c r="G770" s="106"/>
      <c r="H770" s="33"/>
      <c r="I770" s="33">
        <v>204000</v>
      </c>
      <c r="J770" s="107">
        <f>+SUM(C770:G770)-(H770+I770)</f>
        <v>-1800</v>
      </c>
      <c r="L770" s="5"/>
      <c r="M770" s="5"/>
      <c r="N770" s="5"/>
      <c r="O770" s="5"/>
      <c r="Q770" s="5"/>
    </row>
    <row r="771" spans="1:17" ht="16.5">
      <c r="A771" s="28" t="s">
        <v>80</v>
      </c>
      <c r="B771" s="8" t="e">
        <f>+#REF!</f>
        <v>#REF!</v>
      </c>
      <c r="C771" s="29">
        <v>7559</v>
      </c>
      <c r="D771" s="58"/>
      <c r="E771" s="30">
        <v>866200</v>
      </c>
      <c r="F771" s="106"/>
      <c r="G771" s="106"/>
      <c r="H771" s="33">
        <v>252200</v>
      </c>
      <c r="I771" s="34">
        <v>605575</v>
      </c>
      <c r="J771" s="107">
        <f t="shared" si="301"/>
        <v>15984</v>
      </c>
      <c r="L771" s="5"/>
      <c r="M771" s="5"/>
      <c r="N771" s="5"/>
      <c r="O771" s="5"/>
      <c r="Q771" s="5"/>
    </row>
    <row r="772" spans="1:17" ht="16.5">
      <c r="A772" s="28" t="s">
        <v>80</v>
      </c>
      <c r="B772" s="8" t="str">
        <f t="shared" ref="B772:B775" si="302">+A508</f>
        <v>JUILLET</v>
      </c>
      <c r="C772" s="29">
        <v>214000</v>
      </c>
      <c r="D772" s="30"/>
      <c r="E772" s="30">
        <v>724100</v>
      </c>
      <c r="F772" s="106"/>
      <c r="G772" s="106"/>
      <c r="H772" s="33"/>
      <c r="I772" s="34">
        <v>960000</v>
      </c>
      <c r="J772" s="107">
        <f>+SUM(C772:G772)-(H772+I772)</f>
        <v>-21900</v>
      </c>
      <c r="L772" s="5"/>
      <c r="M772" s="5"/>
      <c r="N772" s="5"/>
      <c r="O772" s="5"/>
      <c r="Q772" s="5"/>
    </row>
    <row r="773" spans="1:17" ht="16.5">
      <c r="A773" s="28" t="s">
        <v>80</v>
      </c>
      <c r="B773" s="8" t="str">
        <f t="shared" si="302"/>
        <v>JUILLET</v>
      </c>
      <c r="C773" s="29">
        <v>-13805</v>
      </c>
      <c r="D773" s="30"/>
      <c r="E773" s="30">
        <v>333400</v>
      </c>
      <c r="F773" s="30">
        <v>150000</v>
      </c>
      <c r="G773" s="30"/>
      <c r="H773" s="33">
        <v>129000</v>
      </c>
      <c r="I773" s="34">
        <v>338905</v>
      </c>
      <c r="J773" s="31">
        <f>+SUM(C773:G773)-(H773+I773)</f>
        <v>1690</v>
      </c>
      <c r="L773" s="5"/>
      <c r="M773" s="5"/>
      <c r="N773" s="5"/>
      <c r="O773" s="5"/>
      <c r="Q773" s="5"/>
    </row>
    <row r="774" spans="1:17" ht="16.5">
      <c r="A774" s="28" t="s">
        <v>80</v>
      </c>
      <c r="B774" s="8" t="str">
        <f t="shared" si="302"/>
        <v>JUILLET</v>
      </c>
      <c r="C774" s="29">
        <v>84350</v>
      </c>
      <c r="D774" s="30"/>
      <c r="E774" s="30">
        <v>669400</v>
      </c>
      <c r="F774" s="30"/>
      <c r="G774" s="30"/>
      <c r="H774" s="33">
        <v>100000</v>
      </c>
      <c r="I774" s="34">
        <v>674700</v>
      </c>
      <c r="J774" s="31">
        <f>+SUM(C774:G774)-(H774+I774)</f>
        <v>-20950</v>
      </c>
      <c r="L774" s="5"/>
      <c r="M774" s="5"/>
      <c r="N774" s="5"/>
      <c r="O774" s="5"/>
      <c r="Q774" s="5"/>
    </row>
    <row r="775" spans="1:17" ht="16.5">
      <c r="A775" s="28" t="s">
        <v>80</v>
      </c>
      <c r="B775" s="8" t="str">
        <f t="shared" si="302"/>
        <v>JUILLET</v>
      </c>
      <c r="C775" s="29">
        <v>-216251</v>
      </c>
      <c r="D775" s="30"/>
      <c r="E775" s="30">
        <v>242000</v>
      </c>
      <c r="F775" s="30"/>
      <c r="G775" s="30"/>
      <c r="H775" s="33"/>
      <c r="I775" s="56">
        <v>34830</v>
      </c>
      <c r="J775" s="31">
        <f t="shared" si="301"/>
        <v>-9081</v>
      </c>
      <c r="L775" s="5"/>
      <c r="M775" s="5"/>
      <c r="N775" s="5"/>
      <c r="O775" s="5"/>
      <c r="Q775" s="5"/>
    </row>
    <row r="776" spans="1:17" ht="16.5">
      <c r="A776" s="28" t="s">
        <v>80</v>
      </c>
      <c r="B776" s="8" t="s">
        <v>33</v>
      </c>
      <c r="C776" s="29">
        <v>2025</v>
      </c>
      <c r="D776" s="30"/>
      <c r="E776" s="30">
        <v>25000</v>
      </c>
      <c r="F776" s="30"/>
      <c r="G776" s="30"/>
      <c r="H776" s="33">
        <v>3025</v>
      </c>
      <c r="I776" s="34">
        <v>24000</v>
      </c>
      <c r="J776" s="31">
        <f>+SUM(C776:G776)-(H776+I776)</f>
        <v>0</v>
      </c>
      <c r="L776" s="5"/>
      <c r="M776" s="5"/>
      <c r="N776" s="5"/>
      <c r="O776" s="5"/>
      <c r="Q776" s="5"/>
    </row>
    <row r="777" spans="1:17" ht="16.5">
      <c r="A777" s="28" t="s">
        <v>80</v>
      </c>
      <c r="B777" s="8" t="s">
        <v>32</v>
      </c>
      <c r="C777" s="29">
        <v>10000</v>
      </c>
      <c r="D777" s="32"/>
      <c r="E777" s="30">
        <v>0</v>
      </c>
      <c r="F777" s="32"/>
      <c r="G777" s="32"/>
      <c r="H777" s="33"/>
      <c r="I777" s="34">
        <v>4700</v>
      </c>
      <c r="J777" s="31">
        <f>+SUM(C777:G777)-(H777+I777)</f>
        <v>5300</v>
      </c>
      <c r="L777" s="5"/>
      <c r="M777" s="5"/>
      <c r="N777" s="5"/>
      <c r="O777" s="5"/>
      <c r="Q777" s="5"/>
    </row>
    <row r="778" spans="1:17">
      <c r="A778" s="35" t="s">
        <v>61</v>
      </c>
      <c r="B778" s="36"/>
      <c r="C778" s="36"/>
      <c r="D778" s="36"/>
      <c r="E778" s="36"/>
      <c r="F778" s="36"/>
      <c r="G778" s="36"/>
      <c r="H778" s="36"/>
      <c r="I778" s="36"/>
      <c r="J778" s="37"/>
      <c r="L778" s="5"/>
      <c r="M778" s="5"/>
      <c r="N778" s="5"/>
      <c r="O778" s="5"/>
      <c r="Q778" s="5"/>
    </row>
    <row r="779" spans="1:17">
      <c r="A779" s="28" t="s">
        <v>80</v>
      </c>
      <c r="B779" s="38" t="s">
        <v>62</v>
      </c>
      <c r="C779" s="39">
        <v>791675</v>
      </c>
      <c r="D779" s="40">
        <v>3185100</v>
      </c>
      <c r="E779" s="40"/>
      <c r="F779" s="40"/>
      <c r="G779" s="41">
        <v>237025</v>
      </c>
      <c r="H779" s="49">
        <v>3045100</v>
      </c>
      <c r="I779" s="42">
        <v>876121</v>
      </c>
      <c r="J779" s="43">
        <f>+SUM(C779:G779)-(H779+I779)</f>
        <v>292579</v>
      </c>
      <c r="L779" s="5"/>
      <c r="M779" s="5"/>
      <c r="N779" s="5"/>
      <c r="O779" s="5"/>
      <c r="Q779" s="5"/>
    </row>
    <row r="780" spans="1:17">
      <c r="A780" s="44" t="s">
        <v>63</v>
      </c>
      <c r="B780" s="25"/>
      <c r="C780" s="36"/>
      <c r="D780" s="25"/>
      <c r="E780" s="25"/>
      <c r="F780" s="25"/>
      <c r="G780" s="25"/>
      <c r="H780" s="25"/>
      <c r="I780" s="25"/>
      <c r="J780" s="37"/>
      <c r="L780" s="5"/>
      <c r="M780" s="5"/>
      <c r="N780" s="5"/>
      <c r="O780" s="5"/>
      <c r="Q780" s="5"/>
    </row>
    <row r="781" spans="1:17">
      <c r="A781" s="28" t="s">
        <v>80</v>
      </c>
      <c r="B781" s="38" t="s">
        <v>64</v>
      </c>
      <c r="C781" s="45">
        <v>8039273</v>
      </c>
      <c r="D781" s="54">
        <v>0</v>
      </c>
      <c r="E781" s="51"/>
      <c r="F781" s="51"/>
      <c r="G781" s="51"/>
      <c r="H781" s="53">
        <v>3000000</v>
      </c>
      <c r="I781" s="55">
        <v>224679</v>
      </c>
      <c r="J781" s="46">
        <f>+SUM(C781:G781)-(H781+I781)</f>
        <v>4814594</v>
      </c>
      <c r="L781" s="5"/>
      <c r="M781" s="5"/>
      <c r="N781" s="5"/>
      <c r="O781" s="5"/>
      <c r="Q781" s="5"/>
    </row>
    <row r="782" spans="1:17">
      <c r="A782" s="28" t="s">
        <v>80</v>
      </c>
      <c r="B782" s="38" t="s">
        <v>65</v>
      </c>
      <c r="C782" s="45">
        <v>13283340</v>
      </c>
      <c r="D782" s="51">
        <v>0</v>
      </c>
      <c r="E782" s="50"/>
      <c r="F782" s="50"/>
      <c r="G782" s="50"/>
      <c r="H782" s="33">
        <v>185100</v>
      </c>
      <c r="I782" s="52">
        <v>8352406</v>
      </c>
      <c r="J782" s="46">
        <f>SUM(C782:G782)-(H782+I782)</f>
        <v>4745834</v>
      </c>
      <c r="Q782" s="5"/>
    </row>
    <row r="783" spans="1:17">
      <c r="A783" s="157" t="s">
        <v>80</v>
      </c>
      <c r="B783" s="158" t="s">
        <v>83</v>
      </c>
      <c r="C783" s="45">
        <v>3721074</v>
      </c>
      <c r="D783" s="157"/>
      <c r="E783" s="157"/>
      <c r="F783" s="157"/>
      <c r="G783" s="157"/>
      <c r="H783" s="157"/>
      <c r="I783" s="157"/>
      <c r="J783" s="159">
        <f>SUM(C783:G783)-(H783+I783)</f>
        <v>3721074</v>
      </c>
      <c r="Q783" s="5"/>
    </row>
    <row r="784" spans="1:17">
      <c r="A784" s="157" t="s">
        <v>80</v>
      </c>
      <c r="B784" s="158" t="s">
        <v>84</v>
      </c>
      <c r="C784" s="45">
        <v>249769</v>
      </c>
      <c r="D784" s="51"/>
      <c r="E784" s="51"/>
      <c r="F784" s="51"/>
      <c r="G784" s="51"/>
      <c r="H784" s="33"/>
      <c r="I784" s="52"/>
      <c r="J784" s="159">
        <f>SUM(C784:G784)-(H784+I784)</f>
        <v>249769</v>
      </c>
      <c r="Q784" s="5"/>
    </row>
    <row r="785" spans="1:17">
      <c r="A785" s="157" t="s">
        <v>80</v>
      </c>
      <c r="B785" s="160" t="s">
        <v>85</v>
      </c>
      <c r="C785" s="45">
        <v>233614</v>
      </c>
      <c r="D785" s="51"/>
      <c r="E785" s="51"/>
      <c r="F785" s="51"/>
      <c r="G785" s="51"/>
      <c r="H785" s="33"/>
      <c r="I785" s="52"/>
      <c r="J785" s="159">
        <f>SUM(C785:G785)-(H785+I785)</f>
        <v>233614</v>
      </c>
      <c r="Q785" s="5"/>
    </row>
    <row r="786" spans="1:17">
      <c r="A786" s="157" t="s">
        <v>80</v>
      </c>
      <c r="B786" s="161" t="s">
        <v>86</v>
      </c>
      <c r="C786" s="45">
        <v>330169</v>
      </c>
      <c r="D786" s="157"/>
      <c r="E786" s="157"/>
      <c r="F786" s="157"/>
      <c r="G786" s="157"/>
      <c r="H786" s="157"/>
      <c r="I786" s="157"/>
      <c r="J786" s="159">
        <f>SUM(C786:G786)-(H786+I786)</f>
        <v>330169</v>
      </c>
      <c r="Q786" s="5"/>
    </row>
    <row r="787" spans="1:17" ht="15.75">
      <c r="C787" s="9"/>
      <c r="I787" s="9"/>
      <c r="J787" s="111">
        <f>+SUM(J767:J786)</f>
        <v>14369131</v>
      </c>
      <c r="Q787" s="5"/>
    </row>
    <row r="788" spans="1:17">
      <c r="C788" s="9"/>
      <c r="I788" s="9"/>
      <c r="J788" s="9"/>
      <c r="Q788" s="5"/>
    </row>
    <row r="789" spans="1:17" s="74" customFormat="1">
      <c r="A789" s="72" t="s">
        <v>66</v>
      </c>
      <c r="B789" s="72"/>
      <c r="C789" s="72"/>
      <c r="D789" s="72"/>
      <c r="E789" s="72"/>
      <c r="F789" s="72"/>
      <c r="G789" s="72"/>
      <c r="H789" s="72"/>
      <c r="I789" s="72"/>
      <c r="J789" s="73"/>
      <c r="L789" s="75"/>
      <c r="M789" s="75"/>
      <c r="N789" s="75"/>
      <c r="O789" s="75"/>
    </row>
    <row r="790" spans="1:17" s="74" customFormat="1">
      <c r="A790" s="76"/>
      <c r="B790" s="73"/>
      <c r="C790" s="77"/>
      <c r="D790" s="77"/>
      <c r="E790" s="77"/>
      <c r="F790" s="77"/>
      <c r="G790" s="77"/>
      <c r="H790" s="73"/>
      <c r="I790" s="73"/>
      <c r="J790" s="72"/>
      <c r="L790" s="75"/>
      <c r="M790" s="75"/>
      <c r="N790" s="75"/>
      <c r="O790" s="75"/>
    </row>
    <row r="791" spans="1:17" s="74" customFormat="1">
      <c r="A791" s="506" t="s">
        <v>54</v>
      </c>
      <c r="B791" s="508" t="s">
        <v>55</v>
      </c>
      <c r="C791" s="510" t="s">
        <v>68</v>
      </c>
      <c r="D791" s="529" t="s">
        <v>56</v>
      </c>
      <c r="E791" s="530"/>
      <c r="F791" s="530"/>
      <c r="G791" s="531"/>
      <c r="H791" s="532" t="s">
        <v>57</v>
      </c>
      <c r="I791" s="534" t="s">
        <v>58</v>
      </c>
      <c r="J791" s="73"/>
      <c r="L791" s="75"/>
      <c r="M791" s="75"/>
      <c r="N791" s="75"/>
      <c r="O791" s="75"/>
    </row>
    <row r="792" spans="1:17" s="74" customFormat="1">
      <c r="A792" s="507"/>
      <c r="B792" s="509"/>
      <c r="C792" s="511"/>
      <c r="D792" s="22" t="s">
        <v>24</v>
      </c>
      <c r="E792" s="22" t="s">
        <v>25</v>
      </c>
      <c r="F792" s="71" t="s">
        <v>70</v>
      </c>
      <c r="G792" s="22" t="s">
        <v>59</v>
      </c>
      <c r="H792" s="533"/>
      <c r="I792" s="535"/>
      <c r="J792" s="504" t="s">
        <v>69</v>
      </c>
      <c r="L792" s="75"/>
      <c r="M792" s="75"/>
      <c r="N792" s="75"/>
      <c r="O792" s="75"/>
    </row>
    <row r="793" spans="1:17" s="74" customFormat="1">
      <c r="A793" s="78"/>
      <c r="B793" s="79" t="s">
        <v>60</v>
      </c>
      <c r="C793" s="80"/>
      <c r="D793" s="80"/>
      <c r="E793" s="80"/>
      <c r="F793" s="80"/>
      <c r="G793" s="80"/>
      <c r="H793" s="80"/>
      <c r="I793" s="81"/>
      <c r="J793" s="505"/>
      <c r="L793" s="75"/>
      <c r="M793" s="75"/>
      <c r="N793" s="75"/>
      <c r="O793" s="75"/>
    </row>
    <row r="794" spans="1:17" s="74" customFormat="1" ht="16.5">
      <c r="A794" s="82" t="s">
        <v>67</v>
      </c>
      <c r="B794" s="8" t="s">
        <v>48</v>
      </c>
      <c r="C794" s="83">
        <v>40560</v>
      </c>
      <c r="D794" s="30"/>
      <c r="E794" s="30">
        <v>0</v>
      </c>
      <c r="F794" s="30"/>
      <c r="G794" s="30"/>
      <c r="H794" s="84"/>
      <c r="I794" s="85">
        <f>+SUM([1]COMPTA_CREPIN!$F$3050:$F$3066)</f>
        <v>21500</v>
      </c>
      <c r="J794" s="31">
        <f>+SUM(C794:G794)-(H794+I794)</f>
        <v>19060</v>
      </c>
      <c r="L794" s="75"/>
      <c r="M794" s="75"/>
      <c r="N794" s="75"/>
      <c r="O794" s="75"/>
    </row>
    <row r="795" spans="1:17" s="74" customFormat="1" ht="16.5">
      <c r="A795" s="82" t="s">
        <v>67</v>
      </c>
      <c r="B795" s="8" t="s">
        <v>28</v>
      </c>
      <c r="C795" s="83">
        <v>227975</v>
      </c>
      <c r="D795" s="30"/>
      <c r="E795" s="30">
        <f>+'[2]Compta Dalia (2)'!$E$1908+'[2]Compta Dalia (2)'!$E$1909+'[2]Compta Dalia (2)'!$E$1911+'[2]Compta Dalia (2)'!$E$1917</f>
        <v>119600</v>
      </c>
      <c r="F795" s="30"/>
      <c r="G795" s="30"/>
      <c r="H795" s="84">
        <f>+'[2]Compta Dalia (2)'!$F$1919</f>
        <v>1635</v>
      </c>
      <c r="I795" s="85">
        <v>345940</v>
      </c>
      <c r="J795" s="31">
        <f t="shared" ref="J795:J802" si="303">+SUM(C795:G795)-(H795+I795)</f>
        <v>0</v>
      </c>
      <c r="L795" s="75"/>
      <c r="M795" s="75"/>
      <c r="N795" s="75"/>
      <c r="O795" s="75"/>
    </row>
    <row r="796" spans="1:17" s="74" customFormat="1" ht="16.5">
      <c r="A796" s="82" t="s">
        <v>67</v>
      </c>
      <c r="B796" s="8" t="s">
        <v>31</v>
      </c>
      <c r="C796" s="83">
        <v>-605</v>
      </c>
      <c r="D796" s="30"/>
      <c r="E796" s="30">
        <f>+'[3]compta (3)'!$E$2556+'[3]compta (3)'!$E$2557+'[3]compta (3)'!$E$2558</f>
        <v>30000</v>
      </c>
      <c r="F796" s="30"/>
      <c r="G796" s="30"/>
      <c r="H796" s="86"/>
      <c r="I796" s="87">
        <f>'[3]compta (3)'!$F$2559</f>
        <v>21000</v>
      </c>
      <c r="J796" s="31">
        <f t="shared" si="303"/>
        <v>8395</v>
      </c>
      <c r="L796" s="75"/>
      <c r="M796" s="75"/>
      <c r="N796" s="75"/>
      <c r="O796" s="75"/>
    </row>
    <row r="797" spans="1:17" s="74" customFormat="1" ht="16.5">
      <c r="A797" s="82" t="s">
        <v>67</v>
      </c>
      <c r="B797" s="105" t="s">
        <v>26</v>
      </c>
      <c r="C797" s="83">
        <v>264659</v>
      </c>
      <c r="D797" s="106"/>
      <c r="E797" s="106">
        <f>+'[4]compta (2)'!$E$2521+'[4]compta (2)'!$E$2525+'[4]compta (2)'!$E$2527+'[4]compta (2)'!$E$2529</f>
        <v>325000</v>
      </c>
      <c r="F797" s="106"/>
      <c r="G797" s="106"/>
      <c r="H797" s="33">
        <f>'[4]compta (2)'!$F$2528+60000</f>
        <v>75000</v>
      </c>
      <c r="I797" s="33">
        <f>'[4]compta (2)'!$F$2522+'[4]compta (2)'!$F$2523+'[4]compta (2)'!$F$2524+'[4]compta (2)'!$F$2526+'[4]compta (2)'!$F$2530+'[4]compta (2)'!$F$2532+'[4]compta (2)'!$F$2533+'[4]compta (2)'!$F$2534</f>
        <v>507100</v>
      </c>
      <c r="J797" s="107">
        <f t="shared" si="303"/>
        <v>7559</v>
      </c>
      <c r="L797" s="75"/>
      <c r="M797" s="75"/>
      <c r="N797" s="75"/>
      <c r="O797" s="75"/>
    </row>
    <row r="798" spans="1:17" s="74" customFormat="1" ht="16.5">
      <c r="A798" s="82" t="s">
        <v>67</v>
      </c>
      <c r="B798" s="105" t="s">
        <v>49</v>
      </c>
      <c r="C798" s="83">
        <v>272500</v>
      </c>
      <c r="D798" s="106"/>
      <c r="E798" s="106">
        <f>+'[5]COMPTA_I23C (2)'!$E$4171+'[5]COMPTA_I23C (2)'!$E$4172+'[5]COMPTA_I23C (2)'!$E$4174+'[5]COMPTA_I23C (2)'!$E$4178+'[5]COMPTA_I23C (2)'!$E$4180+'[5]COMPTA_I23C (2)'!$E$4181</f>
        <v>695000</v>
      </c>
      <c r="F798" s="106"/>
      <c r="G798" s="106"/>
      <c r="H798" s="33"/>
      <c r="I798" s="83">
        <v>753500</v>
      </c>
      <c r="J798" s="107">
        <f t="shared" si="303"/>
        <v>214000</v>
      </c>
      <c r="L798" s="75"/>
      <c r="M798" s="75"/>
      <c r="N798" s="75"/>
      <c r="O798" s="75"/>
    </row>
    <row r="799" spans="1:17" s="74" customFormat="1" ht="16.5">
      <c r="A799" s="82" t="s">
        <v>67</v>
      </c>
      <c r="B799" s="8" t="s">
        <v>36</v>
      </c>
      <c r="C799" s="83">
        <v>284595</v>
      </c>
      <c r="D799" s="30"/>
      <c r="E799" s="30">
        <f>+'[6]Feuil1 (2)'!$E$2684+'[6]Feuil1 (2)'!$E$2689+'[6]Feuil1 (2)'!$E$2691</f>
        <v>275000</v>
      </c>
      <c r="F799" s="30">
        <f>'[4]compta (2)'!$F$2531</f>
        <v>60000</v>
      </c>
      <c r="G799" s="30"/>
      <c r="H799" s="86"/>
      <c r="I799" s="85">
        <v>633400</v>
      </c>
      <c r="J799" s="31">
        <f t="shared" si="303"/>
        <v>-13805</v>
      </c>
      <c r="L799" s="75"/>
      <c r="M799" s="75"/>
      <c r="N799" s="75"/>
      <c r="O799" s="75"/>
    </row>
    <row r="800" spans="1:17" s="74" customFormat="1" ht="16.5">
      <c r="A800" s="82" t="s">
        <v>67</v>
      </c>
      <c r="B800" s="8" t="s">
        <v>27</v>
      </c>
      <c r="C800" s="83">
        <v>-1750</v>
      </c>
      <c r="D800" s="30"/>
      <c r="E800" s="30">
        <f>+'[7]Compta Jospin (2)'!$E$1583+'[7]Compta Jospin (2)'!$E$1584+'[7]Compta Jospin (2)'!$E$1587</f>
        <v>96400</v>
      </c>
      <c r="F800" s="30"/>
      <c r="G800" s="30"/>
      <c r="H800" s="86">
        <f>+'[7]Compta Jospin (2)'!$F$1592</f>
        <v>950</v>
      </c>
      <c r="I800" s="85">
        <v>93700</v>
      </c>
      <c r="J800" s="31">
        <f t="shared" si="303"/>
        <v>0</v>
      </c>
      <c r="L800" s="75"/>
      <c r="M800" s="75"/>
      <c r="N800" s="75"/>
      <c r="O800" s="75"/>
    </row>
    <row r="801" spans="1:17" s="74" customFormat="1" ht="16.5">
      <c r="A801" s="82" t="s">
        <v>67</v>
      </c>
      <c r="B801" s="8" t="s">
        <v>29</v>
      </c>
      <c r="C801" s="83">
        <v>265600</v>
      </c>
      <c r="D801" s="30"/>
      <c r="E801" s="30">
        <f>+'[8]COMPT-P29 (2)'!$E$190+'[8]COMPT-P29 (2)'!$E$191+'[8]COMPT-P29 (2)'!$E$196+'[8]COMPT-P29 (2)'!$E$201+'[8]COMPT-P29 (2)'!$E$202+'[8]COMPT-P29 (2)'!$E$204+'[8]COMPT-P29 (2)'!$E$207+'[8]COMPT-P29 (2)'!$E$215</f>
        <v>855600</v>
      </c>
      <c r="F801" s="30"/>
      <c r="G801" s="30"/>
      <c r="H801" s="86"/>
      <c r="I801" s="85">
        <v>1036850</v>
      </c>
      <c r="J801" s="31">
        <f t="shared" si="303"/>
        <v>84350</v>
      </c>
      <c r="L801" s="75"/>
      <c r="M801" s="75"/>
      <c r="N801" s="75"/>
      <c r="O801" s="75"/>
    </row>
    <row r="802" spans="1:17" s="74" customFormat="1" ht="16.5">
      <c r="A802" s="82" t="s">
        <v>67</v>
      </c>
      <c r="B802" s="8" t="s">
        <v>50</v>
      </c>
      <c r="C802" s="83">
        <f t="shared" ref="C802" si="304">+C775</f>
        <v>-216251</v>
      </c>
      <c r="D802" s="30"/>
      <c r="E802" s="30">
        <v>0</v>
      </c>
      <c r="F802" s="30"/>
      <c r="G802" s="30"/>
      <c r="H802" s="86"/>
      <c r="I802" s="87">
        <v>0</v>
      </c>
      <c r="J802" s="31">
        <f t="shared" si="303"/>
        <v>-216251</v>
      </c>
      <c r="L802" s="75"/>
      <c r="M802" s="75"/>
      <c r="N802" s="75"/>
      <c r="O802" s="75"/>
    </row>
    <row r="803" spans="1:17" s="74" customFormat="1" ht="16.5">
      <c r="A803" s="82" t="s">
        <v>67</v>
      </c>
      <c r="B803" s="8" t="s">
        <v>33</v>
      </c>
      <c r="C803" s="83">
        <v>1025</v>
      </c>
      <c r="D803" s="30"/>
      <c r="E803" s="30">
        <f>+'[9]compta shely'!$E$90+'[9]compta shely'!$E$97+'[9]compta shely'!$E$100</f>
        <v>25000</v>
      </c>
      <c r="F803" s="30"/>
      <c r="G803" s="30"/>
      <c r="H803" s="86"/>
      <c r="I803" s="85">
        <v>24000</v>
      </c>
      <c r="J803" s="31">
        <f>+SUM(C803:G803)-(H803+I803)</f>
        <v>2025</v>
      </c>
      <c r="L803" s="75"/>
      <c r="M803" s="75"/>
      <c r="N803" s="75"/>
      <c r="O803" s="75"/>
    </row>
    <row r="804" spans="1:17" s="74" customFormat="1" ht="16.5">
      <c r="A804" s="32" t="s">
        <v>67</v>
      </c>
      <c r="B804" s="8" t="s">
        <v>32</v>
      </c>
      <c r="C804" s="83">
        <v>0</v>
      </c>
      <c r="D804" s="32"/>
      <c r="E804" s="32">
        <f>+'[10]compta ted'!$E$11</f>
        <v>10000</v>
      </c>
      <c r="F804" s="32"/>
      <c r="G804" s="32"/>
      <c r="H804" s="86"/>
      <c r="I804" s="85">
        <v>0</v>
      </c>
      <c r="J804" s="31">
        <f>+SUM(C804:G804)-(H804+I804)</f>
        <v>10000</v>
      </c>
      <c r="L804" s="75"/>
      <c r="M804" s="75"/>
      <c r="N804" s="75"/>
      <c r="O804" s="75"/>
    </row>
    <row r="805" spans="1:17" s="74" customFormat="1">
      <c r="A805" s="88" t="s">
        <v>61</v>
      </c>
      <c r="B805" s="89"/>
      <c r="C805" s="89"/>
      <c r="D805" s="89"/>
      <c r="E805" s="89"/>
      <c r="F805" s="89"/>
      <c r="G805" s="89"/>
      <c r="H805" s="89"/>
      <c r="I805" s="89"/>
      <c r="J805" s="90"/>
      <c r="L805" s="75"/>
      <c r="M805" s="75"/>
      <c r="N805" s="75"/>
      <c r="O805" s="75"/>
    </row>
    <row r="806" spans="1:17" s="74" customFormat="1">
      <c r="A806" s="32" t="s">
        <v>67</v>
      </c>
      <c r="B806" s="38" t="s">
        <v>62</v>
      </c>
      <c r="C806" s="39">
        <v>954796</v>
      </c>
      <c r="D806" s="30">
        <v>3000000</v>
      </c>
      <c r="E806" s="30"/>
      <c r="F806" s="30"/>
      <c r="G806" s="91">
        <v>17585</v>
      </c>
      <c r="H806" s="92">
        <v>2431600</v>
      </c>
      <c r="I806" s="93">
        <v>749106</v>
      </c>
      <c r="J806" s="94">
        <f>+SUM(C806:G806)-(H806+I806)</f>
        <v>791675</v>
      </c>
      <c r="L806" s="75"/>
      <c r="M806" s="75"/>
      <c r="N806" s="75"/>
      <c r="O806" s="75"/>
    </row>
    <row r="807" spans="1:17" s="74" customFormat="1">
      <c r="A807" s="95" t="s">
        <v>63</v>
      </c>
      <c r="B807" s="79"/>
      <c r="C807" s="89"/>
      <c r="D807" s="79"/>
      <c r="E807" s="79"/>
      <c r="F807" s="79"/>
      <c r="G807" s="79"/>
      <c r="H807" s="79"/>
      <c r="I807" s="79"/>
      <c r="J807" s="90"/>
      <c r="L807" s="75"/>
      <c r="M807" s="75"/>
      <c r="N807" s="75"/>
      <c r="O807" s="75"/>
    </row>
    <row r="808" spans="1:17" s="74" customFormat="1">
      <c r="A808" s="32" t="s">
        <v>67</v>
      </c>
      <c r="B808" s="38" t="s">
        <v>64</v>
      </c>
      <c r="C808" s="83">
        <v>705838</v>
      </c>
      <c r="D808" s="96">
        <v>10801800</v>
      </c>
      <c r="E808" s="97"/>
      <c r="F808" s="97"/>
      <c r="G808" s="97"/>
      <c r="H808" s="98">
        <v>3000000</v>
      </c>
      <c r="I808" s="99">
        <v>468365</v>
      </c>
      <c r="J808" s="31">
        <f>+SUM(C808:G808)-(H808+I808)</f>
        <v>8039273</v>
      </c>
      <c r="L808" s="75"/>
      <c r="M808" s="75"/>
      <c r="N808" s="75"/>
      <c r="O808" s="75"/>
    </row>
    <row r="809" spans="1:17" s="74" customFormat="1">
      <c r="A809" s="32" t="s">
        <v>67</v>
      </c>
      <c r="B809" s="38" t="s">
        <v>65</v>
      </c>
      <c r="C809" s="83">
        <v>14874402</v>
      </c>
      <c r="D809" s="97">
        <v>3279785</v>
      </c>
      <c r="E809" s="100"/>
      <c r="F809" s="100"/>
      <c r="G809" s="100"/>
      <c r="H809" s="101"/>
      <c r="I809" s="102">
        <v>4870847</v>
      </c>
      <c r="J809" s="31">
        <f>SUM(C809:G809)-(H809+I809)</f>
        <v>13283340</v>
      </c>
      <c r="L809" s="75"/>
      <c r="M809" s="75"/>
      <c r="N809" s="75"/>
      <c r="O809" s="75"/>
    </row>
    <row r="810" spans="1:17" s="74" customFormat="1">
      <c r="L810" s="75"/>
      <c r="M810" s="75"/>
      <c r="N810" s="75"/>
      <c r="O810" s="75"/>
    </row>
    <row r="811" spans="1:17" s="74" customFormat="1">
      <c r="C811" s="103">
        <f>+SUM(C794:C809)</f>
        <v>17673344</v>
      </c>
      <c r="I811" s="103">
        <f>SUM(I794:I809)</f>
        <v>9525308</v>
      </c>
      <c r="J811" s="103">
        <f>+SUM(J794:J809)</f>
        <v>22229621</v>
      </c>
      <c r="L811" s="75"/>
      <c r="M811" s="75"/>
      <c r="N811" s="75"/>
      <c r="O811" s="75"/>
    </row>
    <row r="812" spans="1:17">
      <c r="C812" s="9"/>
      <c r="I812" s="9"/>
      <c r="J812" s="9"/>
      <c r="Q812" s="5"/>
    </row>
    <row r="813" spans="1:17">
      <c r="A813" s="64" t="s">
        <v>71</v>
      </c>
      <c r="B813" s="64"/>
      <c r="Q813" s="5"/>
    </row>
    <row r="814" spans="1:17">
      <c r="A814" s="65" t="s">
        <v>72</v>
      </c>
      <c r="B814" s="65"/>
      <c r="C814" s="65"/>
      <c r="D814" s="65"/>
      <c r="E814" s="65"/>
      <c r="F814" s="65"/>
      <c r="G814" s="65"/>
      <c r="H814" s="65"/>
      <c r="I814" s="65"/>
      <c r="J814" s="65"/>
      <c r="L814" s="5"/>
      <c r="M814" s="5"/>
      <c r="N814" s="5"/>
      <c r="O814" s="5"/>
      <c r="Q814" s="5"/>
    </row>
    <row r="816" spans="1:17" ht="15" customHeight="1">
      <c r="A816" s="517" t="s">
        <v>54</v>
      </c>
      <c r="B816" s="517" t="s">
        <v>55</v>
      </c>
      <c r="C816" s="528" t="s">
        <v>74</v>
      </c>
      <c r="D816" s="523" t="s">
        <v>56</v>
      </c>
      <c r="E816" s="523"/>
      <c r="F816" s="523"/>
      <c r="G816" s="523"/>
      <c r="H816" s="524" t="s">
        <v>57</v>
      </c>
      <c r="I816" s="526" t="s">
        <v>58</v>
      </c>
      <c r="J816" s="519" t="s">
        <v>75</v>
      </c>
      <c r="K816" s="520"/>
      <c r="L816" s="5"/>
      <c r="M816" s="5"/>
      <c r="N816" s="5"/>
      <c r="O816" s="5"/>
      <c r="Q816" s="5"/>
    </row>
    <row r="817" spans="1:17" ht="28.5" customHeight="1">
      <c r="A817" s="518"/>
      <c r="B817" s="518"/>
      <c r="C817" s="518"/>
      <c r="D817" s="69" t="s">
        <v>24</v>
      </c>
      <c r="E817" s="66" t="s">
        <v>25</v>
      </c>
      <c r="F817" s="66" t="s">
        <v>27</v>
      </c>
      <c r="G817" s="66" t="s">
        <v>59</v>
      </c>
      <c r="H817" s="525"/>
      <c r="I817" s="527"/>
      <c r="J817" s="521"/>
      <c r="K817" s="522"/>
      <c r="L817" s="5"/>
      <c r="M817" s="5"/>
      <c r="N817" s="5"/>
      <c r="O817" s="5"/>
      <c r="Q817" s="5"/>
    </row>
    <row r="818" spans="1:17">
      <c r="A818" s="47"/>
      <c r="B818" s="47" t="s">
        <v>60</v>
      </c>
      <c r="C818" s="49"/>
      <c r="D818" s="49"/>
      <c r="E818" s="49"/>
      <c r="F818" s="49"/>
      <c r="G818" s="49"/>
      <c r="H818" s="49"/>
      <c r="I818" s="49"/>
      <c r="J818" s="49"/>
      <c r="K818" s="47"/>
      <c r="L818" s="5"/>
      <c r="M818" s="5"/>
      <c r="N818" s="5"/>
      <c r="O818" s="5"/>
      <c r="Q818" s="5"/>
    </row>
    <row r="819" spans="1:17">
      <c r="A819" s="47" t="s">
        <v>73</v>
      </c>
      <c r="B819" s="47" t="s">
        <v>48</v>
      </c>
      <c r="C819" s="49">
        <v>89360</v>
      </c>
      <c r="D819" s="49"/>
      <c r="E819" s="49">
        <v>13000</v>
      </c>
      <c r="F819" s="49"/>
      <c r="G819" s="49"/>
      <c r="H819" s="49"/>
      <c r="I819" s="49">
        <v>61800</v>
      </c>
      <c r="J819" s="49">
        <v>40560</v>
      </c>
      <c r="K819" s="47"/>
      <c r="L819" s="5"/>
      <c r="M819" s="5"/>
      <c r="N819" s="5"/>
      <c r="O819" s="5"/>
      <c r="Q819" s="5"/>
    </row>
    <row r="820" spans="1:17">
      <c r="A820" s="47" t="s">
        <v>73</v>
      </c>
      <c r="B820" s="47" t="s">
        <v>28</v>
      </c>
      <c r="C820" s="49">
        <v>-1025</v>
      </c>
      <c r="D820" s="49"/>
      <c r="E820" s="49">
        <v>684500</v>
      </c>
      <c r="F820" s="49"/>
      <c r="G820" s="49"/>
      <c r="H820" s="49"/>
      <c r="I820" s="49">
        <v>455500</v>
      </c>
      <c r="J820" s="49">
        <v>227975</v>
      </c>
      <c r="K820" s="47"/>
      <c r="L820" s="5"/>
      <c r="M820" s="5"/>
      <c r="N820" s="5"/>
      <c r="O820" s="5"/>
      <c r="Q820" s="5"/>
    </row>
    <row r="821" spans="1:17">
      <c r="A821" s="47" t="s">
        <v>73</v>
      </c>
      <c r="B821" s="47" t="s">
        <v>31</v>
      </c>
      <c r="C821" s="49">
        <v>14395</v>
      </c>
      <c r="D821" s="49"/>
      <c r="E821" s="49">
        <v>40000</v>
      </c>
      <c r="F821" s="49"/>
      <c r="G821" s="49"/>
      <c r="H821" s="49"/>
      <c r="I821" s="49">
        <v>55000</v>
      </c>
      <c r="J821" s="49">
        <v>-605</v>
      </c>
      <c r="K821" s="47"/>
      <c r="L821" s="5"/>
      <c r="M821" s="5"/>
      <c r="N821" s="5"/>
      <c r="O821" s="5"/>
      <c r="Q821" s="5"/>
    </row>
    <row r="822" spans="1:17">
      <c r="A822" s="47" t="s">
        <v>73</v>
      </c>
      <c r="B822" s="47" t="s">
        <v>26</v>
      </c>
      <c r="C822" s="49">
        <v>8559</v>
      </c>
      <c r="D822" s="49"/>
      <c r="E822" s="49">
        <v>428750</v>
      </c>
      <c r="F822" s="49">
        <v>280200</v>
      </c>
      <c r="G822" s="49"/>
      <c r="H822" s="49"/>
      <c r="I822" s="49">
        <v>452850</v>
      </c>
      <c r="J822" s="49">
        <v>264659</v>
      </c>
      <c r="K822" s="47"/>
      <c r="L822" s="5"/>
      <c r="M822" s="5"/>
      <c r="N822" s="5"/>
      <c r="O822" s="5"/>
      <c r="Q822" s="5"/>
    </row>
    <row r="823" spans="1:17">
      <c r="A823" s="47" t="s">
        <v>73</v>
      </c>
      <c r="B823" s="47" t="s">
        <v>49</v>
      </c>
      <c r="C823" s="49">
        <v>-5750</v>
      </c>
      <c r="D823" s="49"/>
      <c r="E823" s="49">
        <v>1161750</v>
      </c>
      <c r="F823" s="49"/>
      <c r="G823" s="49"/>
      <c r="H823" s="49">
        <v>124000</v>
      </c>
      <c r="I823" s="49">
        <v>759500</v>
      </c>
      <c r="J823" s="49">
        <v>272500</v>
      </c>
      <c r="K823" s="47"/>
      <c r="L823" s="5"/>
      <c r="M823" s="5"/>
      <c r="N823" s="5"/>
      <c r="O823" s="5"/>
      <c r="Q823" s="5"/>
    </row>
    <row r="824" spans="1:17">
      <c r="A824" s="47" t="s">
        <v>73</v>
      </c>
      <c r="B824" s="47" t="s">
        <v>36</v>
      </c>
      <c r="C824" s="49">
        <v>12995</v>
      </c>
      <c r="D824" s="49"/>
      <c r="E824" s="49">
        <v>726000</v>
      </c>
      <c r="F824" s="49"/>
      <c r="G824" s="49"/>
      <c r="H824" s="49"/>
      <c r="I824" s="49">
        <v>454400</v>
      </c>
      <c r="J824" s="49">
        <v>284595</v>
      </c>
      <c r="K824" s="47"/>
      <c r="L824" s="5"/>
      <c r="M824" s="5"/>
      <c r="N824" s="5"/>
      <c r="O824" s="5"/>
      <c r="Q824" s="5"/>
    </row>
    <row r="825" spans="1:17">
      <c r="A825" s="47" t="s">
        <v>73</v>
      </c>
      <c r="B825" s="47" t="s">
        <v>27</v>
      </c>
      <c r="C825" s="49">
        <v>6050</v>
      </c>
      <c r="D825" s="49"/>
      <c r="E825" s="49">
        <v>736300</v>
      </c>
      <c r="F825" s="49"/>
      <c r="G825" s="49"/>
      <c r="H825" s="49">
        <v>405200</v>
      </c>
      <c r="I825" s="49">
        <v>338900</v>
      </c>
      <c r="J825" s="49">
        <v>-1750</v>
      </c>
      <c r="K825" s="47"/>
      <c r="L825" s="5"/>
      <c r="M825" s="5"/>
      <c r="N825" s="5"/>
      <c r="O825" s="5"/>
      <c r="Q825" s="5"/>
    </row>
    <row r="826" spans="1:17">
      <c r="A826" s="47" t="s">
        <v>73</v>
      </c>
      <c r="B826" s="47" t="s">
        <v>29</v>
      </c>
      <c r="C826" s="49">
        <v>142400</v>
      </c>
      <c r="D826" s="49"/>
      <c r="E826" s="49">
        <v>1014000</v>
      </c>
      <c r="F826" s="49"/>
      <c r="G826" s="49"/>
      <c r="H826" s="49">
        <v>100000</v>
      </c>
      <c r="I826" s="49">
        <v>790800</v>
      </c>
      <c r="J826" s="49">
        <v>265600</v>
      </c>
      <c r="K826" s="47"/>
      <c r="L826" s="5"/>
      <c r="M826" s="5"/>
      <c r="N826" s="5"/>
      <c r="O826" s="5"/>
      <c r="Q826" s="5"/>
    </row>
    <row r="827" spans="1:17">
      <c r="A827" s="47" t="s">
        <v>73</v>
      </c>
      <c r="B827" s="47" t="s">
        <v>50</v>
      </c>
      <c r="C827" s="49">
        <v>-221251.00072999997</v>
      </c>
      <c r="D827" s="49"/>
      <c r="E827" s="49">
        <v>485000</v>
      </c>
      <c r="F827" s="49"/>
      <c r="G827" s="49"/>
      <c r="H827" s="49">
        <v>5000</v>
      </c>
      <c r="I827" s="49">
        <v>475000</v>
      </c>
      <c r="J827" s="49">
        <v>-216251.00072999997</v>
      </c>
      <c r="K827" s="47"/>
      <c r="L827" s="5"/>
      <c r="M827" s="5"/>
      <c r="N827" s="5"/>
      <c r="O827" s="5"/>
      <c r="Q827" s="5"/>
    </row>
    <row r="828" spans="1:17">
      <c r="A828" s="47" t="s">
        <v>73</v>
      </c>
      <c r="B828" s="47" t="s">
        <v>33</v>
      </c>
      <c r="C828" s="49">
        <v>14225</v>
      </c>
      <c r="D828" s="49"/>
      <c r="E828" s="49">
        <v>30000</v>
      </c>
      <c r="F828" s="49"/>
      <c r="G828" s="49"/>
      <c r="H828" s="49"/>
      <c r="I828" s="49">
        <v>43200</v>
      </c>
      <c r="J828" s="49">
        <v>1025</v>
      </c>
      <c r="K828" s="47"/>
      <c r="L828" s="5"/>
      <c r="M828" s="5"/>
      <c r="N828" s="5"/>
      <c r="O828" s="5"/>
      <c r="Q828" s="5"/>
    </row>
    <row r="829" spans="1:17">
      <c r="A829" s="67" t="s">
        <v>61</v>
      </c>
      <c r="B829" s="67"/>
      <c r="C829" s="68"/>
      <c r="D829" s="68"/>
      <c r="E829" s="68"/>
      <c r="F829" s="68"/>
      <c r="G829" s="68"/>
      <c r="H829" s="68"/>
      <c r="I829" s="68"/>
      <c r="J829" s="68"/>
      <c r="K829" s="67"/>
      <c r="L829" s="5"/>
      <c r="M829" s="5"/>
      <c r="N829" s="5"/>
      <c r="O829" s="5"/>
      <c r="Q829" s="5"/>
    </row>
    <row r="830" spans="1:17">
      <c r="A830" s="47" t="s">
        <v>73</v>
      </c>
      <c r="B830" s="47" t="s">
        <v>62</v>
      </c>
      <c r="C830" s="49">
        <v>494738</v>
      </c>
      <c r="D830" s="49">
        <v>6000000</v>
      </c>
      <c r="E830" s="49"/>
      <c r="F830" s="49"/>
      <c r="G830" s="49">
        <v>105000</v>
      </c>
      <c r="H830" s="49">
        <v>5070300</v>
      </c>
      <c r="I830" s="49">
        <v>574642</v>
      </c>
      <c r="J830" s="49">
        <v>954796</v>
      </c>
      <c r="K830" s="47"/>
      <c r="L830" s="5"/>
      <c r="M830" s="5"/>
      <c r="N830" s="5"/>
      <c r="O830" s="5"/>
      <c r="Q830" s="5"/>
    </row>
    <row r="831" spans="1:17">
      <c r="A831" s="67" t="s">
        <v>63</v>
      </c>
      <c r="B831" s="67"/>
      <c r="C831" s="68"/>
      <c r="D831" s="68"/>
      <c r="E831" s="68"/>
      <c r="F831" s="68"/>
      <c r="G831" s="68"/>
      <c r="H831" s="68"/>
      <c r="I831" s="68"/>
      <c r="J831" s="68"/>
      <c r="K831" s="67"/>
      <c r="L831" s="5"/>
      <c r="M831" s="5"/>
      <c r="N831" s="5"/>
      <c r="O831" s="5"/>
      <c r="Q831" s="5"/>
    </row>
    <row r="832" spans="1:17">
      <c r="A832" s="47" t="s">
        <v>73</v>
      </c>
      <c r="B832" s="47" t="s">
        <v>64</v>
      </c>
      <c r="C832" s="49">
        <v>11363703</v>
      </c>
      <c r="D832" s="49"/>
      <c r="E832" s="49"/>
      <c r="F832" s="49"/>
      <c r="G832" s="49"/>
      <c r="H832" s="49">
        <v>10000000</v>
      </c>
      <c r="I832" s="49">
        <v>657865</v>
      </c>
      <c r="J832" s="49">
        <v>705838</v>
      </c>
      <c r="K832" s="47"/>
      <c r="L832" s="5"/>
      <c r="M832" s="5"/>
      <c r="N832" s="5"/>
      <c r="O832" s="5"/>
      <c r="Q832" s="5"/>
    </row>
    <row r="833" spans="1:17">
      <c r="A833" s="47" t="s">
        <v>73</v>
      </c>
      <c r="B833" s="47" t="s">
        <v>65</v>
      </c>
      <c r="C833" s="49">
        <v>4902843</v>
      </c>
      <c r="D833" s="49">
        <v>17119140</v>
      </c>
      <c r="E833" s="49"/>
      <c r="F833" s="49"/>
      <c r="G833" s="49"/>
      <c r="H833" s="49"/>
      <c r="I833" s="49">
        <v>7147581</v>
      </c>
      <c r="J833" s="49">
        <v>14874402</v>
      </c>
      <c r="K833" s="47"/>
      <c r="L833" s="5"/>
      <c r="M833" s="5"/>
      <c r="N833" s="5"/>
      <c r="O833" s="5"/>
      <c r="Q833" s="5"/>
    </row>
    <row r="834" spans="1:17">
      <c r="A834" s="47"/>
      <c r="B834" s="47"/>
      <c r="C834" s="49"/>
      <c r="D834" s="49"/>
      <c r="E834" s="49"/>
      <c r="F834" s="49"/>
      <c r="G834" s="49"/>
      <c r="H834" s="49"/>
      <c r="I834" s="49"/>
      <c r="J834" s="49"/>
      <c r="K834" s="47"/>
      <c r="L834" s="5"/>
      <c r="M834" s="5"/>
      <c r="N834" s="5"/>
      <c r="O834" s="5"/>
      <c r="Q834" s="5"/>
    </row>
    <row r="835" spans="1:17">
      <c r="A835" s="47"/>
      <c r="B835" s="47"/>
      <c r="C835" s="49"/>
      <c r="D835" s="49"/>
      <c r="E835" s="49"/>
      <c r="F835" s="49"/>
      <c r="G835" s="49"/>
      <c r="H835" s="49"/>
      <c r="I835" s="49">
        <v>12267038</v>
      </c>
      <c r="J835" s="49">
        <v>17673343.99927</v>
      </c>
      <c r="K835" s="47" t="b">
        <v>1</v>
      </c>
      <c r="L835" s="5"/>
      <c r="M835" s="5"/>
      <c r="N835" s="5"/>
      <c r="O835" s="5"/>
      <c r="Q835" s="5"/>
    </row>
    <row r="836" spans="1:17">
      <c r="J836" s="70" t="b">
        <f>J835=[11]TABLEAU!$I$16</f>
        <v>1</v>
      </c>
      <c r="L836" s="5"/>
      <c r="M836" s="5"/>
      <c r="N836" s="5"/>
      <c r="O836" s="5"/>
      <c r="Q836" s="5"/>
    </row>
  </sheetData>
  <mergeCells count="133">
    <mergeCell ref="A355:A356"/>
    <mergeCell ref="B355:B356"/>
    <mergeCell ref="C355:C356"/>
    <mergeCell ref="D355:G355"/>
    <mergeCell ref="H355:H356"/>
    <mergeCell ref="I355:I356"/>
    <mergeCell ref="J356:J357"/>
    <mergeCell ref="A308:A309"/>
    <mergeCell ref="B308:B309"/>
    <mergeCell ref="C308:C309"/>
    <mergeCell ref="D308:G308"/>
    <mergeCell ref="H308:H309"/>
    <mergeCell ref="I308:I309"/>
    <mergeCell ref="J309:J310"/>
    <mergeCell ref="A403:A404"/>
    <mergeCell ref="B403:B404"/>
    <mergeCell ref="C403:C404"/>
    <mergeCell ref="D403:G403"/>
    <mergeCell ref="H403:H404"/>
    <mergeCell ref="I403:I404"/>
    <mergeCell ref="J404:J405"/>
    <mergeCell ref="A524:A525"/>
    <mergeCell ref="B524:B525"/>
    <mergeCell ref="C524:C525"/>
    <mergeCell ref="D524:G524"/>
    <mergeCell ref="H524:H525"/>
    <mergeCell ref="I453:I454"/>
    <mergeCell ref="J454:J455"/>
    <mergeCell ref="A453:A454"/>
    <mergeCell ref="B453:B454"/>
    <mergeCell ref="C453:C454"/>
    <mergeCell ref="D453:G453"/>
    <mergeCell ref="H453:H454"/>
    <mergeCell ref="I476:I477"/>
    <mergeCell ref="J477:J478"/>
    <mergeCell ref="A476:A477"/>
    <mergeCell ref="B476:B477"/>
    <mergeCell ref="C476:C477"/>
    <mergeCell ref="B500:B501"/>
    <mergeCell ref="C500:C501"/>
    <mergeCell ref="D500:G500"/>
    <mergeCell ref="H500:H501"/>
    <mergeCell ref="H601:H602"/>
    <mergeCell ref="B549:B550"/>
    <mergeCell ref="C549:C550"/>
    <mergeCell ref="D549:G549"/>
    <mergeCell ref="H549:H550"/>
    <mergeCell ref="A816:A817"/>
    <mergeCell ref="J765:J766"/>
    <mergeCell ref="A764:A765"/>
    <mergeCell ref="B764:B765"/>
    <mergeCell ref="C764:C765"/>
    <mergeCell ref="D764:G764"/>
    <mergeCell ref="H764:H765"/>
    <mergeCell ref="I764:I765"/>
    <mergeCell ref="B816:B817"/>
    <mergeCell ref="J816:K817"/>
    <mergeCell ref="D816:G816"/>
    <mergeCell ref="H816:H817"/>
    <mergeCell ref="I816:I817"/>
    <mergeCell ref="C816:C817"/>
    <mergeCell ref="B791:B792"/>
    <mergeCell ref="C791:C792"/>
    <mergeCell ref="A791:A792"/>
    <mergeCell ref="D791:G791"/>
    <mergeCell ref="H791:H792"/>
    <mergeCell ref="J792:J793"/>
    <mergeCell ref="I791:I792"/>
    <mergeCell ref="I601:I602"/>
    <mergeCell ref="J602:J603"/>
    <mergeCell ref="A601:A602"/>
    <mergeCell ref="B601:B602"/>
    <mergeCell ref="C601:C602"/>
    <mergeCell ref="D601:G601"/>
    <mergeCell ref="J738:J739"/>
    <mergeCell ref="A737:A738"/>
    <mergeCell ref="B737:B738"/>
    <mergeCell ref="C737:C738"/>
    <mergeCell ref="D737:G737"/>
    <mergeCell ref="H737:H738"/>
    <mergeCell ref="I628:I629"/>
    <mergeCell ref="J629:J630"/>
    <mergeCell ref="A628:A629"/>
    <mergeCell ref="B628:B629"/>
    <mergeCell ref="C628:C629"/>
    <mergeCell ref="D628:G628"/>
    <mergeCell ref="H628:H629"/>
    <mergeCell ref="B684:B685"/>
    <mergeCell ref="C684:C685"/>
    <mergeCell ref="D684:G684"/>
    <mergeCell ref="H684:H685"/>
    <mergeCell ref="I737:I738"/>
    <mergeCell ref="I711:I712"/>
    <mergeCell ref="J712:J713"/>
    <mergeCell ref="A711:A712"/>
    <mergeCell ref="B711:B712"/>
    <mergeCell ref="C711:C712"/>
    <mergeCell ref="D711:G711"/>
    <mergeCell ref="H711:H712"/>
    <mergeCell ref="I656:I657"/>
    <mergeCell ref="J657:J658"/>
    <mergeCell ref="A656:A657"/>
    <mergeCell ref="B656:B657"/>
    <mergeCell ref="C656:C657"/>
    <mergeCell ref="D656:G656"/>
    <mergeCell ref="H656:H657"/>
    <mergeCell ref="I684:I685"/>
    <mergeCell ref="J685:J686"/>
    <mergeCell ref="A684:A685"/>
    <mergeCell ref="I575:I576"/>
    <mergeCell ref="J576:J577"/>
    <mergeCell ref="A575:A576"/>
    <mergeCell ref="B575:B576"/>
    <mergeCell ref="C575:C576"/>
    <mergeCell ref="D575:G575"/>
    <mergeCell ref="H575:H576"/>
    <mergeCell ref="A428:A429"/>
    <mergeCell ref="B428:B429"/>
    <mergeCell ref="C428:C429"/>
    <mergeCell ref="D428:G428"/>
    <mergeCell ref="H428:H429"/>
    <mergeCell ref="I428:I429"/>
    <mergeCell ref="J429:J430"/>
    <mergeCell ref="I500:I501"/>
    <mergeCell ref="J501:J502"/>
    <mergeCell ref="A500:A501"/>
    <mergeCell ref="A549:A550"/>
    <mergeCell ref="I524:I525"/>
    <mergeCell ref="I549:I550"/>
    <mergeCell ref="J525:J526"/>
    <mergeCell ref="J550:J551"/>
    <mergeCell ref="D476:G476"/>
    <mergeCell ref="H476:H47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0"/>
  <sheetViews>
    <sheetView workbookViewId="0">
      <selection activeCell="F19" sqref="F19"/>
    </sheetView>
  </sheetViews>
  <sheetFormatPr baseColWidth="10" defaultRowHeight="15"/>
  <cols>
    <col min="1" max="1" width="21" customWidth="1"/>
    <col min="2" max="2" width="16.140625" customWidth="1"/>
    <col min="3" max="3" width="8" customWidth="1"/>
    <col min="4" max="4" width="12.5703125" bestFit="1" customWidth="1"/>
  </cols>
  <sheetData>
    <row r="3" spans="1:4">
      <c r="A3" s="1" t="s">
        <v>129</v>
      </c>
      <c r="B3" t="s">
        <v>136</v>
      </c>
    </row>
    <row r="4" spans="1:4">
      <c r="A4" s="2" t="s">
        <v>103</v>
      </c>
      <c r="B4" s="169">
        <v>587501</v>
      </c>
    </row>
    <row r="5" spans="1:4">
      <c r="A5" s="2" t="s">
        <v>166</v>
      </c>
      <c r="B5" s="169">
        <v>8258267</v>
      </c>
    </row>
    <row r="6" spans="1:4">
      <c r="A6" s="2" t="s">
        <v>130</v>
      </c>
      <c r="B6" s="169">
        <v>8845768</v>
      </c>
    </row>
    <row r="13" spans="1:4">
      <c r="A13" s="1" t="s">
        <v>136</v>
      </c>
      <c r="B13" s="1" t="s">
        <v>131</v>
      </c>
    </row>
    <row r="14" spans="1:4">
      <c r="A14" s="1" t="s">
        <v>129</v>
      </c>
      <c r="B14" t="s">
        <v>103</v>
      </c>
      <c r="C14" t="s">
        <v>166</v>
      </c>
      <c r="D14" t="s">
        <v>130</v>
      </c>
    </row>
    <row r="15" spans="1:4">
      <c r="A15" s="2" t="s">
        <v>210</v>
      </c>
      <c r="B15" s="169"/>
      <c r="C15" s="169">
        <v>2034898</v>
      </c>
      <c r="D15" s="169">
        <v>2034898</v>
      </c>
    </row>
    <row r="16" spans="1:4">
      <c r="A16" s="2" t="s">
        <v>211</v>
      </c>
      <c r="B16" s="169">
        <v>587501</v>
      </c>
      <c r="C16" s="499">
        <v>6223369</v>
      </c>
      <c r="D16" s="169">
        <v>6810870</v>
      </c>
    </row>
    <row r="17" spans="1:4">
      <c r="A17" s="2" t="s">
        <v>130</v>
      </c>
      <c r="B17" s="169">
        <v>587501</v>
      </c>
      <c r="C17" s="169">
        <v>8258267</v>
      </c>
      <c r="D17" s="169">
        <v>8845768</v>
      </c>
    </row>
    <row r="19" spans="1:4">
      <c r="B19" s="245">
        <f>(B16*100%)/D16</f>
        <v>8.6259317825769691E-2</v>
      </c>
      <c r="C19" s="246" t="s">
        <v>212</v>
      </c>
    </row>
    <row r="20" spans="1:4">
      <c r="B20" s="245">
        <f>(C16*100%)/D16</f>
        <v>0.91374068217423032</v>
      </c>
      <c r="C20" s="246" t="s">
        <v>213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AS20"/>
  <sheetViews>
    <sheetView workbookViewId="0">
      <pane xSplit="1" topLeftCell="AK1" activePane="topRight" state="frozen"/>
      <selection pane="topRight" activeCell="AN24" sqref="AN24"/>
    </sheetView>
  </sheetViews>
  <sheetFormatPr baseColWidth="10" defaultRowHeight="15"/>
  <cols>
    <col min="1" max="1" width="21" customWidth="1"/>
    <col min="2" max="2" width="23.85546875" bestFit="1" customWidth="1"/>
    <col min="3" max="3" width="19.140625" customWidth="1"/>
    <col min="4" max="4" width="16.140625" customWidth="1"/>
    <col min="5" max="5" width="19.140625" customWidth="1"/>
    <col min="6" max="6" width="16.140625" customWidth="1"/>
    <col min="7" max="7" width="19.140625" customWidth="1"/>
    <col min="8" max="8" width="16.140625" customWidth="1"/>
    <col min="9" max="9" width="19.140625" customWidth="1"/>
    <col min="10" max="10" width="16.140625" customWidth="1"/>
    <col min="11" max="11" width="19.140625" customWidth="1"/>
    <col min="12" max="12" width="16.140625" customWidth="1"/>
    <col min="13" max="13" width="19.140625" customWidth="1"/>
    <col min="14" max="14" width="16.140625" customWidth="1"/>
    <col min="15" max="15" width="19.140625" customWidth="1"/>
    <col min="16" max="16" width="16.140625" customWidth="1"/>
    <col min="17" max="17" width="19.140625" customWidth="1"/>
    <col min="18" max="18" width="16.140625" customWidth="1"/>
    <col min="19" max="19" width="19.140625" customWidth="1"/>
    <col min="20" max="20" width="16.140625" customWidth="1"/>
    <col min="21" max="21" width="19.140625" customWidth="1"/>
    <col min="22" max="22" width="16.140625" customWidth="1"/>
    <col min="23" max="23" width="19.140625" customWidth="1"/>
    <col min="24" max="24" width="16.140625" customWidth="1"/>
    <col min="25" max="25" width="19.140625" customWidth="1"/>
    <col min="26" max="26" width="16.140625" customWidth="1"/>
    <col min="27" max="27" width="19.140625" customWidth="1"/>
    <col min="28" max="28" width="16.140625" customWidth="1"/>
    <col min="29" max="29" width="19.140625" customWidth="1"/>
    <col min="30" max="30" width="16.140625" customWidth="1"/>
    <col min="31" max="31" width="19.140625" customWidth="1"/>
    <col min="32" max="32" width="17.5703125" customWidth="1"/>
    <col min="33" max="33" width="19.140625" customWidth="1"/>
    <col min="34" max="34" width="16.140625" customWidth="1"/>
    <col min="35" max="35" width="19.140625" customWidth="1"/>
    <col min="36" max="36" width="16.140625" customWidth="1"/>
    <col min="37" max="37" width="19.140625" customWidth="1"/>
    <col min="38" max="38" width="21" customWidth="1"/>
    <col min="39" max="39" width="24.140625" customWidth="1"/>
    <col min="40" max="40" width="16.140625" customWidth="1"/>
    <col min="41" max="41" width="19.140625" customWidth="1"/>
    <col min="42" max="42" width="21" customWidth="1"/>
    <col min="43" max="43" width="24.140625" customWidth="1"/>
  </cols>
  <sheetData>
    <row r="3" spans="1:45">
      <c r="B3" s="1" t="s">
        <v>131</v>
      </c>
    </row>
    <row r="4" spans="1:45">
      <c r="B4" t="s">
        <v>335</v>
      </c>
      <c r="D4" t="s">
        <v>290</v>
      </c>
      <c r="F4" t="s">
        <v>193</v>
      </c>
      <c r="H4" t="s">
        <v>315</v>
      </c>
      <c r="J4" t="s">
        <v>140</v>
      </c>
      <c r="L4" t="s">
        <v>379</v>
      </c>
      <c r="N4" t="s">
        <v>227</v>
      </c>
      <c r="P4" t="s">
        <v>242</v>
      </c>
      <c r="R4" t="s">
        <v>181</v>
      </c>
      <c r="T4" t="s">
        <v>185</v>
      </c>
      <c r="V4" t="s">
        <v>3</v>
      </c>
      <c r="X4" t="s">
        <v>182</v>
      </c>
      <c r="Z4" t="s">
        <v>226</v>
      </c>
      <c r="AB4" t="s">
        <v>34</v>
      </c>
      <c r="AD4" t="s">
        <v>329</v>
      </c>
      <c r="AF4" t="s">
        <v>157</v>
      </c>
      <c r="AH4" t="s">
        <v>228</v>
      </c>
      <c r="AJ4" t="s">
        <v>76</v>
      </c>
      <c r="AL4" t="s">
        <v>139</v>
      </c>
      <c r="AM4" t="s">
        <v>137</v>
      </c>
    </row>
    <row r="5" spans="1:45">
      <c r="A5" s="1" t="s">
        <v>129</v>
      </c>
      <c r="B5" t="s">
        <v>136</v>
      </c>
      <c r="C5" t="s">
        <v>138</v>
      </c>
      <c r="D5" t="s">
        <v>136</v>
      </c>
      <c r="E5" t="s">
        <v>138</v>
      </c>
      <c r="F5" t="s">
        <v>136</v>
      </c>
      <c r="G5" t="s">
        <v>138</v>
      </c>
      <c r="H5" t="s">
        <v>136</v>
      </c>
      <c r="I5" t="s">
        <v>138</v>
      </c>
      <c r="J5" t="s">
        <v>136</v>
      </c>
      <c r="K5" t="s">
        <v>138</v>
      </c>
      <c r="L5" t="s">
        <v>136</v>
      </c>
      <c r="M5" t="s">
        <v>138</v>
      </c>
      <c r="N5" t="s">
        <v>136</v>
      </c>
      <c r="O5" t="s">
        <v>138</v>
      </c>
      <c r="P5" t="s">
        <v>136</v>
      </c>
      <c r="Q5" t="s">
        <v>138</v>
      </c>
      <c r="R5" t="s">
        <v>136</v>
      </c>
      <c r="S5" t="s">
        <v>138</v>
      </c>
      <c r="T5" t="s">
        <v>136</v>
      </c>
      <c r="U5" t="s">
        <v>138</v>
      </c>
      <c r="V5" t="s">
        <v>136</v>
      </c>
      <c r="W5" t="s">
        <v>138</v>
      </c>
      <c r="X5" t="s">
        <v>136</v>
      </c>
      <c r="Y5" t="s">
        <v>138</v>
      </c>
      <c r="Z5" t="s">
        <v>136</v>
      </c>
      <c r="AA5" t="s">
        <v>138</v>
      </c>
      <c r="AB5" t="s">
        <v>136</v>
      </c>
      <c r="AC5" t="s">
        <v>138</v>
      </c>
      <c r="AD5" t="s">
        <v>136</v>
      </c>
      <c r="AE5" t="s">
        <v>138</v>
      </c>
      <c r="AF5" t="s">
        <v>136</v>
      </c>
      <c r="AG5" t="s">
        <v>138</v>
      </c>
      <c r="AH5" t="s">
        <v>136</v>
      </c>
      <c r="AI5" t="s">
        <v>138</v>
      </c>
      <c r="AJ5" t="s">
        <v>136</v>
      </c>
      <c r="AK5" t="s">
        <v>138</v>
      </c>
      <c r="AO5" s="47"/>
      <c r="AP5" s="47" t="s">
        <v>43</v>
      </c>
      <c r="AQ5" s="47" t="s">
        <v>44</v>
      </c>
      <c r="AR5" s="47" t="s">
        <v>45</v>
      </c>
      <c r="AS5" s="47" t="s">
        <v>46</v>
      </c>
    </row>
    <row r="6" spans="1:45">
      <c r="A6" s="2" t="s">
        <v>24</v>
      </c>
      <c r="B6" s="169">
        <v>23345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>
        <v>4100000</v>
      </c>
      <c r="AK6" s="169"/>
      <c r="AL6" s="169">
        <v>4123345</v>
      </c>
      <c r="AM6" s="169"/>
      <c r="AO6" s="47" t="str">
        <f>A6</f>
        <v>BCI</v>
      </c>
      <c r="AP6" s="49">
        <f>AK6</f>
        <v>0</v>
      </c>
      <c r="AQ6" s="49">
        <f>AJ6</f>
        <v>4100000</v>
      </c>
      <c r="AR6" s="49">
        <f>AL6-AQ6</f>
        <v>23345</v>
      </c>
      <c r="AS6" s="49">
        <v>0</v>
      </c>
    </row>
    <row r="7" spans="1:45">
      <c r="A7" s="2" t="s">
        <v>158</v>
      </c>
      <c r="B7" s="169">
        <v>14701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>
        <v>350000</v>
      </c>
      <c r="O7" s="169"/>
      <c r="P7" s="169"/>
      <c r="Q7" s="169"/>
      <c r="R7" s="169">
        <v>3413003</v>
      </c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>
        <v>3777704</v>
      </c>
      <c r="AM7" s="169"/>
      <c r="AO7" s="47" t="str">
        <f t="shared" ref="AO7:AO17" si="0">A7</f>
        <v>BCI-Sous Compte</v>
      </c>
      <c r="AP7" s="49">
        <f t="shared" ref="AP7:AP17" si="1">AK7</f>
        <v>0</v>
      </c>
      <c r="AQ7" s="49">
        <f t="shared" ref="AQ7:AQ17" si="2">AJ7</f>
        <v>0</v>
      </c>
      <c r="AR7" s="49">
        <f t="shared" ref="AR7:AR17" si="3">AL7-AQ7</f>
        <v>3777704</v>
      </c>
      <c r="AS7" s="49">
        <v>20402887</v>
      </c>
    </row>
    <row r="8" spans="1:45">
      <c r="A8" s="2" t="s">
        <v>25</v>
      </c>
      <c r="B8" s="169"/>
      <c r="C8" s="169"/>
      <c r="D8" s="169">
        <v>283000</v>
      </c>
      <c r="E8" s="169"/>
      <c r="F8" s="169"/>
      <c r="G8" s="169"/>
      <c r="H8" s="169">
        <v>175000</v>
      </c>
      <c r="I8" s="169"/>
      <c r="J8" s="169">
        <v>45050</v>
      </c>
      <c r="K8" s="169"/>
      <c r="L8" s="169"/>
      <c r="M8" s="169"/>
      <c r="N8" s="169">
        <v>298000</v>
      </c>
      <c r="O8" s="169"/>
      <c r="P8" s="169">
        <v>84800</v>
      </c>
      <c r="Q8" s="169"/>
      <c r="R8" s="169">
        <v>309828</v>
      </c>
      <c r="S8" s="169"/>
      <c r="T8" s="169">
        <v>63660</v>
      </c>
      <c r="U8" s="169"/>
      <c r="V8" s="169">
        <v>20000</v>
      </c>
      <c r="W8" s="169"/>
      <c r="X8" s="169">
        <v>95000</v>
      </c>
      <c r="Y8" s="169"/>
      <c r="Z8" s="169">
        <v>58956</v>
      </c>
      <c r="AA8" s="169"/>
      <c r="AB8" s="169"/>
      <c r="AC8" s="169"/>
      <c r="AD8" s="169">
        <v>20000</v>
      </c>
      <c r="AE8" s="169"/>
      <c r="AF8" s="169"/>
      <c r="AG8" s="169"/>
      <c r="AH8" s="169"/>
      <c r="AI8" s="169"/>
      <c r="AJ8" s="169">
        <v>4570000</v>
      </c>
      <c r="AK8" s="169">
        <v>4430000</v>
      </c>
      <c r="AL8" s="169">
        <v>6023294</v>
      </c>
      <c r="AM8" s="169">
        <v>4430000</v>
      </c>
      <c r="AO8" s="47" t="str">
        <f t="shared" si="0"/>
        <v>Caisse</v>
      </c>
      <c r="AP8" s="49">
        <f t="shared" si="1"/>
        <v>4430000</v>
      </c>
      <c r="AQ8" s="49">
        <f t="shared" si="2"/>
        <v>4570000</v>
      </c>
      <c r="AR8" s="49">
        <f t="shared" si="3"/>
        <v>1453294</v>
      </c>
      <c r="AS8" s="49">
        <v>0</v>
      </c>
    </row>
    <row r="9" spans="1:45">
      <c r="A9" s="2" t="s">
        <v>48</v>
      </c>
      <c r="B9" s="169"/>
      <c r="C9" s="169"/>
      <c r="D9" s="169">
        <v>200000</v>
      </c>
      <c r="E9" s="169"/>
      <c r="F9" s="169"/>
      <c r="G9" s="169"/>
      <c r="H9" s="169"/>
      <c r="I9" s="169"/>
      <c r="J9" s="169"/>
      <c r="K9" s="169"/>
      <c r="L9" s="169">
        <v>88490</v>
      </c>
      <c r="M9" s="169"/>
      <c r="N9" s="169"/>
      <c r="O9" s="169"/>
      <c r="P9" s="169">
        <v>300</v>
      </c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>
        <v>115400</v>
      </c>
      <c r="AC9" s="169"/>
      <c r="AD9" s="169"/>
      <c r="AE9" s="169"/>
      <c r="AF9" s="169">
        <v>571750</v>
      </c>
      <c r="AG9" s="169"/>
      <c r="AH9" s="169"/>
      <c r="AI9" s="169"/>
      <c r="AJ9" s="169">
        <v>82500</v>
      </c>
      <c r="AK9" s="169">
        <v>1043000</v>
      </c>
      <c r="AL9" s="169">
        <v>1058440</v>
      </c>
      <c r="AM9" s="169">
        <v>1043000</v>
      </c>
      <c r="AO9" s="47" t="str">
        <f t="shared" si="0"/>
        <v>Crépin</v>
      </c>
      <c r="AP9" s="49">
        <f t="shared" si="1"/>
        <v>1043000</v>
      </c>
      <c r="AQ9" s="49">
        <f t="shared" si="2"/>
        <v>82500</v>
      </c>
      <c r="AR9" s="49">
        <f t="shared" si="3"/>
        <v>975940</v>
      </c>
      <c r="AS9" s="49">
        <v>0</v>
      </c>
    </row>
    <row r="10" spans="1:45">
      <c r="A10" s="2" t="s">
        <v>31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>
        <v>112500</v>
      </c>
      <c r="AC10" s="169"/>
      <c r="AD10" s="169"/>
      <c r="AE10" s="169"/>
      <c r="AF10" s="169">
        <v>127500</v>
      </c>
      <c r="AG10" s="169"/>
      <c r="AH10" s="169"/>
      <c r="AI10" s="169"/>
      <c r="AJ10" s="169"/>
      <c r="AK10" s="169">
        <v>242500</v>
      </c>
      <c r="AL10" s="169">
        <v>240000</v>
      </c>
      <c r="AM10" s="169">
        <v>242500</v>
      </c>
      <c r="AO10" s="47" t="str">
        <f t="shared" si="0"/>
        <v>Evariste</v>
      </c>
      <c r="AP10" s="49">
        <f t="shared" si="1"/>
        <v>242500</v>
      </c>
      <c r="AQ10" s="49">
        <f t="shared" si="2"/>
        <v>0</v>
      </c>
      <c r="AR10" s="49">
        <f t="shared" si="3"/>
        <v>240000</v>
      </c>
      <c r="AS10" s="49">
        <v>0</v>
      </c>
    </row>
    <row r="11" spans="1:45">
      <c r="A11" s="2" t="s">
        <v>152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>
        <v>15735</v>
      </c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>
        <v>43700</v>
      </c>
      <c r="AC11" s="169"/>
      <c r="AD11" s="169"/>
      <c r="AE11" s="169"/>
      <c r="AF11" s="169">
        <v>28350</v>
      </c>
      <c r="AG11" s="169"/>
      <c r="AH11" s="169"/>
      <c r="AI11" s="169"/>
      <c r="AJ11" s="169">
        <v>311000</v>
      </c>
      <c r="AK11" s="169">
        <v>389000</v>
      </c>
      <c r="AL11" s="169">
        <v>398785</v>
      </c>
      <c r="AM11" s="169">
        <v>389000</v>
      </c>
      <c r="AO11" s="47" t="str">
        <f t="shared" si="0"/>
        <v>Grace</v>
      </c>
      <c r="AP11" s="49">
        <f t="shared" si="1"/>
        <v>389000</v>
      </c>
      <c r="AQ11" s="49">
        <f t="shared" si="2"/>
        <v>311000</v>
      </c>
      <c r="AR11" s="49">
        <f t="shared" si="3"/>
        <v>87785</v>
      </c>
      <c r="AS11" s="49">
        <v>0</v>
      </c>
    </row>
    <row r="12" spans="1:45">
      <c r="A12" s="2" t="s">
        <v>209</v>
      </c>
      <c r="B12" s="169"/>
      <c r="C12" s="169"/>
      <c r="D12" s="169"/>
      <c r="E12" s="169"/>
      <c r="F12" s="169">
        <v>60000</v>
      </c>
      <c r="G12" s="169"/>
      <c r="H12" s="169"/>
      <c r="I12" s="169"/>
      <c r="J12" s="169"/>
      <c r="K12" s="169"/>
      <c r="L12" s="169">
        <v>19000</v>
      </c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>
        <v>79400</v>
      </c>
      <c r="AC12" s="169"/>
      <c r="AD12" s="169"/>
      <c r="AE12" s="169"/>
      <c r="AF12" s="169">
        <v>177100</v>
      </c>
      <c r="AG12" s="169"/>
      <c r="AH12" s="169"/>
      <c r="AI12" s="169"/>
      <c r="AJ12" s="169"/>
      <c r="AK12" s="169">
        <v>354000</v>
      </c>
      <c r="AL12" s="169">
        <v>335500</v>
      </c>
      <c r="AM12" s="169">
        <v>354000</v>
      </c>
      <c r="AO12" s="47" t="str">
        <f t="shared" si="0"/>
        <v>Hurielle</v>
      </c>
      <c r="AP12" s="49">
        <f t="shared" si="1"/>
        <v>354000</v>
      </c>
      <c r="AQ12" s="49">
        <f t="shared" si="2"/>
        <v>0</v>
      </c>
      <c r="AR12" s="49">
        <f t="shared" si="3"/>
        <v>335500</v>
      </c>
      <c r="AS12" s="49">
        <v>0</v>
      </c>
    </row>
    <row r="13" spans="1:45">
      <c r="A13" s="2" t="s">
        <v>49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>
        <v>179000</v>
      </c>
      <c r="AC13" s="169"/>
      <c r="AD13" s="169"/>
      <c r="AE13" s="169"/>
      <c r="AF13" s="169">
        <v>535000</v>
      </c>
      <c r="AG13" s="169"/>
      <c r="AH13" s="169">
        <v>70500</v>
      </c>
      <c r="AI13" s="169"/>
      <c r="AJ13" s="169"/>
      <c r="AK13" s="169">
        <v>602000</v>
      </c>
      <c r="AL13" s="169">
        <v>784500</v>
      </c>
      <c r="AM13" s="169">
        <v>602000</v>
      </c>
      <c r="AO13" s="47" t="str">
        <f t="shared" si="0"/>
        <v>i23c</v>
      </c>
      <c r="AP13" s="49">
        <f t="shared" si="1"/>
        <v>602000</v>
      </c>
      <c r="AQ13" s="49">
        <f t="shared" si="2"/>
        <v>0</v>
      </c>
      <c r="AR13" s="49">
        <f t="shared" si="3"/>
        <v>784500</v>
      </c>
      <c r="AS13" s="49">
        <v>0</v>
      </c>
    </row>
    <row r="14" spans="1:45">
      <c r="A14" s="2" t="s">
        <v>94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>
        <v>52000</v>
      </c>
      <c r="AC14" s="169"/>
      <c r="AD14" s="169"/>
      <c r="AE14" s="169"/>
      <c r="AF14" s="169">
        <v>20000</v>
      </c>
      <c r="AG14" s="169"/>
      <c r="AH14" s="169"/>
      <c r="AI14" s="169"/>
      <c r="AJ14" s="169">
        <v>30000</v>
      </c>
      <c r="AK14" s="169">
        <v>96000</v>
      </c>
      <c r="AL14" s="169">
        <v>102000</v>
      </c>
      <c r="AM14" s="169">
        <v>96000</v>
      </c>
      <c r="AO14" s="47" t="str">
        <f t="shared" si="0"/>
        <v>Merveille</v>
      </c>
      <c r="AP14" s="49">
        <f t="shared" si="1"/>
        <v>96000</v>
      </c>
      <c r="AQ14" s="49">
        <f t="shared" si="2"/>
        <v>30000</v>
      </c>
      <c r="AR14" s="49">
        <f t="shared" si="3"/>
        <v>72000</v>
      </c>
      <c r="AS14" s="49">
        <v>0</v>
      </c>
    </row>
    <row r="15" spans="1:45">
      <c r="A15" s="2" t="s">
        <v>29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>
        <v>189700</v>
      </c>
      <c r="AC15" s="169"/>
      <c r="AD15" s="169"/>
      <c r="AE15" s="169"/>
      <c r="AF15" s="169">
        <v>530000</v>
      </c>
      <c r="AG15" s="169"/>
      <c r="AH15" s="169">
        <v>80000</v>
      </c>
      <c r="AI15" s="169"/>
      <c r="AJ15" s="169"/>
      <c r="AK15" s="169">
        <v>608500</v>
      </c>
      <c r="AL15" s="169">
        <v>799700</v>
      </c>
      <c r="AM15" s="169">
        <v>608500</v>
      </c>
      <c r="AO15" s="47" t="str">
        <f t="shared" si="0"/>
        <v>P29</v>
      </c>
      <c r="AP15" s="49">
        <f t="shared" si="1"/>
        <v>608500</v>
      </c>
      <c r="AQ15" s="49">
        <f t="shared" si="2"/>
        <v>0</v>
      </c>
      <c r="AR15" s="49">
        <f t="shared" si="3"/>
        <v>799700</v>
      </c>
      <c r="AS15" s="49">
        <v>0</v>
      </c>
    </row>
    <row r="16" spans="1:45">
      <c r="A16" s="2" t="s">
        <v>114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>
        <v>12500</v>
      </c>
      <c r="AC16" s="169"/>
      <c r="AD16" s="169"/>
      <c r="AE16" s="169"/>
      <c r="AF16" s="169"/>
      <c r="AG16" s="169"/>
      <c r="AH16" s="169"/>
      <c r="AI16" s="169"/>
      <c r="AJ16" s="169">
        <v>200000</v>
      </c>
      <c r="AK16" s="169">
        <v>1340000</v>
      </c>
      <c r="AL16" s="169">
        <v>212500</v>
      </c>
      <c r="AM16" s="169">
        <v>1340000</v>
      </c>
      <c r="AO16" s="47" t="str">
        <f t="shared" si="0"/>
        <v>Tiffany</v>
      </c>
      <c r="AP16" s="49">
        <f t="shared" si="1"/>
        <v>1340000</v>
      </c>
      <c r="AQ16" s="49">
        <f t="shared" si="2"/>
        <v>200000</v>
      </c>
      <c r="AR16" s="49">
        <f t="shared" si="3"/>
        <v>12500</v>
      </c>
      <c r="AS16" s="49">
        <v>0</v>
      </c>
    </row>
    <row r="17" spans="1:45">
      <c r="A17" s="2" t="s">
        <v>225</v>
      </c>
      <c r="B17" s="169"/>
      <c r="C17" s="169"/>
      <c r="D17" s="169"/>
      <c r="E17" s="169"/>
      <c r="F17" s="169">
        <v>30000</v>
      </c>
      <c r="G17" s="169"/>
      <c r="H17" s="169"/>
      <c r="I17" s="169"/>
      <c r="J17" s="169"/>
      <c r="K17" s="169"/>
      <c r="L17" s="169">
        <v>16000</v>
      </c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>
        <v>92500</v>
      </c>
      <c r="AC17" s="169"/>
      <c r="AD17" s="169"/>
      <c r="AE17" s="169"/>
      <c r="AF17" s="169">
        <v>145000</v>
      </c>
      <c r="AG17" s="169"/>
      <c r="AH17" s="169"/>
      <c r="AI17" s="169"/>
      <c r="AJ17" s="169">
        <v>60000</v>
      </c>
      <c r="AK17" s="169">
        <v>248500</v>
      </c>
      <c r="AL17" s="169">
        <v>343500</v>
      </c>
      <c r="AM17" s="169">
        <v>248500</v>
      </c>
      <c r="AO17" s="47" t="str">
        <f t="shared" si="0"/>
        <v>Yan</v>
      </c>
      <c r="AP17" s="49">
        <f t="shared" si="1"/>
        <v>248500</v>
      </c>
      <c r="AQ17" s="49">
        <f t="shared" si="2"/>
        <v>60000</v>
      </c>
      <c r="AR17" s="49">
        <f t="shared" si="3"/>
        <v>283500</v>
      </c>
      <c r="AS17" s="49">
        <v>0</v>
      </c>
    </row>
    <row r="18" spans="1:45">
      <c r="A18" s="2" t="s">
        <v>130</v>
      </c>
      <c r="B18" s="169">
        <v>38046</v>
      </c>
      <c r="C18" s="169"/>
      <c r="D18" s="169">
        <v>483000</v>
      </c>
      <c r="E18" s="169"/>
      <c r="F18" s="169">
        <v>90000</v>
      </c>
      <c r="G18" s="169"/>
      <c r="H18" s="169">
        <v>175000</v>
      </c>
      <c r="I18" s="169"/>
      <c r="J18" s="169">
        <v>45050</v>
      </c>
      <c r="K18" s="169"/>
      <c r="L18" s="169">
        <v>123490</v>
      </c>
      <c r="M18" s="169"/>
      <c r="N18" s="169">
        <v>648000</v>
      </c>
      <c r="O18" s="169"/>
      <c r="P18" s="169">
        <v>100835</v>
      </c>
      <c r="Q18" s="169"/>
      <c r="R18" s="169">
        <v>3722831</v>
      </c>
      <c r="S18" s="169"/>
      <c r="T18" s="169">
        <v>63660</v>
      </c>
      <c r="U18" s="169"/>
      <c r="V18" s="169">
        <v>20000</v>
      </c>
      <c r="W18" s="169"/>
      <c r="X18" s="169">
        <v>95000</v>
      </c>
      <c r="Y18" s="169"/>
      <c r="Z18" s="169">
        <v>58956</v>
      </c>
      <c r="AA18" s="169"/>
      <c r="AB18" s="169">
        <v>876700</v>
      </c>
      <c r="AC18" s="169"/>
      <c r="AD18" s="169">
        <v>20000</v>
      </c>
      <c r="AE18" s="169"/>
      <c r="AF18" s="169">
        <v>2134700</v>
      </c>
      <c r="AG18" s="169"/>
      <c r="AH18" s="169">
        <v>150500</v>
      </c>
      <c r="AI18" s="169"/>
      <c r="AJ18" s="169">
        <v>9353500</v>
      </c>
      <c r="AK18" s="169">
        <v>9353500</v>
      </c>
      <c r="AL18" s="169">
        <v>18199268</v>
      </c>
      <c r="AM18" s="169">
        <v>9353500</v>
      </c>
      <c r="AO18" s="3"/>
      <c r="AP18" s="49">
        <f>+SUM(AP6:AP17)</f>
        <v>9353500</v>
      </c>
      <c r="AQ18" s="49">
        <f>+SUM(AQ6:AQ17)</f>
        <v>9353500</v>
      </c>
      <c r="AR18" s="49">
        <f>+SUM(AR6:AR17)</f>
        <v>8845768</v>
      </c>
      <c r="AS18" s="49">
        <f>+SUM(AS6:AS16)</f>
        <v>20402887</v>
      </c>
    </row>
    <row r="20" spans="1:45">
      <c r="AP20" s="209">
        <f>+AQ18-AP18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E415"/>
  <sheetViews>
    <sheetView tabSelected="1" zoomScale="62" zoomScaleNormal="62" workbookViewId="0">
      <pane ySplit="11" topLeftCell="A220" activePane="bottomLeft" state="frozen"/>
      <selection pane="bottomLeft" activeCell="H6" sqref="H6"/>
    </sheetView>
  </sheetViews>
  <sheetFormatPr baseColWidth="10" defaultColWidth="11.42578125" defaultRowHeight="15.75"/>
  <cols>
    <col min="1" max="1" width="15.85546875" style="224" customWidth="1"/>
    <col min="2" max="2" width="100.5703125" style="178" customWidth="1"/>
    <col min="3" max="3" width="21.85546875" style="177" customWidth="1"/>
    <col min="4" max="4" width="15" style="177" customWidth="1"/>
    <col min="5" max="5" width="16.28515625" style="193" customWidth="1"/>
    <col min="6" max="6" width="18.5703125" style="486" customWidth="1"/>
    <col min="7" max="7" width="16.7109375" style="194" customWidth="1"/>
    <col min="8" max="8" width="17.7109375" style="178" customWidth="1"/>
    <col min="9" max="9" width="13.5703125" style="183" customWidth="1"/>
    <col min="10" max="10" width="19" style="183" customWidth="1"/>
    <col min="11" max="11" width="8.7109375" style="178" customWidth="1"/>
    <col min="12" max="12" width="10.5703125" style="178" customWidth="1"/>
    <col min="13" max="13" width="15.85546875" style="178" customWidth="1"/>
    <col min="14" max="14" width="16.28515625" style="177" customWidth="1"/>
    <col min="15" max="15" width="70.5703125" style="211" customWidth="1"/>
    <col min="16" max="16384" width="11.42578125" style="178"/>
  </cols>
  <sheetData>
    <row r="1" spans="1:15" s="191" customFormat="1" ht="26.25" customHeight="1">
      <c r="A1" s="536" t="s">
        <v>282</v>
      </c>
      <c r="B1" s="536"/>
      <c r="C1" s="536"/>
      <c r="D1" s="536"/>
      <c r="E1" s="537"/>
      <c r="F1" s="538"/>
      <c r="G1" s="536"/>
      <c r="H1" s="536"/>
      <c r="I1" s="539"/>
      <c r="J1" s="536"/>
      <c r="K1" s="536"/>
      <c r="L1" s="536"/>
      <c r="M1" s="536"/>
      <c r="N1" s="536"/>
      <c r="O1" s="540"/>
    </row>
    <row r="2" spans="1:15">
      <c r="B2" s="192" t="s">
        <v>283</v>
      </c>
      <c r="C2" s="360">
        <f>Récapitulatif!I63</f>
        <v>11968765</v>
      </c>
    </row>
    <row r="4" spans="1:15">
      <c r="B4" s="195" t="s">
        <v>6</v>
      </c>
      <c r="C4" s="281" t="s">
        <v>7</v>
      </c>
    </row>
    <row r="5" spans="1:15">
      <c r="B5" s="178" t="s">
        <v>8</v>
      </c>
      <c r="C5" s="282">
        <f>SUM(E13:E1111)</f>
        <v>29756387</v>
      </c>
      <c r="E5" s="384" t="s">
        <v>101</v>
      </c>
      <c r="H5" s="196"/>
    </row>
    <row r="6" spans="1:15">
      <c r="B6" s="178" t="s">
        <v>9</v>
      </c>
      <c r="C6" s="282">
        <f>SUM(F13:F1112)</f>
        <v>18199268</v>
      </c>
      <c r="E6" s="210">
        <f>+C7-Récapitulatif!I17</f>
        <v>0</v>
      </c>
      <c r="J6" s="203"/>
      <c r="K6" s="190"/>
    </row>
    <row r="7" spans="1:15">
      <c r="B7" s="223" t="s">
        <v>10</v>
      </c>
      <c r="C7" s="283">
        <f>C2+C5-C6</f>
        <v>23525884</v>
      </c>
      <c r="D7" s="285">
        <f>C7-Récapitulatif!I17</f>
        <v>0</v>
      </c>
      <c r="K7" s="190"/>
    </row>
    <row r="9" spans="1:15">
      <c r="B9" s="189"/>
    </row>
    <row r="11" spans="1:15">
      <c r="A11" s="227" t="s">
        <v>0</v>
      </c>
      <c r="B11" s="198" t="s">
        <v>11</v>
      </c>
      <c r="C11" s="207" t="s">
        <v>12</v>
      </c>
      <c r="D11" s="207" t="s">
        <v>13</v>
      </c>
      <c r="E11" s="483" t="s">
        <v>14</v>
      </c>
      <c r="F11" s="487" t="s">
        <v>15</v>
      </c>
      <c r="G11" s="199" t="s">
        <v>16</v>
      </c>
      <c r="H11" s="198" t="s">
        <v>17</v>
      </c>
      <c r="I11" s="200" t="s">
        <v>18</v>
      </c>
      <c r="J11" s="200" t="s">
        <v>19</v>
      </c>
      <c r="K11" s="198" t="s">
        <v>20</v>
      </c>
      <c r="L11" s="198" t="s">
        <v>21</v>
      </c>
      <c r="M11" s="198" t="s">
        <v>82</v>
      </c>
      <c r="N11" s="207" t="s">
        <v>23</v>
      </c>
      <c r="O11" s="198" t="s">
        <v>22</v>
      </c>
    </row>
    <row r="12" spans="1:15" s="292" customFormat="1" ht="15.75" customHeight="1">
      <c r="A12" s="475">
        <v>44743</v>
      </c>
      <c r="B12" s="280" t="s">
        <v>283</v>
      </c>
      <c r="C12" s="280"/>
      <c r="D12" s="294"/>
      <c r="E12" s="289"/>
      <c r="F12" s="353"/>
      <c r="G12" s="291">
        <f>+C2</f>
        <v>11968765</v>
      </c>
      <c r="H12" s="280"/>
      <c r="I12" s="280"/>
      <c r="J12" s="280"/>
      <c r="K12" s="280"/>
      <c r="L12" s="280"/>
      <c r="N12" s="288"/>
      <c r="O12" s="280"/>
    </row>
    <row r="13" spans="1:15" s="190" customFormat="1" ht="15" customHeight="1">
      <c r="A13" s="476">
        <v>44743</v>
      </c>
      <c r="B13" s="390" t="s">
        <v>284</v>
      </c>
      <c r="C13" s="390" t="s">
        <v>242</v>
      </c>
      <c r="D13" s="386" t="s">
        <v>241</v>
      </c>
      <c r="E13" s="398"/>
      <c r="F13" s="398">
        <v>6000</v>
      </c>
      <c r="G13" s="389">
        <f>+G12+E13-F13</f>
        <v>11962765</v>
      </c>
      <c r="H13" s="390" t="s">
        <v>25</v>
      </c>
      <c r="I13" s="390" t="s">
        <v>285</v>
      </c>
      <c r="J13" s="390" t="s">
        <v>166</v>
      </c>
      <c r="K13" s="390" t="s">
        <v>211</v>
      </c>
      <c r="L13" s="390" t="s">
        <v>262</v>
      </c>
      <c r="M13" s="178" t="s">
        <v>472</v>
      </c>
      <c r="N13" s="396" t="s">
        <v>267</v>
      </c>
      <c r="O13" s="390"/>
    </row>
    <row r="14" spans="1:15" s="190" customFormat="1" ht="15" customHeight="1">
      <c r="A14" s="476">
        <v>44743</v>
      </c>
      <c r="B14" s="390" t="s">
        <v>209</v>
      </c>
      <c r="C14" s="190" t="s">
        <v>76</v>
      </c>
      <c r="D14" s="386"/>
      <c r="E14" s="398"/>
      <c r="F14" s="398">
        <v>8000</v>
      </c>
      <c r="G14" s="389">
        <f>+G13+E14-F14</f>
        <v>11954765</v>
      </c>
      <c r="H14" s="390" t="s">
        <v>25</v>
      </c>
      <c r="I14" s="390"/>
      <c r="J14" s="390"/>
      <c r="K14" s="390"/>
      <c r="L14" s="390"/>
      <c r="M14" s="178"/>
      <c r="N14" s="396"/>
      <c r="O14" s="390"/>
    </row>
    <row r="15" spans="1:15" s="190" customFormat="1" ht="15" customHeight="1">
      <c r="A15" s="476">
        <v>44743</v>
      </c>
      <c r="B15" s="390" t="s">
        <v>114</v>
      </c>
      <c r="C15" s="190" t="s">
        <v>76</v>
      </c>
      <c r="D15" s="386"/>
      <c r="E15" s="398"/>
      <c r="F15" s="388">
        <v>20000</v>
      </c>
      <c r="G15" s="389">
        <f>+G14+E15-F15</f>
        <v>11934765</v>
      </c>
      <c r="H15" s="390" t="s">
        <v>25</v>
      </c>
      <c r="I15" s="390"/>
      <c r="J15" s="390"/>
      <c r="K15" s="390"/>
      <c r="L15" s="390"/>
      <c r="N15" s="396"/>
      <c r="O15" s="390"/>
    </row>
    <row r="16" spans="1:15" s="190" customFormat="1" ht="15" customHeight="1">
      <c r="A16" s="476">
        <v>44743</v>
      </c>
      <c r="B16" s="390" t="s">
        <v>286</v>
      </c>
      <c r="C16" s="399" t="s">
        <v>76</v>
      </c>
      <c r="D16" s="386"/>
      <c r="E16" s="398">
        <v>50000</v>
      </c>
      <c r="F16" s="398"/>
      <c r="G16" s="389">
        <f>+G15+E16-F16</f>
        <v>11984765</v>
      </c>
      <c r="H16" s="390" t="s">
        <v>25</v>
      </c>
      <c r="I16" s="390"/>
      <c r="J16" s="390"/>
      <c r="K16" s="390"/>
      <c r="L16" s="390"/>
      <c r="M16" s="178"/>
      <c r="N16" s="396"/>
      <c r="O16" s="390"/>
    </row>
    <row r="17" spans="1:16" s="190" customFormat="1" ht="15" customHeight="1">
      <c r="A17" s="475">
        <v>44743</v>
      </c>
      <c r="B17" s="280" t="s">
        <v>583</v>
      </c>
      <c r="C17" s="293" t="s">
        <v>335</v>
      </c>
      <c r="D17" s="386" t="s">
        <v>241</v>
      </c>
      <c r="E17" s="292"/>
      <c r="F17" s="316">
        <v>14701</v>
      </c>
      <c r="G17" s="389">
        <f>+G16+E17-F17</f>
        <v>11970064</v>
      </c>
      <c r="H17" s="292" t="s">
        <v>158</v>
      </c>
      <c r="I17" s="305" t="s">
        <v>249</v>
      </c>
      <c r="J17" s="305" t="s">
        <v>103</v>
      </c>
      <c r="K17" s="292" t="s">
        <v>211</v>
      </c>
      <c r="L17" s="280" t="s">
        <v>262</v>
      </c>
      <c r="M17" s="178" t="s">
        <v>473</v>
      </c>
      <c r="N17" s="341" t="s">
        <v>263</v>
      </c>
      <c r="O17" s="340"/>
      <c r="P17" s="340"/>
    </row>
    <row r="18" spans="1:16" s="190" customFormat="1" ht="15" customHeight="1">
      <c r="A18" s="477">
        <v>44743</v>
      </c>
      <c r="B18" s="399" t="s">
        <v>343</v>
      </c>
      <c r="C18" s="190" t="s">
        <v>34</v>
      </c>
      <c r="D18" s="386" t="s">
        <v>4</v>
      </c>
      <c r="E18" s="407"/>
      <c r="F18" s="424">
        <v>10000</v>
      </c>
      <c r="G18" s="389">
        <f>+G17+E18-F18</f>
        <v>11960064</v>
      </c>
      <c r="H18" s="408" t="s">
        <v>49</v>
      </c>
      <c r="I18" s="178" t="s">
        <v>287</v>
      </c>
      <c r="J18" s="190" t="s">
        <v>166</v>
      </c>
      <c r="K18" s="190" t="s">
        <v>211</v>
      </c>
      <c r="L18" s="390" t="s">
        <v>262</v>
      </c>
      <c r="M18" s="178" t="s">
        <v>474</v>
      </c>
      <c r="N18" s="391" t="s">
        <v>273</v>
      </c>
    </row>
    <row r="19" spans="1:16" s="190" customFormat="1" ht="15" customHeight="1">
      <c r="A19" s="477">
        <v>44743</v>
      </c>
      <c r="B19" s="390" t="s">
        <v>261</v>
      </c>
      <c r="C19" s="190" t="s">
        <v>366</v>
      </c>
      <c r="D19" s="386"/>
      <c r="E19" s="416">
        <v>8000</v>
      </c>
      <c r="F19" s="388"/>
      <c r="G19" s="389">
        <f>+G18+E19-F19</f>
        <v>11968064</v>
      </c>
      <c r="H19" s="390" t="s">
        <v>209</v>
      </c>
      <c r="I19" s="390"/>
      <c r="J19" s="390"/>
      <c r="K19" s="390"/>
      <c r="L19" s="390"/>
      <c r="M19" s="178"/>
      <c r="N19" s="396"/>
      <c r="O19" s="390"/>
    </row>
    <row r="20" spans="1:16" s="190" customFormat="1" ht="15" customHeight="1">
      <c r="A20" s="478">
        <v>44743</v>
      </c>
      <c r="B20" s="395" t="s">
        <v>383</v>
      </c>
      <c r="C20" s="190" t="s">
        <v>157</v>
      </c>
      <c r="D20" s="392" t="s">
        <v>164</v>
      </c>
      <c r="F20" s="393">
        <v>30000</v>
      </c>
      <c r="G20" s="389">
        <f>+G19+E20-F20</f>
        <v>11938064</v>
      </c>
      <c r="H20" s="190" t="s">
        <v>225</v>
      </c>
      <c r="I20" s="395" t="s">
        <v>285</v>
      </c>
      <c r="J20" s="395" t="s">
        <v>166</v>
      </c>
      <c r="K20" s="395" t="s">
        <v>210</v>
      </c>
      <c r="L20" s="390" t="s">
        <v>262</v>
      </c>
      <c r="M20" s="178"/>
      <c r="N20" s="391"/>
    </row>
    <row r="21" spans="1:16" s="190" customFormat="1" ht="15" customHeight="1">
      <c r="A21" s="477">
        <v>44743</v>
      </c>
      <c r="B21" s="190" t="s">
        <v>384</v>
      </c>
      <c r="C21" s="190" t="s">
        <v>76</v>
      </c>
      <c r="D21" s="386"/>
      <c r="E21" s="387"/>
      <c r="F21" s="416">
        <v>50000</v>
      </c>
      <c r="G21" s="389">
        <f>+G20+E21-F21</f>
        <v>11888064</v>
      </c>
      <c r="H21" s="190" t="s">
        <v>225</v>
      </c>
      <c r="I21" s="390"/>
      <c r="J21" s="395"/>
      <c r="K21" s="390"/>
      <c r="L21" s="390"/>
      <c r="M21" s="178"/>
      <c r="N21" s="396"/>
    </row>
    <row r="22" spans="1:16" s="190" customFormat="1" ht="15" customHeight="1">
      <c r="A22" s="469">
        <v>44743</v>
      </c>
      <c r="B22" s="178" t="s">
        <v>421</v>
      </c>
      <c r="C22" s="178" t="s">
        <v>34</v>
      </c>
      <c r="D22" s="473" t="s">
        <v>4</v>
      </c>
      <c r="E22" s="474"/>
      <c r="F22" s="196">
        <v>13000</v>
      </c>
      <c r="G22" s="389">
        <f>+G21+E22-F22</f>
        <v>11875064</v>
      </c>
      <c r="H22" s="474" t="s">
        <v>29</v>
      </c>
      <c r="I22" s="474" t="s">
        <v>287</v>
      </c>
      <c r="J22" s="190" t="s">
        <v>166</v>
      </c>
      <c r="K22" s="190" t="s">
        <v>211</v>
      </c>
      <c r="L22" s="390" t="s">
        <v>262</v>
      </c>
      <c r="M22" s="178" t="s">
        <v>479</v>
      </c>
      <c r="N22" s="391" t="s">
        <v>273</v>
      </c>
      <c r="O22" s="474"/>
      <c r="P22" s="474"/>
    </row>
    <row r="23" spans="1:16" s="190" customFormat="1" ht="15" customHeight="1">
      <c r="A23" s="476">
        <v>44743</v>
      </c>
      <c r="B23" s="386" t="s">
        <v>452</v>
      </c>
      <c r="C23" s="190" t="s">
        <v>76</v>
      </c>
      <c r="D23" s="395"/>
      <c r="E23" s="190">
        <v>20000</v>
      </c>
      <c r="F23" s="383"/>
      <c r="G23" s="389">
        <f>+G22+E23-F23</f>
        <v>11895064</v>
      </c>
      <c r="H23" s="190" t="s">
        <v>114</v>
      </c>
      <c r="I23" s="395"/>
      <c r="L23" s="390"/>
      <c r="M23" s="178"/>
      <c r="N23" s="391"/>
    </row>
    <row r="24" spans="1:16" s="190" customFormat="1" ht="15" customHeight="1">
      <c r="A24" s="476">
        <v>44744</v>
      </c>
      <c r="B24" s="390" t="s">
        <v>243</v>
      </c>
      <c r="C24" s="190" t="s">
        <v>76</v>
      </c>
      <c r="D24" s="386"/>
      <c r="E24" s="398"/>
      <c r="F24" s="397">
        <v>253000</v>
      </c>
      <c r="G24" s="389">
        <f>+G23+E24-F24</f>
        <v>11642064</v>
      </c>
      <c r="H24" s="390" t="s">
        <v>25</v>
      </c>
      <c r="I24" s="390"/>
      <c r="J24" s="390"/>
      <c r="K24" s="390"/>
      <c r="L24" s="390"/>
      <c r="M24" s="178"/>
      <c r="N24" s="396"/>
      <c r="O24" s="390"/>
    </row>
    <row r="25" spans="1:16" s="292" customFormat="1" ht="15" customHeight="1">
      <c r="A25" s="476">
        <v>44744</v>
      </c>
      <c r="B25" s="390" t="s">
        <v>245</v>
      </c>
      <c r="C25" s="190" t="s">
        <v>226</v>
      </c>
      <c r="D25" s="386" t="s">
        <v>241</v>
      </c>
      <c r="E25" s="398"/>
      <c r="F25" s="388">
        <f>+F24*0.03</f>
        <v>7590</v>
      </c>
      <c r="G25" s="389">
        <f>+G24+E25-F25</f>
        <v>11634474</v>
      </c>
      <c r="H25" s="390" t="s">
        <v>25</v>
      </c>
      <c r="I25" s="390" t="s">
        <v>287</v>
      </c>
      <c r="J25" s="390" t="s">
        <v>166</v>
      </c>
      <c r="K25" s="390" t="s">
        <v>211</v>
      </c>
      <c r="L25" s="390" t="s">
        <v>262</v>
      </c>
      <c r="M25" s="178" t="s">
        <v>475</v>
      </c>
      <c r="N25" s="396" t="s">
        <v>263</v>
      </c>
      <c r="O25" s="390"/>
      <c r="P25" s="190"/>
    </row>
    <row r="26" spans="1:16" s="292" customFormat="1" ht="15" customHeight="1">
      <c r="A26" s="476">
        <v>44744</v>
      </c>
      <c r="B26" s="390" t="s">
        <v>344</v>
      </c>
      <c r="C26" s="190" t="s">
        <v>157</v>
      </c>
      <c r="D26" s="386" t="s">
        <v>4</v>
      </c>
      <c r="E26" s="398"/>
      <c r="F26" s="388">
        <v>70000</v>
      </c>
      <c r="G26" s="389">
        <f>+G25+E26-F26</f>
        <v>11564474</v>
      </c>
      <c r="H26" s="390" t="s">
        <v>49</v>
      </c>
      <c r="I26" s="190" t="s">
        <v>248</v>
      </c>
      <c r="J26" s="390" t="s">
        <v>166</v>
      </c>
      <c r="K26" s="390" t="s">
        <v>211</v>
      </c>
      <c r="L26" s="390" t="s">
        <v>262</v>
      </c>
      <c r="M26" s="178" t="s">
        <v>476</v>
      </c>
      <c r="N26" s="391" t="s">
        <v>274</v>
      </c>
      <c r="O26" s="390"/>
      <c r="P26" s="190"/>
    </row>
    <row r="27" spans="1:16" s="190" customFormat="1" ht="15" customHeight="1">
      <c r="A27" s="469">
        <v>44744</v>
      </c>
      <c r="B27" s="178" t="s">
        <v>422</v>
      </c>
      <c r="C27" s="190" t="s">
        <v>157</v>
      </c>
      <c r="D27" s="473" t="s">
        <v>4</v>
      </c>
      <c r="E27" s="474"/>
      <c r="F27" s="196">
        <v>70000</v>
      </c>
      <c r="G27" s="389">
        <f>+G26+E27-F27</f>
        <v>11494474</v>
      </c>
      <c r="H27" s="474" t="s">
        <v>29</v>
      </c>
      <c r="I27" s="190" t="s">
        <v>248</v>
      </c>
      <c r="J27" s="390" t="s">
        <v>166</v>
      </c>
      <c r="K27" s="390" t="s">
        <v>211</v>
      </c>
      <c r="L27" s="390" t="s">
        <v>262</v>
      </c>
      <c r="M27" s="178" t="s">
        <v>477</v>
      </c>
      <c r="N27" s="391" t="s">
        <v>274</v>
      </c>
      <c r="O27" s="474"/>
      <c r="P27" s="474"/>
    </row>
    <row r="28" spans="1:16" s="190" customFormat="1" ht="15" customHeight="1">
      <c r="A28" s="478">
        <v>44744</v>
      </c>
      <c r="B28" s="386" t="s">
        <v>253</v>
      </c>
      <c r="C28" s="190" t="s">
        <v>76</v>
      </c>
      <c r="D28" s="493"/>
      <c r="E28" s="387">
        <v>253000</v>
      </c>
      <c r="F28" s="388"/>
      <c r="G28" s="389">
        <f>+G27+E28-F28</f>
        <v>11747474</v>
      </c>
      <c r="H28" s="411" t="s">
        <v>48</v>
      </c>
      <c r="J28" s="395"/>
      <c r="K28" s="395"/>
      <c r="L28" s="390"/>
      <c r="N28" s="391"/>
      <c r="O28" s="412"/>
    </row>
    <row r="29" spans="1:16" s="190" customFormat="1" ht="15" customHeight="1">
      <c r="A29" s="478">
        <v>44744</v>
      </c>
      <c r="B29" s="386" t="s">
        <v>458</v>
      </c>
      <c r="C29" s="190" t="s">
        <v>379</v>
      </c>
      <c r="D29" s="386" t="s">
        <v>164</v>
      </c>
      <c r="E29" s="387"/>
      <c r="F29" s="388">
        <v>59490</v>
      </c>
      <c r="G29" s="389">
        <f>G28+E29-F29</f>
        <v>11687984</v>
      </c>
      <c r="H29" s="411" t="s">
        <v>48</v>
      </c>
      <c r="I29" s="190" t="s">
        <v>240</v>
      </c>
      <c r="J29" s="395" t="s">
        <v>166</v>
      </c>
      <c r="K29" s="395" t="s">
        <v>210</v>
      </c>
      <c r="L29" s="390" t="s">
        <v>262</v>
      </c>
      <c r="N29" s="391"/>
      <c r="O29" s="412"/>
    </row>
    <row r="30" spans="1:16" s="190" customFormat="1" ht="15" customHeight="1">
      <c r="A30" s="478">
        <v>44746</v>
      </c>
      <c r="B30" s="386" t="s">
        <v>459</v>
      </c>
      <c r="C30" s="190" t="s">
        <v>379</v>
      </c>
      <c r="D30" s="386" t="s">
        <v>164</v>
      </c>
      <c r="E30" s="387"/>
      <c r="F30" s="388">
        <v>5000</v>
      </c>
      <c r="G30" s="389">
        <f>G29+E30-F30</f>
        <v>11682984</v>
      </c>
      <c r="H30" s="411" t="s">
        <v>48</v>
      </c>
      <c r="I30" s="190" t="s">
        <v>240</v>
      </c>
      <c r="J30" s="395" t="s">
        <v>166</v>
      </c>
      <c r="K30" s="395" t="s">
        <v>210</v>
      </c>
      <c r="L30" s="390" t="s">
        <v>262</v>
      </c>
      <c r="N30" s="391"/>
      <c r="O30" s="412"/>
    </row>
    <row r="31" spans="1:16" ht="15" customHeight="1">
      <c r="A31" s="494">
        <v>44747</v>
      </c>
      <c r="B31" s="495" t="s">
        <v>29</v>
      </c>
      <c r="C31" s="178" t="s">
        <v>76</v>
      </c>
      <c r="D31" s="491"/>
      <c r="E31" s="496"/>
      <c r="F31" s="496">
        <v>104000</v>
      </c>
      <c r="G31" s="389">
        <f>+G28+E31-F31</f>
        <v>11643474</v>
      </c>
      <c r="H31" s="497" t="s">
        <v>25</v>
      </c>
      <c r="I31" s="473"/>
      <c r="J31" s="473"/>
      <c r="K31" s="473"/>
      <c r="L31" s="473"/>
      <c r="N31" s="229"/>
      <c r="O31" s="473"/>
    </row>
    <row r="32" spans="1:16" ht="15" customHeight="1">
      <c r="A32" s="468">
        <v>44747</v>
      </c>
      <c r="B32" s="473" t="s">
        <v>30</v>
      </c>
      <c r="C32" s="178" t="s">
        <v>76</v>
      </c>
      <c r="D32" s="491"/>
      <c r="E32" s="492"/>
      <c r="F32" s="492">
        <v>113000</v>
      </c>
      <c r="G32" s="389">
        <f>+G31+E32-F32</f>
        <v>11530474</v>
      </c>
      <c r="H32" s="473" t="s">
        <v>25</v>
      </c>
      <c r="I32" s="473"/>
      <c r="J32" s="473"/>
      <c r="K32" s="473"/>
      <c r="L32" s="473"/>
      <c r="N32" s="229"/>
      <c r="O32" s="473"/>
    </row>
    <row r="33" spans="1:16" s="292" customFormat="1" ht="15" customHeight="1">
      <c r="A33" s="476">
        <v>44747</v>
      </c>
      <c r="B33" s="390" t="s">
        <v>288</v>
      </c>
      <c r="C33" s="190" t="s">
        <v>226</v>
      </c>
      <c r="D33" s="386" t="s">
        <v>241</v>
      </c>
      <c r="E33" s="398"/>
      <c r="F33" s="398">
        <f>2825+2600</f>
        <v>5425</v>
      </c>
      <c r="G33" s="389">
        <f>+G32+E33-F33</f>
        <v>11525049</v>
      </c>
      <c r="H33" s="390" t="s">
        <v>25</v>
      </c>
      <c r="I33" s="390" t="s">
        <v>285</v>
      </c>
      <c r="J33" s="390" t="s">
        <v>166</v>
      </c>
      <c r="K33" s="390" t="s">
        <v>211</v>
      </c>
      <c r="L33" s="390" t="s">
        <v>262</v>
      </c>
      <c r="M33" s="178" t="s">
        <v>478</v>
      </c>
      <c r="N33" s="396" t="s">
        <v>263</v>
      </c>
      <c r="O33" s="390"/>
      <c r="P33" s="190"/>
    </row>
    <row r="34" spans="1:16" s="190" customFormat="1" ht="15" customHeight="1">
      <c r="A34" s="476">
        <v>44747</v>
      </c>
      <c r="B34" s="390" t="s">
        <v>209</v>
      </c>
      <c r="C34" s="190" t="s">
        <v>76</v>
      </c>
      <c r="D34" s="395"/>
      <c r="E34" s="398"/>
      <c r="F34" s="388">
        <v>10000</v>
      </c>
      <c r="G34" s="389">
        <f>+G33+E34-F34</f>
        <v>11515049</v>
      </c>
      <c r="H34" s="390" t="s">
        <v>25</v>
      </c>
      <c r="I34" s="390"/>
      <c r="J34" s="390"/>
      <c r="K34" s="390"/>
      <c r="L34" s="390"/>
      <c r="M34" s="178"/>
      <c r="N34" s="396"/>
      <c r="O34" s="390"/>
    </row>
    <row r="35" spans="1:16" s="190" customFormat="1" ht="15" customHeight="1">
      <c r="A35" s="475">
        <v>44747</v>
      </c>
      <c r="B35" s="280" t="s">
        <v>289</v>
      </c>
      <c r="C35" s="292" t="s">
        <v>290</v>
      </c>
      <c r="D35" s="294" t="s">
        <v>164</v>
      </c>
      <c r="E35" s="289"/>
      <c r="F35" s="378">
        <v>10000</v>
      </c>
      <c r="G35" s="389">
        <f>+G34+E35-F35</f>
        <v>11505049</v>
      </c>
      <c r="H35" s="280" t="s">
        <v>25</v>
      </c>
      <c r="I35" s="190" t="s">
        <v>248</v>
      </c>
      <c r="J35" s="280" t="s">
        <v>166</v>
      </c>
      <c r="K35" s="280" t="s">
        <v>210</v>
      </c>
      <c r="L35" s="280" t="s">
        <v>262</v>
      </c>
      <c r="M35" s="292"/>
      <c r="N35" s="295"/>
      <c r="O35" s="280"/>
      <c r="P35" s="292"/>
    </row>
    <row r="36" spans="1:16" s="190" customFormat="1" ht="15.75" customHeight="1">
      <c r="A36" s="480">
        <v>44747</v>
      </c>
      <c r="B36" s="299" t="s">
        <v>291</v>
      </c>
      <c r="C36" s="292" t="s">
        <v>290</v>
      </c>
      <c r="D36" s="294" t="s">
        <v>165</v>
      </c>
      <c r="E36" s="297"/>
      <c r="F36" s="297">
        <v>20000</v>
      </c>
      <c r="G36" s="389">
        <f>+G35+E36-F36</f>
        <v>11485049</v>
      </c>
      <c r="H36" s="301" t="s">
        <v>25</v>
      </c>
      <c r="I36" s="190" t="s">
        <v>248</v>
      </c>
      <c r="J36" s="280" t="s">
        <v>166</v>
      </c>
      <c r="K36" s="280" t="s">
        <v>210</v>
      </c>
      <c r="L36" s="280" t="s">
        <v>262</v>
      </c>
      <c r="M36" s="292"/>
      <c r="N36" s="295"/>
      <c r="O36" s="280"/>
      <c r="P36" s="292"/>
    </row>
    <row r="37" spans="1:16" s="292" customFormat="1" ht="15" customHeight="1">
      <c r="A37" s="475">
        <v>44747</v>
      </c>
      <c r="B37" s="280" t="s">
        <v>292</v>
      </c>
      <c r="C37" s="292" t="s">
        <v>227</v>
      </c>
      <c r="D37" s="294" t="s">
        <v>164</v>
      </c>
      <c r="E37" s="289"/>
      <c r="F37" s="378">
        <v>76000</v>
      </c>
      <c r="G37" s="389">
        <f>+G36+E37-F37</f>
        <v>11409049</v>
      </c>
      <c r="H37" s="280" t="s">
        <v>25</v>
      </c>
      <c r="I37" s="292" t="s">
        <v>285</v>
      </c>
      <c r="J37" s="305" t="s">
        <v>166</v>
      </c>
      <c r="K37" s="292" t="s">
        <v>211</v>
      </c>
      <c r="L37" s="280" t="s">
        <v>262</v>
      </c>
      <c r="M37" s="178" t="s">
        <v>480</v>
      </c>
      <c r="N37" s="288" t="s">
        <v>265</v>
      </c>
      <c r="O37" s="280"/>
    </row>
    <row r="38" spans="1:16" s="190" customFormat="1" ht="15.75" customHeight="1">
      <c r="A38" s="476">
        <v>44747</v>
      </c>
      <c r="B38" s="498" t="s">
        <v>209</v>
      </c>
      <c r="C38" s="489" t="s">
        <v>76</v>
      </c>
      <c r="D38" s="386"/>
      <c r="E38" s="397"/>
      <c r="F38" s="393">
        <v>82000</v>
      </c>
      <c r="G38" s="389">
        <f>+G37+E38-F38</f>
        <v>11327049</v>
      </c>
      <c r="H38" s="190" t="s">
        <v>25</v>
      </c>
      <c r="J38" s="390"/>
      <c r="L38" s="390"/>
      <c r="N38" s="391"/>
      <c r="O38" s="390"/>
    </row>
    <row r="39" spans="1:16" s="292" customFormat="1" ht="15.75" customHeight="1">
      <c r="A39" s="476">
        <v>44747</v>
      </c>
      <c r="B39" s="404" t="s">
        <v>293</v>
      </c>
      <c r="C39" s="405" t="s">
        <v>35</v>
      </c>
      <c r="D39" s="386" t="s">
        <v>241</v>
      </c>
      <c r="E39" s="190"/>
      <c r="F39" s="393">
        <v>13500</v>
      </c>
      <c r="G39" s="389">
        <f>+G38+E39-F39</f>
        <v>11313549</v>
      </c>
      <c r="H39" s="190" t="s">
        <v>25</v>
      </c>
      <c r="I39" s="395" t="s">
        <v>240</v>
      </c>
      <c r="J39" s="390" t="s">
        <v>166</v>
      </c>
      <c r="K39" s="390" t="s">
        <v>211</v>
      </c>
      <c r="L39" s="390" t="s">
        <v>262</v>
      </c>
      <c r="M39" s="178" t="s">
        <v>481</v>
      </c>
      <c r="N39" s="396" t="s">
        <v>267</v>
      </c>
      <c r="O39" s="190"/>
      <c r="P39" s="190"/>
    </row>
    <row r="40" spans="1:16" s="190" customFormat="1" ht="15.75" customHeight="1">
      <c r="A40" s="476">
        <v>44747</v>
      </c>
      <c r="B40" s="404" t="s">
        <v>225</v>
      </c>
      <c r="C40" s="390" t="s">
        <v>76</v>
      </c>
      <c r="D40" s="386"/>
      <c r="E40" s="393"/>
      <c r="F40" s="393">
        <v>15000</v>
      </c>
      <c r="G40" s="389">
        <f>+G39+E40-F40</f>
        <v>11298549</v>
      </c>
      <c r="H40" s="190" t="s">
        <v>25</v>
      </c>
      <c r="I40" s="395"/>
      <c r="L40" s="390"/>
      <c r="M40" s="178"/>
      <c r="N40" s="396"/>
      <c r="O40" s="390"/>
    </row>
    <row r="41" spans="1:16" s="292" customFormat="1" ht="15.75" customHeight="1">
      <c r="A41" s="476">
        <v>44747</v>
      </c>
      <c r="B41" s="392" t="s">
        <v>345</v>
      </c>
      <c r="C41" s="190" t="s">
        <v>157</v>
      </c>
      <c r="D41" s="386" t="s">
        <v>4</v>
      </c>
      <c r="E41" s="387"/>
      <c r="F41" s="397">
        <v>45000</v>
      </c>
      <c r="G41" s="389">
        <f>+G40+E41-F41</f>
        <v>11253549</v>
      </c>
      <c r="H41" s="390" t="s">
        <v>49</v>
      </c>
      <c r="I41" s="190" t="s">
        <v>287</v>
      </c>
      <c r="J41" s="390" t="s">
        <v>166</v>
      </c>
      <c r="K41" s="390" t="s">
        <v>211</v>
      </c>
      <c r="L41" s="390" t="s">
        <v>262</v>
      </c>
      <c r="M41" s="178" t="s">
        <v>482</v>
      </c>
      <c r="N41" s="391" t="s">
        <v>274</v>
      </c>
      <c r="O41" s="190"/>
      <c r="P41" s="190"/>
    </row>
    <row r="42" spans="1:16" s="324" customFormat="1" ht="15.75" customHeight="1">
      <c r="A42" s="476">
        <v>44747</v>
      </c>
      <c r="B42" s="392" t="s">
        <v>346</v>
      </c>
      <c r="C42" s="190" t="s">
        <v>34</v>
      </c>
      <c r="D42" s="386" t="s">
        <v>4</v>
      </c>
      <c r="E42" s="387"/>
      <c r="F42" s="397">
        <v>10000</v>
      </c>
      <c r="G42" s="389">
        <f>+G41+E42-F42</f>
        <v>11243549</v>
      </c>
      <c r="H42" s="390" t="s">
        <v>49</v>
      </c>
      <c r="I42" s="190" t="s">
        <v>287</v>
      </c>
      <c r="J42" s="190" t="s">
        <v>166</v>
      </c>
      <c r="K42" s="190" t="s">
        <v>211</v>
      </c>
      <c r="L42" s="390" t="s">
        <v>262</v>
      </c>
      <c r="M42" s="178" t="s">
        <v>483</v>
      </c>
      <c r="N42" s="391" t="s">
        <v>273</v>
      </c>
      <c r="O42" s="190"/>
      <c r="P42" s="190"/>
    </row>
    <row r="43" spans="1:16" s="190" customFormat="1" ht="15.75" customHeight="1">
      <c r="A43" s="477">
        <v>44747</v>
      </c>
      <c r="B43" s="401" t="s">
        <v>261</v>
      </c>
      <c r="C43" s="190" t="s">
        <v>366</v>
      </c>
      <c r="D43" s="386"/>
      <c r="E43" s="402">
        <v>10000</v>
      </c>
      <c r="F43" s="402"/>
      <c r="G43" s="389">
        <f>+G42+E43-F43</f>
        <v>11253549</v>
      </c>
      <c r="H43" s="403" t="s">
        <v>209</v>
      </c>
      <c r="I43" s="390"/>
      <c r="J43" s="390"/>
      <c r="K43" s="390"/>
      <c r="L43" s="390"/>
      <c r="N43" s="396"/>
      <c r="O43" s="390"/>
    </row>
    <row r="44" spans="1:16" s="190" customFormat="1" ht="15.75" customHeight="1">
      <c r="A44" s="478">
        <v>44747</v>
      </c>
      <c r="B44" s="390" t="s">
        <v>367</v>
      </c>
      <c r="C44" s="190" t="s">
        <v>193</v>
      </c>
      <c r="D44" s="386" t="s">
        <v>164</v>
      </c>
      <c r="E44" s="394"/>
      <c r="F44" s="397">
        <v>10000</v>
      </c>
      <c r="G44" s="389">
        <f>+G43+E44-F44</f>
        <v>11243549</v>
      </c>
      <c r="H44" s="390" t="s">
        <v>209</v>
      </c>
      <c r="I44" s="390" t="s">
        <v>285</v>
      </c>
      <c r="J44" s="395" t="s">
        <v>166</v>
      </c>
      <c r="K44" s="395" t="s">
        <v>210</v>
      </c>
      <c r="L44" s="390" t="s">
        <v>262</v>
      </c>
      <c r="M44" s="178"/>
      <c r="N44" s="396"/>
      <c r="O44" s="390"/>
    </row>
    <row r="45" spans="1:16" s="190" customFormat="1" ht="15.75" customHeight="1">
      <c r="A45" s="476">
        <v>44747</v>
      </c>
      <c r="B45" s="390" t="s">
        <v>261</v>
      </c>
      <c r="C45" s="190" t="s">
        <v>366</v>
      </c>
      <c r="D45" s="386"/>
      <c r="E45" s="393">
        <v>82000</v>
      </c>
      <c r="F45" s="394"/>
      <c r="G45" s="389">
        <f>+G44+E45-F45</f>
        <v>11325549</v>
      </c>
      <c r="H45" s="190" t="s">
        <v>209</v>
      </c>
      <c r="I45" s="390"/>
      <c r="J45" s="390"/>
      <c r="K45" s="390"/>
      <c r="L45" s="390"/>
      <c r="M45" s="178"/>
      <c r="N45" s="396"/>
    </row>
    <row r="46" spans="1:16" s="190" customFormat="1" ht="15" customHeight="1">
      <c r="A46" s="476">
        <v>44747</v>
      </c>
      <c r="B46" s="390" t="s">
        <v>368</v>
      </c>
      <c r="C46" s="190" t="s">
        <v>34</v>
      </c>
      <c r="D46" s="386" t="s">
        <v>164</v>
      </c>
      <c r="E46" s="398"/>
      <c r="F46" s="388">
        <v>10000</v>
      </c>
      <c r="G46" s="389">
        <f>+G45+E46-F46</f>
        <v>11315549</v>
      </c>
      <c r="H46" s="390" t="s">
        <v>209</v>
      </c>
      <c r="I46" s="390" t="s">
        <v>285</v>
      </c>
      <c r="J46" s="190" t="s">
        <v>166</v>
      </c>
      <c r="K46" s="190" t="s">
        <v>211</v>
      </c>
      <c r="L46" s="390" t="s">
        <v>262</v>
      </c>
      <c r="M46" s="178" t="s">
        <v>484</v>
      </c>
      <c r="N46" s="391" t="s">
        <v>273</v>
      </c>
      <c r="O46" s="390"/>
    </row>
    <row r="47" spans="1:16" s="190" customFormat="1" ht="15" customHeight="1">
      <c r="A47" s="476">
        <v>44747</v>
      </c>
      <c r="B47" s="190" t="s">
        <v>385</v>
      </c>
      <c r="C47" s="190" t="s">
        <v>76</v>
      </c>
      <c r="D47" s="392"/>
      <c r="E47" s="393">
        <v>15000</v>
      </c>
      <c r="F47" s="388"/>
      <c r="G47" s="389">
        <f>+G46+E47-F47</f>
        <v>11330549</v>
      </c>
      <c r="H47" s="390" t="s">
        <v>225</v>
      </c>
      <c r="I47" s="390"/>
      <c r="J47" s="395"/>
      <c r="K47" s="395"/>
      <c r="L47" s="390"/>
      <c r="M47" s="178"/>
      <c r="N47" s="391"/>
    </row>
    <row r="48" spans="1:16" s="292" customFormat="1" ht="15" customHeight="1">
      <c r="A48" s="480">
        <v>44747</v>
      </c>
      <c r="B48" s="280" t="s">
        <v>255</v>
      </c>
      <c r="C48" s="292" t="s">
        <v>34</v>
      </c>
      <c r="D48" s="288" t="s">
        <v>2</v>
      </c>
      <c r="E48" s="297"/>
      <c r="F48" s="378">
        <v>10000</v>
      </c>
      <c r="G48" s="389">
        <f>+G47+E48-F48</f>
        <v>11320549</v>
      </c>
      <c r="H48" s="315" t="s">
        <v>48</v>
      </c>
      <c r="I48" s="294" t="s">
        <v>240</v>
      </c>
      <c r="J48" s="190" t="s">
        <v>166</v>
      </c>
      <c r="K48" s="190" t="s">
        <v>211</v>
      </c>
      <c r="L48" s="390" t="s">
        <v>262</v>
      </c>
      <c r="M48" s="178" t="s">
        <v>485</v>
      </c>
      <c r="N48" s="391" t="s">
        <v>273</v>
      </c>
      <c r="O48" s="280"/>
    </row>
    <row r="49" spans="1:16" s="190" customFormat="1" ht="15" customHeight="1">
      <c r="A49" s="480">
        <v>44747</v>
      </c>
      <c r="B49" s="178" t="s">
        <v>257</v>
      </c>
      <c r="C49" s="178" t="s">
        <v>76</v>
      </c>
      <c r="D49" s="473"/>
      <c r="E49" s="471">
        <v>104000</v>
      </c>
      <c r="F49" s="471"/>
      <c r="G49" s="389">
        <f>+G48+E49-F49</f>
        <v>11424549</v>
      </c>
      <c r="H49" s="471" t="s">
        <v>29</v>
      </c>
      <c r="I49" s="471"/>
      <c r="J49" s="471"/>
      <c r="K49" s="471"/>
      <c r="L49" s="471"/>
      <c r="M49" s="471"/>
      <c r="N49" s="471"/>
      <c r="O49" s="471"/>
      <c r="P49" s="471"/>
    </row>
    <row r="50" spans="1:16" s="292" customFormat="1" ht="15" customHeight="1">
      <c r="A50" s="476">
        <v>44747</v>
      </c>
      <c r="B50" s="190" t="s">
        <v>259</v>
      </c>
      <c r="C50" s="190" t="s">
        <v>76</v>
      </c>
      <c r="D50" s="386"/>
      <c r="E50" s="387">
        <v>113000</v>
      </c>
      <c r="F50" s="416"/>
      <c r="G50" s="389">
        <f>+G49+E50-F50</f>
        <v>11537549</v>
      </c>
      <c r="H50" s="190" t="s">
        <v>49</v>
      </c>
      <c r="I50" s="390"/>
      <c r="J50" s="390"/>
      <c r="K50" s="390"/>
      <c r="L50" s="390"/>
      <c r="M50" s="178"/>
      <c r="N50" s="391"/>
      <c r="O50" s="190"/>
      <c r="P50" s="190"/>
    </row>
    <row r="51" spans="1:16" s="292" customFormat="1" ht="15" customHeight="1">
      <c r="A51" s="481">
        <v>44748</v>
      </c>
      <c r="B51" s="404" t="s">
        <v>243</v>
      </c>
      <c r="C51" s="390" t="s">
        <v>76</v>
      </c>
      <c r="D51" s="386"/>
      <c r="E51" s="393">
        <v>40000</v>
      </c>
      <c r="F51" s="393"/>
      <c r="G51" s="389">
        <f>+G50+E51-F51</f>
        <v>11577549</v>
      </c>
      <c r="H51" s="190" t="s">
        <v>25</v>
      </c>
      <c r="I51" s="395"/>
      <c r="J51" s="190"/>
      <c r="K51" s="190"/>
      <c r="L51" s="390"/>
      <c r="M51" s="178"/>
      <c r="N51" s="396"/>
      <c r="O51" s="190"/>
      <c r="P51" s="190"/>
    </row>
    <row r="52" spans="1:16" s="292" customFormat="1" ht="15" customHeight="1">
      <c r="A52" s="480">
        <v>44748</v>
      </c>
      <c r="B52" s="292" t="s">
        <v>294</v>
      </c>
      <c r="C52" s="292" t="s">
        <v>290</v>
      </c>
      <c r="D52" s="294" t="s">
        <v>244</v>
      </c>
      <c r="E52" s="381"/>
      <c r="F52" s="297">
        <v>30000</v>
      </c>
      <c r="G52" s="389">
        <f>+G51+E52-F52</f>
        <v>11547549</v>
      </c>
      <c r="H52" s="292" t="s">
        <v>25</v>
      </c>
      <c r="I52" s="190" t="s">
        <v>248</v>
      </c>
      <c r="J52" s="280" t="s">
        <v>166</v>
      </c>
      <c r="K52" s="280" t="s">
        <v>210</v>
      </c>
      <c r="L52" s="280" t="s">
        <v>262</v>
      </c>
      <c r="N52" s="295"/>
    </row>
    <row r="53" spans="1:16" s="292" customFormat="1" ht="15" customHeight="1">
      <c r="A53" s="475">
        <v>44748</v>
      </c>
      <c r="B53" s="280" t="s">
        <v>295</v>
      </c>
      <c r="C53" s="292" t="s">
        <v>290</v>
      </c>
      <c r="D53" s="288" t="s">
        <v>164</v>
      </c>
      <c r="E53" s="297"/>
      <c r="F53" s="378">
        <v>50000</v>
      </c>
      <c r="G53" s="389">
        <f>+G52+E53-F53</f>
        <v>11497549</v>
      </c>
      <c r="H53" s="280" t="s">
        <v>25</v>
      </c>
      <c r="I53" s="190" t="s">
        <v>248</v>
      </c>
      <c r="J53" s="280" t="s">
        <v>166</v>
      </c>
      <c r="K53" s="280" t="s">
        <v>210</v>
      </c>
      <c r="L53" s="280" t="s">
        <v>262</v>
      </c>
      <c r="N53" s="288"/>
      <c r="O53" s="280"/>
    </row>
    <row r="54" spans="1:16" s="190" customFormat="1" ht="15" customHeight="1">
      <c r="A54" s="475">
        <v>44748</v>
      </c>
      <c r="B54" s="303" t="s">
        <v>334</v>
      </c>
      <c r="C54" s="293" t="s">
        <v>335</v>
      </c>
      <c r="D54" s="386" t="s">
        <v>241</v>
      </c>
      <c r="E54" s="292"/>
      <c r="F54" s="280">
        <v>23345</v>
      </c>
      <c r="G54" s="389">
        <f>+G53+E54-F54</f>
        <v>11474204</v>
      </c>
      <c r="H54" s="292" t="s">
        <v>24</v>
      </c>
      <c r="I54" s="305" t="s">
        <v>249</v>
      </c>
      <c r="J54" s="395" t="s">
        <v>166</v>
      </c>
      <c r="K54" s="395" t="s">
        <v>210</v>
      </c>
      <c r="L54" s="390" t="s">
        <v>262</v>
      </c>
      <c r="M54" s="292"/>
      <c r="N54" s="288"/>
      <c r="O54" s="280"/>
      <c r="P54" s="292"/>
    </row>
    <row r="55" spans="1:16" s="190" customFormat="1" ht="15" customHeight="1">
      <c r="A55" s="476">
        <v>44748</v>
      </c>
      <c r="B55" s="390" t="s">
        <v>347</v>
      </c>
      <c r="C55" s="190" t="s">
        <v>34</v>
      </c>
      <c r="D55" s="413" t="s">
        <v>4</v>
      </c>
      <c r="E55" s="390"/>
      <c r="F55" s="393">
        <v>5000</v>
      </c>
      <c r="G55" s="389">
        <f>+G54+E55-F55</f>
        <v>11469204</v>
      </c>
      <c r="H55" s="190" t="s">
        <v>49</v>
      </c>
      <c r="I55" s="190" t="s">
        <v>287</v>
      </c>
      <c r="J55" s="190" t="s">
        <v>166</v>
      </c>
      <c r="K55" s="190" t="s">
        <v>211</v>
      </c>
      <c r="L55" s="390" t="s">
        <v>262</v>
      </c>
      <c r="M55" s="178" t="s">
        <v>486</v>
      </c>
      <c r="N55" s="391" t="s">
        <v>273</v>
      </c>
      <c r="O55" s="390"/>
    </row>
    <row r="56" spans="1:16" s="292" customFormat="1" ht="15" customHeight="1">
      <c r="A56" s="477">
        <v>44748</v>
      </c>
      <c r="B56" s="401" t="s">
        <v>348</v>
      </c>
      <c r="C56" s="190" t="s">
        <v>34</v>
      </c>
      <c r="D56" s="392" t="s">
        <v>4</v>
      </c>
      <c r="E56" s="402"/>
      <c r="F56" s="402">
        <v>5000</v>
      </c>
      <c r="G56" s="389">
        <f>+G55+E56-F56</f>
        <v>11464204</v>
      </c>
      <c r="H56" s="403" t="s">
        <v>49</v>
      </c>
      <c r="I56" s="390" t="s">
        <v>287</v>
      </c>
      <c r="J56" s="190" t="s">
        <v>166</v>
      </c>
      <c r="K56" s="190" t="s">
        <v>211</v>
      </c>
      <c r="L56" s="390" t="s">
        <v>262</v>
      </c>
      <c r="M56" s="178" t="s">
        <v>487</v>
      </c>
      <c r="N56" s="391" t="s">
        <v>273</v>
      </c>
      <c r="O56" s="390"/>
      <c r="P56" s="190"/>
    </row>
    <row r="57" spans="1:16" s="292" customFormat="1" ht="15" customHeight="1">
      <c r="A57" s="476">
        <v>44748</v>
      </c>
      <c r="B57" s="190" t="s">
        <v>369</v>
      </c>
      <c r="C57" s="190" t="s">
        <v>157</v>
      </c>
      <c r="D57" s="392" t="s">
        <v>164</v>
      </c>
      <c r="E57" s="393"/>
      <c r="F57" s="388">
        <v>20000</v>
      </c>
      <c r="G57" s="389">
        <f>+G56+E57-F57</f>
        <v>11444204</v>
      </c>
      <c r="H57" s="190" t="s">
        <v>209</v>
      </c>
      <c r="I57" s="190" t="s">
        <v>248</v>
      </c>
      <c r="J57" s="190" t="s">
        <v>166</v>
      </c>
      <c r="K57" s="190" t="s">
        <v>211</v>
      </c>
      <c r="L57" s="390" t="s">
        <v>262</v>
      </c>
      <c r="M57" s="178" t="s">
        <v>488</v>
      </c>
      <c r="N57" s="391" t="s">
        <v>274</v>
      </c>
      <c r="O57" s="190"/>
      <c r="P57" s="190"/>
    </row>
    <row r="58" spans="1:16" s="292" customFormat="1" ht="15" customHeight="1">
      <c r="A58" s="475">
        <v>44748</v>
      </c>
      <c r="B58" s="280" t="s">
        <v>441</v>
      </c>
      <c r="C58" s="190" t="s">
        <v>157</v>
      </c>
      <c r="D58" s="294" t="s">
        <v>2</v>
      </c>
      <c r="E58" s="289"/>
      <c r="F58" s="378">
        <v>90000</v>
      </c>
      <c r="G58" s="389">
        <f>+G57+E58-F58</f>
        <v>11354204</v>
      </c>
      <c r="H58" s="280" t="s">
        <v>48</v>
      </c>
      <c r="I58" s="292" t="s">
        <v>240</v>
      </c>
      <c r="J58" s="280" t="s">
        <v>166</v>
      </c>
      <c r="K58" s="280" t="s">
        <v>211</v>
      </c>
      <c r="L58" s="280" t="s">
        <v>262</v>
      </c>
      <c r="M58" s="178" t="s">
        <v>489</v>
      </c>
      <c r="N58" s="295" t="s">
        <v>274</v>
      </c>
      <c r="O58" s="280"/>
    </row>
    <row r="59" spans="1:16" s="292" customFormat="1" ht="15" customHeight="1">
      <c r="A59" s="475">
        <v>44748</v>
      </c>
      <c r="B59" s="292" t="s">
        <v>254</v>
      </c>
      <c r="C59" s="292" t="s">
        <v>76</v>
      </c>
      <c r="D59" s="307"/>
      <c r="E59" s="316"/>
      <c r="F59" s="317">
        <v>40000</v>
      </c>
      <c r="G59" s="389">
        <f>+G58+E59-F59</f>
        <v>11314204</v>
      </c>
      <c r="H59" s="292" t="s">
        <v>48</v>
      </c>
      <c r="I59" s="280"/>
      <c r="J59" s="305"/>
      <c r="L59" s="280"/>
      <c r="N59" s="295"/>
      <c r="P59" s="331"/>
    </row>
    <row r="60" spans="1:16" s="190" customFormat="1" ht="15" customHeight="1">
      <c r="A60" s="477">
        <v>44749</v>
      </c>
      <c r="B60" s="390" t="s">
        <v>349</v>
      </c>
      <c r="C60" s="190" t="s">
        <v>157</v>
      </c>
      <c r="D60" s="452" t="s">
        <v>4</v>
      </c>
      <c r="E60" s="403"/>
      <c r="F60" s="397">
        <v>30000</v>
      </c>
      <c r="G60" s="389">
        <f>+G59+E60-F60</f>
        <v>11284204</v>
      </c>
      <c r="H60" s="190" t="s">
        <v>49</v>
      </c>
      <c r="I60" s="190" t="s">
        <v>287</v>
      </c>
      <c r="J60" s="390" t="s">
        <v>166</v>
      </c>
      <c r="K60" s="390" t="s">
        <v>211</v>
      </c>
      <c r="L60" s="390" t="s">
        <v>262</v>
      </c>
      <c r="M60" s="178" t="s">
        <v>490</v>
      </c>
      <c r="N60" s="391" t="s">
        <v>274</v>
      </c>
      <c r="O60" s="390"/>
    </row>
    <row r="61" spans="1:16" s="292" customFormat="1" ht="15" customHeight="1">
      <c r="A61" s="476">
        <v>44749</v>
      </c>
      <c r="B61" s="390" t="s">
        <v>350</v>
      </c>
      <c r="C61" s="190" t="s">
        <v>34</v>
      </c>
      <c r="D61" s="386" t="s">
        <v>4</v>
      </c>
      <c r="E61" s="390"/>
      <c r="F61" s="397">
        <v>10000</v>
      </c>
      <c r="G61" s="389">
        <f>+G60+E61-F61</f>
        <v>11274204</v>
      </c>
      <c r="H61" s="190" t="s">
        <v>49</v>
      </c>
      <c r="I61" s="190" t="s">
        <v>287</v>
      </c>
      <c r="J61" s="190" t="s">
        <v>166</v>
      </c>
      <c r="K61" s="190" t="s">
        <v>211</v>
      </c>
      <c r="L61" s="390" t="s">
        <v>262</v>
      </c>
      <c r="M61" s="178" t="s">
        <v>491</v>
      </c>
      <c r="N61" s="391" t="s">
        <v>273</v>
      </c>
      <c r="O61" s="390"/>
      <c r="P61" s="190"/>
    </row>
    <row r="62" spans="1:16" s="190" customFormat="1" ht="15" customHeight="1">
      <c r="A62" s="476">
        <v>44749</v>
      </c>
      <c r="B62" s="190" t="s">
        <v>370</v>
      </c>
      <c r="C62" s="190" t="s">
        <v>34</v>
      </c>
      <c r="D62" s="386" t="s">
        <v>164</v>
      </c>
      <c r="F62" s="397">
        <v>10000</v>
      </c>
      <c r="G62" s="389">
        <f>+G61+E62-F62</f>
        <v>11264204</v>
      </c>
      <c r="H62" s="190" t="s">
        <v>209</v>
      </c>
      <c r="I62" s="190" t="s">
        <v>285</v>
      </c>
      <c r="J62" s="190" t="s">
        <v>166</v>
      </c>
      <c r="K62" s="190" t="s">
        <v>211</v>
      </c>
      <c r="L62" s="390" t="s">
        <v>262</v>
      </c>
      <c r="M62" s="178" t="s">
        <v>492</v>
      </c>
      <c r="N62" s="391" t="s">
        <v>273</v>
      </c>
    </row>
    <row r="63" spans="1:16" s="190" customFormat="1" ht="15" customHeight="1">
      <c r="A63" s="469">
        <v>44749</v>
      </c>
      <c r="B63" s="178" t="s">
        <v>423</v>
      </c>
      <c r="C63" s="190" t="s">
        <v>157</v>
      </c>
      <c r="D63" s="473" t="s">
        <v>4</v>
      </c>
      <c r="E63" s="474"/>
      <c r="F63" s="196">
        <v>75000</v>
      </c>
      <c r="G63" s="389">
        <f>+G62+E63-F63</f>
        <v>11189204</v>
      </c>
      <c r="H63" s="474" t="s">
        <v>29</v>
      </c>
      <c r="I63" s="474" t="s">
        <v>287</v>
      </c>
      <c r="J63" s="390" t="s">
        <v>166</v>
      </c>
      <c r="K63" s="390" t="s">
        <v>211</v>
      </c>
      <c r="L63" s="390" t="s">
        <v>262</v>
      </c>
      <c r="M63" s="178" t="s">
        <v>493</v>
      </c>
      <c r="N63" s="391" t="s">
        <v>274</v>
      </c>
      <c r="O63" s="474"/>
      <c r="P63" s="474"/>
    </row>
    <row r="64" spans="1:16" s="190" customFormat="1" ht="15" customHeight="1">
      <c r="A64" s="469">
        <v>44749</v>
      </c>
      <c r="B64" s="178" t="s">
        <v>424</v>
      </c>
      <c r="C64" s="178" t="s">
        <v>34</v>
      </c>
      <c r="D64" s="473" t="s">
        <v>4</v>
      </c>
      <c r="E64" s="474"/>
      <c r="F64" s="196">
        <v>5000</v>
      </c>
      <c r="G64" s="389">
        <f>+G63+E64-F64</f>
        <v>11184204</v>
      </c>
      <c r="H64" s="474" t="s">
        <v>29</v>
      </c>
      <c r="I64" s="474" t="s">
        <v>287</v>
      </c>
      <c r="J64" s="190" t="s">
        <v>166</v>
      </c>
      <c r="K64" s="190" t="s">
        <v>211</v>
      </c>
      <c r="L64" s="390" t="s">
        <v>262</v>
      </c>
      <c r="M64" s="178" t="s">
        <v>494</v>
      </c>
      <c r="N64" s="391" t="s">
        <v>273</v>
      </c>
      <c r="O64" s="474"/>
      <c r="P64" s="474"/>
    </row>
    <row r="65" spans="1:31" s="292" customFormat="1" ht="15" customHeight="1">
      <c r="A65" s="469">
        <v>44749</v>
      </c>
      <c r="B65" s="178" t="s">
        <v>425</v>
      </c>
      <c r="C65" s="178" t="s">
        <v>34</v>
      </c>
      <c r="D65" s="473" t="s">
        <v>4</v>
      </c>
      <c r="E65" s="474"/>
      <c r="F65" s="196">
        <v>7000</v>
      </c>
      <c r="G65" s="389">
        <f>+G64+E65-F65</f>
        <v>11177204</v>
      </c>
      <c r="H65" s="474" t="s">
        <v>29</v>
      </c>
      <c r="I65" s="474" t="s">
        <v>287</v>
      </c>
      <c r="J65" s="190" t="s">
        <v>166</v>
      </c>
      <c r="K65" s="190" t="s">
        <v>211</v>
      </c>
      <c r="L65" s="390" t="s">
        <v>262</v>
      </c>
      <c r="M65" s="178" t="s">
        <v>495</v>
      </c>
      <c r="N65" s="391" t="s">
        <v>273</v>
      </c>
      <c r="O65" s="474"/>
      <c r="P65" s="474"/>
      <c r="Z65" s="292">
        <v>44188</v>
      </c>
      <c r="AA65" s="292" t="s">
        <v>246</v>
      </c>
      <c r="AB65" s="292" t="s">
        <v>181</v>
      </c>
      <c r="AC65" s="292" t="s">
        <v>247</v>
      </c>
      <c r="AE65" s="292">
        <v>882</v>
      </c>
    </row>
    <row r="66" spans="1:31" s="292" customFormat="1" ht="15" customHeight="1">
      <c r="A66" s="480">
        <v>44750</v>
      </c>
      <c r="B66" s="309" t="s">
        <v>296</v>
      </c>
      <c r="C66" s="292" t="s">
        <v>181</v>
      </c>
      <c r="D66" s="303" t="s">
        <v>164</v>
      </c>
      <c r="E66" s="310"/>
      <c r="F66" s="300">
        <v>10500</v>
      </c>
      <c r="G66" s="389">
        <f>+G65+E66-F66</f>
        <v>11166704</v>
      </c>
      <c r="H66" s="322" t="s">
        <v>25</v>
      </c>
      <c r="I66" s="178" t="s">
        <v>240</v>
      </c>
      <c r="J66" s="305" t="s">
        <v>166</v>
      </c>
      <c r="K66" s="292" t="s">
        <v>210</v>
      </c>
      <c r="L66" s="280" t="s">
        <v>262</v>
      </c>
      <c r="N66" s="295"/>
    </row>
    <row r="67" spans="1:31" s="292" customFormat="1" ht="15" customHeight="1">
      <c r="A67" s="476">
        <v>44750</v>
      </c>
      <c r="B67" s="190" t="s">
        <v>297</v>
      </c>
      <c r="C67" s="190" t="s">
        <v>185</v>
      </c>
      <c r="D67" s="386" t="s">
        <v>241</v>
      </c>
      <c r="E67" s="406"/>
      <c r="F67" s="388">
        <v>63660</v>
      </c>
      <c r="G67" s="389">
        <f>+G66+E67-F67</f>
        <v>11103044</v>
      </c>
      <c r="H67" s="190" t="s">
        <v>25</v>
      </c>
      <c r="I67" s="390" t="s">
        <v>240</v>
      </c>
      <c r="J67" s="395" t="s">
        <v>166</v>
      </c>
      <c r="K67" s="190" t="s">
        <v>211</v>
      </c>
      <c r="L67" s="390" t="s">
        <v>262</v>
      </c>
      <c r="M67" s="178" t="s">
        <v>496</v>
      </c>
      <c r="N67" s="391" t="s">
        <v>275</v>
      </c>
      <c r="O67" s="190"/>
      <c r="P67" s="190"/>
    </row>
    <row r="68" spans="1:31" s="190" customFormat="1" ht="15" customHeight="1">
      <c r="A68" s="476">
        <v>44750</v>
      </c>
      <c r="B68" s="390" t="s">
        <v>31</v>
      </c>
      <c r="C68" s="390" t="s">
        <v>76</v>
      </c>
      <c r="D68" s="386"/>
      <c r="E68" s="398"/>
      <c r="F68" s="388">
        <v>15000</v>
      </c>
      <c r="G68" s="389">
        <f>+G67+E68-F68</f>
        <v>11088044</v>
      </c>
      <c r="H68" s="390" t="s">
        <v>25</v>
      </c>
      <c r="I68" s="390"/>
      <c r="J68" s="395"/>
      <c r="L68" s="390"/>
      <c r="M68" s="178"/>
      <c r="N68" s="396"/>
      <c r="O68" s="390"/>
    </row>
    <row r="69" spans="1:31" s="292" customFormat="1" ht="15" customHeight="1">
      <c r="A69" s="475">
        <v>44750</v>
      </c>
      <c r="B69" s="292" t="s">
        <v>298</v>
      </c>
      <c r="C69" s="280" t="s">
        <v>242</v>
      </c>
      <c r="D69" s="386" t="s">
        <v>241</v>
      </c>
      <c r="E69" s="316"/>
      <c r="F69" s="317">
        <v>30000</v>
      </c>
      <c r="G69" s="389">
        <f>+G68+E69-F69</f>
        <v>11058044</v>
      </c>
      <c r="H69" s="292" t="s">
        <v>25</v>
      </c>
      <c r="I69" s="305" t="s">
        <v>240</v>
      </c>
      <c r="J69" s="280" t="s">
        <v>166</v>
      </c>
      <c r="K69" s="280" t="s">
        <v>210</v>
      </c>
      <c r="L69" s="280" t="s">
        <v>262</v>
      </c>
      <c r="N69" s="295"/>
    </row>
    <row r="70" spans="1:31" s="292" customFormat="1" ht="15" customHeight="1">
      <c r="A70" s="478">
        <v>44750</v>
      </c>
      <c r="B70" s="401" t="s">
        <v>260</v>
      </c>
      <c r="C70" s="190" t="s">
        <v>34</v>
      </c>
      <c r="D70" s="386" t="s">
        <v>4</v>
      </c>
      <c r="E70" s="402"/>
      <c r="F70" s="424">
        <v>10000</v>
      </c>
      <c r="G70" s="389">
        <f>+G69+E70-F70</f>
        <v>11048044</v>
      </c>
      <c r="H70" s="401" t="s">
        <v>49</v>
      </c>
      <c r="I70" s="190" t="s">
        <v>287</v>
      </c>
      <c r="J70" s="190" t="s">
        <v>166</v>
      </c>
      <c r="K70" s="190" t="s">
        <v>211</v>
      </c>
      <c r="L70" s="390" t="s">
        <v>262</v>
      </c>
      <c r="M70" s="178" t="s">
        <v>497</v>
      </c>
      <c r="N70" s="391" t="s">
        <v>273</v>
      </c>
      <c r="O70" s="412"/>
      <c r="P70" s="190"/>
    </row>
    <row r="71" spans="1:31" s="292" customFormat="1" ht="15" customHeight="1">
      <c r="A71" s="476">
        <v>44750</v>
      </c>
      <c r="B71" s="190" t="s">
        <v>371</v>
      </c>
      <c r="C71" s="190" t="s">
        <v>157</v>
      </c>
      <c r="D71" s="392" t="s">
        <v>164</v>
      </c>
      <c r="E71" s="406"/>
      <c r="F71" s="388">
        <v>30000</v>
      </c>
      <c r="G71" s="389">
        <f>+G70+E71-F71</f>
        <v>11018044</v>
      </c>
      <c r="H71" s="190" t="s">
        <v>209</v>
      </c>
      <c r="I71" s="190" t="s">
        <v>285</v>
      </c>
      <c r="J71" s="190" t="s">
        <v>166</v>
      </c>
      <c r="K71" s="190" t="s">
        <v>211</v>
      </c>
      <c r="L71" s="390" t="s">
        <v>262</v>
      </c>
      <c r="M71" s="178" t="s">
        <v>498</v>
      </c>
      <c r="N71" s="391" t="s">
        <v>274</v>
      </c>
      <c r="O71" s="190"/>
      <c r="P71" s="412"/>
    </row>
    <row r="72" spans="1:31" s="292" customFormat="1" ht="15" customHeight="1">
      <c r="A72" s="477">
        <v>44750</v>
      </c>
      <c r="B72" s="390" t="s">
        <v>393</v>
      </c>
      <c r="C72" s="190" t="s">
        <v>76</v>
      </c>
      <c r="D72" s="386"/>
      <c r="E72" s="427">
        <v>15000</v>
      </c>
      <c r="F72" s="388"/>
      <c r="G72" s="389">
        <f>+G71+E72-F72</f>
        <v>11033044</v>
      </c>
      <c r="H72" s="390" t="s">
        <v>31</v>
      </c>
      <c r="I72" s="390"/>
      <c r="J72" s="395"/>
      <c r="K72" s="190"/>
      <c r="L72" s="390"/>
      <c r="M72" s="178"/>
      <c r="N72" s="391"/>
      <c r="O72" s="412"/>
      <c r="P72" s="190"/>
    </row>
    <row r="73" spans="1:31" s="292" customFormat="1" ht="15" customHeight="1">
      <c r="A73" s="476">
        <v>44751</v>
      </c>
      <c r="B73" s="190" t="s">
        <v>351</v>
      </c>
      <c r="C73" s="190" t="s">
        <v>157</v>
      </c>
      <c r="D73" s="452" t="s">
        <v>4</v>
      </c>
      <c r="E73" s="393"/>
      <c r="F73" s="388">
        <v>30000</v>
      </c>
      <c r="G73" s="389">
        <f>+G72+E73-F73</f>
        <v>11003044</v>
      </c>
      <c r="H73" s="390" t="s">
        <v>49</v>
      </c>
      <c r="I73" s="190" t="s">
        <v>287</v>
      </c>
      <c r="J73" s="390" t="s">
        <v>166</v>
      </c>
      <c r="K73" s="390" t="s">
        <v>211</v>
      </c>
      <c r="L73" s="390" t="s">
        <v>262</v>
      </c>
      <c r="M73" s="178" t="s">
        <v>499</v>
      </c>
      <c r="N73" s="391" t="s">
        <v>274</v>
      </c>
      <c r="O73" s="190"/>
      <c r="P73" s="190"/>
    </row>
    <row r="74" spans="1:31" s="190" customFormat="1" ht="15" customHeight="1">
      <c r="A74" s="469">
        <v>44751</v>
      </c>
      <c r="B74" s="178" t="s">
        <v>426</v>
      </c>
      <c r="C74" s="178" t="s">
        <v>34</v>
      </c>
      <c r="D74" s="473" t="s">
        <v>4</v>
      </c>
      <c r="E74" s="474"/>
      <c r="F74" s="196">
        <v>8000</v>
      </c>
      <c r="G74" s="389">
        <f>+G73+E74-F74</f>
        <v>10995044</v>
      </c>
      <c r="H74" s="474" t="s">
        <v>29</v>
      </c>
      <c r="I74" s="474" t="s">
        <v>287</v>
      </c>
      <c r="J74" s="190" t="s">
        <v>166</v>
      </c>
      <c r="K74" s="190" t="s">
        <v>211</v>
      </c>
      <c r="L74" s="390" t="s">
        <v>262</v>
      </c>
      <c r="M74" s="178" t="s">
        <v>500</v>
      </c>
      <c r="N74" s="391" t="s">
        <v>273</v>
      </c>
      <c r="O74" s="474"/>
      <c r="P74" s="474"/>
    </row>
    <row r="75" spans="1:31" s="292" customFormat="1" ht="15" customHeight="1">
      <c r="A75" s="469">
        <v>44751</v>
      </c>
      <c r="B75" s="178" t="s">
        <v>427</v>
      </c>
      <c r="C75" s="190" t="s">
        <v>157</v>
      </c>
      <c r="D75" s="473" t="s">
        <v>4</v>
      </c>
      <c r="E75" s="474"/>
      <c r="F75" s="196">
        <v>30000</v>
      </c>
      <c r="G75" s="389">
        <f>+G74+E75-F75</f>
        <v>10965044</v>
      </c>
      <c r="H75" s="474" t="s">
        <v>29</v>
      </c>
      <c r="I75" s="474" t="s">
        <v>287</v>
      </c>
      <c r="J75" s="390" t="s">
        <v>166</v>
      </c>
      <c r="K75" s="390" t="s">
        <v>211</v>
      </c>
      <c r="L75" s="390" t="s">
        <v>262</v>
      </c>
      <c r="M75" s="178" t="s">
        <v>501</v>
      </c>
      <c r="N75" s="391" t="s">
        <v>274</v>
      </c>
      <c r="O75" s="474"/>
      <c r="P75" s="474"/>
    </row>
    <row r="76" spans="1:31" s="292" customFormat="1" ht="16.5" customHeight="1">
      <c r="A76" s="476">
        <v>44753</v>
      </c>
      <c r="B76" s="390" t="s">
        <v>299</v>
      </c>
      <c r="C76" s="190" t="s">
        <v>290</v>
      </c>
      <c r="D76" s="386" t="s">
        <v>165</v>
      </c>
      <c r="E76" s="397"/>
      <c r="F76" s="394">
        <v>47000</v>
      </c>
      <c r="G76" s="389">
        <f>+G75+E76-F76</f>
        <v>10918044</v>
      </c>
      <c r="H76" s="390" t="s">
        <v>25</v>
      </c>
      <c r="I76" s="190" t="s">
        <v>248</v>
      </c>
      <c r="J76" s="280" t="s">
        <v>166</v>
      </c>
      <c r="K76" s="280" t="s">
        <v>210</v>
      </c>
      <c r="L76" s="280" t="s">
        <v>262</v>
      </c>
      <c r="M76" s="178"/>
      <c r="N76" s="391"/>
      <c r="O76" s="390"/>
      <c r="P76" s="190"/>
    </row>
    <row r="77" spans="1:31" s="292" customFormat="1" ht="15" customHeight="1">
      <c r="A77" s="480">
        <v>44753</v>
      </c>
      <c r="B77" s="280" t="s">
        <v>577</v>
      </c>
      <c r="C77" s="292" t="s">
        <v>181</v>
      </c>
      <c r="D77" s="303" t="s">
        <v>164</v>
      </c>
      <c r="E77" s="322"/>
      <c r="F77" s="178">
        <v>221500</v>
      </c>
      <c r="G77" s="389">
        <f>+G76+E77-F77</f>
        <v>10696544</v>
      </c>
      <c r="H77" s="292" t="s">
        <v>158</v>
      </c>
      <c r="I77" s="305">
        <v>3667211</v>
      </c>
      <c r="J77" s="305" t="s">
        <v>166</v>
      </c>
      <c r="K77" s="292" t="s">
        <v>211</v>
      </c>
      <c r="L77" s="280" t="s">
        <v>262</v>
      </c>
      <c r="M77" s="178" t="s">
        <v>502</v>
      </c>
      <c r="N77" s="295" t="s">
        <v>269</v>
      </c>
    </row>
    <row r="78" spans="1:31" s="292" customFormat="1" ht="15" customHeight="1">
      <c r="A78" s="479">
        <v>44753</v>
      </c>
      <c r="B78" s="280" t="s">
        <v>578</v>
      </c>
      <c r="C78" s="292" t="s">
        <v>181</v>
      </c>
      <c r="D78" s="293" t="s">
        <v>165</v>
      </c>
      <c r="F78" s="178">
        <v>124669</v>
      </c>
      <c r="G78" s="389">
        <f>+G77+E78-F78</f>
        <v>10571875</v>
      </c>
      <c r="H78" s="292" t="s">
        <v>158</v>
      </c>
      <c r="I78" s="305">
        <v>3667211</v>
      </c>
      <c r="J78" s="305" t="s">
        <v>166</v>
      </c>
      <c r="K78" s="292" t="s">
        <v>211</v>
      </c>
      <c r="L78" s="280" t="s">
        <v>262</v>
      </c>
      <c r="M78" s="178" t="s">
        <v>503</v>
      </c>
      <c r="N78" s="323" t="s">
        <v>271</v>
      </c>
    </row>
    <row r="79" spans="1:31" s="190" customFormat="1" ht="15" customHeight="1">
      <c r="A79" s="475">
        <v>44753</v>
      </c>
      <c r="B79" s="280" t="s">
        <v>582</v>
      </c>
      <c r="C79" s="292" t="s">
        <v>181</v>
      </c>
      <c r="D79" s="280" t="s">
        <v>2</v>
      </c>
      <c r="E79" s="280"/>
      <c r="F79" s="178">
        <v>167724</v>
      </c>
      <c r="G79" s="389">
        <f>+G78+E79-F79</f>
        <v>10404151</v>
      </c>
      <c r="H79" s="292" t="s">
        <v>158</v>
      </c>
      <c r="I79" s="294">
        <v>3667211</v>
      </c>
      <c r="J79" s="305" t="s">
        <v>166</v>
      </c>
      <c r="K79" s="292" t="s">
        <v>211</v>
      </c>
      <c r="L79" s="280" t="s">
        <v>262</v>
      </c>
      <c r="M79" s="178" t="s">
        <v>504</v>
      </c>
      <c r="N79" s="288" t="s">
        <v>270</v>
      </c>
      <c r="O79" s="280"/>
      <c r="P79" s="292"/>
    </row>
    <row r="80" spans="1:31" s="292" customFormat="1" ht="15" customHeight="1">
      <c r="A80" s="475">
        <v>44753</v>
      </c>
      <c r="B80" s="450" t="s">
        <v>579</v>
      </c>
      <c r="C80" s="292" t="s">
        <v>181</v>
      </c>
      <c r="D80" s="292" t="s">
        <v>2</v>
      </c>
      <c r="E80" s="280"/>
      <c r="F80" s="178">
        <v>215485</v>
      </c>
      <c r="G80" s="389">
        <f>+G79+E80-F80</f>
        <v>10188666</v>
      </c>
      <c r="H80" s="292" t="s">
        <v>158</v>
      </c>
      <c r="I80" s="294">
        <v>3667211</v>
      </c>
      <c r="J80" s="305" t="s">
        <v>166</v>
      </c>
      <c r="K80" s="292" t="s">
        <v>211</v>
      </c>
      <c r="L80" s="280" t="s">
        <v>262</v>
      </c>
      <c r="M80" s="178" t="s">
        <v>505</v>
      </c>
      <c r="N80" s="295" t="s">
        <v>270</v>
      </c>
      <c r="O80" s="280"/>
    </row>
    <row r="81" spans="1:16" s="190" customFormat="1" ht="15" customHeight="1">
      <c r="A81" s="475">
        <v>44753</v>
      </c>
      <c r="B81" s="451" t="s">
        <v>580</v>
      </c>
      <c r="C81" s="292" t="s">
        <v>181</v>
      </c>
      <c r="D81" s="280" t="s">
        <v>164</v>
      </c>
      <c r="E81" s="292"/>
      <c r="F81" s="292">
        <v>51747</v>
      </c>
      <c r="G81" s="389">
        <f>+G80+E81-F81</f>
        <v>10136919</v>
      </c>
      <c r="H81" s="292" t="s">
        <v>158</v>
      </c>
      <c r="I81" s="305">
        <v>3667211</v>
      </c>
      <c r="J81" s="305" t="s">
        <v>166</v>
      </c>
      <c r="K81" s="292" t="s">
        <v>211</v>
      </c>
      <c r="L81" s="280" t="s">
        <v>262</v>
      </c>
      <c r="M81" s="178" t="s">
        <v>506</v>
      </c>
      <c r="N81" s="295" t="s">
        <v>269</v>
      </c>
      <c r="O81" s="292"/>
      <c r="P81" s="292"/>
    </row>
    <row r="82" spans="1:16" s="190" customFormat="1" ht="15" customHeight="1">
      <c r="A82" s="478">
        <v>44753</v>
      </c>
      <c r="B82" s="190" t="s">
        <v>581</v>
      </c>
      <c r="C82" s="292" t="s">
        <v>181</v>
      </c>
      <c r="D82" s="390" t="s">
        <v>164</v>
      </c>
      <c r="F82" s="390">
        <v>8050</v>
      </c>
      <c r="G82" s="389">
        <f>+G81+E82-F82</f>
        <v>10128869</v>
      </c>
      <c r="H82" s="292" t="s">
        <v>158</v>
      </c>
      <c r="I82" s="430">
        <v>3667211</v>
      </c>
      <c r="J82" s="305" t="s">
        <v>166</v>
      </c>
      <c r="K82" s="292" t="s">
        <v>211</v>
      </c>
      <c r="L82" s="280" t="s">
        <v>262</v>
      </c>
      <c r="M82" s="178" t="s">
        <v>507</v>
      </c>
      <c r="N82" s="391" t="s">
        <v>269</v>
      </c>
    </row>
    <row r="83" spans="1:16" s="292" customFormat="1" ht="15" customHeight="1">
      <c r="A83" s="479">
        <v>44753</v>
      </c>
      <c r="B83" s="280" t="s">
        <v>338</v>
      </c>
      <c r="C83" s="292" t="s">
        <v>227</v>
      </c>
      <c r="D83" s="294" t="s">
        <v>164</v>
      </c>
      <c r="E83" s="299"/>
      <c r="F83" s="280">
        <v>150000</v>
      </c>
      <c r="G83" s="389">
        <f>+G82+E83-F83</f>
        <v>9978869</v>
      </c>
      <c r="H83" s="292" t="s">
        <v>158</v>
      </c>
      <c r="I83" s="305">
        <v>3667210</v>
      </c>
      <c r="J83" s="305" t="s">
        <v>103</v>
      </c>
      <c r="K83" s="292" t="s">
        <v>211</v>
      </c>
      <c r="L83" s="280" t="s">
        <v>262</v>
      </c>
      <c r="M83" s="178" t="s">
        <v>508</v>
      </c>
      <c r="N83" s="288" t="s">
        <v>266</v>
      </c>
      <c r="O83" s="321"/>
    </row>
    <row r="84" spans="1:16" s="292" customFormat="1" ht="15" customHeight="1">
      <c r="A84" s="475">
        <v>44754</v>
      </c>
      <c r="B84" s="303" t="s">
        <v>300</v>
      </c>
      <c r="C84" s="292" t="s">
        <v>227</v>
      </c>
      <c r="D84" s="294" t="s">
        <v>164</v>
      </c>
      <c r="E84" s="280"/>
      <c r="F84" s="297">
        <v>76000</v>
      </c>
      <c r="G84" s="389">
        <f>+G83+E84-F84</f>
        <v>9902869</v>
      </c>
      <c r="H84" s="292" t="s">
        <v>25</v>
      </c>
      <c r="I84" s="292" t="s">
        <v>285</v>
      </c>
      <c r="J84" s="305" t="s">
        <v>166</v>
      </c>
      <c r="K84" s="292" t="s">
        <v>211</v>
      </c>
      <c r="L84" s="280" t="s">
        <v>262</v>
      </c>
      <c r="M84" s="178" t="s">
        <v>509</v>
      </c>
      <c r="N84" s="288" t="s">
        <v>265</v>
      </c>
      <c r="O84" s="280"/>
    </row>
    <row r="85" spans="1:16" s="190" customFormat="1" ht="15" customHeight="1">
      <c r="A85" s="475">
        <v>44754</v>
      </c>
      <c r="B85" s="307" t="s">
        <v>225</v>
      </c>
      <c r="C85" s="293" t="s">
        <v>76</v>
      </c>
      <c r="D85" s="305"/>
      <c r="E85" s="316"/>
      <c r="F85" s="297">
        <v>85000</v>
      </c>
      <c r="G85" s="389">
        <f>+G84+E85-F85</f>
        <v>9817869</v>
      </c>
      <c r="H85" s="280" t="s">
        <v>25</v>
      </c>
      <c r="I85" s="280"/>
      <c r="J85" s="280"/>
      <c r="K85" s="280"/>
      <c r="L85" s="280"/>
      <c r="M85" s="292"/>
      <c r="N85" s="288"/>
      <c r="O85" s="280"/>
      <c r="P85" s="292"/>
    </row>
    <row r="86" spans="1:16" s="292" customFormat="1" ht="17.25" customHeight="1">
      <c r="A86" s="480">
        <v>44754</v>
      </c>
      <c r="B86" s="309" t="s">
        <v>225</v>
      </c>
      <c r="C86" s="292" t="s">
        <v>76</v>
      </c>
      <c r="D86" s="305"/>
      <c r="E86" s="310"/>
      <c r="F86" s="380">
        <v>15000</v>
      </c>
      <c r="G86" s="389">
        <f>+G85+E86-F86</f>
        <v>9802869</v>
      </c>
      <c r="H86" s="311" t="s">
        <v>25</v>
      </c>
      <c r="I86" s="280"/>
      <c r="L86" s="280"/>
      <c r="N86" s="295"/>
      <c r="O86" s="295"/>
    </row>
    <row r="87" spans="1:16" s="292" customFormat="1" ht="17.25" customHeight="1">
      <c r="A87" s="480">
        <v>44754</v>
      </c>
      <c r="B87" s="292" t="s">
        <v>301</v>
      </c>
      <c r="C87" s="292" t="s">
        <v>76</v>
      </c>
      <c r="D87" s="305"/>
      <c r="E87" s="327"/>
      <c r="F87" s="290">
        <v>40000</v>
      </c>
      <c r="G87" s="389">
        <f>+G86+E87-F87</f>
        <v>9762869</v>
      </c>
      <c r="H87" s="292" t="s">
        <v>25</v>
      </c>
      <c r="J87" s="305"/>
      <c r="N87" s="295"/>
    </row>
    <row r="88" spans="1:16" s="292" customFormat="1" ht="13.5" customHeight="1">
      <c r="A88" s="476">
        <v>44754</v>
      </c>
      <c r="B88" s="390" t="s">
        <v>385</v>
      </c>
      <c r="C88" s="190" t="s">
        <v>76</v>
      </c>
      <c r="D88" s="404"/>
      <c r="E88" s="397">
        <v>85000</v>
      </c>
      <c r="F88" s="397"/>
      <c r="G88" s="389">
        <f>+G87+E88-F88</f>
        <v>9847869</v>
      </c>
      <c r="H88" s="390" t="s">
        <v>225</v>
      </c>
      <c r="I88" s="190"/>
      <c r="J88" s="390"/>
      <c r="K88" s="390"/>
      <c r="L88" s="390"/>
      <c r="M88" s="178"/>
      <c r="N88" s="391"/>
      <c r="O88" s="390"/>
      <c r="P88" s="190"/>
    </row>
    <row r="89" spans="1:16" s="292" customFormat="1" ht="15" customHeight="1">
      <c r="A89" s="476">
        <v>44754</v>
      </c>
      <c r="B89" s="390" t="s">
        <v>385</v>
      </c>
      <c r="C89" s="190" t="s">
        <v>76</v>
      </c>
      <c r="D89" s="386"/>
      <c r="E89" s="397">
        <v>40000</v>
      </c>
      <c r="F89" s="394"/>
      <c r="G89" s="389">
        <f>+G88+E89-F89</f>
        <v>9887869</v>
      </c>
      <c r="H89" s="390" t="s">
        <v>225</v>
      </c>
      <c r="I89" s="390"/>
      <c r="J89" s="390"/>
      <c r="K89" s="390"/>
      <c r="L89" s="390"/>
      <c r="M89" s="178"/>
      <c r="N89" s="391"/>
      <c r="O89" s="390"/>
      <c r="P89" s="190"/>
    </row>
    <row r="90" spans="1:16" s="190" customFormat="1" ht="15" customHeight="1">
      <c r="A90" s="477">
        <v>44754</v>
      </c>
      <c r="B90" s="190" t="s">
        <v>385</v>
      </c>
      <c r="C90" s="190" t="s">
        <v>76</v>
      </c>
      <c r="D90" s="386"/>
      <c r="E90" s="402">
        <v>15000</v>
      </c>
      <c r="F90" s="402"/>
      <c r="G90" s="389">
        <f>+G89+E90-F90</f>
        <v>9902869</v>
      </c>
      <c r="H90" s="403" t="s">
        <v>225</v>
      </c>
      <c r="I90" s="390"/>
      <c r="J90" s="395"/>
      <c r="L90" s="390"/>
      <c r="M90" s="178"/>
      <c r="N90" s="396"/>
      <c r="O90" s="390"/>
    </row>
    <row r="91" spans="1:16" s="292" customFormat="1" ht="15" customHeight="1">
      <c r="A91" s="476">
        <v>44754</v>
      </c>
      <c r="B91" s="390" t="s">
        <v>464</v>
      </c>
      <c r="C91" s="190" t="s">
        <v>34</v>
      </c>
      <c r="D91" s="386" t="s">
        <v>164</v>
      </c>
      <c r="E91" s="387"/>
      <c r="F91" s="388">
        <v>10000</v>
      </c>
      <c r="G91" s="389">
        <f>+G90+E91-F91</f>
        <v>9892869</v>
      </c>
      <c r="H91" s="390" t="s">
        <v>225</v>
      </c>
      <c r="I91" s="390" t="s">
        <v>285</v>
      </c>
      <c r="J91" s="395" t="s">
        <v>166</v>
      </c>
      <c r="K91" s="395" t="s">
        <v>210</v>
      </c>
      <c r="L91" s="390" t="s">
        <v>262</v>
      </c>
      <c r="M91" s="178"/>
      <c r="N91" s="396"/>
      <c r="O91" s="390"/>
      <c r="P91" s="190"/>
    </row>
    <row r="92" spans="1:16" s="190" customFormat="1" ht="15" customHeight="1">
      <c r="A92" s="476">
        <v>44755</v>
      </c>
      <c r="B92" s="386" t="s">
        <v>302</v>
      </c>
      <c r="C92" s="292" t="s">
        <v>181</v>
      </c>
      <c r="D92" s="395" t="s">
        <v>2</v>
      </c>
      <c r="E92" s="387"/>
      <c r="F92" s="388">
        <v>249485</v>
      </c>
      <c r="G92" s="389">
        <f>+G91+E92-F92</f>
        <v>9643384</v>
      </c>
      <c r="H92" s="390" t="s">
        <v>25</v>
      </c>
      <c r="I92" s="390" t="s">
        <v>287</v>
      </c>
      <c r="J92" s="390" t="s">
        <v>166</v>
      </c>
      <c r="K92" s="390" t="s">
        <v>210</v>
      </c>
      <c r="L92" s="390" t="s">
        <v>262</v>
      </c>
      <c r="M92" s="178"/>
      <c r="N92" s="396"/>
      <c r="O92" s="390"/>
    </row>
    <row r="93" spans="1:16" s="190" customFormat="1" ht="15" customHeight="1">
      <c r="A93" s="476">
        <v>44755</v>
      </c>
      <c r="B93" s="190" t="s">
        <v>303</v>
      </c>
      <c r="C93" s="190" t="s">
        <v>242</v>
      </c>
      <c r="D93" s="386" t="s">
        <v>241</v>
      </c>
      <c r="E93" s="406"/>
      <c r="F93" s="398">
        <v>35300</v>
      </c>
      <c r="G93" s="389">
        <f>+G92+E93-F93</f>
        <v>9608084</v>
      </c>
      <c r="H93" s="190" t="s">
        <v>25</v>
      </c>
      <c r="I93" s="190" t="s">
        <v>287</v>
      </c>
      <c r="J93" s="390" t="s">
        <v>103</v>
      </c>
      <c r="K93" s="390" t="s">
        <v>211</v>
      </c>
      <c r="L93" s="390" t="s">
        <v>262</v>
      </c>
      <c r="M93" s="178" t="s">
        <v>510</v>
      </c>
      <c r="N93" s="396" t="s">
        <v>267</v>
      </c>
    </row>
    <row r="94" spans="1:16" s="292" customFormat="1" ht="15" customHeight="1">
      <c r="A94" s="477">
        <v>44755</v>
      </c>
      <c r="B94" s="426" t="s">
        <v>386</v>
      </c>
      <c r="C94" s="190" t="s">
        <v>157</v>
      </c>
      <c r="D94" s="386" t="s">
        <v>164</v>
      </c>
      <c r="E94" s="427"/>
      <c r="F94" s="397">
        <v>20000</v>
      </c>
      <c r="G94" s="389">
        <f>+G93+E94-F94</f>
        <v>9588084</v>
      </c>
      <c r="H94" s="390" t="s">
        <v>225</v>
      </c>
      <c r="I94" s="190" t="s">
        <v>248</v>
      </c>
      <c r="J94" s="395" t="s">
        <v>166</v>
      </c>
      <c r="K94" s="395" t="s">
        <v>210</v>
      </c>
      <c r="L94" s="390" t="s">
        <v>262</v>
      </c>
      <c r="M94" s="178"/>
      <c r="N94" s="391"/>
      <c r="O94" s="412"/>
      <c r="P94" s="190"/>
    </row>
    <row r="95" spans="1:16" s="292" customFormat="1" ht="15" customHeight="1">
      <c r="A95" s="477">
        <v>44756</v>
      </c>
      <c r="B95" s="399" t="s">
        <v>30</v>
      </c>
      <c r="C95" s="190" t="s">
        <v>76</v>
      </c>
      <c r="D95" s="392"/>
      <c r="E95" s="407"/>
      <c r="F95" s="402">
        <v>10000</v>
      </c>
      <c r="G95" s="389">
        <f>+G94+E95-F95</f>
        <v>9578084</v>
      </c>
      <c r="H95" s="408" t="s">
        <v>25</v>
      </c>
      <c r="I95" s="390"/>
      <c r="J95" s="395"/>
      <c r="K95" s="395"/>
      <c r="L95" s="390"/>
      <c r="M95" s="178"/>
      <c r="N95" s="391"/>
      <c r="O95" s="190"/>
      <c r="P95" s="190"/>
    </row>
    <row r="96" spans="1:16" s="292" customFormat="1" ht="15" customHeight="1">
      <c r="A96" s="481">
        <v>44756</v>
      </c>
      <c r="B96" s="409" t="s">
        <v>304</v>
      </c>
      <c r="C96" s="190" t="s">
        <v>76</v>
      </c>
      <c r="D96" s="395"/>
      <c r="E96" s="410">
        <v>2000000</v>
      </c>
      <c r="F96" s="397"/>
      <c r="G96" s="389">
        <f>+G95+E96-F96</f>
        <v>11578084</v>
      </c>
      <c r="H96" s="411" t="s">
        <v>25</v>
      </c>
      <c r="I96" s="390"/>
      <c r="J96" s="390"/>
      <c r="K96" s="390"/>
      <c r="L96" s="390"/>
      <c r="M96" s="178"/>
      <c r="N96" s="396"/>
      <c r="O96" s="190"/>
      <c r="P96" s="190"/>
    </row>
    <row r="97" spans="1:16" s="292" customFormat="1" ht="15" customHeight="1">
      <c r="A97" s="475">
        <v>44756</v>
      </c>
      <c r="B97" s="292" t="s">
        <v>209</v>
      </c>
      <c r="C97" s="292" t="s">
        <v>76</v>
      </c>
      <c r="D97" s="326"/>
      <c r="E97" s="316"/>
      <c r="F97" s="317">
        <v>4000</v>
      </c>
      <c r="G97" s="389">
        <f>+G96+E97-F97</f>
        <v>11574084</v>
      </c>
      <c r="H97" s="292" t="s">
        <v>25</v>
      </c>
      <c r="J97" s="305"/>
      <c r="L97" s="280"/>
      <c r="N97" s="295"/>
    </row>
    <row r="98" spans="1:16" s="292" customFormat="1" ht="15" customHeight="1">
      <c r="A98" s="475">
        <v>44756</v>
      </c>
      <c r="B98" s="292" t="s">
        <v>29</v>
      </c>
      <c r="C98" s="292" t="s">
        <v>76</v>
      </c>
      <c r="D98" s="294"/>
      <c r="E98" s="318"/>
      <c r="F98" s="378">
        <v>214000</v>
      </c>
      <c r="G98" s="389">
        <f>+G97+E98-F98</f>
        <v>11360084</v>
      </c>
      <c r="H98" s="292" t="s">
        <v>25</v>
      </c>
      <c r="I98" s="178"/>
      <c r="L98" s="280"/>
      <c r="N98" s="295"/>
    </row>
    <row r="99" spans="1:16" s="190" customFormat="1" ht="15" customHeight="1">
      <c r="A99" s="475">
        <v>44756</v>
      </c>
      <c r="B99" s="280" t="s">
        <v>336</v>
      </c>
      <c r="C99" s="280" t="s">
        <v>76</v>
      </c>
      <c r="D99" s="280"/>
      <c r="E99" s="316"/>
      <c r="F99" s="316">
        <v>2000000</v>
      </c>
      <c r="G99" s="389">
        <f>+G98+E99-F99</f>
        <v>9360084</v>
      </c>
      <c r="H99" s="292" t="s">
        <v>24</v>
      </c>
      <c r="I99" s="305" t="s">
        <v>249</v>
      </c>
      <c r="J99" s="280"/>
      <c r="K99" s="292"/>
      <c r="L99" s="280"/>
      <c r="M99" s="292"/>
      <c r="N99" s="295"/>
      <c r="O99" s="280"/>
      <c r="P99" s="292"/>
    </row>
    <row r="100" spans="1:16" s="292" customFormat="1" ht="15" customHeight="1">
      <c r="A100" s="476">
        <v>44756</v>
      </c>
      <c r="B100" s="190" t="s">
        <v>259</v>
      </c>
      <c r="C100" s="190" t="s">
        <v>76</v>
      </c>
      <c r="D100" s="386"/>
      <c r="E100" s="406">
        <v>10000</v>
      </c>
      <c r="F100" s="398"/>
      <c r="G100" s="389">
        <f>+G99+E100-F100</f>
        <v>9370084</v>
      </c>
      <c r="H100" s="190" t="s">
        <v>49</v>
      </c>
      <c r="I100" s="390"/>
      <c r="J100" s="395"/>
      <c r="K100" s="390"/>
      <c r="L100" s="390"/>
      <c r="M100" s="178"/>
      <c r="N100" s="396"/>
      <c r="O100" s="190"/>
      <c r="P100" s="190"/>
    </row>
    <row r="101" spans="1:16" s="292" customFormat="1" ht="15" customHeight="1">
      <c r="A101" s="476">
        <v>44756</v>
      </c>
      <c r="B101" s="190" t="s">
        <v>261</v>
      </c>
      <c r="C101" s="190" t="s">
        <v>366</v>
      </c>
      <c r="D101" s="386"/>
      <c r="E101" s="393">
        <v>4000</v>
      </c>
      <c r="F101" s="397"/>
      <c r="G101" s="389">
        <f>+G100+E101-F101</f>
        <v>9374084</v>
      </c>
      <c r="H101" s="390" t="s">
        <v>209</v>
      </c>
      <c r="I101" s="390"/>
      <c r="J101" s="390"/>
      <c r="K101" s="390"/>
      <c r="L101" s="390"/>
      <c r="M101" s="178"/>
      <c r="N101" s="396"/>
      <c r="O101" s="190"/>
      <c r="P101" s="190"/>
    </row>
    <row r="102" spans="1:16" s="292" customFormat="1" ht="15" customHeight="1">
      <c r="A102" s="476">
        <v>44756</v>
      </c>
      <c r="B102" s="390" t="s">
        <v>387</v>
      </c>
      <c r="C102" s="190" t="s">
        <v>193</v>
      </c>
      <c r="D102" s="386" t="s">
        <v>164</v>
      </c>
      <c r="E102" s="393"/>
      <c r="F102" s="388">
        <v>30000</v>
      </c>
      <c r="G102" s="389">
        <f>+G101+E102-F102</f>
        <v>9344084</v>
      </c>
      <c r="H102" s="190" t="s">
        <v>225</v>
      </c>
      <c r="I102" s="190" t="s">
        <v>285</v>
      </c>
      <c r="J102" s="395" t="s">
        <v>166</v>
      </c>
      <c r="K102" s="395" t="s">
        <v>210</v>
      </c>
      <c r="L102" s="390" t="s">
        <v>262</v>
      </c>
      <c r="M102" s="190"/>
      <c r="N102" s="391"/>
      <c r="O102" s="190"/>
      <c r="P102" s="190"/>
    </row>
    <row r="103" spans="1:16" s="292" customFormat="1" ht="15" customHeight="1">
      <c r="A103" s="476">
        <v>44756</v>
      </c>
      <c r="B103" s="390" t="s">
        <v>465</v>
      </c>
      <c r="C103" s="190" t="s">
        <v>34</v>
      </c>
      <c r="D103" s="386" t="s">
        <v>164</v>
      </c>
      <c r="E103" s="398"/>
      <c r="F103" s="388">
        <v>10000</v>
      </c>
      <c r="G103" s="389">
        <f>+G102+E103-F103</f>
        <v>9334084</v>
      </c>
      <c r="H103" s="390" t="s">
        <v>225</v>
      </c>
      <c r="I103" s="190" t="s">
        <v>285</v>
      </c>
      <c r="J103" s="395" t="s">
        <v>166</v>
      </c>
      <c r="K103" s="395" t="s">
        <v>210</v>
      </c>
      <c r="L103" s="390" t="s">
        <v>262</v>
      </c>
      <c r="M103" s="190"/>
      <c r="N103" s="396"/>
      <c r="O103" s="390"/>
      <c r="P103" s="190"/>
    </row>
    <row r="104" spans="1:16" s="292" customFormat="1" ht="15" customHeight="1">
      <c r="A104" s="469">
        <v>44756</v>
      </c>
      <c r="B104" s="178" t="s">
        <v>428</v>
      </c>
      <c r="C104" s="178" t="s">
        <v>34</v>
      </c>
      <c r="D104" s="473" t="s">
        <v>4</v>
      </c>
      <c r="E104" s="474"/>
      <c r="F104" s="196">
        <v>10000</v>
      </c>
      <c r="G104" s="389">
        <f>+G103+E104-F104</f>
        <v>9324084</v>
      </c>
      <c r="H104" s="474" t="s">
        <v>29</v>
      </c>
      <c r="I104" s="474" t="s">
        <v>287</v>
      </c>
      <c r="J104" s="190" t="s">
        <v>166</v>
      </c>
      <c r="K104" s="190" t="s">
        <v>211</v>
      </c>
      <c r="L104" s="390" t="s">
        <v>262</v>
      </c>
      <c r="M104" s="178" t="s">
        <v>511</v>
      </c>
      <c r="N104" s="391" t="s">
        <v>273</v>
      </c>
      <c r="O104" s="474"/>
      <c r="P104" s="474"/>
    </row>
    <row r="105" spans="1:16" s="292" customFormat="1" ht="15" customHeight="1">
      <c r="A105" s="469">
        <v>44756</v>
      </c>
      <c r="B105" s="178" t="s">
        <v>257</v>
      </c>
      <c r="C105" s="178" t="s">
        <v>76</v>
      </c>
      <c r="D105" s="473"/>
      <c r="E105" s="471">
        <v>214000</v>
      </c>
      <c r="F105" s="471"/>
      <c r="G105" s="389">
        <f>+G104+E105-F105</f>
        <v>9538084</v>
      </c>
      <c r="H105" s="471" t="s">
        <v>29</v>
      </c>
      <c r="I105" s="471"/>
      <c r="J105" s="471"/>
      <c r="K105" s="471"/>
      <c r="L105" s="471"/>
      <c r="M105" s="471"/>
      <c r="N105" s="471"/>
      <c r="O105" s="471"/>
      <c r="P105" s="471"/>
    </row>
    <row r="106" spans="1:16" s="292" customFormat="1" ht="15" customHeight="1">
      <c r="A106" s="476">
        <v>44757</v>
      </c>
      <c r="B106" s="395" t="s">
        <v>30</v>
      </c>
      <c r="C106" s="190" t="s">
        <v>76</v>
      </c>
      <c r="D106" s="392"/>
      <c r="E106" s="393"/>
      <c r="F106" s="393">
        <v>110000</v>
      </c>
      <c r="G106" s="389">
        <f>+G105+E106-F106</f>
        <v>9428084</v>
      </c>
      <c r="H106" s="190" t="s">
        <v>25</v>
      </c>
      <c r="I106" s="395"/>
      <c r="J106" s="395"/>
      <c r="K106" s="395"/>
      <c r="L106" s="390"/>
      <c r="M106" s="178"/>
      <c r="N106" s="391"/>
      <c r="O106" s="190"/>
      <c r="P106" s="412"/>
    </row>
    <row r="107" spans="1:16" s="292" customFormat="1" ht="15" customHeight="1">
      <c r="A107" s="475">
        <v>44757</v>
      </c>
      <c r="B107" s="280" t="s">
        <v>305</v>
      </c>
      <c r="C107" s="292" t="s">
        <v>290</v>
      </c>
      <c r="D107" s="294" t="s">
        <v>165</v>
      </c>
      <c r="E107" s="289"/>
      <c r="F107" s="378">
        <v>47000</v>
      </c>
      <c r="G107" s="389">
        <f>+G106+E107-F107</f>
        <v>9381084</v>
      </c>
      <c r="H107" s="280" t="s">
        <v>25</v>
      </c>
      <c r="I107" s="190" t="s">
        <v>248</v>
      </c>
      <c r="J107" s="280" t="s">
        <v>166</v>
      </c>
      <c r="K107" s="280" t="s">
        <v>210</v>
      </c>
      <c r="L107" s="280" t="s">
        <v>262</v>
      </c>
      <c r="N107" s="288"/>
      <c r="O107" s="280"/>
    </row>
    <row r="108" spans="1:16" s="292" customFormat="1" ht="15" customHeight="1">
      <c r="A108" s="475">
        <v>44757</v>
      </c>
      <c r="B108" s="292" t="s">
        <v>94</v>
      </c>
      <c r="C108" s="292" t="s">
        <v>76</v>
      </c>
      <c r="D108" s="294"/>
      <c r="E108" s="316"/>
      <c r="F108" s="297">
        <v>15000</v>
      </c>
      <c r="G108" s="389">
        <f>+G107+E108-F108</f>
        <v>9366084</v>
      </c>
      <c r="H108" s="292" t="s">
        <v>25</v>
      </c>
      <c r="J108" s="280"/>
      <c r="L108" s="280"/>
      <c r="M108" s="178"/>
      <c r="N108" s="288"/>
    </row>
    <row r="109" spans="1:16" s="292" customFormat="1" ht="15" customHeight="1">
      <c r="A109" s="475">
        <v>44757</v>
      </c>
      <c r="B109" s="280" t="s">
        <v>306</v>
      </c>
      <c r="C109" s="292" t="s">
        <v>182</v>
      </c>
      <c r="D109" s="307" t="s">
        <v>239</v>
      </c>
      <c r="E109" s="289"/>
      <c r="F109" s="378">
        <v>20000</v>
      </c>
      <c r="G109" s="389">
        <f>+G108+E109-F109</f>
        <v>9346084</v>
      </c>
      <c r="H109" s="280" t="s">
        <v>25</v>
      </c>
      <c r="I109" s="292" t="s">
        <v>285</v>
      </c>
      <c r="J109" s="280" t="s">
        <v>166</v>
      </c>
      <c r="K109" s="280" t="s">
        <v>211</v>
      </c>
      <c r="L109" s="280" t="s">
        <v>262</v>
      </c>
      <c r="M109" s="178" t="s">
        <v>512</v>
      </c>
      <c r="N109" s="295" t="s">
        <v>272</v>
      </c>
      <c r="O109" s="280"/>
    </row>
    <row r="110" spans="1:16" s="292" customFormat="1" ht="15" customHeight="1">
      <c r="A110" s="480">
        <v>44757</v>
      </c>
      <c r="B110" s="305" t="s">
        <v>307</v>
      </c>
      <c r="C110" s="292" t="s">
        <v>182</v>
      </c>
      <c r="D110" s="294" t="s">
        <v>164</v>
      </c>
      <c r="E110" s="327"/>
      <c r="F110" s="297">
        <v>15000</v>
      </c>
      <c r="G110" s="389">
        <f>+G109+E110-F110</f>
        <v>9331084</v>
      </c>
      <c r="H110" s="280" t="s">
        <v>25</v>
      </c>
      <c r="I110" s="292" t="s">
        <v>285</v>
      </c>
      <c r="J110" s="280" t="s">
        <v>166</v>
      </c>
      <c r="K110" s="280" t="s">
        <v>211</v>
      </c>
      <c r="L110" s="280" t="s">
        <v>262</v>
      </c>
      <c r="M110" s="178" t="s">
        <v>513</v>
      </c>
      <c r="N110" s="295" t="s">
        <v>272</v>
      </c>
    </row>
    <row r="111" spans="1:16" s="190" customFormat="1" ht="14.25" customHeight="1">
      <c r="A111" s="476">
        <v>44757</v>
      </c>
      <c r="B111" s="386" t="s">
        <v>308</v>
      </c>
      <c r="C111" s="190" t="s">
        <v>182</v>
      </c>
      <c r="D111" s="386" t="s">
        <v>164</v>
      </c>
      <c r="E111" s="387"/>
      <c r="F111" s="397">
        <v>5000</v>
      </c>
      <c r="G111" s="389">
        <f>+G110+E111-F111</f>
        <v>9326084</v>
      </c>
      <c r="H111" s="390" t="s">
        <v>25</v>
      </c>
      <c r="I111" s="390" t="s">
        <v>285</v>
      </c>
      <c r="J111" s="395" t="s">
        <v>166</v>
      </c>
      <c r="K111" s="190" t="s">
        <v>210</v>
      </c>
      <c r="L111" s="390" t="s">
        <v>262</v>
      </c>
      <c r="M111" s="178"/>
      <c r="N111" s="396"/>
      <c r="O111" s="390"/>
    </row>
    <row r="112" spans="1:16" s="292" customFormat="1" ht="15.75" customHeight="1">
      <c r="A112" s="476">
        <v>44757</v>
      </c>
      <c r="B112" s="390" t="s">
        <v>309</v>
      </c>
      <c r="C112" s="190" t="s">
        <v>182</v>
      </c>
      <c r="D112" s="413" t="s">
        <v>4</v>
      </c>
      <c r="E112" s="390"/>
      <c r="F112" s="397">
        <v>20000</v>
      </c>
      <c r="G112" s="389">
        <f>+G111+E112-F112</f>
        <v>9306084</v>
      </c>
      <c r="H112" s="190" t="s">
        <v>25</v>
      </c>
      <c r="I112" s="190" t="s">
        <v>285</v>
      </c>
      <c r="J112" s="280" t="s">
        <v>166</v>
      </c>
      <c r="K112" s="280" t="s">
        <v>211</v>
      </c>
      <c r="L112" s="280" t="s">
        <v>262</v>
      </c>
      <c r="M112" s="178" t="s">
        <v>514</v>
      </c>
      <c r="N112" s="295" t="s">
        <v>272</v>
      </c>
      <c r="O112" s="390"/>
      <c r="P112" s="190"/>
    </row>
    <row r="113" spans="1:16" s="292" customFormat="1" ht="16.5" customHeight="1">
      <c r="A113" s="480">
        <v>44757</v>
      </c>
      <c r="B113" s="294" t="s">
        <v>310</v>
      </c>
      <c r="C113" s="292" t="s">
        <v>182</v>
      </c>
      <c r="D113" s="294" t="s">
        <v>165</v>
      </c>
      <c r="E113" s="327"/>
      <c r="F113" s="378">
        <v>10000</v>
      </c>
      <c r="G113" s="389">
        <f>+G112+E113-F113</f>
        <v>9296084</v>
      </c>
      <c r="H113" s="280" t="s">
        <v>25</v>
      </c>
      <c r="I113" s="292" t="s">
        <v>285</v>
      </c>
      <c r="J113" s="280" t="s">
        <v>166</v>
      </c>
      <c r="K113" s="280" t="s">
        <v>211</v>
      </c>
      <c r="L113" s="280" t="s">
        <v>262</v>
      </c>
      <c r="M113" s="178" t="s">
        <v>515</v>
      </c>
      <c r="N113" s="295" t="s">
        <v>272</v>
      </c>
      <c r="O113" s="280"/>
    </row>
    <row r="114" spans="1:16" s="292" customFormat="1" ht="15" customHeight="1">
      <c r="A114" s="475">
        <v>44757</v>
      </c>
      <c r="B114" s="280" t="s">
        <v>311</v>
      </c>
      <c r="C114" s="292" t="s">
        <v>182</v>
      </c>
      <c r="D114" s="294" t="s">
        <v>239</v>
      </c>
      <c r="E114" s="289"/>
      <c r="F114" s="378">
        <v>10000</v>
      </c>
      <c r="G114" s="389">
        <f>+G113+E114-F114</f>
        <v>9286084</v>
      </c>
      <c r="H114" s="280" t="s">
        <v>25</v>
      </c>
      <c r="I114" s="292" t="s">
        <v>285</v>
      </c>
      <c r="J114" s="280" t="s">
        <v>166</v>
      </c>
      <c r="K114" s="280" t="s">
        <v>211</v>
      </c>
      <c r="L114" s="280" t="s">
        <v>262</v>
      </c>
      <c r="M114" s="178" t="s">
        <v>516</v>
      </c>
      <c r="N114" s="295" t="s">
        <v>272</v>
      </c>
      <c r="O114" s="280"/>
    </row>
    <row r="115" spans="1:16" s="292" customFormat="1" ht="15" customHeight="1">
      <c r="A115" s="475">
        <v>44757</v>
      </c>
      <c r="B115" s="280" t="s">
        <v>312</v>
      </c>
      <c r="C115" s="292" t="s">
        <v>182</v>
      </c>
      <c r="D115" s="326" t="s">
        <v>164</v>
      </c>
      <c r="E115" s="297"/>
      <c r="F115" s="297">
        <v>5000</v>
      </c>
      <c r="G115" s="389">
        <f>+G114+E115-F115</f>
        <v>9281084</v>
      </c>
      <c r="H115" s="280" t="s">
        <v>25</v>
      </c>
      <c r="I115" s="292" t="s">
        <v>285</v>
      </c>
      <c r="J115" s="280" t="s">
        <v>166</v>
      </c>
      <c r="K115" s="280" t="s">
        <v>211</v>
      </c>
      <c r="L115" s="280" t="s">
        <v>262</v>
      </c>
      <c r="M115" s="178" t="s">
        <v>517</v>
      </c>
      <c r="N115" s="295" t="s">
        <v>272</v>
      </c>
      <c r="O115" s="280"/>
    </row>
    <row r="116" spans="1:16" s="292" customFormat="1" ht="15" customHeight="1">
      <c r="A116" s="475">
        <v>44757</v>
      </c>
      <c r="B116" s="280" t="s">
        <v>313</v>
      </c>
      <c r="C116" s="292" t="s">
        <v>182</v>
      </c>
      <c r="D116" s="294" t="s">
        <v>4</v>
      </c>
      <c r="E116" s="289"/>
      <c r="F116" s="289">
        <v>10000</v>
      </c>
      <c r="G116" s="389">
        <f>+G115+E116-F116</f>
        <v>9271084</v>
      </c>
      <c r="H116" s="280" t="s">
        <v>25</v>
      </c>
      <c r="I116" s="292" t="s">
        <v>285</v>
      </c>
      <c r="J116" s="280" t="s">
        <v>166</v>
      </c>
      <c r="K116" s="280" t="s">
        <v>211</v>
      </c>
      <c r="L116" s="280" t="s">
        <v>262</v>
      </c>
      <c r="M116" s="178" t="s">
        <v>518</v>
      </c>
      <c r="N116" s="295" t="s">
        <v>272</v>
      </c>
      <c r="O116" s="280"/>
    </row>
    <row r="117" spans="1:16" s="190" customFormat="1" ht="15" customHeight="1">
      <c r="A117" s="478">
        <v>44757</v>
      </c>
      <c r="B117" s="431" t="s">
        <v>352</v>
      </c>
      <c r="C117" s="190" t="s">
        <v>76</v>
      </c>
      <c r="D117" s="432"/>
      <c r="E117" s="453">
        <v>110000</v>
      </c>
      <c r="F117" s="454"/>
      <c r="G117" s="389">
        <f>+G116+E117-F117</f>
        <v>9381084</v>
      </c>
      <c r="H117" s="431" t="s">
        <v>49</v>
      </c>
      <c r="K117" s="395"/>
      <c r="L117" s="390"/>
      <c r="M117" s="178"/>
      <c r="N117" s="391"/>
      <c r="O117" s="412"/>
    </row>
    <row r="118" spans="1:16" s="190" customFormat="1" ht="15" customHeight="1">
      <c r="A118" s="477">
        <v>44757</v>
      </c>
      <c r="B118" s="386" t="s">
        <v>471</v>
      </c>
      <c r="C118" s="190" t="s">
        <v>34</v>
      </c>
      <c r="D118" s="413" t="s">
        <v>4</v>
      </c>
      <c r="F118" s="393">
        <v>13000</v>
      </c>
      <c r="G118" s="389">
        <f>+G117+E118-F118</f>
        <v>9368084</v>
      </c>
      <c r="H118" s="390" t="s">
        <v>49</v>
      </c>
      <c r="I118" s="390" t="s">
        <v>287</v>
      </c>
      <c r="J118" s="190" t="s">
        <v>166</v>
      </c>
      <c r="K118" s="190" t="s">
        <v>211</v>
      </c>
      <c r="L118" s="390" t="s">
        <v>262</v>
      </c>
      <c r="M118" s="178" t="s">
        <v>519</v>
      </c>
      <c r="N118" s="391" t="s">
        <v>273</v>
      </c>
    </row>
    <row r="119" spans="1:16" s="190" customFormat="1" ht="15" customHeight="1">
      <c r="A119" s="476">
        <v>44757</v>
      </c>
      <c r="B119" s="390" t="s">
        <v>466</v>
      </c>
      <c r="C119" s="190" t="s">
        <v>157</v>
      </c>
      <c r="D119" s="404" t="s">
        <v>164</v>
      </c>
      <c r="E119" s="397"/>
      <c r="F119" s="388">
        <v>30000</v>
      </c>
      <c r="G119" s="389">
        <f>+G118+E119-F119</f>
        <v>9338084</v>
      </c>
      <c r="H119" s="390" t="s">
        <v>225</v>
      </c>
      <c r="I119" s="190" t="s">
        <v>285</v>
      </c>
      <c r="J119" s="395" t="s">
        <v>166</v>
      </c>
      <c r="K119" s="395" t="s">
        <v>210</v>
      </c>
      <c r="L119" s="390" t="s">
        <v>262</v>
      </c>
      <c r="N119" s="391"/>
      <c r="O119" s="390"/>
    </row>
    <row r="120" spans="1:16" s="190" customFormat="1" ht="15" customHeight="1">
      <c r="A120" s="476">
        <v>44757</v>
      </c>
      <c r="B120" s="390" t="s">
        <v>251</v>
      </c>
      <c r="C120" s="190" t="s">
        <v>76</v>
      </c>
      <c r="D120" s="404"/>
      <c r="E120" s="397">
        <v>15000</v>
      </c>
      <c r="F120" s="397"/>
      <c r="G120" s="389">
        <f>+G119+E120-F120</f>
        <v>9353084</v>
      </c>
      <c r="H120" s="390" t="s">
        <v>94</v>
      </c>
      <c r="J120" s="390"/>
      <c r="K120" s="390"/>
      <c r="L120" s="390"/>
      <c r="N120" s="396"/>
      <c r="O120" s="390"/>
    </row>
    <row r="121" spans="1:16" s="190" customFormat="1" ht="15" customHeight="1">
      <c r="A121" s="469">
        <v>44757</v>
      </c>
      <c r="B121" s="178" t="s">
        <v>429</v>
      </c>
      <c r="C121" s="190" t="s">
        <v>157</v>
      </c>
      <c r="D121" s="473" t="s">
        <v>4</v>
      </c>
      <c r="E121" s="474"/>
      <c r="F121" s="196">
        <v>150000</v>
      </c>
      <c r="G121" s="389">
        <f>+G120+E121-F121</f>
        <v>9203084</v>
      </c>
      <c r="H121" s="474" t="s">
        <v>29</v>
      </c>
      <c r="I121" s="190" t="s">
        <v>248</v>
      </c>
      <c r="J121" s="390" t="s">
        <v>166</v>
      </c>
      <c r="K121" s="390" t="s">
        <v>211</v>
      </c>
      <c r="L121" s="390" t="s">
        <v>262</v>
      </c>
      <c r="M121" s="178" t="s">
        <v>520</v>
      </c>
      <c r="N121" s="391" t="s">
        <v>274</v>
      </c>
      <c r="O121" s="474"/>
      <c r="P121" s="474"/>
    </row>
    <row r="122" spans="1:16" s="190" customFormat="1" ht="15" customHeight="1">
      <c r="A122" s="469">
        <v>44758</v>
      </c>
      <c r="B122" s="178" t="s">
        <v>430</v>
      </c>
      <c r="C122" s="178" t="s">
        <v>34</v>
      </c>
      <c r="D122" s="473" t="s">
        <v>4</v>
      </c>
      <c r="E122" s="474"/>
      <c r="F122" s="196">
        <v>7500</v>
      </c>
      <c r="G122" s="389">
        <f>+G121+E122-F122</f>
        <v>9195584</v>
      </c>
      <c r="H122" s="474" t="s">
        <v>29</v>
      </c>
      <c r="I122" s="474" t="s">
        <v>287</v>
      </c>
      <c r="J122" s="190" t="s">
        <v>166</v>
      </c>
      <c r="K122" s="190" t="s">
        <v>210</v>
      </c>
      <c r="L122" s="390" t="s">
        <v>262</v>
      </c>
      <c r="N122" s="391"/>
      <c r="O122" s="474"/>
      <c r="P122" s="474"/>
    </row>
    <row r="123" spans="1:16" s="190" customFormat="1" ht="15" customHeight="1">
      <c r="A123" s="476">
        <v>44759</v>
      </c>
      <c r="B123" s="190" t="s">
        <v>353</v>
      </c>
      <c r="C123" s="190" t="s">
        <v>157</v>
      </c>
      <c r="D123" s="452" t="s">
        <v>4</v>
      </c>
      <c r="E123" s="393"/>
      <c r="F123" s="397">
        <v>120000</v>
      </c>
      <c r="G123" s="389">
        <f>+G122+E123-F123</f>
        <v>9075584</v>
      </c>
      <c r="H123" s="190" t="s">
        <v>49</v>
      </c>
      <c r="I123" s="190" t="s">
        <v>248</v>
      </c>
      <c r="J123" s="390" t="s">
        <v>166</v>
      </c>
      <c r="K123" s="390" t="s">
        <v>211</v>
      </c>
      <c r="L123" s="390" t="s">
        <v>262</v>
      </c>
      <c r="M123" s="178" t="s">
        <v>521</v>
      </c>
      <c r="N123" s="391" t="s">
        <v>274</v>
      </c>
      <c r="P123" s="412"/>
    </row>
    <row r="124" spans="1:16" s="190" customFormat="1" ht="15.75" customHeight="1">
      <c r="A124" s="469">
        <v>44759</v>
      </c>
      <c r="B124" s="178" t="s">
        <v>431</v>
      </c>
      <c r="C124" s="178" t="s">
        <v>34</v>
      </c>
      <c r="D124" s="473" t="s">
        <v>4</v>
      </c>
      <c r="E124" s="474"/>
      <c r="F124" s="196">
        <v>4000</v>
      </c>
      <c r="G124" s="389">
        <f>+G123+E124-F124</f>
        <v>9071584</v>
      </c>
      <c r="H124" s="474" t="s">
        <v>29</v>
      </c>
      <c r="I124" s="474" t="s">
        <v>287</v>
      </c>
      <c r="J124" s="190" t="s">
        <v>166</v>
      </c>
      <c r="K124" s="190" t="s">
        <v>210</v>
      </c>
      <c r="L124" s="390" t="s">
        <v>262</v>
      </c>
      <c r="N124" s="391"/>
      <c r="O124" s="474"/>
      <c r="P124" s="474"/>
    </row>
    <row r="125" spans="1:16" s="190" customFormat="1" ht="15" customHeight="1">
      <c r="A125" s="476">
        <v>44760</v>
      </c>
      <c r="B125" s="390" t="s">
        <v>209</v>
      </c>
      <c r="C125" s="190" t="s">
        <v>76</v>
      </c>
      <c r="D125" s="386"/>
      <c r="E125" s="393"/>
      <c r="F125" s="394">
        <v>50000</v>
      </c>
      <c r="G125" s="389">
        <f>+G124+E125-F125</f>
        <v>9021584</v>
      </c>
      <c r="H125" s="190" t="s">
        <v>25</v>
      </c>
      <c r="I125" s="390"/>
      <c r="J125" s="395"/>
      <c r="K125" s="390"/>
      <c r="L125" s="390"/>
      <c r="M125" s="178"/>
      <c r="N125" s="396"/>
    </row>
    <row r="126" spans="1:16" s="190" customFormat="1" ht="15" customHeight="1">
      <c r="A126" s="477">
        <v>44760</v>
      </c>
      <c r="B126" s="409" t="s">
        <v>261</v>
      </c>
      <c r="C126" s="460" t="s">
        <v>366</v>
      </c>
      <c r="D126" s="395"/>
      <c r="E126" s="484">
        <v>50000</v>
      </c>
      <c r="F126" s="397"/>
      <c r="G126" s="389">
        <f>+G125+E126-F126</f>
        <v>9071584</v>
      </c>
      <c r="H126" s="190" t="s">
        <v>209</v>
      </c>
      <c r="I126" s="178"/>
      <c r="J126" s="395"/>
      <c r="L126" s="390"/>
      <c r="N126" s="391"/>
    </row>
    <row r="127" spans="1:16" s="190" customFormat="1" ht="15" customHeight="1">
      <c r="A127" s="469">
        <v>44760</v>
      </c>
      <c r="B127" s="178" t="s">
        <v>432</v>
      </c>
      <c r="C127" s="190" t="s">
        <v>157</v>
      </c>
      <c r="D127" s="473" t="s">
        <v>4</v>
      </c>
      <c r="E127" s="474"/>
      <c r="F127" s="196">
        <v>45000</v>
      </c>
      <c r="G127" s="389">
        <f>+G126+E127-F127</f>
        <v>9026584</v>
      </c>
      <c r="H127" s="474" t="s">
        <v>29</v>
      </c>
      <c r="I127" s="474" t="s">
        <v>287</v>
      </c>
      <c r="J127" s="390" t="s">
        <v>166</v>
      </c>
      <c r="K127" s="390" t="s">
        <v>211</v>
      </c>
      <c r="L127" s="390" t="s">
        <v>262</v>
      </c>
      <c r="M127" s="178" t="s">
        <v>522</v>
      </c>
      <c r="N127" s="391" t="s">
        <v>274</v>
      </c>
      <c r="O127" s="474"/>
      <c r="P127" s="474"/>
    </row>
    <row r="128" spans="1:16" s="190" customFormat="1" ht="15" customHeight="1">
      <c r="A128" s="469">
        <v>44760</v>
      </c>
      <c r="B128" s="178" t="s">
        <v>433</v>
      </c>
      <c r="C128" s="178" t="s">
        <v>34</v>
      </c>
      <c r="D128" s="473" t="s">
        <v>4</v>
      </c>
      <c r="E128" s="474"/>
      <c r="F128" s="196">
        <v>15000</v>
      </c>
      <c r="G128" s="389">
        <f>+G127+E128-F128</f>
        <v>9011584</v>
      </c>
      <c r="H128" s="474" t="s">
        <v>29</v>
      </c>
      <c r="I128" s="474" t="s">
        <v>287</v>
      </c>
      <c r="J128" s="190" t="s">
        <v>166</v>
      </c>
      <c r="K128" s="190" t="s">
        <v>211</v>
      </c>
      <c r="L128" s="390" t="s">
        <v>262</v>
      </c>
      <c r="M128" s="178" t="s">
        <v>523</v>
      </c>
      <c r="N128" s="391" t="s">
        <v>273</v>
      </c>
      <c r="O128" s="474"/>
      <c r="P128" s="474"/>
    </row>
    <row r="129" spans="1:16" s="190" customFormat="1" ht="15" customHeight="1">
      <c r="A129" s="475">
        <v>44761</v>
      </c>
      <c r="B129" s="292" t="s">
        <v>225</v>
      </c>
      <c r="C129" s="292" t="s">
        <v>76</v>
      </c>
      <c r="D129" s="294"/>
      <c r="E129" s="316"/>
      <c r="F129" s="297">
        <v>91000</v>
      </c>
      <c r="G129" s="389">
        <f>+G128+E129-F129</f>
        <v>8920584</v>
      </c>
      <c r="H129" s="292" t="s">
        <v>25</v>
      </c>
      <c r="I129" s="292"/>
      <c r="J129" s="280"/>
      <c r="K129" s="292"/>
      <c r="L129" s="280"/>
      <c r="M129" s="292"/>
      <c r="N129" s="295"/>
      <c r="O129" s="292"/>
      <c r="P129" s="321"/>
    </row>
    <row r="130" spans="1:16" s="190" customFormat="1" ht="15" customHeight="1">
      <c r="A130" s="476">
        <v>44761</v>
      </c>
      <c r="B130" s="190" t="s">
        <v>286</v>
      </c>
      <c r="C130" s="190" t="s">
        <v>76</v>
      </c>
      <c r="D130" s="386"/>
      <c r="E130" s="387">
        <v>10000</v>
      </c>
      <c r="F130" s="414"/>
      <c r="G130" s="389">
        <f>+G129+E130-F130</f>
        <v>8930584</v>
      </c>
      <c r="H130" s="190" t="s">
        <v>25</v>
      </c>
      <c r="I130" s="390"/>
      <c r="J130" s="395"/>
      <c r="K130" s="390"/>
      <c r="L130" s="390"/>
      <c r="M130" s="178"/>
      <c r="N130" s="396"/>
    </row>
    <row r="131" spans="1:16" s="190" customFormat="1" ht="15" customHeight="1">
      <c r="A131" s="476">
        <v>44761</v>
      </c>
      <c r="B131" s="190" t="s">
        <v>456</v>
      </c>
      <c r="C131" s="292" t="s">
        <v>227</v>
      </c>
      <c r="D131" s="294" t="s">
        <v>164</v>
      </c>
      <c r="E131" s="393"/>
      <c r="F131" s="397">
        <v>70000</v>
      </c>
      <c r="G131" s="389">
        <f>+G130+E131-F131</f>
        <v>8860584</v>
      </c>
      <c r="H131" s="190" t="s">
        <v>25</v>
      </c>
      <c r="I131" s="190" t="s">
        <v>240</v>
      </c>
      <c r="J131" s="305" t="s">
        <v>166</v>
      </c>
      <c r="K131" s="292" t="s">
        <v>211</v>
      </c>
      <c r="L131" s="280" t="s">
        <v>262</v>
      </c>
      <c r="M131" s="178" t="s">
        <v>524</v>
      </c>
      <c r="N131" s="288" t="s">
        <v>265</v>
      </c>
      <c r="P131" s="412"/>
    </row>
    <row r="132" spans="1:16" s="190" customFormat="1" ht="15" customHeight="1">
      <c r="A132" s="477">
        <v>44761</v>
      </c>
      <c r="B132" s="399" t="s">
        <v>314</v>
      </c>
      <c r="C132" s="190" t="s">
        <v>315</v>
      </c>
      <c r="D132" s="386" t="s">
        <v>241</v>
      </c>
      <c r="E132" s="407"/>
      <c r="F132" s="415">
        <v>175000</v>
      </c>
      <c r="G132" s="389">
        <f>+G131+E132-F132</f>
        <v>8685584</v>
      </c>
      <c r="H132" s="408" t="s">
        <v>25</v>
      </c>
      <c r="I132" s="390" t="s">
        <v>240</v>
      </c>
      <c r="J132" s="390" t="s">
        <v>103</v>
      </c>
      <c r="K132" s="390" t="s">
        <v>211</v>
      </c>
      <c r="L132" s="390" t="s">
        <v>262</v>
      </c>
      <c r="M132" s="178" t="s">
        <v>525</v>
      </c>
      <c r="N132" s="391" t="s">
        <v>455</v>
      </c>
    </row>
    <row r="133" spans="1:16" s="190" customFormat="1" ht="15" customHeight="1">
      <c r="A133" s="480">
        <v>44761</v>
      </c>
      <c r="B133" s="309" t="s">
        <v>316</v>
      </c>
      <c r="C133" s="292" t="s">
        <v>226</v>
      </c>
      <c r="D133" s="386" t="s">
        <v>241</v>
      </c>
      <c r="E133" s="310"/>
      <c r="F133" s="290">
        <v>11386</v>
      </c>
      <c r="G133" s="389">
        <f>+G132+E133-F133</f>
        <v>8674198</v>
      </c>
      <c r="H133" s="315" t="s">
        <v>25</v>
      </c>
      <c r="I133" s="292" t="s">
        <v>285</v>
      </c>
      <c r="J133" s="280" t="s">
        <v>166</v>
      </c>
      <c r="K133" s="280" t="s">
        <v>211</v>
      </c>
      <c r="L133" s="280" t="s">
        <v>262</v>
      </c>
      <c r="M133" s="178" t="s">
        <v>526</v>
      </c>
      <c r="N133" s="295" t="s">
        <v>263</v>
      </c>
      <c r="O133" s="292"/>
      <c r="P133" s="292"/>
    </row>
    <row r="134" spans="1:16" s="190" customFormat="1" ht="15" customHeight="1">
      <c r="A134" s="475">
        <v>44761</v>
      </c>
      <c r="B134" s="292" t="s">
        <v>30</v>
      </c>
      <c r="C134" s="292" t="s">
        <v>76</v>
      </c>
      <c r="D134" s="326"/>
      <c r="E134" s="318"/>
      <c r="F134" s="289">
        <v>108000</v>
      </c>
      <c r="G134" s="389">
        <f>+G133+E134-F134</f>
        <v>8566198</v>
      </c>
      <c r="H134" s="292" t="s">
        <v>25</v>
      </c>
      <c r="I134" s="280"/>
      <c r="J134" s="305"/>
      <c r="K134" s="292"/>
      <c r="L134" s="280"/>
      <c r="M134" s="292"/>
      <c r="N134" s="295"/>
      <c r="O134" s="292"/>
      <c r="P134" s="292"/>
    </row>
    <row r="135" spans="1:16" s="190" customFormat="1" ht="15" customHeight="1">
      <c r="A135" s="480">
        <v>44761</v>
      </c>
      <c r="B135" s="292" t="s">
        <v>317</v>
      </c>
      <c r="C135" s="292" t="s">
        <v>226</v>
      </c>
      <c r="D135" s="386" t="s">
        <v>241</v>
      </c>
      <c r="E135" s="318"/>
      <c r="F135" s="289">
        <v>3240</v>
      </c>
      <c r="G135" s="389">
        <f>+G134+E135-F135</f>
        <v>8562958</v>
      </c>
      <c r="H135" s="292" t="s">
        <v>25</v>
      </c>
      <c r="I135" s="280" t="s">
        <v>285</v>
      </c>
      <c r="J135" s="280" t="s">
        <v>166</v>
      </c>
      <c r="K135" s="280" t="s">
        <v>211</v>
      </c>
      <c r="L135" s="280" t="s">
        <v>262</v>
      </c>
      <c r="M135" s="178" t="s">
        <v>527</v>
      </c>
      <c r="N135" s="295" t="s">
        <v>263</v>
      </c>
      <c r="O135" s="292"/>
      <c r="P135" s="292"/>
    </row>
    <row r="136" spans="1:16" s="190" customFormat="1" ht="15" customHeight="1">
      <c r="A136" s="476">
        <v>44761</v>
      </c>
      <c r="B136" s="190" t="s">
        <v>318</v>
      </c>
      <c r="C136" s="292" t="s">
        <v>181</v>
      </c>
      <c r="D136" s="404" t="s">
        <v>319</v>
      </c>
      <c r="E136" s="393"/>
      <c r="F136" s="394">
        <v>49843</v>
      </c>
      <c r="G136" s="389">
        <f>+G135+E136-F136</f>
        <v>8513115</v>
      </c>
      <c r="H136" s="190" t="s">
        <v>25</v>
      </c>
      <c r="I136" s="190" t="s">
        <v>287</v>
      </c>
      <c r="J136" s="390" t="s">
        <v>166</v>
      </c>
      <c r="K136" s="390" t="s">
        <v>210</v>
      </c>
      <c r="L136" s="390" t="s">
        <v>262</v>
      </c>
      <c r="M136" s="178"/>
      <c r="N136" s="391"/>
    </row>
    <row r="137" spans="1:16" s="190" customFormat="1" ht="15" customHeight="1">
      <c r="A137" s="476">
        <v>44761</v>
      </c>
      <c r="B137" s="390" t="s">
        <v>354</v>
      </c>
      <c r="C137" s="190" t="s">
        <v>76</v>
      </c>
      <c r="D137" s="455"/>
      <c r="E137" s="453">
        <v>108000</v>
      </c>
      <c r="F137" s="398"/>
      <c r="G137" s="389">
        <f>+G136+E137-F137</f>
        <v>8621115</v>
      </c>
      <c r="H137" s="190" t="s">
        <v>49</v>
      </c>
      <c r="I137" s="386"/>
      <c r="J137" s="390"/>
      <c r="L137" s="390"/>
      <c r="M137" s="178"/>
      <c r="N137" s="456"/>
      <c r="O137" s="457"/>
      <c r="P137" s="457"/>
    </row>
    <row r="138" spans="1:16" s="190" customFormat="1" ht="15" customHeight="1">
      <c r="A138" s="476">
        <v>44761</v>
      </c>
      <c r="B138" s="190" t="s">
        <v>372</v>
      </c>
      <c r="C138" s="190" t="s">
        <v>193</v>
      </c>
      <c r="D138" s="392" t="s">
        <v>164</v>
      </c>
      <c r="E138" s="393"/>
      <c r="F138" s="397">
        <v>50000</v>
      </c>
      <c r="G138" s="389">
        <f>+G137+E138-F138</f>
        <v>8571115</v>
      </c>
      <c r="H138" s="390" t="s">
        <v>209</v>
      </c>
      <c r="I138" s="178" t="s">
        <v>285</v>
      </c>
      <c r="J138" s="395" t="s">
        <v>166</v>
      </c>
      <c r="K138" s="395" t="s">
        <v>210</v>
      </c>
      <c r="L138" s="390" t="s">
        <v>262</v>
      </c>
      <c r="N138" s="391"/>
      <c r="P138" s="412"/>
    </row>
    <row r="139" spans="1:16" s="190" customFormat="1" ht="15" customHeight="1">
      <c r="A139" s="477">
        <v>44761</v>
      </c>
      <c r="B139" s="401" t="s">
        <v>384</v>
      </c>
      <c r="C139" s="190" t="s">
        <v>76</v>
      </c>
      <c r="D139" s="386"/>
      <c r="E139" s="463"/>
      <c r="F139" s="388">
        <v>10000</v>
      </c>
      <c r="G139" s="389">
        <f>+G138+E139-F139</f>
        <v>8561115</v>
      </c>
      <c r="H139" s="390" t="s">
        <v>225</v>
      </c>
      <c r="J139" s="395"/>
      <c r="L139" s="390"/>
      <c r="N139" s="391"/>
      <c r="O139" s="390"/>
    </row>
    <row r="140" spans="1:16" s="190" customFormat="1" ht="15" customHeight="1">
      <c r="A140" s="477">
        <v>44761</v>
      </c>
      <c r="B140" s="190" t="s">
        <v>385</v>
      </c>
      <c r="C140" s="190" t="s">
        <v>76</v>
      </c>
      <c r="D140" s="464"/>
      <c r="E140" s="485">
        <v>91000</v>
      </c>
      <c r="F140" s="397"/>
      <c r="G140" s="389">
        <f>+G139+E140-F140</f>
        <v>8652115</v>
      </c>
      <c r="H140" s="190" t="s">
        <v>225</v>
      </c>
      <c r="J140" s="390"/>
      <c r="K140" s="390"/>
      <c r="L140" s="390"/>
      <c r="N140" s="391"/>
    </row>
    <row r="141" spans="1:16" s="190" customFormat="1" ht="15" customHeight="1">
      <c r="A141" s="476">
        <v>44761</v>
      </c>
      <c r="B141" s="428" t="s">
        <v>467</v>
      </c>
      <c r="C141" s="190" t="s">
        <v>34</v>
      </c>
      <c r="D141" s="461" t="s">
        <v>164</v>
      </c>
      <c r="F141" s="397">
        <v>7000</v>
      </c>
      <c r="G141" s="389">
        <f>+G140+E141-F141</f>
        <v>8645115</v>
      </c>
      <c r="H141" s="190" t="s">
        <v>225</v>
      </c>
      <c r="I141" s="178" t="s">
        <v>285</v>
      </c>
      <c r="J141" s="395" t="s">
        <v>166</v>
      </c>
      <c r="K141" s="395" t="s">
        <v>210</v>
      </c>
      <c r="L141" s="390" t="s">
        <v>262</v>
      </c>
      <c r="N141" s="396"/>
      <c r="P141" s="419"/>
    </row>
    <row r="142" spans="1:16" s="190" customFormat="1" ht="15.75" customHeight="1">
      <c r="A142" s="480">
        <v>44762</v>
      </c>
      <c r="B142" s="309" t="s">
        <v>31</v>
      </c>
      <c r="C142" s="292" t="s">
        <v>76</v>
      </c>
      <c r="D142" s="294"/>
      <c r="E142" s="310"/>
      <c r="F142" s="300">
        <v>10000</v>
      </c>
      <c r="G142" s="389">
        <f>+G141+E142-F142</f>
        <v>8635115</v>
      </c>
      <c r="H142" s="311" t="s">
        <v>25</v>
      </c>
      <c r="I142" s="292"/>
      <c r="J142" s="292"/>
      <c r="K142" s="292"/>
      <c r="L142" s="280"/>
      <c r="M142" s="292"/>
      <c r="N142" s="295"/>
      <c r="O142" s="292"/>
      <c r="P142" s="292"/>
    </row>
    <row r="143" spans="1:16" s="190" customFormat="1" ht="15" customHeight="1">
      <c r="A143" s="478">
        <v>44762</v>
      </c>
      <c r="B143" s="390" t="s">
        <v>355</v>
      </c>
      <c r="C143" s="190" t="s">
        <v>157</v>
      </c>
      <c r="D143" s="452" t="s">
        <v>4</v>
      </c>
      <c r="E143" s="401"/>
      <c r="F143" s="393">
        <v>45000</v>
      </c>
      <c r="G143" s="389">
        <f>+G142+E143-F143</f>
        <v>8590115</v>
      </c>
      <c r="H143" s="190" t="s">
        <v>49</v>
      </c>
      <c r="I143" s="390" t="s">
        <v>287</v>
      </c>
      <c r="J143" s="390" t="s">
        <v>166</v>
      </c>
      <c r="K143" s="390" t="s">
        <v>211</v>
      </c>
      <c r="L143" s="390" t="s">
        <v>262</v>
      </c>
      <c r="M143" s="178" t="s">
        <v>528</v>
      </c>
      <c r="N143" s="391" t="s">
        <v>274</v>
      </c>
      <c r="O143" s="412"/>
    </row>
    <row r="144" spans="1:16" s="190" customFormat="1" ht="15" customHeight="1">
      <c r="A144" s="476">
        <v>44762</v>
      </c>
      <c r="B144" s="190" t="s">
        <v>356</v>
      </c>
      <c r="C144" s="190" t="s">
        <v>34</v>
      </c>
      <c r="D144" s="386" t="s">
        <v>4</v>
      </c>
      <c r="E144" s="393"/>
      <c r="F144" s="397">
        <v>5000</v>
      </c>
      <c r="G144" s="389">
        <f>+G143+E144-F144</f>
        <v>8585115</v>
      </c>
      <c r="H144" s="390" t="s">
        <v>49</v>
      </c>
      <c r="I144" s="190" t="s">
        <v>287</v>
      </c>
      <c r="J144" s="190" t="s">
        <v>166</v>
      </c>
      <c r="K144" s="190" t="s">
        <v>211</v>
      </c>
      <c r="L144" s="390" t="s">
        <v>262</v>
      </c>
      <c r="M144" s="178" t="s">
        <v>529</v>
      </c>
      <c r="N144" s="391" t="s">
        <v>273</v>
      </c>
      <c r="P144" s="419"/>
    </row>
    <row r="145" spans="1:16" s="190" customFormat="1" ht="15" customHeight="1">
      <c r="A145" s="476">
        <v>44762</v>
      </c>
      <c r="B145" s="428" t="s">
        <v>388</v>
      </c>
      <c r="C145" s="190" t="s">
        <v>157</v>
      </c>
      <c r="D145" s="395" t="s">
        <v>164</v>
      </c>
      <c r="E145" s="390"/>
      <c r="F145" s="397">
        <v>20000</v>
      </c>
      <c r="G145" s="389">
        <f>+G144+E145-F145</f>
        <v>8565115</v>
      </c>
      <c r="H145" s="190" t="s">
        <v>225</v>
      </c>
      <c r="I145" s="190" t="s">
        <v>248</v>
      </c>
      <c r="J145" s="395" t="s">
        <v>166</v>
      </c>
      <c r="K145" s="395" t="s">
        <v>210</v>
      </c>
      <c r="L145" s="390" t="s">
        <v>262</v>
      </c>
      <c r="M145" s="178"/>
      <c r="N145" s="396"/>
      <c r="O145" s="390"/>
    </row>
    <row r="146" spans="1:16" s="190" customFormat="1" ht="15" customHeight="1">
      <c r="A146" s="476">
        <v>44762</v>
      </c>
      <c r="B146" s="190" t="s">
        <v>394</v>
      </c>
      <c r="C146" s="190" t="s">
        <v>76</v>
      </c>
      <c r="D146" s="386"/>
      <c r="E146" s="387">
        <v>10000</v>
      </c>
      <c r="F146" s="416"/>
      <c r="G146" s="389">
        <f>+G145+E146-F146</f>
        <v>8575115</v>
      </c>
      <c r="H146" s="190" t="s">
        <v>31</v>
      </c>
      <c r="I146" s="390"/>
      <c r="J146" s="395"/>
      <c r="L146" s="390"/>
      <c r="M146" s="178"/>
      <c r="N146" s="391"/>
      <c r="P146" s="419"/>
    </row>
    <row r="147" spans="1:16" s="190" customFormat="1" ht="15" customHeight="1">
      <c r="A147" s="469">
        <v>44762</v>
      </c>
      <c r="B147" s="178" t="s">
        <v>434</v>
      </c>
      <c r="C147" s="178" t="s">
        <v>34</v>
      </c>
      <c r="D147" s="473" t="s">
        <v>4</v>
      </c>
      <c r="E147" s="474"/>
      <c r="F147" s="196">
        <v>7000</v>
      </c>
      <c r="G147" s="389">
        <f>+G146+E147-F147</f>
        <v>8568115</v>
      </c>
      <c r="H147" s="474" t="s">
        <v>29</v>
      </c>
      <c r="I147" s="474" t="s">
        <v>287</v>
      </c>
      <c r="J147" s="190" t="s">
        <v>166</v>
      </c>
      <c r="K147" s="190" t="s">
        <v>211</v>
      </c>
      <c r="L147" s="390" t="s">
        <v>262</v>
      </c>
      <c r="M147" s="178" t="s">
        <v>530</v>
      </c>
      <c r="N147" s="391" t="s">
        <v>273</v>
      </c>
      <c r="O147" s="474"/>
      <c r="P147" s="474"/>
    </row>
    <row r="148" spans="1:16" s="190" customFormat="1" ht="15" customHeight="1">
      <c r="A148" s="475">
        <v>44763</v>
      </c>
      <c r="B148" s="280" t="s">
        <v>29</v>
      </c>
      <c r="C148" s="292" t="s">
        <v>76</v>
      </c>
      <c r="D148" s="305"/>
      <c r="E148" s="318"/>
      <c r="F148" s="378">
        <v>112500</v>
      </c>
      <c r="G148" s="389">
        <f>+G147+E148-F148</f>
        <v>8455615</v>
      </c>
      <c r="H148" s="292" t="s">
        <v>25</v>
      </c>
      <c r="I148" s="292"/>
      <c r="J148" s="305"/>
      <c r="K148" s="305"/>
      <c r="L148" s="280"/>
      <c r="M148" s="292"/>
      <c r="N148" s="295"/>
      <c r="O148" s="292"/>
      <c r="P148" s="292"/>
    </row>
    <row r="149" spans="1:16" s="190" customFormat="1" ht="15" customHeight="1">
      <c r="A149" s="475">
        <v>44763</v>
      </c>
      <c r="B149" s="280" t="s">
        <v>320</v>
      </c>
      <c r="C149" s="292" t="s">
        <v>226</v>
      </c>
      <c r="D149" s="386" t="s">
        <v>241</v>
      </c>
      <c r="E149" s="289"/>
      <c r="F149" s="378">
        <v>2815</v>
      </c>
      <c r="G149" s="389">
        <f>+G148+E149-F149</f>
        <v>8452800</v>
      </c>
      <c r="H149" s="280" t="s">
        <v>25</v>
      </c>
      <c r="I149" s="292" t="s">
        <v>240</v>
      </c>
      <c r="J149" s="280" t="s">
        <v>166</v>
      </c>
      <c r="K149" s="280" t="s">
        <v>211</v>
      </c>
      <c r="L149" s="280" t="s">
        <v>262</v>
      </c>
      <c r="M149" s="178" t="s">
        <v>531</v>
      </c>
      <c r="N149" s="295" t="s">
        <v>263</v>
      </c>
      <c r="O149" s="280"/>
      <c r="P149" s="292"/>
    </row>
    <row r="150" spans="1:16" s="190" customFormat="1" ht="15" customHeight="1">
      <c r="A150" s="475">
        <v>44763</v>
      </c>
      <c r="B150" s="280" t="s">
        <v>243</v>
      </c>
      <c r="C150" s="280" t="s">
        <v>76</v>
      </c>
      <c r="D150" s="294"/>
      <c r="E150" s="297"/>
      <c r="F150" s="317">
        <v>112000</v>
      </c>
      <c r="G150" s="389">
        <f>+G149+E150-F150</f>
        <v>8340800</v>
      </c>
      <c r="H150" s="280" t="s">
        <v>25</v>
      </c>
      <c r="I150" s="280"/>
      <c r="J150" s="280"/>
      <c r="K150" s="280"/>
      <c r="L150" s="280"/>
      <c r="M150" s="292"/>
      <c r="N150" s="288"/>
      <c r="O150" s="280"/>
      <c r="P150" s="292"/>
    </row>
    <row r="151" spans="1:16" s="190" customFormat="1" ht="15" customHeight="1">
      <c r="A151" s="480">
        <v>44763</v>
      </c>
      <c r="B151" s="309" t="s">
        <v>321</v>
      </c>
      <c r="C151" s="292" t="s">
        <v>290</v>
      </c>
      <c r="D151" s="307" t="s">
        <v>165</v>
      </c>
      <c r="E151" s="310"/>
      <c r="F151" s="300">
        <v>35000</v>
      </c>
      <c r="G151" s="389">
        <f>+G150+E151-F151</f>
        <v>8305800</v>
      </c>
      <c r="H151" s="322" t="s">
        <v>25</v>
      </c>
      <c r="I151" s="190" t="s">
        <v>248</v>
      </c>
      <c r="J151" s="280" t="s">
        <v>166</v>
      </c>
      <c r="K151" s="280" t="s">
        <v>210</v>
      </c>
      <c r="L151" s="280" t="s">
        <v>262</v>
      </c>
      <c r="M151" s="292"/>
      <c r="N151" s="295"/>
      <c r="O151" s="292"/>
      <c r="P151" s="321"/>
    </row>
    <row r="152" spans="1:16" s="190" customFormat="1" ht="15" customHeight="1">
      <c r="A152" s="478">
        <v>44763</v>
      </c>
      <c r="B152" s="390" t="s">
        <v>389</v>
      </c>
      <c r="C152" s="190" t="s">
        <v>379</v>
      </c>
      <c r="D152" s="386" t="s">
        <v>164</v>
      </c>
      <c r="E152" s="394"/>
      <c r="F152" s="398">
        <v>16000</v>
      </c>
      <c r="G152" s="389">
        <f>+G151+E152-F152</f>
        <v>8289800</v>
      </c>
      <c r="H152" s="390" t="s">
        <v>225</v>
      </c>
      <c r="I152" s="190" t="s">
        <v>248</v>
      </c>
      <c r="J152" s="395" t="s">
        <v>166</v>
      </c>
      <c r="K152" s="395" t="s">
        <v>210</v>
      </c>
      <c r="L152" s="390" t="s">
        <v>262</v>
      </c>
      <c r="N152" s="396"/>
      <c r="O152" s="390"/>
    </row>
    <row r="153" spans="1:16" s="190" customFormat="1" ht="15" customHeight="1">
      <c r="A153" s="476">
        <v>44763</v>
      </c>
      <c r="B153" s="390" t="s">
        <v>253</v>
      </c>
      <c r="C153" s="190" t="s">
        <v>76</v>
      </c>
      <c r="D153" s="386"/>
      <c r="E153" s="397">
        <v>112000</v>
      </c>
      <c r="F153" s="388"/>
      <c r="G153" s="389">
        <f>+G152+E153-F153</f>
        <v>8401800</v>
      </c>
      <c r="H153" s="390" t="s">
        <v>48</v>
      </c>
      <c r="I153" s="390"/>
      <c r="J153" s="395"/>
      <c r="K153" s="390"/>
      <c r="L153" s="390"/>
      <c r="M153" s="178"/>
      <c r="N153" s="391"/>
      <c r="O153" s="390"/>
    </row>
    <row r="154" spans="1:16" s="190" customFormat="1" ht="15" customHeight="1">
      <c r="A154" s="475">
        <v>44763</v>
      </c>
      <c r="B154" s="280" t="s">
        <v>256</v>
      </c>
      <c r="C154" s="292" t="s">
        <v>34</v>
      </c>
      <c r="D154" s="294" t="s">
        <v>2</v>
      </c>
      <c r="E154" s="297"/>
      <c r="F154" s="378">
        <v>10000</v>
      </c>
      <c r="G154" s="389">
        <f>+G153+E154-F154</f>
        <v>8391800</v>
      </c>
      <c r="H154" s="280" t="s">
        <v>48</v>
      </c>
      <c r="I154" s="292" t="s">
        <v>240</v>
      </c>
      <c r="J154" s="190" t="s">
        <v>166</v>
      </c>
      <c r="K154" s="190" t="s">
        <v>211</v>
      </c>
      <c r="L154" s="390" t="s">
        <v>262</v>
      </c>
      <c r="M154" s="178" t="s">
        <v>532</v>
      </c>
      <c r="N154" s="391" t="s">
        <v>273</v>
      </c>
      <c r="O154" s="280"/>
      <c r="P154" s="292"/>
    </row>
    <row r="155" spans="1:16" s="190" customFormat="1" ht="17.25" customHeight="1">
      <c r="A155" s="475">
        <v>44763</v>
      </c>
      <c r="B155" s="178" t="s">
        <v>257</v>
      </c>
      <c r="C155" s="178" t="s">
        <v>76</v>
      </c>
      <c r="D155" s="473"/>
      <c r="E155" s="471">
        <v>112500</v>
      </c>
      <c r="F155" s="196"/>
      <c r="G155" s="389">
        <f>+G154+E155-F155</f>
        <v>8504300</v>
      </c>
      <c r="H155" s="471" t="s">
        <v>29</v>
      </c>
      <c r="I155" s="474"/>
      <c r="J155" s="471"/>
      <c r="K155" s="471"/>
      <c r="L155" s="471"/>
      <c r="M155" s="471"/>
      <c r="N155" s="471"/>
      <c r="O155" s="471"/>
      <c r="P155" s="471"/>
    </row>
    <row r="156" spans="1:16" s="190" customFormat="1" ht="15" customHeight="1">
      <c r="A156" s="476">
        <v>44764</v>
      </c>
      <c r="B156" s="390" t="s">
        <v>243</v>
      </c>
      <c r="C156" s="390" t="s">
        <v>76</v>
      </c>
      <c r="D156" s="386"/>
      <c r="E156" s="416"/>
      <c r="F156" s="414">
        <v>289000</v>
      </c>
      <c r="G156" s="389">
        <f>+G155+E156-F156</f>
        <v>8215300</v>
      </c>
      <c r="H156" s="390" t="s">
        <v>25</v>
      </c>
      <c r="I156" s="390"/>
      <c r="J156" s="395"/>
      <c r="L156" s="390"/>
      <c r="M156" s="178"/>
      <c r="N156" s="396"/>
      <c r="O156" s="390"/>
    </row>
    <row r="157" spans="1:16" s="190" customFormat="1" ht="14.25" customHeight="1">
      <c r="A157" s="475">
        <v>44764</v>
      </c>
      <c r="B157" s="280" t="s">
        <v>30</v>
      </c>
      <c r="C157" s="292" t="s">
        <v>76</v>
      </c>
      <c r="D157" s="294"/>
      <c r="E157" s="289"/>
      <c r="F157" s="289">
        <v>153000</v>
      </c>
      <c r="G157" s="389">
        <f>+G156+E157-F157</f>
        <v>8062300</v>
      </c>
      <c r="H157" s="280" t="s">
        <v>25</v>
      </c>
      <c r="I157" s="292"/>
      <c r="J157" s="305"/>
      <c r="K157" s="292"/>
      <c r="L157" s="280"/>
      <c r="M157" s="292"/>
      <c r="N157" s="288"/>
      <c r="O157" s="280"/>
      <c r="P157" s="292"/>
    </row>
    <row r="158" spans="1:16" s="190" customFormat="1" ht="15" customHeight="1">
      <c r="A158" s="475">
        <v>44764</v>
      </c>
      <c r="B158" s="280" t="s">
        <v>29</v>
      </c>
      <c r="C158" s="292" t="s">
        <v>76</v>
      </c>
      <c r="D158" s="305"/>
      <c r="E158" s="297"/>
      <c r="F158" s="378">
        <v>60000</v>
      </c>
      <c r="G158" s="389">
        <f>+G157+E158-F158</f>
        <v>8002300</v>
      </c>
      <c r="H158" s="280" t="s">
        <v>25</v>
      </c>
      <c r="I158" s="280"/>
      <c r="J158" s="280"/>
      <c r="K158" s="280"/>
      <c r="L158" s="280"/>
      <c r="M158" s="292"/>
      <c r="N158" s="288"/>
      <c r="O158" s="280"/>
      <c r="P158" s="292"/>
    </row>
    <row r="159" spans="1:16" s="190" customFormat="1" ht="15" customHeight="1">
      <c r="A159" s="475">
        <v>44764</v>
      </c>
      <c r="B159" s="280" t="s">
        <v>114</v>
      </c>
      <c r="C159" s="292" t="s">
        <v>76</v>
      </c>
      <c r="D159" s="294"/>
      <c r="E159" s="297"/>
      <c r="F159" s="378">
        <v>1320000</v>
      </c>
      <c r="G159" s="389">
        <f>+G158+E159-F159</f>
        <v>6682300</v>
      </c>
      <c r="H159" s="280" t="s">
        <v>25</v>
      </c>
      <c r="I159" s="280"/>
      <c r="J159" s="280"/>
      <c r="K159" s="280"/>
      <c r="L159" s="280"/>
      <c r="M159" s="292"/>
      <c r="N159" s="288"/>
      <c r="O159" s="280"/>
      <c r="P159" s="292"/>
    </row>
    <row r="160" spans="1:16" s="190" customFormat="1" ht="15" customHeight="1">
      <c r="A160" s="480">
        <v>44764</v>
      </c>
      <c r="B160" s="334" t="s">
        <v>322</v>
      </c>
      <c r="C160" s="292" t="s">
        <v>76</v>
      </c>
      <c r="D160" s="294"/>
      <c r="E160" s="381">
        <v>2100000</v>
      </c>
      <c r="F160" s="297"/>
      <c r="G160" s="389">
        <f>+G159+E160-F160</f>
        <v>8782300</v>
      </c>
      <c r="H160" s="292" t="s">
        <v>25</v>
      </c>
      <c r="I160" s="280"/>
      <c r="J160" s="292"/>
      <c r="K160" s="280"/>
      <c r="L160" s="280"/>
      <c r="M160" s="292"/>
      <c r="N160" s="295"/>
      <c r="O160" s="292"/>
      <c r="P160" s="292"/>
    </row>
    <row r="161" spans="1:16" s="190" customFormat="1" ht="15" customHeight="1">
      <c r="A161" s="481">
        <v>44764</v>
      </c>
      <c r="B161" s="417" t="s">
        <v>94</v>
      </c>
      <c r="C161" s="190" t="s">
        <v>76</v>
      </c>
      <c r="D161" s="386"/>
      <c r="E161" s="410"/>
      <c r="F161" s="418">
        <v>81000</v>
      </c>
      <c r="G161" s="389">
        <f>+G160+E161-F161</f>
        <v>8701300</v>
      </c>
      <c r="H161" s="411" t="s">
        <v>25</v>
      </c>
      <c r="I161" s="390"/>
      <c r="J161" s="395"/>
      <c r="L161" s="390"/>
      <c r="M161" s="178"/>
      <c r="N161" s="391"/>
    </row>
    <row r="162" spans="1:16" s="190" customFormat="1" ht="15" customHeight="1">
      <c r="A162" s="475">
        <v>44764</v>
      </c>
      <c r="B162" s="280" t="s">
        <v>209</v>
      </c>
      <c r="C162" s="280" t="s">
        <v>76</v>
      </c>
      <c r="D162" s="288"/>
      <c r="E162" s="297"/>
      <c r="F162" s="378">
        <v>92000</v>
      </c>
      <c r="G162" s="389">
        <f>+G161+E162-F162</f>
        <v>8609300</v>
      </c>
      <c r="H162" s="280" t="s">
        <v>25</v>
      </c>
      <c r="I162" s="292"/>
      <c r="J162" s="280"/>
      <c r="K162" s="280"/>
      <c r="L162" s="280"/>
      <c r="M162" s="292"/>
      <c r="N162" s="288"/>
      <c r="O162" s="280"/>
      <c r="P162" s="292"/>
    </row>
    <row r="163" spans="1:16" s="190" customFormat="1" ht="15" customHeight="1">
      <c r="A163" s="476">
        <v>44764</v>
      </c>
      <c r="B163" s="190" t="s">
        <v>31</v>
      </c>
      <c r="C163" s="190" t="s">
        <v>76</v>
      </c>
      <c r="D163" s="386"/>
      <c r="E163" s="393"/>
      <c r="F163" s="397">
        <v>114000</v>
      </c>
      <c r="G163" s="389">
        <f>+G162+E163-F163</f>
        <v>8495300</v>
      </c>
      <c r="H163" s="390" t="s">
        <v>25</v>
      </c>
      <c r="I163" s="390"/>
      <c r="J163" s="390"/>
      <c r="K163" s="390"/>
      <c r="L163" s="390"/>
      <c r="M163" s="178"/>
      <c r="N163" s="391"/>
    </row>
    <row r="164" spans="1:16" s="190" customFormat="1" ht="16.5" customHeight="1">
      <c r="A164" s="476">
        <v>44764</v>
      </c>
      <c r="B164" s="190" t="s">
        <v>152</v>
      </c>
      <c r="C164" s="190" t="s">
        <v>76</v>
      </c>
      <c r="D164" s="395"/>
      <c r="E164" s="406"/>
      <c r="F164" s="388">
        <v>389000</v>
      </c>
      <c r="G164" s="389">
        <f>+G163+E164-F164</f>
        <v>8106300</v>
      </c>
      <c r="H164" s="190" t="s">
        <v>25</v>
      </c>
      <c r="I164" s="390"/>
      <c r="L164" s="390"/>
      <c r="M164" s="178"/>
      <c r="N164" s="391"/>
    </row>
    <row r="165" spans="1:16" s="190" customFormat="1" ht="15" customHeight="1">
      <c r="A165" s="480">
        <v>44764</v>
      </c>
      <c r="B165" s="309" t="s">
        <v>323</v>
      </c>
      <c r="C165" s="292" t="s">
        <v>226</v>
      </c>
      <c r="D165" s="386" t="s">
        <v>241</v>
      </c>
      <c r="E165" s="310"/>
      <c r="F165" s="379">
        <v>15060</v>
      </c>
      <c r="G165" s="389">
        <f>+G164+E165-F165</f>
        <v>8091240</v>
      </c>
      <c r="H165" s="292" t="s">
        <v>25</v>
      </c>
      <c r="I165" s="292" t="s">
        <v>240</v>
      </c>
      <c r="J165" s="280" t="s">
        <v>166</v>
      </c>
      <c r="K165" s="280" t="s">
        <v>211</v>
      </c>
      <c r="L165" s="280" t="s">
        <v>262</v>
      </c>
      <c r="M165" s="178" t="s">
        <v>533</v>
      </c>
      <c r="N165" s="295" t="s">
        <v>263</v>
      </c>
      <c r="O165" s="292"/>
      <c r="P165" s="292"/>
    </row>
    <row r="166" spans="1:16" s="190" customFormat="1" ht="15" customHeight="1">
      <c r="A166" s="480">
        <v>44764</v>
      </c>
      <c r="B166" s="303" t="s">
        <v>337</v>
      </c>
      <c r="C166" s="382" t="s">
        <v>76</v>
      </c>
      <c r="D166" s="303"/>
      <c r="E166" s="316"/>
      <c r="F166" s="297">
        <v>2100000</v>
      </c>
      <c r="G166" s="389">
        <f>+G165+E166-F166</f>
        <v>5991240</v>
      </c>
      <c r="H166" s="292" t="s">
        <v>24</v>
      </c>
      <c r="I166" s="305">
        <v>3654490</v>
      </c>
      <c r="J166" s="280"/>
      <c r="K166" s="292"/>
      <c r="L166" s="280"/>
      <c r="M166" s="292"/>
      <c r="N166" s="295"/>
      <c r="O166" s="292"/>
      <c r="P166" s="321"/>
    </row>
    <row r="167" spans="1:16" s="190" customFormat="1" ht="15" customHeight="1">
      <c r="A167" s="475">
        <v>44764</v>
      </c>
      <c r="B167" s="280" t="s">
        <v>339</v>
      </c>
      <c r="C167" s="292" t="s">
        <v>181</v>
      </c>
      <c r="D167" s="280" t="s">
        <v>2</v>
      </c>
      <c r="E167" s="292"/>
      <c r="F167" s="178">
        <v>1311914</v>
      </c>
      <c r="G167" s="389">
        <f>+G166+E167-F167</f>
        <v>4679326</v>
      </c>
      <c r="H167" s="292" t="s">
        <v>158</v>
      </c>
      <c r="I167" s="305">
        <v>3667212</v>
      </c>
      <c r="J167" s="305" t="s">
        <v>166</v>
      </c>
      <c r="K167" s="292" t="s">
        <v>211</v>
      </c>
      <c r="L167" s="280" t="s">
        <v>262</v>
      </c>
      <c r="M167" s="178" t="s">
        <v>534</v>
      </c>
      <c r="N167" s="323" t="s">
        <v>268</v>
      </c>
      <c r="O167" s="292"/>
      <c r="P167" s="292"/>
    </row>
    <row r="168" spans="1:16" s="457" customFormat="1" ht="15.75" customHeight="1">
      <c r="A168" s="475">
        <v>44764</v>
      </c>
      <c r="B168" s="280" t="s">
        <v>340</v>
      </c>
      <c r="C168" s="292" t="s">
        <v>181</v>
      </c>
      <c r="D168" s="280" t="s">
        <v>2</v>
      </c>
      <c r="E168" s="292"/>
      <c r="F168" s="292">
        <v>1311914</v>
      </c>
      <c r="G168" s="389">
        <f>+G167+E168-F168</f>
        <v>3367412</v>
      </c>
      <c r="H168" s="292" t="s">
        <v>158</v>
      </c>
      <c r="I168" s="305">
        <v>3667221</v>
      </c>
      <c r="J168" s="305" t="s">
        <v>166</v>
      </c>
      <c r="K168" s="292" t="s">
        <v>211</v>
      </c>
      <c r="L168" s="280" t="s">
        <v>262</v>
      </c>
      <c r="M168" s="178" t="s">
        <v>535</v>
      </c>
      <c r="N168" s="295" t="s">
        <v>268</v>
      </c>
      <c r="O168" s="292"/>
      <c r="P168" s="292"/>
    </row>
    <row r="169" spans="1:16" s="457" customFormat="1" ht="15.75" customHeight="1">
      <c r="A169" s="477">
        <v>44764</v>
      </c>
      <c r="B169" s="190" t="s">
        <v>261</v>
      </c>
      <c r="C169" s="190" t="s">
        <v>366</v>
      </c>
      <c r="D169" s="395"/>
      <c r="E169" s="387">
        <v>92000</v>
      </c>
      <c r="F169" s="416"/>
      <c r="G169" s="389">
        <f>+G168+E169-F169</f>
        <v>3459412</v>
      </c>
      <c r="H169" s="190" t="s">
        <v>209</v>
      </c>
      <c r="I169" s="390"/>
      <c r="J169" s="390"/>
      <c r="K169" s="390"/>
      <c r="L169" s="390"/>
      <c r="M169" s="178"/>
      <c r="N169" s="391"/>
      <c r="O169" s="190"/>
      <c r="P169" s="419"/>
    </row>
    <row r="170" spans="1:16" s="190" customFormat="1" ht="15" customHeight="1">
      <c r="A170" s="476">
        <v>44764</v>
      </c>
      <c r="B170" s="390" t="s">
        <v>468</v>
      </c>
      <c r="C170" s="190" t="s">
        <v>34</v>
      </c>
      <c r="D170" s="386" t="s">
        <v>164</v>
      </c>
      <c r="E170" s="398"/>
      <c r="F170" s="388">
        <v>7000</v>
      </c>
      <c r="G170" s="389">
        <f>+G169+E170-F170</f>
        <v>3452412</v>
      </c>
      <c r="H170" s="390" t="s">
        <v>225</v>
      </c>
      <c r="I170" s="390" t="s">
        <v>285</v>
      </c>
      <c r="J170" s="395" t="s">
        <v>166</v>
      </c>
      <c r="K170" s="395" t="s">
        <v>210</v>
      </c>
      <c r="L170" s="390" t="s">
        <v>262</v>
      </c>
      <c r="N170" s="396"/>
      <c r="O170" s="390"/>
    </row>
    <row r="171" spans="1:16" s="190" customFormat="1" ht="15" customHeight="1">
      <c r="A171" s="476">
        <v>44764</v>
      </c>
      <c r="B171" s="390" t="s">
        <v>390</v>
      </c>
      <c r="C171" s="190" t="s">
        <v>157</v>
      </c>
      <c r="D171" s="386" t="s">
        <v>164</v>
      </c>
      <c r="E171" s="398"/>
      <c r="F171" s="388">
        <v>30000</v>
      </c>
      <c r="G171" s="389">
        <f>+G170+E171-F171</f>
        <v>3422412</v>
      </c>
      <c r="H171" s="390" t="s">
        <v>225</v>
      </c>
      <c r="I171" s="178" t="s">
        <v>285</v>
      </c>
      <c r="J171" s="395" t="s">
        <v>166</v>
      </c>
      <c r="K171" s="395" t="s">
        <v>210</v>
      </c>
      <c r="L171" s="390" t="s">
        <v>262</v>
      </c>
      <c r="N171" s="396"/>
      <c r="O171" s="390"/>
    </row>
    <row r="172" spans="1:16" s="190" customFormat="1" ht="15" customHeight="1">
      <c r="A172" s="476">
        <v>44764</v>
      </c>
      <c r="B172" s="390" t="s">
        <v>394</v>
      </c>
      <c r="C172" s="190" t="s">
        <v>76</v>
      </c>
      <c r="D172" s="386"/>
      <c r="E172" s="398">
        <v>114000</v>
      </c>
      <c r="F172" s="388"/>
      <c r="G172" s="389">
        <f>+G171+E172-F172</f>
        <v>3536412</v>
      </c>
      <c r="H172" s="390" t="s">
        <v>31</v>
      </c>
      <c r="I172" s="390"/>
      <c r="J172" s="390" t="s">
        <v>395</v>
      </c>
      <c r="K172" s="390"/>
      <c r="L172" s="390"/>
      <c r="M172" s="178"/>
      <c r="N172" s="391"/>
      <c r="O172" s="390"/>
    </row>
    <row r="173" spans="1:16" s="190" customFormat="1" ht="15" customHeight="1">
      <c r="A173" s="476">
        <v>44764</v>
      </c>
      <c r="B173" s="392" t="s">
        <v>250</v>
      </c>
      <c r="C173" s="190" t="s">
        <v>76</v>
      </c>
      <c r="D173" s="396"/>
      <c r="E173" s="387">
        <v>389000</v>
      </c>
      <c r="F173" s="388"/>
      <c r="G173" s="389">
        <f>+G172+E173-F173</f>
        <v>3925412</v>
      </c>
      <c r="H173" s="411" t="s">
        <v>152</v>
      </c>
      <c r="I173" s="178"/>
      <c r="L173" s="390"/>
      <c r="N173" s="391"/>
    </row>
    <row r="174" spans="1:16" s="190" customFormat="1" ht="15" customHeight="1">
      <c r="A174" s="477">
        <v>44764</v>
      </c>
      <c r="B174" s="390" t="s">
        <v>251</v>
      </c>
      <c r="C174" s="190" t="s">
        <v>76</v>
      </c>
      <c r="D174" s="386"/>
      <c r="E174" s="397">
        <v>81000</v>
      </c>
      <c r="F174" s="397"/>
      <c r="G174" s="389">
        <f>+G173+E174-F174</f>
        <v>4006412</v>
      </c>
      <c r="H174" s="390" t="s">
        <v>94</v>
      </c>
      <c r="J174" s="390"/>
      <c r="K174" s="390"/>
      <c r="L174" s="390"/>
      <c r="N174" s="396"/>
      <c r="O174" s="390"/>
    </row>
    <row r="175" spans="1:16" s="190" customFormat="1" ht="15" customHeight="1">
      <c r="A175" s="469">
        <v>44764</v>
      </c>
      <c r="B175" s="178" t="s">
        <v>435</v>
      </c>
      <c r="C175" s="178" t="s">
        <v>34</v>
      </c>
      <c r="D175" s="473" t="s">
        <v>4</v>
      </c>
      <c r="E175" s="474"/>
      <c r="F175" s="196">
        <v>15000</v>
      </c>
      <c r="G175" s="389">
        <f>+G174+E175-F175</f>
        <v>3991412</v>
      </c>
      <c r="H175" s="474" t="s">
        <v>29</v>
      </c>
      <c r="I175" s="474" t="s">
        <v>287</v>
      </c>
      <c r="J175" s="190" t="s">
        <v>166</v>
      </c>
      <c r="K175" s="190" t="s">
        <v>211</v>
      </c>
      <c r="L175" s="390" t="s">
        <v>262</v>
      </c>
      <c r="M175" s="178" t="s">
        <v>536</v>
      </c>
      <c r="N175" s="391" t="s">
        <v>273</v>
      </c>
      <c r="O175" s="474"/>
      <c r="P175" s="474"/>
    </row>
    <row r="176" spans="1:16" s="190" customFormat="1" ht="15" customHeight="1">
      <c r="A176" s="469">
        <v>44764</v>
      </c>
      <c r="B176" s="178" t="s">
        <v>436</v>
      </c>
      <c r="C176" s="190" t="s">
        <v>157</v>
      </c>
      <c r="D176" s="473" t="s">
        <v>4</v>
      </c>
      <c r="E176" s="474"/>
      <c r="F176" s="196">
        <v>40000</v>
      </c>
      <c r="G176" s="389">
        <f>+G175+E176-F176</f>
        <v>3951412</v>
      </c>
      <c r="H176" s="474" t="s">
        <v>29</v>
      </c>
      <c r="I176" s="474" t="s">
        <v>287</v>
      </c>
      <c r="J176" s="390" t="s">
        <v>166</v>
      </c>
      <c r="K176" s="390" t="s">
        <v>211</v>
      </c>
      <c r="L176" s="390" t="s">
        <v>262</v>
      </c>
      <c r="M176" s="178" t="s">
        <v>537</v>
      </c>
      <c r="N176" s="391" t="s">
        <v>274</v>
      </c>
      <c r="O176" s="474"/>
      <c r="P176" s="474"/>
    </row>
    <row r="177" spans="1:16" s="190" customFormat="1" ht="15" customHeight="1">
      <c r="A177" s="476">
        <v>44764</v>
      </c>
      <c r="B177" s="190" t="s">
        <v>442</v>
      </c>
      <c r="C177" s="190" t="s">
        <v>157</v>
      </c>
      <c r="D177" s="392" t="s">
        <v>2</v>
      </c>
      <c r="E177" s="393"/>
      <c r="F177" s="397">
        <v>130000</v>
      </c>
      <c r="G177" s="389">
        <f>+G176+E177-F177</f>
        <v>3821412</v>
      </c>
      <c r="H177" s="390" t="s">
        <v>48</v>
      </c>
      <c r="I177" s="190" t="s">
        <v>248</v>
      </c>
      <c r="J177" s="280" t="s">
        <v>166</v>
      </c>
      <c r="K177" s="280" t="s">
        <v>211</v>
      </c>
      <c r="L177" s="280" t="s">
        <v>262</v>
      </c>
      <c r="M177" s="178" t="s">
        <v>538</v>
      </c>
      <c r="N177" s="295" t="s">
        <v>274</v>
      </c>
    </row>
    <row r="178" spans="1:16" s="190" customFormat="1" ht="15" customHeight="1">
      <c r="A178" s="475">
        <v>44764</v>
      </c>
      <c r="B178" s="280" t="s">
        <v>253</v>
      </c>
      <c r="C178" s="292" t="s">
        <v>76</v>
      </c>
      <c r="D178" s="307"/>
      <c r="E178" s="289">
        <v>289000</v>
      </c>
      <c r="F178" s="378"/>
      <c r="G178" s="389">
        <f>+G177+E178-F178</f>
        <v>4110412</v>
      </c>
      <c r="H178" s="280" t="s">
        <v>48</v>
      </c>
      <c r="I178" s="292"/>
      <c r="J178" s="280"/>
      <c r="K178" s="292"/>
      <c r="L178" s="280"/>
      <c r="M178" s="292"/>
      <c r="N178" s="288"/>
      <c r="O178" s="280"/>
      <c r="P178" s="292"/>
    </row>
    <row r="179" spans="1:16" s="190" customFormat="1" ht="15" customHeight="1">
      <c r="A179" s="480">
        <v>44764</v>
      </c>
      <c r="B179" s="294" t="s">
        <v>452</v>
      </c>
      <c r="C179" s="347" t="s">
        <v>76</v>
      </c>
      <c r="D179" s="377"/>
      <c r="E179" s="292">
        <v>1320000</v>
      </c>
      <c r="F179" s="316"/>
      <c r="G179" s="389">
        <f>+G178+E179-F179</f>
        <v>5430412</v>
      </c>
      <c r="H179" s="280" t="s">
        <v>114</v>
      </c>
      <c r="I179" s="305"/>
      <c r="J179" s="292"/>
      <c r="K179" s="292"/>
      <c r="L179" s="280"/>
      <c r="M179" s="292"/>
      <c r="N179" s="295"/>
      <c r="O179" s="280"/>
      <c r="P179" s="292"/>
    </row>
    <row r="180" spans="1:16" s="190" customFormat="1" ht="15" customHeight="1">
      <c r="A180" s="480">
        <v>44764</v>
      </c>
      <c r="B180" s="178" t="s">
        <v>257</v>
      </c>
      <c r="C180" s="178" t="s">
        <v>76</v>
      </c>
      <c r="D180" s="473"/>
      <c r="E180" s="471">
        <v>60000</v>
      </c>
      <c r="F180" s="471"/>
      <c r="G180" s="389">
        <f>+G179+E180-F180</f>
        <v>5490412</v>
      </c>
      <c r="H180" s="471" t="s">
        <v>29</v>
      </c>
      <c r="I180" s="471"/>
      <c r="J180" s="471"/>
      <c r="K180" s="471"/>
      <c r="L180" s="471"/>
      <c r="M180" s="471"/>
      <c r="N180" s="471"/>
      <c r="O180" s="471"/>
      <c r="P180" s="471"/>
    </row>
    <row r="181" spans="1:16" s="190" customFormat="1" ht="15" customHeight="1">
      <c r="A181" s="478">
        <v>44765</v>
      </c>
      <c r="B181" s="399" t="s">
        <v>357</v>
      </c>
      <c r="C181" s="190" t="s">
        <v>157</v>
      </c>
      <c r="D181" s="452" t="s">
        <v>4</v>
      </c>
      <c r="E181" s="458"/>
      <c r="F181" s="402">
        <v>45000</v>
      </c>
      <c r="G181" s="389">
        <f>+G180+E181-F181</f>
        <v>5445412</v>
      </c>
      <c r="H181" s="399" t="s">
        <v>49</v>
      </c>
      <c r="I181" s="178" t="s">
        <v>285</v>
      </c>
      <c r="J181" s="390" t="s">
        <v>166</v>
      </c>
      <c r="K181" s="390" t="s">
        <v>211</v>
      </c>
      <c r="L181" s="390" t="s">
        <v>262</v>
      </c>
      <c r="M181" s="178" t="s">
        <v>539</v>
      </c>
      <c r="N181" s="391" t="s">
        <v>274</v>
      </c>
      <c r="P181" s="419"/>
    </row>
    <row r="182" spans="1:16" s="190" customFormat="1" ht="15" customHeight="1">
      <c r="A182" s="476">
        <v>44765</v>
      </c>
      <c r="B182" s="190" t="s">
        <v>358</v>
      </c>
      <c r="C182" s="190" t="s">
        <v>34</v>
      </c>
      <c r="D182" s="386" t="s">
        <v>4</v>
      </c>
      <c r="E182" s="393"/>
      <c r="F182" s="397">
        <v>5000</v>
      </c>
      <c r="G182" s="389">
        <f>+G181+E182-F182</f>
        <v>5440412</v>
      </c>
      <c r="H182" s="390" t="s">
        <v>49</v>
      </c>
      <c r="I182" s="178" t="s">
        <v>285</v>
      </c>
      <c r="J182" s="190" t="s">
        <v>166</v>
      </c>
      <c r="K182" s="190" t="s">
        <v>211</v>
      </c>
      <c r="L182" s="390" t="s">
        <v>262</v>
      </c>
      <c r="M182" s="178" t="s">
        <v>540</v>
      </c>
      <c r="N182" s="391" t="s">
        <v>273</v>
      </c>
    </row>
    <row r="183" spans="1:16" s="190" customFormat="1" ht="15.75" customHeight="1">
      <c r="A183" s="476">
        <v>44765</v>
      </c>
      <c r="B183" s="190" t="s">
        <v>259</v>
      </c>
      <c r="C183" s="190" t="s">
        <v>76</v>
      </c>
      <c r="D183" s="386"/>
      <c r="E183" s="387">
        <v>153000</v>
      </c>
      <c r="F183" s="416"/>
      <c r="G183" s="389">
        <f>+G182+E183-F183</f>
        <v>5593412</v>
      </c>
      <c r="H183" s="190" t="s">
        <v>49</v>
      </c>
      <c r="J183" s="390"/>
      <c r="K183" s="390"/>
      <c r="L183" s="390"/>
      <c r="N183" s="391"/>
      <c r="P183" s="419"/>
    </row>
    <row r="184" spans="1:16" s="190" customFormat="1" ht="15" customHeight="1">
      <c r="A184" s="476">
        <v>44766</v>
      </c>
      <c r="B184" s="459" t="s">
        <v>359</v>
      </c>
      <c r="C184" s="190" t="s">
        <v>157</v>
      </c>
      <c r="D184" s="452" t="s">
        <v>4</v>
      </c>
      <c r="E184" s="393"/>
      <c r="F184" s="388">
        <v>15000</v>
      </c>
      <c r="G184" s="389">
        <f>+G183+E184-F184</f>
        <v>5578412</v>
      </c>
      <c r="H184" s="190" t="s">
        <v>49</v>
      </c>
      <c r="I184" s="178" t="s">
        <v>285</v>
      </c>
      <c r="J184" s="390" t="s">
        <v>166</v>
      </c>
      <c r="K184" s="390" t="s">
        <v>211</v>
      </c>
      <c r="L184" s="390" t="s">
        <v>262</v>
      </c>
      <c r="M184" s="178" t="s">
        <v>541</v>
      </c>
      <c r="N184" s="391" t="s">
        <v>274</v>
      </c>
    </row>
    <row r="185" spans="1:16" s="190" customFormat="1" ht="15" customHeight="1">
      <c r="A185" s="476">
        <v>44766</v>
      </c>
      <c r="B185" s="190" t="s">
        <v>356</v>
      </c>
      <c r="C185" s="190" t="s">
        <v>34</v>
      </c>
      <c r="D185" s="386" t="s">
        <v>4</v>
      </c>
      <c r="E185" s="387"/>
      <c r="F185" s="416">
        <v>5000</v>
      </c>
      <c r="G185" s="389">
        <f>+G184+E185-F185</f>
        <v>5573412</v>
      </c>
      <c r="H185" s="190" t="s">
        <v>49</v>
      </c>
      <c r="I185" s="178" t="s">
        <v>285</v>
      </c>
      <c r="J185" s="190" t="s">
        <v>166</v>
      </c>
      <c r="K185" s="190" t="s">
        <v>211</v>
      </c>
      <c r="L185" s="390" t="s">
        <v>262</v>
      </c>
      <c r="M185" s="178" t="s">
        <v>542</v>
      </c>
      <c r="N185" s="391" t="s">
        <v>273</v>
      </c>
    </row>
    <row r="186" spans="1:16" s="190" customFormat="1" ht="15" customHeight="1">
      <c r="A186" s="477">
        <v>44766</v>
      </c>
      <c r="B186" s="399" t="s">
        <v>373</v>
      </c>
      <c r="C186" s="190" t="s">
        <v>34</v>
      </c>
      <c r="D186" s="386" t="s">
        <v>164</v>
      </c>
      <c r="E186" s="407"/>
      <c r="F186" s="402">
        <v>10000</v>
      </c>
      <c r="G186" s="389">
        <f>+G185+E186-F186</f>
        <v>5563412</v>
      </c>
      <c r="H186" s="423" t="s">
        <v>209</v>
      </c>
      <c r="I186" s="178" t="s">
        <v>285</v>
      </c>
      <c r="J186" s="190" t="s">
        <v>166</v>
      </c>
      <c r="K186" s="190" t="s">
        <v>211</v>
      </c>
      <c r="L186" s="390" t="s">
        <v>262</v>
      </c>
      <c r="M186" s="178" t="s">
        <v>543</v>
      </c>
      <c r="N186" s="391" t="s">
        <v>273</v>
      </c>
    </row>
    <row r="187" spans="1:16" s="190" customFormat="1" ht="15" customHeight="1">
      <c r="A187" s="476">
        <v>44766</v>
      </c>
      <c r="B187" s="390" t="s">
        <v>396</v>
      </c>
      <c r="C187" s="190" t="s">
        <v>34</v>
      </c>
      <c r="D187" s="395" t="s">
        <v>165</v>
      </c>
      <c r="E187" s="397"/>
      <c r="F187" s="388">
        <v>10000</v>
      </c>
      <c r="G187" s="389">
        <f>+G186+E187-F187</f>
        <v>5553412</v>
      </c>
      <c r="H187" s="390" t="s">
        <v>31</v>
      </c>
      <c r="I187" s="178" t="s">
        <v>285</v>
      </c>
      <c r="J187" s="190" t="s">
        <v>166</v>
      </c>
      <c r="K187" s="190" t="s">
        <v>211</v>
      </c>
      <c r="L187" s="390" t="s">
        <v>262</v>
      </c>
      <c r="M187" s="178" t="s">
        <v>544</v>
      </c>
      <c r="N187" s="391" t="s">
        <v>273</v>
      </c>
      <c r="O187" s="390"/>
    </row>
    <row r="188" spans="1:16" s="190" customFormat="1" ht="15" customHeight="1">
      <c r="A188" s="476">
        <v>44766</v>
      </c>
      <c r="B188" s="390" t="s">
        <v>406</v>
      </c>
      <c r="C188" s="190" t="s">
        <v>34</v>
      </c>
      <c r="D188" s="404" t="s">
        <v>2</v>
      </c>
      <c r="E188" s="397"/>
      <c r="F188" s="397">
        <v>10000</v>
      </c>
      <c r="G188" s="389">
        <f>+G187+E188-F188</f>
        <v>5543412</v>
      </c>
      <c r="H188" s="390" t="s">
        <v>152</v>
      </c>
      <c r="I188" s="178" t="s">
        <v>285</v>
      </c>
      <c r="J188" s="190" t="s">
        <v>166</v>
      </c>
      <c r="K188" s="190" t="s">
        <v>211</v>
      </c>
      <c r="L188" s="390" t="s">
        <v>262</v>
      </c>
      <c r="M188" s="178" t="s">
        <v>545</v>
      </c>
      <c r="N188" s="391" t="s">
        <v>273</v>
      </c>
      <c r="O188" s="390"/>
    </row>
    <row r="189" spans="1:16" s="190" customFormat="1" ht="15" customHeight="1">
      <c r="A189" s="476">
        <v>44766</v>
      </c>
      <c r="B189" s="428" t="s">
        <v>416</v>
      </c>
      <c r="C189" s="190" t="s">
        <v>34</v>
      </c>
      <c r="D189" s="467" t="s">
        <v>2</v>
      </c>
      <c r="E189" s="390"/>
      <c r="F189" s="397">
        <v>10000</v>
      </c>
      <c r="G189" s="389">
        <f>+G188+E189-F189</f>
        <v>5533412</v>
      </c>
      <c r="H189" s="190" t="s">
        <v>94</v>
      </c>
      <c r="I189" s="178" t="s">
        <v>285</v>
      </c>
      <c r="J189" s="190" t="s">
        <v>166</v>
      </c>
      <c r="K189" s="190" t="s">
        <v>211</v>
      </c>
      <c r="L189" s="390" t="s">
        <v>262</v>
      </c>
      <c r="M189" s="178" t="s">
        <v>546</v>
      </c>
      <c r="N189" s="391" t="s">
        <v>273</v>
      </c>
      <c r="O189" s="390"/>
    </row>
    <row r="190" spans="1:16" s="190" customFormat="1" ht="15" customHeight="1">
      <c r="A190" s="478">
        <v>44767</v>
      </c>
      <c r="B190" s="429" t="s">
        <v>374</v>
      </c>
      <c r="C190" s="190" t="s">
        <v>157</v>
      </c>
      <c r="D190" s="386" t="s">
        <v>164</v>
      </c>
      <c r="F190" s="393">
        <v>50000</v>
      </c>
      <c r="G190" s="389">
        <f>+G189+E190-F190</f>
        <v>5483412</v>
      </c>
      <c r="H190" s="190" t="s">
        <v>209</v>
      </c>
      <c r="I190" s="190" t="s">
        <v>248</v>
      </c>
      <c r="J190" s="190" t="s">
        <v>166</v>
      </c>
      <c r="K190" s="190" t="s">
        <v>211</v>
      </c>
      <c r="L190" s="390" t="s">
        <v>262</v>
      </c>
      <c r="M190" s="178" t="s">
        <v>547</v>
      </c>
      <c r="N190" s="391" t="s">
        <v>274</v>
      </c>
      <c r="O190" s="391"/>
    </row>
    <row r="191" spans="1:16" s="190" customFormat="1" ht="15" customHeight="1">
      <c r="A191" s="478">
        <v>44767</v>
      </c>
      <c r="B191" s="401" t="s">
        <v>397</v>
      </c>
      <c r="C191" s="190" t="s">
        <v>157</v>
      </c>
      <c r="D191" s="294" t="s">
        <v>244</v>
      </c>
      <c r="E191" s="402"/>
      <c r="F191" s="454">
        <v>9500</v>
      </c>
      <c r="G191" s="389">
        <f>+G190+E191-F191</f>
        <v>5473912</v>
      </c>
      <c r="H191" s="401" t="s">
        <v>31</v>
      </c>
      <c r="I191" s="178" t="s">
        <v>285</v>
      </c>
      <c r="J191" s="390" t="s">
        <v>166</v>
      </c>
      <c r="K191" s="390" t="s">
        <v>210</v>
      </c>
      <c r="L191" s="390" t="s">
        <v>262</v>
      </c>
      <c r="N191" s="396"/>
      <c r="O191" s="412"/>
    </row>
    <row r="192" spans="1:16" s="190" customFormat="1" ht="15" customHeight="1">
      <c r="A192" s="476">
        <v>44767</v>
      </c>
      <c r="B192" s="190" t="s">
        <v>398</v>
      </c>
      <c r="C192" s="190" t="s">
        <v>157</v>
      </c>
      <c r="D192" s="395" t="s">
        <v>165</v>
      </c>
      <c r="E192" s="393"/>
      <c r="F192" s="394">
        <v>40000</v>
      </c>
      <c r="G192" s="389">
        <f>+G191+E192-F192</f>
        <v>5433912</v>
      </c>
      <c r="H192" s="190" t="s">
        <v>31</v>
      </c>
      <c r="I192" s="190" t="s">
        <v>248</v>
      </c>
      <c r="J192" s="390" t="s">
        <v>166</v>
      </c>
      <c r="K192" s="190" t="s">
        <v>211</v>
      </c>
      <c r="L192" s="390" t="s">
        <v>262</v>
      </c>
      <c r="M192" s="178" t="s">
        <v>548</v>
      </c>
      <c r="N192" s="391" t="s">
        <v>274</v>
      </c>
    </row>
    <row r="193" spans="1:16" s="190" customFormat="1" ht="15" customHeight="1">
      <c r="A193" s="476">
        <v>44767</v>
      </c>
      <c r="B193" s="390" t="s">
        <v>407</v>
      </c>
      <c r="C193" s="190" t="s">
        <v>35</v>
      </c>
      <c r="D193" s="386" t="s">
        <v>241</v>
      </c>
      <c r="E193" s="398"/>
      <c r="F193" s="398">
        <v>13535</v>
      </c>
      <c r="G193" s="389">
        <f>+G192+E193-F193</f>
        <v>5420377</v>
      </c>
      <c r="H193" s="390" t="s">
        <v>152</v>
      </c>
      <c r="I193" s="178" t="s">
        <v>285</v>
      </c>
      <c r="J193" s="280" t="s">
        <v>166</v>
      </c>
      <c r="K193" s="280" t="s">
        <v>210</v>
      </c>
      <c r="L193" s="280" t="s">
        <v>262</v>
      </c>
      <c r="N193" s="391"/>
      <c r="O193" s="390"/>
    </row>
    <row r="194" spans="1:16" s="190" customFormat="1" ht="16.5" customHeight="1">
      <c r="A194" s="476">
        <v>44767</v>
      </c>
      <c r="B194" s="390" t="s">
        <v>408</v>
      </c>
      <c r="C194" s="190" t="s">
        <v>157</v>
      </c>
      <c r="D194" s="294" t="s">
        <v>244</v>
      </c>
      <c r="E194" s="398"/>
      <c r="F194" s="397">
        <v>8350</v>
      </c>
      <c r="G194" s="389">
        <f>+G193+E194-F194</f>
        <v>5412027</v>
      </c>
      <c r="H194" s="390" t="s">
        <v>152</v>
      </c>
      <c r="I194" s="178" t="s">
        <v>285</v>
      </c>
      <c r="J194" s="390" t="s">
        <v>166</v>
      </c>
      <c r="K194" s="190" t="s">
        <v>210</v>
      </c>
      <c r="L194" s="390" t="s">
        <v>262</v>
      </c>
      <c r="N194" s="391"/>
      <c r="O194" s="390"/>
    </row>
    <row r="195" spans="1:16" s="190" customFormat="1" ht="15" customHeight="1">
      <c r="A195" s="476">
        <v>44767</v>
      </c>
      <c r="B195" s="390" t="s">
        <v>409</v>
      </c>
      <c r="C195" s="190" t="s">
        <v>35</v>
      </c>
      <c r="D195" s="386" t="s">
        <v>241</v>
      </c>
      <c r="E195" s="397"/>
      <c r="F195" s="388">
        <v>2200</v>
      </c>
      <c r="G195" s="389">
        <f>+G194+E195-F195</f>
        <v>5409827</v>
      </c>
      <c r="H195" s="390" t="s">
        <v>152</v>
      </c>
      <c r="I195" s="178" t="s">
        <v>285</v>
      </c>
      <c r="J195" s="280" t="s">
        <v>166</v>
      </c>
      <c r="K195" s="280" t="s">
        <v>210</v>
      </c>
      <c r="L195" s="280" t="s">
        <v>262</v>
      </c>
      <c r="M195" s="178"/>
      <c r="N195" s="391"/>
      <c r="O195" s="390"/>
    </row>
    <row r="196" spans="1:16" s="190" customFormat="1" ht="15" customHeight="1">
      <c r="A196" s="476">
        <v>44767</v>
      </c>
      <c r="B196" s="390" t="s">
        <v>410</v>
      </c>
      <c r="C196" s="190" t="s">
        <v>157</v>
      </c>
      <c r="D196" s="429" t="s">
        <v>2</v>
      </c>
      <c r="E196" s="397"/>
      <c r="F196" s="388">
        <v>20000</v>
      </c>
      <c r="G196" s="389">
        <f>+G195+E196-F196</f>
        <v>5389827</v>
      </c>
      <c r="H196" s="390" t="s">
        <v>152</v>
      </c>
      <c r="I196" s="190" t="s">
        <v>248</v>
      </c>
      <c r="J196" s="395" t="s">
        <v>166</v>
      </c>
      <c r="K196" s="390" t="s">
        <v>211</v>
      </c>
      <c r="L196" s="390" t="s">
        <v>262</v>
      </c>
      <c r="M196" s="178" t="s">
        <v>549</v>
      </c>
      <c r="N196" s="396" t="s">
        <v>274</v>
      </c>
      <c r="O196" s="390"/>
    </row>
    <row r="197" spans="1:16" s="190" customFormat="1" ht="15" customHeight="1">
      <c r="A197" s="476">
        <v>44767</v>
      </c>
      <c r="B197" s="190" t="s">
        <v>417</v>
      </c>
      <c r="C197" s="190" t="s">
        <v>157</v>
      </c>
      <c r="D197" s="395" t="s">
        <v>2</v>
      </c>
      <c r="E197" s="406"/>
      <c r="F197" s="398">
        <v>20000</v>
      </c>
      <c r="G197" s="389">
        <f>+G196+E197-F197</f>
        <v>5369827</v>
      </c>
      <c r="H197" s="190" t="s">
        <v>94</v>
      </c>
      <c r="I197" s="190" t="s">
        <v>248</v>
      </c>
      <c r="J197" s="390" t="s">
        <v>166</v>
      </c>
      <c r="K197" s="390" t="s">
        <v>211</v>
      </c>
      <c r="L197" s="390" t="s">
        <v>262</v>
      </c>
      <c r="M197" s="178" t="s">
        <v>550</v>
      </c>
      <c r="N197" s="391" t="s">
        <v>274</v>
      </c>
    </row>
    <row r="198" spans="1:16" s="190" customFormat="1" ht="15" customHeight="1">
      <c r="A198" s="475">
        <v>44767</v>
      </c>
      <c r="B198" s="280" t="s">
        <v>443</v>
      </c>
      <c r="C198" s="292" t="s">
        <v>35</v>
      </c>
      <c r="D198" s="386" t="s">
        <v>241</v>
      </c>
      <c r="E198" s="289"/>
      <c r="F198" s="378">
        <v>300</v>
      </c>
      <c r="G198" s="389">
        <f>+G197+E198-F198</f>
        <v>5369527</v>
      </c>
      <c r="H198" s="280" t="s">
        <v>48</v>
      </c>
      <c r="I198" s="178" t="s">
        <v>285</v>
      </c>
      <c r="J198" s="280" t="s">
        <v>166</v>
      </c>
      <c r="K198" s="280" t="s">
        <v>210</v>
      </c>
      <c r="L198" s="280" t="s">
        <v>262</v>
      </c>
      <c r="M198" s="292"/>
      <c r="N198" s="288"/>
      <c r="O198" s="280"/>
      <c r="P198" s="292"/>
    </row>
    <row r="199" spans="1:16" s="190" customFormat="1" ht="15" customHeight="1">
      <c r="A199" s="476">
        <v>44767</v>
      </c>
      <c r="B199" s="390" t="s">
        <v>463</v>
      </c>
      <c r="C199" s="190" t="s">
        <v>157</v>
      </c>
      <c r="D199" s="395" t="s">
        <v>2</v>
      </c>
      <c r="E199" s="410"/>
      <c r="F199" s="397">
        <v>45000</v>
      </c>
      <c r="G199" s="389">
        <f>+G198+E199-F199</f>
        <v>5324527</v>
      </c>
      <c r="H199" s="190" t="s">
        <v>48</v>
      </c>
      <c r="I199" s="178" t="s">
        <v>285</v>
      </c>
      <c r="J199" s="280" t="s">
        <v>166</v>
      </c>
      <c r="K199" s="280" t="s">
        <v>211</v>
      </c>
      <c r="L199" s="280" t="s">
        <v>262</v>
      </c>
      <c r="M199" s="178" t="s">
        <v>551</v>
      </c>
      <c r="N199" s="295" t="s">
        <v>274</v>
      </c>
    </row>
    <row r="200" spans="1:16" s="190" customFormat="1" ht="15" customHeight="1">
      <c r="A200" s="477">
        <v>44768</v>
      </c>
      <c r="B200" s="399" t="s">
        <v>469</v>
      </c>
      <c r="C200" s="190" t="s">
        <v>157</v>
      </c>
      <c r="D200" s="294" t="s">
        <v>244</v>
      </c>
      <c r="E200" s="407"/>
      <c r="F200" s="402">
        <v>70000</v>
      </c>
      <c r="G200" s="389">
        <f>+G199+E200-F200</f>
        <v>5254527</v>
      </c>
      <c r="H200" s="423" t="s">
        <v>49</v>
      </c>
      <c r="I200" s="178" t="s">
        <v>285</v>
      </c>
      <c r="J200" s="395" t="s">
        <v>166</v>
      </c>
      <c r="K200" s="190" t="s">
        <v>210</v>
      </c>
      <c r="L200" s="390" t="s">
        <v>262</v>
      </c>
      <c r="M200" s="178"/>
      <c r="N200" s="396"/>
    </row>
    <row r="201" spans="1:16" s="190" customFormat="1" ht="15" customHeight="1">
      <c r="A201" s="476">
        <v>44768</v>
      </c>
      <c r="B201" s="399" t="s">
        <v>360</v>
      </c>
      <c r="C201" s="190" t="s">
        <v>76</v>
      </c>
      <c r="D201" s="395"/>
      <c r="E201" s="393">
        <v>35000</v>
      </c>
      <c r="F201" s="397"/>
      <c r="G201" s="389">
        <f>+G200+E201-F201</f>
        <v>5289527</v>
      </c>
      <c r="H201" s="190" t="s">
        <v>49</v>
      </c>
      <c r="J201" s="395"/>
      <c r="L201" s="390"/>
      <c r="M201" s="178"/>
      <c r="N201" s="391"/>
    </row>
    <row r="202" spans="1:16" s="190" customFormat="1" ht="15" customHeight="1">
      <c r="A202" s="476">
        <v>44768</v>
      </c>
      <c r="B202" s="390" t="s">
        <v>361</v>
      </c>
      <c r="C202" s="390" t="s">
        <v>76</v>
      </c>
      <c r="D202" s="392"/>
      <c r="E202" s="397">
        <v>13000</v>
      </c>
      <c r="F202" s="388"/>
      <c r="G202" s="389">
        <f>+G201+E202-F202</f>
        <v>5302527</v>
      </c>
      <c r="H202" s="390" t="s">
        <v>49</v>
      </c>
      <c r="J202" s="395"/>
      <c r="L202" s="390"/>
      <c r="N202" s="396"/>
      <c r="O202" s="390"/>
    </row>
    <row r="203" spans="1:16" s="190" customFormat="1" ht="15" customHeight="1">
      <c r="A203" s="478">
        <v>44768</v>
      </c>
      <c r="B203" s="401" t="s">
        <v>411</v>
      </c>
      <c r="C203" s="190" t="s">
        <v>76</v>
      </c>
      <c r="D203" s="404"/>
      <c r="E203" s="402"/>
      <c r="F203" s="402">
        <v>235000</v>
      </c>
      <c r="G203" s="389">
        <f>+G202+E203-F203</f>
        <v>5067527</v>
      </c>
      <c r="H203" s="401" t="s">
        <v>152</v>
      </c>
      <c r="J203" s="395"/>
      <c r="L203" s="390"/>
      <c r="M203" s="178"/>
      <c r="N203" s="391"/>
      <c r="O203" s="412"/>
    </row>
    <row r="204" spans="1:16" s="190" customFormat="1" ht="15" customHeight="1">
      <c r="A204" s="476">
        <v>44768</v>
      </c>
      <c r="B204" s="390" t="s">
        <v>412</v>
      </c>
      <c r="C204" s="190" t="s">
        <v>76</v>
      </c>
      <c r="D204" s="429"/>
      <c r="E204" s="397"/>
      <c r="F204" s="393">
        <v>28000</v>
      </c>
      <c r="G204" s="389">
        <f>+G203+E204-F204</f>
        <v>5039527</v>
      </c>
      <c r="H204" s="190" t="s">
        <v>152</v>
      </c>
      <c r="I204" s="390"/>
      <c r="J204" s="390"/>
      <c r="K204" s="390"/>
      <c r="L204" s="390"/>
      <c r="M204" s="178"/>
      <c r="N204" s="391"/>
      <c r="O204" s="390"/>
    </row>
    <row r="205" spans="1:16" s="190" customFormat="1" ht="15" customHeight="1">
      <c r="A205" s="476">
        <v>44768</v>
      </c>
      <c r="B205" s="390" t="s">
        <v>413</v>
      </c>
      <c r="C205" s="390" t="s">
        <v>76</v>
      </c>
      <c r="D205" s="386"/>
      <c r="E205" s="397"/>
      <c r="F205" s="388">
        <v>48000</v>
      </c>
      <c r="G205" s="389">
        <f>+G204+E205-F205</f>
        <v>4991527</v>
      </c>
      <c r="H205" s="390" t="s">
        <v>152</v>
      </c>
      <c r="I205" s="390"/>
      <c r="J205" s="390"/>
      <c r="L205" s="390"/>
      <c r="N205" s="396"/>
      <c r="O205" s="390"/>
    </row>
    <row r="206" spans="1:16" s="190" customFormat="1" ht="15" customHeight="1">
      <c r="A206" s="476">
        <v>44768</v>
      </c>
      <c r="B206" s="178" t="s">
        <v>258</v>
      </c>
      <c r="C206" s="178" t="s">
        <v>76</v>
      </c>
      <c r="D206" s="473"/>
      <c r="E206" s="471">
        <v>28000</v>
      </c>
      <c r="F206" s="471"/>
      <c r="G206" s="389">
        <f>+G205+E206-F206</f>
        <v>5019527</v>
      </c>
      <c r="H206" s="471" t="s">
        <v>29</v>
      </c>
      <c r="I206" s="471"/>
      <c r="J206" s="471"/>
      <c r="K206" s="471"/>
      <c r="L206" s="471"/>
      <c r="M206" s="471"/>
      <c r="N206" s="471"/>
      <c r="O206" s="471"/>
      <c r="P206" s="471"/>
    </row>
    <row r="207" spans="1:16" s="190" customFormat="1" ht="15" customHeight="1">
      <c r="A207" s="477">
        <v>44769</v>
      </c>
      <c r="B207" s="399" t="s">
        <v>470</v>
      </c>
      <c r="C207" s="190" t="s">
        <v>157</v>
      </c>
      <c r="D207" s="294" t="s">
        <v>244</v>
      </c>
      <c r="E207" s="407"/>
      <c r="F207" s="424">
        <v>35000</v>
      </c>
      <c r="G207" s="389">
        <f>+G206+E207-F207</f>
        <v>4984527</v>
      </c>
      <c r="H207" s="408" t="s">
        <v>49</v>
      </c>
      <c r="I207" s="178" t="s">
        <v>285</v>
      </c>
      <c r="J207" s="390" t="s">
        <v>166</v>
      </c>
      <c r="K207" s="390" t="s">
        <v>210</v>
      </c>
      <c r="L207" s="390" t="s">
        <v>262</v>
      </c>
      <c r="N207" s="391"/>
    </row>
    <row r="208" spans="1:16" s="190" customFormat="1" ht="15" customHeight="1">
      <c r="A208" s="475">
        <v>44769</v>
      </c>
      <c r="B208" s="280" t="s">
        <v>324</v>
      </c>
      <c r="C208" s="280" t="s">
        <v>76</v>
      </c>
      <c r="D208" s="294"/>
      <c r="E208" s="289">
        <v>30000</v>
      </c>
      <c r="F208" s="378"/>
      <c r="G208" s="389">
        <f>+G207+E208-F208</f>
        <v>5014527</v>
      </c>
      <c r="H208" s="280" t="s">
        <v>25</v>
      </c>
      <c r="I208" s="280"/>
      <c r="J208" s="280"/>
      <c r="K208" s="280"/>
      <c r="L208" s="280"/>
      <c r="M208" s="292"/>
      <c r="N208" s="288"/>
      <c r="O208" s="280"/>
      <c r="P208" s="292"/>
    </row>
    <row r="209" spans="1:16" s="190" customFormat="1" ht="15" customHeight="1">
      <c r="A209" s="476">
        <v>44769</v>
      </c>
      <c r="B209" s="390" t="s">
        <v>399</v>
      </c>
      <c r="C209" s="190" t="s">
        <v>76</v>
      </c>
      <c r="D209" s="386"/>
      <c r="E209" s="398">
        <v>22500</v>
      </c>
      <c r="F209" s="398"/>
      <c r="G209" s="389">
        <f>+G208+E209-F209</f>
        <v>5037027</v>
      </c>
      <c r="H209" s="390" t="s">
        <v>31</v>
      </c>
      <c r="J209" s="390"/>
      <c r="K209" s="390"/>
      <c r="L209" s="390"/>
      <c r="M209" s="178"/>
      <c r="N209" s="391"/>
      <c r="O209" s="390"/>
    </row>
    <row r="210" spans="1:16" s="190" customFormat="1" ht="15" customHeight="1">
      <c r="A210" s="476">
        <v>44769</v>
      </c>
      <c r="B210" s="386" t="s">
        <v>400</v>
      </c>
      <c r="C210" s="190" t="s">
        <v>34</v>
      </c>
      <c r="D210" s="294" t="s">
        <v>244</v>
      </c>
      <c r="F210" s="393">
        <v>47500</v>
      </c>
      <c r="G210" s="389">
        <f>+G209+E210-F210</f>
        <v>4989527</v>
      </c>
      <c r="H210" s="390" t="s">
        <v>31</v>
      </c>
      <c r="I210" s="178" t="s">
        <v>285</v>
      </c>
      <c r="J210" s="190" t="s">
        <v>166</v>
      </c>
      <c r="K210" s="190" t="s">
        <v>210</v>
      </c>
      <c r="L210" s="390" t="s">
        <v>262</v>
      </c>
      <c r="N210" s="391"/>
      <c r="P210" s="412"/>
    </row>
    <row r="211" spans="1:16" s="190" customFormat="1" ht="15" customHeight="1">
      <c r="A211" s="476">
        <v>44769</v>
      </c>
      <c r="B211" s="390" t="s">
        <v>414</v>
      </c>
      <c r="C211" s="190" t="s">
        <v>34</v>
      </c>
      <c r="D211" s="386" t="s">
        <v>2</v>
      </c>
      <c r="E211" s="398"/>
      <c r="F211" s="398">
        <v>10000</v>
      </c>
      <c r="G211" s="389">
        <f>+G210+E211-F211</f>
        <v>4979527</v>
      </c>
      <c r="H211" s="390" t="s">
        <v>152</v>
      </c>
      <c r="I211" s="178" t="s">
        <v>285</v>
      </c>
      <c r="J211" s="190" t="s">
        <v>166</v>
      </c>
      <c r="K211" s="190" t="s">
        <v>211</v>
      </c>
      <c r="L211" s="390" t="s">
        <v>262</v>
      </c>
      <c r="M211" s="178" t="s">
        <v>552</v>
      </c>
      <c r="N211" s="391" t="s">
        <v>273</v>
      </c>
      <c r="O211" s="390"/>
    </row>
    <row r="212" spans="1:16" s="190" customFormat="1" ht="15" customHeight="1">
      <c r="A212" s="476">
        <v>44769</v>
      </c>
      <c r="B212" s="390" t="s">
        <v>418</v>
      </c>
      <c r="C212" s="190" t="s">
        <v>34</v>
      </c>
      <c r="D212" s="386" t="s">
        <v>2</v>
      </c>
      <c r="E212" s="398"/>
      <c r="F212" s="398">
        <v>10000</v>
      </c>
      <c r="G212" s="389">
        <f>+G211+E212-F212</f>
        <v>4969527</v>
      </c>
      <c r="H212" s="390" t="s">
        <v>94</v>
      </c>
      <c r="I212" s="178" t="s">
        <v>285</v>
      </c>
      <c r="J212" s="190" t="s">
        <v>166</v>
      </c>
      <c r="K212" s="190" t="s">
        <v>211</v>
      </c>
      <c r="L212" s="390" t="s">
        <v>262</v>
      </c>
      <c r="M212" s="178" t="s">
        <v>553</v>
      </c>
      <c r="N212" s="391" t="s">
        <v>273</v>
      </c>
      <c r="O212" s="390"/>
    </row>
    <row r="213" spans="1:16" s="190" customFormat="1" ht="15" customHeight="1">
      <c r="A213" s="476">
        <v>44769</v>
      </c>
      <c r="B213" s="190" t="s">
        <v>419</v>
      </c>
      <c r="C213" s="190" t="s">
        <v>76</v>
      </c>
      <c r="D213" s="386"/>
      <c r="E213" s="406"/>
      <c r="F213" s="398">
        <v>30000</v>
      </c>
      <c r="G213" s="389">
        <f>+G212+E213-F213</f>
        <v>4939527</v>
      </c>
      <c r="H213" s="190" t="s">
        <v>94</v>
      </c>
      <c r="L213" s="390"/>
      <c r="M213" s="178"/>
      <c r="N213" s="391"/>
    </row>
    <row r="214" spans="1:16" s="190" customFormat="1" ht="15" customHeight="1">
      <c r="A214" s="476">
        <v>44769</v>
      </c>
      <c r="B214" s="390" t="s">
        <v>252</v>
      </c>
      <c r="C214" s="190" t="s">
        <v>76</v>
      </c>
      <c r="D214" s="404"/>
      <c r="E214" s="397">
        <v>235000</v>
      </c>
      <c r="F214" s="397"/>
      <c r="G214" s="389">
        <f>+G213+E214-F214</f>
        <v>5174527</v>
      </c>
      <c r="H214" s="390" t="s">
        <v>48</v>
      </c>
      <c r="I214" s="390"/>
      <c r="J214" s="390"/>
      <c r="L214" s="390"/>
      <c r="M214" s="178"/>
      <c r="N214" s="391"/>
      <c r="O214" s="390"/>
    </row>
    <row r="215" spans="1:16" s="190" customFormat="1" ht="18.75" customHeight="1">
      <c r="A215" s="478">
        <v>44769</v>
      </c>
      <c r="B215" s="431" t="s">
        <v>444</v>
      </c>
      <c r="C215" s="190" t="s">
        <v>157</v>
      </c>
      <c r="D215" s="294" t="s">
        <v>244</v>
      </c>
      <c r="E215" s="433"/>
      <c r="F215" s="402">
        <v>240000</v>
      </c>
      <c r="G215" s="389">
        <f>+G214+E215-F215</f>
        <v>4934527</v>
      </c>
      <c r="H215" s="431" t="s">
        <v>48</v>
      </c>
      <c r="I215" s="178" t="s">
        <v>285</v>
      </c>
      <c r="J215" s="395" t="s">
        <v>166</v>
      </c>
      <c r="K215" s="190" t="s">
        <v>210</v>
      </c>
      <c r="L215" s="390" t="s">
        <v>262</v>
      </c>
      <c r="M215" s="178"/>
      <c r="N215" s="396"/>
      <c r="O215" s="412"/>
    </row>
    <row r="216" spans="1:16" s="190" customFormat="1" ht="15" customHeight="1">
      <c r="A216" s="479">
        <v>44769</v>
      </c>
      <c r="B216" s="292" t="s">
        <v>445</v>
      </c>
      <c r="C216" s="309" t="s">
        <v>34</v>
      </c>
      <c r="D216" s="294" t="s">
        <v>244</v>
      </c>
      <c r="E216" s="320"/>
      <c r="F216" s="378">
        <v>47500</v>
      </c>
      <c r="G216" s="389">
        <f>+G215+E216-F216</f>
        <v>4887027</v>
      </c>
      <c r="H216" s="292" t="s">
        <v>48</v>
      </c>
      <c r="I216" s="178" t="s">
        <v>285</v>
      </c>
      <c r="J216" s="190" t="s">
        <v>166</v>
      </c>
      <c r="K216" s="190" t="s">
        <v>210</v>
      </c>
      <c r="L216" s="390" t="s">
        <v>262</v>
      </c>
      <c r="N216" s="391"/>
      <c r="O216" s="292"/>
      <c r="P216" s="292"/>
    </row>
    <row r="217" spans="1:16" s="190" customFormat="1" ht="15" customHeight="1">
      <c r="A217" s="475">
        <v>44769</v>
      </c>
      <c r="B217" s="280" t="s">
        <v>446</v>
      </c>
      <c r="C217" s="292" t="s">
        <v>76</v>
      </c>
      <c r="D217" s="294"/>
      <c r="E217" s="297"/>
      <c r="F217" s="378">
        <v>22500</v>
      </c>
      <c r="G217" s="389">
        <f>+G216+E217-F217</f>
        <v>4864527</v>
      </c>
      <c r="H217" s="280" t="s">
        <v>48</v>
      </c>
      <c r="I217" s="280"/>
      <c r="J217" s="305"/>
      <c r="K217" s="292"/>
      <c r="L217" s="280"/>
      <c r="M217" s="292"/>
      <c r="N217" s="328"/>
      <c r="O217" s="280"/>
      <c r="P217" s="292"/>
    </row>
    <row r="218" spans="1:16" s="190" customFormat="1" ht="15" customHeight="1">
      <c r="A218" s="475">
        <v>44769</v>
      </c>
      <c r="B218" s="299" t="s">
        <v>447</v>
      </c>
      <c r="C218" s="190" t="s">
        <v>157</v>
      </c>
      <c r="D218" s="294" t="s">
        <v>244</v>
      </c>
      <c r="E218" s="297"/>
      <c r="F218" s="378">
        <v>6750</v>
      </c>
      <c r="G218" s="389">
        <f>+G217+E218-F218</f>
        <v>4857777</v>
      </c>
      <c r="H218" s="280" t="s">
        <v>48</v>
      </c>
      <c r="I218" s="178" t="s">
        <v>285</v>
      </c>
      <c r="J218" s="395" t="s">
        <v>166</v>
      </c>
      <c r="K218" s="190" t="s">
        <v>210</v>
      </c>
      <c r="L218" s="390" t="s">
        <v>262</v>
      </c>
      <c r="M218" s="292"/>
      <c r="N218" s="295"/>
      <c r="O218" s="280"/>
      <c r="P218" s="292"/>
    </row>
    <row r="219" spans="1:16" s="190" customFormat="1" ht="15" customHeight="1">
      <c r="A219" s="476">
        <v>44770</v>
      </c>
      <c r="B219" s="419" t="s">
        <v>30</v>
      </c>
      <c r="C219" s="390" t="s">
        <v>76</v>
      </c>
      <c r="D219" s="386"/>
      <c r="E219" s="398"/>
      <c r="F219" s="398">
        <v>60000</v>
      </c>
      <c r="G219" s="389">
        <f>+G218+E219-F219</f>
        <v>4797777</v>
      </c>
      <c r="H219" s="419" t="s">
        <v>25</v>
      </c>
      <c r="I219" s="390"/>
      <c r="J219" s="395"/>
      <c r="L219" s="390"/>
      <c r="M219" s="178"/>
      <c r="N219" s="396"/>
      <c r="O219" s="419"/>
    </row>
    <row r="220" spans="1:16" s="190" customFormat="1" ht="15" customHeight="1">
      <c r="A220" s="479">
        <v>44770</v>
      </c>
      <c r="B220" s="292" t="s">
        <v>29</v>
      </c>
      <c r="C220" s="309" t="s">
        <v>76</v>
      </c>
      <c r="D220" s="326"/>
      <c r="E220" s="320"/>
      <c r="F220" s="378">
        <v>60000</v>
      </c>
      <c r="G220" s="389">
        <f>+G219+E220-F220</f>
        <v>4737777</v>
      </c>
      <c r="H220" s="292" t="s">
        <v>25</v>
      </c>
      <c r="I220" s="305"/>
      <c r="J220" s="292"/>
      <c r="K220" s="292"/>
      <c r="L220" s="280"/>
      <c r="M220" s="292"/>
      <c r="N220" s="295"/>
      <c r="O220" s="292"/>
      <c r="P220" s="292"/>
    </row>
    <row r="221" spans="1:16" s="190" customFormat="1" ht="15" customHeight="1">
      <c r="A221" s="480">
        <v>44770</v>
      </c>
      <c r="B221" s="292" t="s">
        <v>31</v>
      </c>
      <c r="C221" s="292" t="s">
        <v>76</v>
      </c>
      <c r="D221" s="307"/>
      <c r="E221" s="318"/>
      <c r="F221" s="289">
        <v>56000</v>
      </c>
      <c r="G221" s="389">
        <f>+G220+E221-F221</f>
        <v>4681777</v>
      </c>
      <c r="H221" s="292" t="s">
        <v>25</v>
      </c>
      <c r="I221" s="280"/>
      <c r="J221" s="305"/>
      <c r="K221" s="292"/>
      <c r="L221" s="280"/>
      <c r="M221" s="292"/>
      <c r="N221" s="295"/>
      <c r="O221" s="292"/>
      <c r="P221" s="292"/>
    </row>
    <row r="222" spans="1:16" s="190" customFormat="1" ht="15" customHeight="1">
      <c r="A222" s="475">
        <v>44770</v>
      </c>
      <c r="B222" s="334" t="s">
        <v>325</v>
      </c>
      <c r="C222" s="292" t="s">
        <v>226</v>
      </c>
      <c r="D222" s="386" t="s">
        <v>241</v>
      </c>
      <c r="E222" s="280"/>
      <c r="F222" s="378">
        <v>5280</v>
      </c>
      <c r="G222" s="389">
        <f>+G221+E222-F222</f>
        <v>4676497</v>
      </c>
      <c r="H222" s="292" t="s">
        <v>25</v>
      </c>
      <c r="I222" s="178" t="s">
        <v>285</v>
      </c>
      <c r="J222" s="280" t="s">
        <v>166</v>
      </c>
      <c r="K222" s="280" t="s">
        <v>211</v>
      </c>
      <c r="L222" s="280" t="s">
        <v>262</v>
      </c>
      <c r="M222" s="178" t="s">
        <v>554</v>
      </c>
      <c r="N222" s="295" t="s">
        <v>263</v>
      </c>
      <c r="O222" s="280"/>
      <c r="P222" s="292"/>
    </row>
    <row r="223" spans="1:16" s="190" customFormat="1" ht="15" customHeight="1">
      <c r="A223" s="475">
        <v>44770</v>
      </c>
      <c r="B223" s="280" t="s">
        <v>326</v>
      </c>
      <c r="C223" s="292" t="s">
        <v>140</v>
      </c>
      <c r="D223" s="386" t="s">
        <v>241</v>
      </c>
      <c r="E223" s="297"/>
      <c r="F223" s="378">
        <v>45050</v>
      </c>
      <c r="G223" s="389">
        <f>+G222+E223-F223</f>
        <v>4631447</v>
      </c>
      <c r="H223" s="280" t="s">
        <v>25</v>
      </c>
      <c r="I223" s="178" t="s">
        <v>285</v>
      </c>
      <c r="J223" s="305" t="s">
        <v>166</v>
      </c>
      <c r="K223" s="292" t="s">
        <v>211</v>
      </c>
      <c r="L223" s="280" t="s">
        <v>262</v>
      </c>
      <c r="M223" s="178" t="s">
        <v>555</v>
      </c>
      <c r="N223" s="288" t="s">
        <v>264</v>
      </c>
      <c r="O223" s="280"/>
      <c r="P223" s="292"/>
    </row>
    <row r="224" spans="1:16" s="474" customFormat="1">
      <c r="A224" s="481">
        <v>44770</v>
      </c>
      <c r="B224" s="420" t="s">
        <v>327</v>
      </c>
      <c r="C224" s="190" t="s">
        <v>3</v>
      </c>
      <c r="D224" s="386" t="s">
        <v>241</v>
      </c>
      <c r="E224" s="418"/>
      <c r="F224" s="388">
        <v>20000</v>
      </c>
      <c r="G224" s="389">
        <f>+G223+E224-F224</f>
        <v>4611447</v>
      </c>
      <c r="H224" s="390" t="s">
        <v>25</v>
      </c>
      <c r="I224" s="178" t="s">
        <v>285</v>
      </c>
      <c r="J224" s="390" t="s">
        <v>166</v>
      </c>
      <c r="K224" s="190" t="s">
        <v>210</v>
      </c>
      <c r="L224" s="390" t="s">
        <v>262</v>
      </c>
      <c r="M224" s="178"/>
      <c r="N224" s="391"/>
      <c r="O224" s="390"/>
      <c r="P224" s="190"/>
    </row>
    <row r="225" spans="1:16" s="474" customFormat="1">
      <c r="A225" s="480">
        <v>44770</v>
      </c>
      <c r="B225" s="309" t="s">
        <v>225</v>
      </c>
      <c r="C225" s="292" t="s">
        <v>76</v>
      </c>
      <c r="D225" s="294"/>
      <c r="E225" s="310"/>
      <c r="F225" s="300">
        <v>2500</v>
      </c>
      <c r="G225" s="389">
        <f>+G224+E225-F225</f>
        <v>4608947</v>
      </c>
      <c r="H225" s="311" t="s">
        <v>25</v>
      </c>
      <c r="I225" s="280"/>
      <c r="J225" s="280"/>
      <c r="K225" s="280"/>
      <c r="L225" s="280"/>
      <c r="M225" s="292"/>
      <c r="N225" s="295"/>
      <c r="O225" s="292"/>
      <c r="P225" s="292"/>
    </row>
    <row r="226" spans="1:16" s="474" customFormat="1">
      <c r="A226" s="477">
        <v>44770</v>
      </c>
      <c r="B226" s="190" t="s">
        <v>328</v>
      </c>
      <c r="C226" s="190" t="s">
        <v>329</v>
      </c>
      <c r="D226" s="386" t="s">
        <v>241</v>
      </c>
      <c r="E226" s="387"/>
      <c r="F226" s="416">
        <v>20000</v>
      </c>
      <c r="G226" s="389">
        <f>+G225+E226-F226</f>
        <v>4588947</v>
      </c>
      <c r="H226" s="190" t="s">
        <v>25</v>
      </c>
      <c r="I226" s="178" t="s">
        <v>285</v>
      </c>
      <c r="J226" s="390" t="s">
        <v>166</v>
      </c>
      <c r="K226" s="390" t="s">
        <v>210</v>
      </c>
      <c r="L226" s="390" t="s">
        <v>262</v>
      </c>
      <c r="M226" s="178"/>
      <c r="N226" s="391"/>
      <c r="O226" s="190"/>
      <c r="P226" s="419"/>
    </row>
    <row r="227" spans="1:16" s="474" customFormat="1">
      <c r="A227" s="476">
        <v>44770</v>
      </c>
      <c r="B227" s="390" t="s">
        <v>362</v>
      </c>
      <c r="C227" s="390" t="s">
        <v>228</v>
      </c>
      <c r="D227" s="386" t="s">
        <v>4</v>
      </c>
      <c r="E227" s="398"/>
      <c r="F227" s="398">
        <v>70500</v>
      </c>
      <c r="G227" s="389">
        <f>+G226+E227-F227</f>
        <v>4518447</v>
      </c>
      <c r="H227" s="390" t="s">
        <v>49</v>
      </c>
      <c r="I227" s="190" t="s">
        <v>248</v>
      </c>
      <c r="J227" s="390" t="s">
        <v>166</v>
      </c>
      <c r="K227" s="390" t="s">
        <v>210</v>
      </c>
      <c r="L227" s="390" t="s">
        <v>262</v>
      </c>
      <c r="M227" s="190"/>
      <c r="N227" s="396"/>
      <c r="O227" s="390"/>
      <c r="P227" s="190"/>
    </row>
    <row r="228" spans="1:16" s="474" customFormat="1">
      <c r="A228" s="476">
        <v>44770</v>
      </c>
      <c r="B228" s="392" t="s">
        <v>363</v>
      </c>
      <c r="C228" s="190" t="s">
        <v>76</v>
      </c>
      <c r="D228" s="386"/>
      <c r="E228" s="387">
        <v>60000</v>
      </c>
      <c r="F228" s="388"/>
      <c r="G228" s="389">
        <f>+G227+E228-F228</f>
        <v>4578447</v>
      </c>
      <c r="H228" s="390" t="s">
        <v>49</v>
      </c>
      <c r="I228" s="190"/>
      <c r="J228" s="390"/>
      <c r="K228" s="390"/>
      <c r="L228" s="390"/>
      <c r="M228" s="178"/>
      <c r="N228" s="391"/>
      <c r="O228" s="190"/>
      <c r="P228" s="419"/>
    </row>
    <row r="229" spans="1:16" s="474" customFormat="1">
      <c r="A229" s="476">
        <v>44770</v>
      </c>
      <c r="B229" s="190" t="s">
        <v>375</v>
      </c>
      <c r="C229" s="190" t="s">
        <v>366</v>
      </c>
      <c r="D229" s="404"/>
      <c r="E229" s="398">
        <v>20000</v>
      </c>
      <c r="F229" s="388"/>
      <c r="G229" s="389">
        <f>+G228+E229-F229</f>
        <v>4598447</v>
      </c>
      <c r="H229" s="390" t="s">
        <v>209</v>
      </c>
      <c r="I229" s="190"/>
      <c r="J229" s="390"/>
      <c r="K229" s="190"/>
      <c r="L229" s="390"/>
      <c r="M229" s="190"/>
      <c r="N229" s="391"/>
      <c r="O229" s="390"/>
      <c r="P229" s="190"/>
    </row>
    <row r="230" spans="1:16" s="474" customFormat="1">
      <c r="A230" s="476">
        <v>44770</v>
      </c>
      <c r="B230" s="190" t="s">
        <v>376</v>
      </c>
      <c r="C230" s="190" t="s">
        <v>157</v>
      </c>
      <c r="D230" s="294" t="s">
        <v>244</v>
      </c>
      <c r="E230" s="406"/>
      <c r="F230" s="397">
        <v>30100</v>
      </c>
      <c r="G230" s="389">
        <f>+G229+E230-F230</f>
        <v>4568347</v>
      </c>
      <c r="H230" s="190" t="s">
        <v>209</v>
      </c>
      <c r="I230" s="178" t="s">
        <v>285</v>
      </c>
      <c r="J230" s="190" t="s">
        <v>166</v>
      </c>
      <c r="K230" s="190" t="s">
        <v>210</v>
      </c>
      <c r="L230" s="390" t="s">
        <v>262</v>
      </c>
      <c r="M230" s="178"/>
      <c r="N230" s="425"/>
      <c r="O230" s="190"/>
      <c r="P230" s="190"/>
    </row>
    <row r="231" spans="1:16" s="474" customFormat="1">
      <c r="A231" s="476">
        <v>44770</v>
      </c>
      <c r="B231" s="395" t="s">
        <v>384</v>
      </c>
      <c r="C231" s="190" t="s">
        <v>76</v>
      </c>
      <c r="D231" s="386"/>
      <c r="E231" s="387">
        <v>2500</v>
      </c>
      <c r="F231" s="388"/>
      <c r="G231" s="389">
        <f>+G230+E231-F231</f>
        <v>4570847</v>
      </c>
      <c r="H231" s="390" t="s">
        <v>225</v>
      </c>
      <c r="I231" s="390"/>
      <c r="J231" s="395"/>
      <c r="K231" s="390"/>
      <c r="L231" s="390"/>
      <c r="M231" s="178"/>
      <c r="N231" s="396"/>
      <c r="O231" s="190"/>
      <c r="P231" s="190"/>
    </row>
    <row r="232" spans="1:16" s="474" customFormat="1">
      <c r="A232" s="481">
        <v>44770</v>
      </c>
      <c r="B232" s="409" t="s">
        <v>401</v>
      </c>
      <c r="C232" s="409" t="s">
        <v>76</v>
      </c>
      <c r="D232" s="395"/>
      <c r="E232" s="393">
        <v>56000</v>
      </c>
      <c r="F232" s="418"/>
      <c r="G232" s="389">
        <f>+G231+E232-F232</f>
        <v>4626847</v>
      </c>
      <c r="H232" s="411" t="s">
        <v>31</v>
      </c>
      <c r="I232" s="190"/>
      <c r="J232" s="395"/>
      <c r="K232" s="395"/>
      <c r="L232" s="390"/>
      <c r="M232" s="190"/>
      <c r="N232" s="391"/>
      <c r="O232" s="190"/>
      <c r="P232" s="190"/>
    </row>
    <row r="233" spans="1:16" s="474" customFormat="1">
      <c r="A233" s="481">
        <v>44770</v>
      </c>
      <c r="B233" s="190" t="s">
        <v>402</v>
      </c>
      <c r="C233" s="190" t="s">
        <v>157</v>
      </c>
      <c r="D233" s="294" t="s">
        <v>244</v>
      </c>
      <c r="E233" s="393"/>
      <c r="F233" s="465">
        <v>18000</v>
      </c>
      <c r="G233" s="389">
        <f>+G232+E233-F233</f>
        <v>4608847</v>
      </c>
      <c r="H233" s="411" t="s">
        <v>31</v>
      </c>
      <c r="I233" s="178" t="s">
        <v>285</v>
      </c>
      <c r="J233" s="190" t="s">
        <v>166</v>
      </c>
      <c r="K233" s="190" t="s">
        <v>210</v>
      </c>
      <c r="L233" s="390" t="s">
        <v>262</v>
      </c>
      <c r="M233" s="190"/>
      <c r="N233" s="391"/>
      <c r="O233" s="190"/>
      <c r="P233" s="190"/>
    </row>
    <row r="234" spans="1:16" s="474" customFormat="1">
      <c r="A234" s="476">
        <v>44770</v>
      </c>
      <c r="B234" s="390" t="s">
        <v>448</v>
      </c>
      <c r="C234" s="190" t="s">
        <v>76</v>
      </c>
      <c r="D234" s="386"/>
      <c r="E234" s="398"/>
      <c r="F234" s="388">
        <v>20000</v>
      </c>
      <c r="G234" s="389">
        <f>+G233+E234-F234</f>
        <v>4588847</v>
      </c>
      <c r="H234" s="390" t="s">
        <v>48</v>
      </c>
      <c r="I234" s="390"/>
      <c r="J234" s="390"/>
      <c r="K234" s="390"/>
      <c r="L234" s="390"/>
      <c r="M234" s="178"/>
      <c r="N234" s="391"/>
      <c r="O234" s="390"/>
      <c r="P234" s="190"/>
    </row>
    <row r="235" spans="1:16" s="474" customFormat="1" ht="16.5">
      <c r="A235" s="476">
        <v>44770</v>
      </c>
      <c r="B235" s="178" t="s">
        <v>257</v>
      </c>
      <c r="C235" s="178" t="s">
        <v>76</v>
      </c>
      <c r="D235" s="473"/>
      <c r="E235" s="471">
        <v>60000</v>
      </c>
      <c r="F235" s="471"/>
      <c r="G235" s="389">
        <f>+G234+E235-F235</f>
        <v>4648847</v>
      </c>
      <c r="H235" s="471" t="s">
        <v>29</v>
      </c>
      <c r="I235" s="471"/>
      <c r="J235" s="471"/>
      <c r="K235" s="471"/>
      <c r="L235" s="471"/>
      <c r="M235" s="471"/>
      <c r="N235" s="471"/>
      <c r="O235" s="471"/>
      <c r="P235" s="471"/>
    </row>
    <row r="236" spans="1:16" s="474" customFormat="1">
      <c r="A236" s="476">
        <v>44771</v>
      </c>
      <c r="B236" s="190" t="s">
        <v>243</v>
      </c>
      <c r="C236" s="190" t="s">
        <v>76</v>
      </c>
      <c r="D236" s="386"/>
      <c r="E236" s="393"/>
      <c r="F236" s="397">
        <v>154000</v>
      </c>
      <c r="G236" s="389">
        <f>+G235+E236-F236</f>
        <v>4494847</v>
      </c>
      <c r="H236" s="190" t="s">
        <v>25</v>
      </c>
      <c r="I236" s="390"/>
      <c r="J236" s="390"/>
      <c r="K236" s="390"/>
      <c r="L236" s="390"/>
      <c r="M236" s="178"/>
      <c r="N236" s="391"/>
      <c r="O236" s="190"/>
      <c r="P236" s="190"/>
    </row>
    <row r="237" spans="1:16" s="474" customFormat="1">
      <c r="A237" s="475">
        <v>44771</v>
      </c>
      <c r="B237" s="280" t="s">
        <v>209</v>
      </c>
      <c r="C237" s="292" t="s">
        <v>76</v>
      </c>
      <c r="D237" s="294"/>
      <c r="E237" s="289"/>
      <c r="F237" s="378">
        <v>88000</v>
      </c>
      <c r="G237" s="389">
        <f>+G236+E237-F237</f>
        <v>4406847</v>
      </c>
      <c r="H237" s="280" t="s">
        <v>25</v>
      </c>
      <c r="I237" s="280"/>
      <c r="J237" s="305"/>
      <c r="K237" s="292"/>
      <c r="L237" s="280"/>
      <c r="M237" s="178"/>
      <c r="N237" s="323"/>
      <c r="O237" s="280"/>
      <c r="P237" s="292"/>
    </row>
    <row r="238" spans="1:16" s="474" customFormat="1">
      <c r="A238" s="475">
        <v>44771</v>
      </c>
      <c r="B238" s="280" t="s">
        <v>29</v>
      </c>
      <c r="C238" s="292" t="s">
        <v>76</v>
      </c>
      <c r="D238" s="307"/>
      <c r="E238" s="289"/>
      <c r="F238" s="289">
        <v>30000</v>
      </c>
      <c r="G238" s="389">
        <f>+G237+E238-F238</f>
        <v>4376847</v>
      </c>
      <c r="H238" s="280" t="s">
        <v>25</v>
      </c>
      <c r="I238" s="280"/>
      <c r="J238" s="305"/>
      <c r="K238" s="292"/>
      <c r="L238" s="280"/>
      <c r="M238" s="178"/>
      <c r="N238" s="295"/>
      <c r="O238" s="280"/>
      <c r="P238" s="292"/>
    </row>
    <row r="239" spans="1:16" s="474" customFormat="1">
      <c r="A239" s="475">
        <v>44771</v>
      </c>
      <c r="B239" s="303" t="s">
        <v>330</v>
      </c>
      <c r="C239" s="292" t="s">
        <v>226</v>
      </c>
      <c r="D239" s="386" t="s">
        <v>241</v>
      </c>
      <c r="E239" s="280"/>
      <c r="F239" s="297">
        <v>8160</v>
      </c>
      <c r="G239" s="389">
        <f>+G238+E239-F239</f>
        <v>4368687</v>
      </c>
      <c r="H239" s="292" t="s">
        <v>25</v>
      </c>
      <c r="I239" s="178" t="s">
        <v>285</v>
      </c>
      <c r="J239" s="280" t="s">
        <v>166</v>
      </c>
      <c r="K239" s="280" t="s">
        <v>211</v>
      </c>
      <c r="L239" s="280" t="s">
        <v>262</v>
      </c>
      <c r="M239" s="178" t="s">
        <v>556</v>
      </c>
      <c r="N239" s="295" t="s">
        <v>263</v>
      </c>
      <c r="O239" s="280"/>
      <c r="P239" s="292"/>
    </row>
    <row r="240" spans="1:16" s="471" customFormat="1" ht="16.5">
      <c r="A240" s="475">
        <v>44771</v>
      </c>
      <c r="B240" s="292" t="s">
        <v>331</v>
      </c>
      <c r="C240" s="292" t="s">
        <v>76</v>
      </c>
      <c r="D240" s="305"/>
      <c r="E240" s="318">
        <v>200000</v>
      </c>
      <c r="F240" s="289"/>
      <c r="G240" s="389">
        <f>+G239+E240-F240</f>
        <v>4568687</v>
      </c>
      <c r="H240" s="292" t="s">
        <v>25</v>
      </c>
      <c r="I240" s="292"/>
      <c r="J240" s="305"/>
      <c r="K240" s="292"/>
      <c r="L240" s="280"/>
      <c r="M240" s="292"/>
      <c r="N240" s="295"/>
      <c r="O240" s="292"/>
      <c r="P240" s="292"/>
    </row>
    <row r="241" spans="1:16" s="474" customFormat="1">
      <c r="A241" s="475">
        <v>44771</v>
      </c>
      <c r="B241" s="292" t="s">
        <v>457</v>
      </c>
      <c r="C241" s="292" t="s">
        <v>227</v>
      </c>
      <c r="D241" s="294" t="s">
        <v>164</v>
      </c>
      <c r="E241" s="318"/>
      <c r="F241" s="289">
        <v>76000</v>
      </c>
      <c r="G241" s="389">
        <f>+G240+E241-F241</f>
        <v>4492687</v>
      </c>
      <c r="H241" s="292" t="s">
        <v>25</v>
      </c>
      <c r="I241" s="178" t="s">
        <v>285</v>
      </c>
      <c r="J241" s="305" t="s">
        <v>166</v>
      </c>
      <c r="K241" s="292" t="s">
        <v>211</v>
      </c>
      <c r="L241" s="280" t="s">
        <v>262</v>
      </c>
      <c r="M241" s="178" t="s">
        <v>557</v>
      </c>
      <c r="N241" s="288" t="s">
        <v>265</v>
      </c>
      <c r="O241" s="292"/>
      <c r="P241" s="292"/>
    </row>
    <row r="242" spans="1:16" s="474" customFormat="1">
      <c r="A242" s="475">
        <v>44771</v>
      </c>
      <c r="B242" s="292" t="s">
        <v>341</v>
      </c>
      <c r="C242" s="292" t="s">
        <v>227</v>
      </c>
      <c r="D242" s="294" t="s">
        <v>164</v>
      </c>
      <c r="E242" s="292"/>
      <c r="F242" s="292">
        <v>200000</v>
      </c>
      <c r="G242" s="389">
        <f>+G241+E242-F242</f>
        <v>4292687</v>
      </c>
      <c r="H242" s="292" t="s">
        <v>158</v>
      </c>
      <c r="I242" s="305">
        <v>3667229</v>
      </c>
      <c r="J242" s="305" t="s">
        <v>103</v>
      </c>
      <c r="K242" s="292" t="s">
        <v>211</v>
      </c>
      <c r="L242" s="280" t="s">
        <v>262</v>
      </c>
      <c r="M242" s="178" t="s">
        <v>558</v>
      </c>
      <c r="N242" s="288" t="s">
        <v>265</v>
      </c>
      <c r="O242" s="280"/>
      <c r="P242" s="292"/>
    </row>
    <row r="243" spans="1:16" s="474" customFormat="1">
      <c r="A243" s="475">
        <v>44771</v>
      </c>
      <c r="B243" s="303" t="s">
        <v>342</v>
      </c>
      <c r="C243" s="292" t="s">
        <v>454</v>
      </c>
      <c r="D243" s="451"/>
      <c r="E243" s="316">
        <v>20402887</v>
      </c>
      <c r="F243" s="316"/>
      <c r="G243" s="389">
        <f>+G242+E243-F243</f>
        <v>24695574</v>
      </c>
      <c r="H243" s="292" t="s">
        <v>158</v>
      </c>
      <c r="I243" s="305" t="s">
        <v>249</v>
      </c>
      <c r="J243" s="280" t="s">
        <v>103</v>
      </c>
      <c r="K243" s="292"/>
      <c r="L243" s="280"/>
      <c r="M243" s="292"/>
      <c r="N243" s="288"/>
      <c r="O243" s="292"/>
      <c r="P243" s="292"/>
    </row>
    <row r="244" spans="1:16" s="292" customFormat="1" ht="15" customHeight="1">
      <c r="A244" s="476">
        <v>44771</v>
      </c>
      <c r="B244" s="190" t="s">
        <v>364</v>
      </c>
      <c r="C244" s="190" t="s">
        <v>157</v>
      </c>
      <c r="D244" s="386" t="s">
        <v>4</v>
      </c>
      <c r="E244" s="387"/>
      <c r="F244" s="416">
        <v>30000</v>
      </c>
      <c r="G244" s="389">
        <f>+G243+E244-F244</f>
        <v>24665574</v>
      </c>
      <c r="H244" s="190" t="s">
        <v>49</v>
      </c>
      <c r="I244" s="178" t="s">
        <v>285</v>
      </c>
      <c r="J244" s="390" t="s">
        <v>166</v>
      </c>
      <c r="K244" s="390" t="s">
        <v>211</v>
      </c>
      <c r="L244" s="390" t="s">
        <v>262</v>
      </c>
      <c r="M244" s="178" t="s">
        <v>559</v>
      </c>
      <c r="N244" s="391" t="s">
        <v>274</v>
      </c>
      <c r="O244" s="190"/>
      <c r="P244" s="190"/>
    </row>
    <row r="245" spans="1:16" s="292" customFormat="1" ht="15" customHeight="1">
      <c r="A245" s="477">
        <v>44771</v>
      </c>
      <c r="B245" s="401" t="s">
        <v>260</v>
      </c>
      <c r="C245" s="190" t="s">
        <v>34</v>
      </c>
      <c r="D245" s="386" t="s">
        <v>4</v>
      </c>
      <c r="E245" s="402"/>
      <c r="F245" s="402">
        <v>10000</v>
      </c>
      <c r="G245" s="389">
        <f>+G244+E245-F245</f>
        <v>24655574</v>
      </c>
      <c r="H245" s="403" t="s">
        <v>49</v>
      </c>
      <c r="I245" s="178" t="s">
        <v>285</v>
      </c>
      <c r="J245" s="190" t="s">
        <v>166</v>
      </c>
      <c r="K245" s="190" t="s">
        <v>211</v>
      </c>
      <c r="L245" s="390" t="s">
        <v>262</v>
      </c>
      <c r="M245" s="178" t="s">
        <v>560</v>
      </c>
      <c r="N245" s="391" t="s">
        <v>273</v>
      </c>
      <c r="O245" s="390"/>
      <c r="P245" s="190"/>
    </row>
    <row r="246" spans="1:16" s="292" customFormat="1" ht="15" customHeight="1">
      <c r="A246" s="477">
        <v>44771</v>
      </c>
      <c r="B246" s="401" t="s">
        <v>365</v>
      </c>
      <c r="C246" s="190" t="s">
        <v>34</v>
      </c>
      <c r="D246" s="386" t="s">
        <v>4</v>
      </c>
      <c r="E246" s="402"/>
      <c r="F246" s="424">
        <v>91000</v>
      </c>
      <c r="G246" s="389">
        <f>+G245+E246-F246</f>
        <v>24564574</v>
      </c>
      <c r="H246" s="403" t="s">
        <v>49</v>
      </c>
      <c r="I246" s="190" t="s">
        <v>248</v>
      </c>
      <c r="J246" s="190" t="s">
        <v>166</v>
      </c>
      <c r="K246" s="190" t="s">
        <v>211</v>
      </c>
      <c r="L246" s="390" t="s">
        <v>262</v>
      </c>
      <c r="M246" s="178" t="s">
        <v>561</v>
      </c>
      <c r="N246" s="391" t="s">
        <v>273</v>
      </c>
      <c r="O246" s="390"/>
      <c r="P246" s="190"/>
    </row>
    <row r="247" spans="1:16" s="292" customFormat="1" ht="15" customHeight="1">
      <c r="A247" s="477">
        <v>44771</v>
      </c>
      <c r="B247" s="190" t="s">
        <v>377</v>
      </c>
      <c r="C247" s="190" t="s">
        <v>157</v>
      </c>
      <c r="D247" s="294" t="s">
        <v>244</v>
      </c>
      <c r="E247" s="387"/>
      <c r="F247" s="416">
        <v>2000</v>
      </c>
      <c r="G247" s="389">
        <f>+G246+E247-F247</f>
        <v>24562574</v>
      </c>
      <c r="H247" s="190" t="s">
        <v>209</v>
      </c>
      <c r="I247" s="178" t="s">
        <v>285</v>
      </c>
      <c r="J247" s="190" t="s">
        <v>166</v>
      </c>
      <c r="K247" s="190" t="s">
        <v>210</v>
      </c>
      <c r="L247" s="390" t="s">
        <v>262</v>
      </c>
      <c r="O247" s="190"/>
      <c r="P247" s="419"/>
    </row>
    <row r="248" spans="1:16" s="190" customFormat="1" ht="15" customHeight="1">
      <c r="A248" s="477">
        <v>44771</v>
      </c>
      <c r="B248" s="386" t="s">
        <v>261</v>
      </c>
      <c r="C248" s="190" t="s">
        <v>366</v>
      </c>
      <c r="D248" s="462"/>
      <c r="E248" s="387">
        <v>88000</v>
      </c>
      <c r="F248" s="397"/>
      <c r="G248" s="389">
        <f>+G247+E248-F248</f>
        <v>24650574</v>
      </c>
      <c r="H248" s="411" t="s">
        <v>209</v>
      </c>
      <c r="J248" s="390"/>
      <c r="L248" s="390"/>
      <c r="N248" s="391"/>
    </row>
    <row r="249" spans="1:16" s="292" customFormat="1" ht="15" customHeight="1">
      <c r="A249" s="476">
        <v>44771</v>
      </c>
      <c r="B249" s="390" t="s">
        <v>378</v>
      </c>
      <c r="C249" s="190" t="s">
        <v>379</v>
      </c>
      <c r="D249" s="386" t="s">
        <v>164</v>
      </c>
      <c r="E249" s="398"/>
      <c r="F249" s="388">
        <v>19000</v>
      </c>
      <c r="G249" s="389">
        <f>+G248+E249-F249</f>
        <v>24631574</v>
      </c>
      <c r="H249" s="390" t="s">
        <v>209</v>
      </c>
      <c r="I249" s="190" t="s">
        <v>248</v>
      </c>
      <c r="J249" s="395" t="s">
        <v>166</v>
      </c>
      <c r="K249" s="395" t="s">
        <v>210</v>
      </c>
      <c r="L249" s="390" t="s">
        <v>262</v>
      </c>
      <c r="M249" s="178"/>
      <c r="N249" s="391"/>
      <c r="O249" s="390"/>
      <c r="P249" s="190"/>
    </row>
    <row r="250" spans="1:16" s="190" customFormat="1" ht="15" customHeight="1">
      <c r="A250" s="476">
        <v>44771</v>
      </c>
      <c r="B250" s="390" t="s">
        <v>391</v>
      </c>
      <c r="C250" s="190" t="s">
        <v>157</v>
      </c>
      <c r="D250" s="404" t="s">
        <v>164</v>
      </c>
      <c r="E250" s="397"/>
      <c r="F250" s="394">
        <v>15000</v>
      </c>
      <c r="G250" s="389">
        <f>+G249+E250-F250</f>
        <v>24616574</v>
      </c>
      <c r="H250" s="390" t="s">
        <v>225</v>
      </c>
      <c r="I250" s="190" t="s">
        <v>248</v>
      </c>
      <c r="J250" s="395" t="s">
        <v>166</v>
      </c>
      <c r="K250" s="395" t="s">
        <v>210</v>
      </c>
      <c r="L250" s="390" t="s">
        <v>262</v>
      </c>
      <c r="N250" s="396"/>
      <c r="O250" s="390"/>
    </row>
    <row r="251" spans="1:16" s="292" customFormat="1" ht="15" customHeight="1">
      <c r="A251" s="477">
        <v>44771</v>
      </c>
      <c r="B251" s="401" t="s">
        <v>392</v>
      </c>
      <c r="C251" s="190" t="s">
        <v>34</v>
      </c>
      <c r="D251" s="386" t="s">
        <v>164</v>
      </c>
      <c r="E251" s="402"/>
      <c r="F251" s="388">
        <v>58500</v>
      </c>
      <c r="G251" s="389">
        <f>+G250+E251-F251</f>
        <v>24558074</v>
      </c>
      <c r="H251" s="403" t="s">
        <v>225</v>
      </c>
      <c r="I251" s="190" t="s">
        <v>248</v>
      </c>
      <c r="J251" s="395" t="s">
        <v>166</v>
      </c>
      <c r="K251" s="395" t="s">
        <v>210</v>
      </c>
      <c r="L251" s="390" t="s">
        <v>262</v>
      </c>
      <c r="M251" s="190"/>
      <c r="N251" s="396"/>
      <c r="O251" s="390"/>
      <c r="P251" s="190"/>
    </row>
    <row r="252" spans="1:16" s="292" customFormat="1" ht="15" customHeight="1">
      <c r="A252" s="476">
        <v>44771</v>
      </c>
      <c r="B252" s="390" t="s">
        <v>403</v>
      </c>
      <c r="C252" s="190" t="s">
        <v>157</v>
      </c>
      <c r="D252" s="392" t="s">
        <v>165</v>
      </c>
      <c r="E252" s="397"/>
      <c r="F252" s="388">
        <v>60000</v>
      </c>
      <c r="G252" s="389">
        <f>+G251+E252-F252</f>
        <v>24498074</v>
      </c>
      <c r="H252" s="390" t="s">
        <v>31</v>
      </c>
      <c r="I252" s="178" t="s">
        <v>285</v>
      </c>
      <c r="J252" s="395" t="s">
        <v>166</v>
      </c>
      <c r="K252" s="395" t="s">
        <v>211</v>
      </c>
      <c r="L252" s="390" t="s">
        <v>262</v>
      </c>
      <c r="M252" s="178" t="s">
        <v>563</v>
      </c>
      <c r="N252" s="391" t="s">
        <v>274</v>
      </c>
      <c r="O252" s="390"/>
      <c r="P252" s="190"/>
    </row>
    <row r="253" spans="1:16" s="190" customFormat="1" ht="15" customHeight="1">
      <c r="A253" s="476">
        <v>44771</v>
      </c>
      <c r="B253" s="390" t="s">
        <v>404</v>
      </c>
      <c r="C253" s="190" t="s">
        <v>34</v>
      </c>
      <c r="D253" s="386" t="s">
        <v>165</v>
      </c>
      <c r="E253" s="398"/>
      <c r="F253" s="388">
        <v>10000</v>
      </c>
      <c r="G253" s="389">
        <f>+G252+E253-F253</f>
        <v>24488074</v>
      </c>
      <c r="H253" s="390" t="s">
        <v>31</v>
      </c>
      <c r="I253" s="178" t="s">
        <v>285</v>
      </c>
      <c r="J253" s="190" t="s">
        <v>166</v>
      </c>
      <c r="K253" s="190" t="s">
        <v>211</v>
      </c>
      <c r="L253" s="390" t="s">
        <v>262</v>
      </c>
      <c r="M253" s="178" t="s">
        <v>564</v>
      </c>
      <c r="N253" s="391" t="s">
        <v>273</v>
      </c>
      <c r="O253" s="390"/>
    </row>
    <row r="254" spans="1:16" s="190" customFormat="1" ht="15" customHeight="1">
      <c r="A254" s="469">
        <v>44771</v>
      </c>
      <c r="B254" s="178" t="s">
        <v>438</v>
      </c>
      <c r="C254" s="178" t="s">
        <v>228</v>
      </c>
      <c r="D254" s="473" t="s">
        <v>4</v>
      </c>
      <c r="E254" s="474"/>
      <c r="F254" s="196">
        <v>80000</v>
      </c>
      <c r="G254" s="389">
        <f>+G253+E254-F254</f>
        <v>24408074</v>
      </c>
      <c r="H254" s="474" t="s">
        <v>29</v>
      </c>
      <c r="I254" s="190" t="s">
        <v>248</v>
      </c>
      <c r="J254" s="474" t="s">
        <v>166</v>
      </c>
      <c r="K254" s="474" t="s">
        <v>210</v>
      </c>
      <c r="L254" s="474" t="s">
        <v>262</v>
      </c>
      <c r="M254" s="474"/>
      <c r="N254" s="474"/>
      <c r="O254" s="474"/>
      <c r="P254" s="474"/>
    </row>
    <row r="255" spans="1:16" s="292" customFormat="1" ht="15" customHeight="1">
      <c r="A255" s="482">
        <v>44771</v>
      </c>
      <c r="B255" s="305" t="s">
        <v>460</v>
      </c>
      <c r="C255" s="292" t="s">
        <v>34</v>
      </c>
      <c r="D255" s="305" t="s">
        <v>2</v>
      </c>
      <c r="F255" s="316">
        <v>12500</v>
      </c>
      <c r="G255" s="389">
        <f>+G254+E255-F255</f>
        <v>24395574</v>
      </c>
      <c r="H255" s="280" t="s">
        <v>114</v>
      </c>
      <c r="I255" s="190" t="s">
        <v>248</v>
      </c>
      <c r="J255" s="190" t="s">
        <v>103</v>
      </c>
      <c r="K255" s="190" t="s">
        <v>211</v>
      </c>
      <c r="L255" s="390" t="s">
        <v>262</v>
      </c>
      <c r="M255" s="178" t="s">
        <v>565</v>
      </c>
      <c r="N255" s="391" t="s">
        <v>273</v>
      </c>
    </row>
    <row r="256" spans="1:16" s="292" customFormat="1" ht="15" customHeight="1">
      <c r="A256" s="480">
        <v>44771</v>
      </c>
      <c r="B256" s="280" t="s">
        <v>253</v>
      </c>
      <c r="C256" s="292" t="s">
        <v>76</v>
      </c>
      <c r="D256" s="294"/>
      <c r="E256" s="297">
        <v>154000</v>
      </c>
      <c r="F256" s="297"/>
      <c r="G256" s="389">
        <f>+G255+E256-F256</f>
        <v>24549574</v>
      </c>
      <c r="H256" s="280" t="s">
        <v>48</v>
      </c>
      <c r="J256" s="280"/>
      <c r="L256" s="280"/>
      <c r="N256" s="288"/>
      <c r="O256" s="280"/>
    </row>
    <row r="257" spans="1:16" s="292" customFormat="1" ht="15" customHeight="1">
      <c r="A257" s="475">
        <v>44771</v>
      </c>
      <c r="B257" s="280" t="s">
        <v>449</v>
      </c>
      <c r="C257" s="280" t="s">
        <v>290</v>
      </c>
      <c r="D257" s="294" t="s">
        <v>244</v>
      </c>
      <c r="E257" s="289"/>
      <c r="F257" s="378">
        <v>40000</v>
      </c>
      <c r="G257" s="389">
        <f>+G256+E257-F257</f>
        <v>24509574</v>
      </c>
      <c r="H257" s="280" t="s">
        <v>48</v>
      </c>
      <c r="I257" s="178" t="s">
        <v>285</v>
      </c>
      <c r="J257" s="280" t="s">
        <v>166</v>
      </c>
      <c r="K257" s="280" t="s">
        <v>210</v>
      </c>
      <c r="L257" s="280" t="s">
        <v>262</v>
      </c>
      <c r="N257" s="288"/>
      <c r="O257" s="280"/>
    </row>
    <row r="258" spans="1:16" s="292" customFormat="1" ht="15" customHeight="1">
      <c r="A258" s="480">
        <v>44771</v>
      </c>
      <c r="B258" s="292" t="s">
        <v>462</v>
      </c>
      <c r="C258" s="280" t="s">
        <v>290</v>
      </c>
      <c r="D258" s="294" t="s">
        <v>244</v>
      </c>
      <c r="E258" s="318"/>
      <c r="F258" s="289">
        <v>160000</v>
      </c>
      <c r="G258" s="389">
        <f>+G257+E258-F258</f>
        <v>24349574</v>
      </c>
      <c r="H258" s="292" t="s">
        <v>48</v>
      </c>
      <c r="I258" s="178" t="s">
        <v>285</v>
      </c>
      <c r="J258" s="280" t="s">
        <v>166</v>
      </c>
      <c r="K258" s="280" t="s">
        <v>210</v>
      </c>
      <c r="L258" s="280" t="s">
        <v>262</v>
      </c>
      <c r="M258" s="178"/>
      <c r="N258" s="295"/>
    </row>
    <row r="259" spans="1:16" s="190" customFormat="1" ht="15" customHeight="1">
      <c r="A259" s="475">
        <v>44771</v>
      </c>
      <c r="B259" s="280" t="s">
        <v>453</v>
      </c>
      <c r="C259" s="292" t="s">
        <v>76</v>
      </c>
      <c r="D259" s="294"/>
      <c r="E259" s="297"/>
      <c r="F259" s="378">
        <v>200000</v>
      </c>
      <c r="G259" s="389">
        <f>+G258+E259-F259</f>
        <v>24149574</v>
      </c>
      <c r="H259" s="280" t="s">
        <v>114</v>
      </c>
      <c r="I259" s="280"/>
      <c r="J259" s="280"/>
      <c r="K259" s="280"/>
      <c r="L259" s="280"/>
      <c r="M259" s="292"/>
      <c r="N259" s="288"/>
      <c r="O259" s="280"/>
      <c r="P259" s="292"/>
    </row>
    <row r="260" spans="1:16" s="292" customFormat="1" ht="15" customHeight="1">
      <c r="A260" s="475">
        <v>44771</v>
      </c>
      <c r="B260" s="178" t="s">
        <v>576</v>
      </c>
      <c r="C260" s="178" t="s">
        <v>76</v>
      </c>
      <c r="D260" s="473"/>
      <c r="E260" s="471">
        <v>30000</v>
      </c>
      <c r="F260" s="471"/>
      <c r="G260" s="389">
        <f>+G259+E260-F260</f>
        <v>24179574</v>
      </c>
      <c r="H260" s="471" t="s">
        <v>29</v>
      </c>
      <c r="I260" s="471"/>
      <c r="J260" s="471"/>
      <c r="K260" s="471"/>
      <c r="L260" s="471"/>
      <c r="M260" s="471"/>
      <c r="N260" s="471"/>
      <c r="O260" s="471"/>
      <c r="P260" s="471"/>
    </row>
    <row r="261" spans="1:16" s="292" customFormat="1" ht="15" customHeight="1">
      <c r="A261" s="500">
        <v>44772</v>
      </c>
      <c r="B261" s="470" t="s">
        <v>439</v>
      </c>
      <c r="C261" s="470" t="s">
        <v>34</v>
      </c>
      <c r="D261" s="490" t="s">
        <v>4</v>
      </c>
      <c r="E261" s="501"/>
      <c r="F261" s="472">
        <v>10000</v>
      </c>
      <c r="G261" s="293">
        <f>+G260+E261-F261</f>
        <v>24169574</v>
      </c>
      <c r="H261" s="501" t="s">
        <v>29</v>
      </c>
      <c r="I261" s="470" t="s">
        <v>285</v>
      </c>
      <c r="J261" s="292" t="s">
        <v>166</v>
      </c>
      <c r="K261" s="292" t="s">
        <v>211</v>
      </c>
      <c r="L261" s="280" t="s">
        <v>262</v>
      </c>
      <c r="M261" s="178" t="s">
        <v>566</v>
      </c>
      <c r="N261" s="295" t="s">
        <v>273</v>
      </c>
      <c r="O261" s="501"/>
      <c r="P261" s="501"/>
    </row>
    <row r="262" spans="1:16" s="292" customFormat="1" ht="15" customHeight="1">
      <c r="A262" s="476">
        <v>44772</v>
      </c>
      <c r="B262" s="178" t="s">
        <v>437</v>
      </c>
      <c r="C262" s="178" t="s">
        <v>34</v>
      </c>
      <c r="D262" s="473" t="s">
        <v>4</v>
      </c>
      <c r="E262" s="471"/>
      <c r="F262" s="196">
        <v>88200</v>
      </c>
      <c r="G262" s="389">
        <f>+G261+E262-F262</f>
        <v>24081374</v>
      </c>
      <c r="H262" s="471" t="s">
        <v>29</v>
      </c>
      <c r="I262" s="190" t="s">
        <v>248</v>
      </c>
      <c r="J262" s="190" t="s">
        <v>166</v>
      </c>
      <c r="K262" s="190" t="s">
        <v>211</v>
      </c>
      <c r="L262" s="390" t="s">
        <v>262</v>
      </c>
      <c r="M262" s="178" t="s">
        <v>567</v>
      </c>
      <c r="N262" s="391" t="s">
        <v>273</v>
      </c>
      <c r="O262" s="471"/>
      <c r="P262" s="471"/>
    </row>
    <row r="263" spans="1:16" s="292" customFormat="1" ht="15.75" customHeight="1">
      <c r="A263" s="478">
        <v>44772</v>
      </c>
      <c r="B263" s="190" t="s">
        <v>332</v>
      </c>
      <c r="C263" s="399" t="s">
        <v>290</v>
      </c>
      <c r="D263" s="392" t="s">
        <v>165</v>
      </c>
      <c r="E263" s="422"/>
      <c r="F263" s="388">
        <v>20000</v>
      </c>
      <c r="G263" s="389">
        <f>+G262+E263-F263</f>
        <v>24061374</v>
      </c>
      <c r="H263" s="190" t="s">
        <v>25</v>
      </c>
      <c r="I263" s="390" t="s">
        <v>248</v>
      </c>
      <c r="J263" s="280" t="s">
        <v>166</v>
      </c>
      <c r="K263" s="280" t="s">
        <v>210</v>
      </c>
      <c r="L263" s="280" t="s">
        <v>262</v>
      </c>
      <c r="M263" s="178"/>
      <c r="N263" s="391"/>
      <c r="O263" s="190"/>
      <c r="P263" s="412"/>
    </row>
    <row r="264" spans="1:16" s="190" customFormat="1" ht="15.75" customHeight="1">
      <c r="A264" s="475">
        <v>44772</v>
      </c>
      <c r="B264" s="294" t="s">
        <v>31</v>
      </c>
      <c r="C264" s="280" t="s">
        <v>76</v>
      </c>
      <c r="D264" s="294"/>
      <c r="E264" s="316"/>
      <c r="F264" s="316">
        <v>25000</v>
      </c>
      <c r="G264" s="389">
        <f>+G263+E264-F264</f>
        <v>24036374</v>
      </c>
      <c r="H264" s="280" t="s">
        <v>25</v>
      </c>
      <c r="I264" s="305"/>
      <c r="J264" s="280"/>
      <c r="K264" s="292"/>
      <c r="L264" s="280"/>
      <c r="M264" s="292"/>
      <c r="N264" s="328"/>
      <c r="O264" s="280"/>
      <c r="P264" s="292"/>
    </row>
    <row r="265" spans="1:16" s="292" customFormat="1" ht="15.75" customHeight="1">
      <c r="A265" s="475">
        <v>44772</v>
      </c>
      <c r="B265" s="294" t="s">
        <v>333</v>
      </c>
      <c r="C265" s="293" t="s">
        <v>290</v>
      </c>
      <c r="D265" s="305" t="s">
        <v>165</v>
      </c>
      <c r="F265" s="316">
        <v>24000</v>
      </c>
      <c r="G265" s="389">
        <f>+G264+E265-F265</f>
        <v>24012374</v>
      </c>
      <c r="H265" s="280" t="s">
        <v>25</v>
      </c>
      <c r="I265" s="190" t="s">
        <v>248</v>
      </c>
      <c r="J265" s="280" t="s">
        <v>166</v>
      </c>
      <c r="K265" s="280" t="s">
        <v>210</v>
      </c>
      <c r="L265" s="280" t="s">
        <v>262</v>
      </c>
      <c r="N265" s="288"/>
      <c r="O265" s="280"/>
    </row>
    <row r="266" spans="1:16" s="190" customFormat="1" ht="15.75" customHeight="1">
      <c r="A266" s="478">
        <v>44772</v>
      </c>
      <c r="B266" s="390" t="s">
        <v>380</v>
      </c>
      <c r="C266" s="190" t="s">
        <v>157</v>
      </c>
      <c r="D266" s="455" t="s">
        <v>164</v>
      </c>
      <c r="E266" s="398"/>
      <c r="F266" s="388">
        <v>45000</v>
      </c>
      <c r="G266" s="389">
        <f>+G265+E266-F266</f>
        <v>23967374</v>
      </c>
      <c r="H266" s="390" t="s">
        <v>209</v>
      </c>
      <c r="I266" s="178" t="s">
        <v>285</v>
      </c>
      <c r="J266" s="190" t="s">
        <v>166</v>
      </c>
      <c r="K266" s="190" t="s">
        <v>211</v>
      </c>
      <c r="L266" s="390" t="s">
        <v>262</v>
      </c>
      <c r="M266" s="178" t="s">
        <v>568</v>
      </c>
      <c r="N266" s="391" t="s">
        <v>274</v>
      </c>
      <c r="O266" s="457"/>
      <c r="P266" s="457"/>
    </row>
    <row r="267" spans="1:16" s="292" customFormat="1" ht="15.75" customHeight="1">
      <c r="A267" s="477">
        <v>44772</v>
      </c>
      <c r="B267" s="390" t="s">
        <v>381</v>
      </c>
      <c r="C267" s="390" t="s">
        <v>34</v>
      </c>
      <c r="D267" s="386" t="s">
        <v>164</v>
      </c>
      <c r="E267" s="402"/>
      <c r="F267" s="388">
        <v>10000</v>
      </c>
      <c r="G267" s="389">
        <f>+G266+E267-F267</f>
        <v>23957374</v>
      </c>
      <c r="H267" s="390" t="s">
        <v>209</v>
      </c>
      <c r="I267" s="178" t="s">
        <v>285</v>
      </c>
      <c r="J267" s="190" t="s">
        <v>166</v>
      </c>
      <c r="K267" s="190" t="s">
        <v>211</v>
      </c>
      <c r="L267" s="390" t="s">
        <v>262</v>
      </c>
      <c r="M267" s="178" t="s">
        <v>569</v>
      </c>
      <c r="N267" s="391" t="s">
        <v>273</v>
      </c>
      <c r="O267" s="390"/>
      <c r="P267" s="190"/>
    </row>
    <row r="268" spans="1:16" s="292" customFormat="1" ht="15.75" customHeight="1">
      <c r="A268" s="477">
        <v>44772</v>
      </c>
      <c r="B268" s="190" t="s">
        <v>382</v>
      </c>
      <c r="C268" s="190" t="s">
        <v>34</v>
      </c>
      <c r="D268" s="395" t="s">
        <v>164</v>
      </c>
      <c r="E268" s="387"/>
      <c r="F268" s="416">
        <v>39400</v>
      </c>
      <c r="G268" s="389">
        <f>+G267+E268-F268</f>
        <v>23917974</v>
      </c>
      <c r="H268" s="190" t="s">
        <v>209</v>
      </c>
      <c r="I268" s="190" t="s">
        <v>248</v>
      </c>
      <c r="J268" s="190" t="s">
        <v>166</v>
      </c>
      <c r="K268" s="190" t="s">
        <v>211</v>
      </c>
      <c r="L268" s="390" t="s">
        <v>262</v>
      </c>
      <c r="M268" s="178" t="s">
        <v>570</v>
      </c>
      <c r="N268" s="391" t="s">
        <v>273</v>
      </c>
      <c r="O268" s="190"/>
      <c r="P268" s="419"/>
    </row>
    <row r="269" spans="1:16" s="292" customFormat="1" ht="15.75" customHeight="1">
      <c r="A269" s="477">
        <v>44772</v>
      </c>
      <c r="B269" s="390" t="s">
        <v>401</v>
      </c>
      <c r="C269" s="190" t="s">
        <v>76</v>
      </c>
      <c r="D269" s="386"/>
      <c r="E269" s="402">
        <v>25000</v>
      </c>
      <c r="F269" s="388"/>
      <c r="G269" s="389">
        <f>+G268+E269-F269</f>
        <v>23942974</v>
      </c>
      <c r="H269" s="401" t="s">
        <v>31</v>
      </c>
      <c r="I269" s="390"/>
      <c r="J269" s="395"/>
      <c r="K269" s="190"/>
      <c r="L269" s="390"/>
      <c r="M269" s="178"/>
      <c r="N269" s="391"/>
      <c r="O269" s="412"/>
      <c r="P269" s="190"/>
    </row>
    <row r="270" spans="1:16" s="471" customFormat="1" ht="16.5">
      <c r="A270" s="476">
        <v>44772</v>
      </c>
      <c r="B270" s="390" t="s">
        <v>405</v>
      </c>
      <c r="C270" s="190" t="s">
        <v>34</v>
      </c>
      <c r="D270" s="386" t="s">
        <v>165</v>
      </c>
      <c r="E270" s="397"/>
      <c r="F270" s="394">
        <v>45000</v>
      </c>
      <c r="G270" s="389">
        <f>+G269+E270-F270</f>
        <v>23897974</v>
      </c>
      <c r="H270" s="390" t="s">
        <v>31</v>
      </c>
      <c r="I270" s="190" t="s">
        <v>248</v>
      </c>
      <c r="J270" s="190" t="s">
        <v>166</v>
      </c>
      <c r="K270" s="190" t="s">
        <v>211</v>
      </c>
      <c r="L270" s="390" t="s">
        <v>262</v>
      </c>
      <c r="M270" s="178" t="s">
        <v>571</v>
      </c>
      <c r="N270" s="391" t="s">
        <v>273</v>
      </c>
      <c r="O270" s="390"/>
      <c r="P270" s="190"/>
    </row>
    <row r="271" spans="1:16" s="471" customFormat="1" ht="16.5">
      <c r="A271" s="477">
        <v>44772</v>
      </c>
      <c r="B271" s="386" t="s">
        <v>415</v>
      </c>
      <c r="C271" s="466" t="s">
        <v>34</v>
      </c>
      <c r="D271" s="413" t="s">
        <v>2</v>
      </c>
      <c r="E271" s="387"/>
      <c r="F271" s="427">
        <v>23700</v>
      </c>
      <c r="G271" s="389">
        <f>+G270+E271-F271</f>
        <v>23874274</v>
      </c>
      <c r="H271" s="390" t="s">
        <v>152</v>
      </c>
      <c r="I271" s="190" t="s">
        <v>248</v>
      </c>
      <c r="J271" s="190" t="s">
        <v>166</v>
      </c>
      <c r="K271" s="190" t="s">
        <v>211</v>
      </c>
      <c r="L271" s="390" t="s">
        <v>262</v>
      </c>
      <c r="M271" s="178" t="s">
        <v>562</v>
      </c>
      <c r="N271" s="391" t="s">
        <v>273</v>
      </c>
      <c r="O271" s="390"/>
      <c r="P271" s="190"/>
    </row>
    <row r="272" spans="1:16" s="471" customFormat="1" ht="16.5">
      <c r="A272" s="476">
        <v>44772</v>
      </c>
      <c r="B272" s="190" t="s">
        <v>420</v>
      </c>
      <c r="C272" s="190" t="s">
        <v>34</v>
      </c>
      <c r="D272" s="386" t="s">
        <v>2</v>
      </c>
      <c r="E272" s="406"/>
      <c r="F272" s="398">
        <v>32000</v>
      </c>
      <c r="G272" s="389">
        <f>+G271+E272-F272</f>
        <v>23842274</v>
      </c>
      <c r="H272" s="190" t="s">
        <v>94</v>
      </c>
      <c r="I272" s="190" t="s">
        <v>248</v>
      </c>
      <c r="J272" s="190" t="s">
        <v>166</v>
      </c>
      <c r="K272" s="190" t="s">
        <v>211</v>
      </c>
      <c r="L272" s="390" t="s">
        <v>262</v>
      </c>
      <c r="M272" s="178" t="s">
        <v>572</v>
      </c>
      <c r="N272" s="391" t="s">
        <v>273</v>
      </c>
      <c r="O272" s="190"/>
      <c r="P272" s="190"/>
    </row>
    <row r="273" spans="1:16" s="471" customFormat="1" ht="16.5">
      <c r="A273" s="469">
        <v>44772</v>
      </c>
      <c r="B273" s="178" t="s">
        <v>440</v>
      </c>
      <c r="C273" s="190" t="s">
        <v>157</v>
      </c>
      <c r="D273" s="473" t="s">
        <v>4</v>
      </c>
      <c r="E273" s="474"/>
      <c r="F273" s="196">
        <v>120000</v>
      </c>
      <c r="G273" s="389">
        <f>+G272+E273-F273</f>
        <v>23722274</v>
      </c>
      <c r="H273" s="474" t="s">
        <v>29</v>
      </c>
      <c r="I273" s="178" t="s">
        <v>285</v>
      </c>
      <c r="J273" s="390" t="s">
        <v>166</v>
      </c>
      <c r="K273" s="390" t="s">
        <v>211</v>
      </c>
      <c r="L273" s="390" t="s">
        <v>262</v>
      </c>
      <c r="M273" s="178" t="s">
        <v>573</v>
      </c>
      <c r="N273" s="391" t="s">
        <v>274</v>
      </c>
      <c r="O273" s="474"/>
      <c r="P273" s="474"/>
    </row>
    <row r="274" spans="1:16" s="471" customFormat="1" ht="16.5">
      <c r="A274" s="475">
        <v>44773</v>
      </c>
      <c r="B274" s="292" t="s">
        <v>450</v>
      </c>
      <c r="C274" s="190" t="s">
        <v>379</v>
      </c>
      <c r="D274" s="294" t="s">
        <v>164</v>
      </c>
      <c r="E274" s="292"/>
      <c r="F274" s="297">
        <v>24000</v>
      </c>
      <c r="G274" s="389">
        <f>+G273+E274-F274</f>
        <v>23698274</v>
      </c>
      <c r="H274" s="292" t="s">
        <v>48</v>
      </c>
      <c r="I274" s="190" t="s">
        <v>248</v>
      </c>
      <c r="J274" s="395" t="s">
        <v>166</v>
      </c>
      <c r="K274" s="395" t="s">
        <v>210</v>
      </c>
      <c r="L274" s="390" t="s">
        <v>262</v>
      </c>
      <c r="M274" s="292"/>
      <c r="N274" s="295"/>
      <c r="O274" s="292"/>
      <c r="P274" s="331"/>
    </row>
    <row r="275" spans="1:16" s="471" customFormat="1" ht="16.5">
      <c r="A275" s="481">
        <v>44773</v>
      </c>
      <c r="B275" s="190" t="s">
        <v>451</v>
      </c>
      <c r="C275" s="390" t="s">
        <v>34</v>
      </c>
      <c r="D275" s="386" t="s">
        <v>2</v>
      </c>
      <c r="E275" s="411"/>
      <c r="F275" s="397">
        <v>47900</v>
      </c>
      <c r="G275" s="389">
        <f>+G274+E275-F275</f>
        <v>23650374</v>
      </c>
      <c r="H275" s="190" t="s">
        <v>48</v>
      </c>
      <c r="I275" s="190" t="s">
        <v>248</v>
      </c>
      <c r="J275" s="190" t="s">
        <v>166</v>
      </c>
      <c r="K275" s="190" t="s">
        <v>211</v>
      </c>
      <c r="L275" s="390" t="s">
        <v>262</v>
      </c>
      <c r="M275" s="178" t="s">
        <v>574</v>
      </c>
      <c r="N275" s="391" t="s">
        <v>273</v>
      </c>
      <c r="O275" s="190"/>
      <c r="P275" s="190"/>
    </row>
    <row r="276" spans="1:16" s="471" customFormat="1" ht="16.5">
      <c r="A276" s="475">
        <v>44773</v>
      </c>
      <c r="B276" s="280" t="s">
        <v>461</v>
      </c>
      <c r="C276" s="190" t="s">
        <v>157</v>
      </c>
      <c r="D276" s="294" t="s">
        <v>2</v>
      </c>
      <c r="E276" s="280"/>
      <c r="F276" s="297">
        <v>60000</v>
      </c>
      <c r="G276" s="389">
        <f>+G275+E276-F276</f>
        <v>23590374</v>
      </c>
      <c r="H276" s="292" t="s">
        <v>48</v>
      </c>
      <c r="I276" s="178" t="s">
        <v>285</v>
      </c>
      <c r="J276" s="280" t="s">
        <v>166</v>
      </c>
      <c r="K276" s="280" t="s">
        <v>211</v>
      </c>
      <c r="L276" s="280" t="s">
        <v>262</v>
      </c>
      <c r="M276" s="178" t="s">
        <v>575</v>
      </c>
      <c r="N276" s="295" t="s">
        <v>274</v>
      </c>
      <c r="O276" s="280"/>
      <c r="P276" s="292"/>
    </row>
    <row r="277" spans="1:16" s="190" customFormat="1" ht="15.75" customHeight="1">
      <c r="A277" s="385"/>
      <c r="B277" s="386"/>
      <c r="D277" s="395"/>
      <c r="E277" s="387"/>
      <c r="F277" s="388"/>
      <c r="G277" s="389"/>
      <c r="I277" s="390"/>
      <c r="J277" s="395"/>
      <c r="L277" s="390"/>
      <c r="M277" s="178"/>
      <c r="N277" s="391"/>
      <c r="P277" s="419"/>
    </row>
    <row r="278" spans="1:16" s="292" customFormat="1" ht="15.75" customHeight="1">
      <c r="A278" s="287"/>
      <c r="B278" s="280"/>
      <c r="D278" s="305"/>
      <c r="E278" s="289"/>
      <c r="F278" s="289"/>
      <c r="G278" s="293"/>
      <c r="H278" s="280"/>
      <c r="I278" s="280"/>
      <c r="J278" s="280"/>
      <c r="K278" s="280"/>
      <c r="L278" s="280"/>
      <c r="N278" s="288"/>
      <c r="O278" s="280"/>
    </row>
    <row r="279" spans="1:16" s="292" customFormat="1" ht="15.75" customHeight="1">
      <c r="A279" s="287"/>
      <c r="B279" s="280"/>
      <c r="C279" s="280"/>
      <c r="D279" s="294"/>
      <c r="E279" s="290"/>
      <c r="F279" s="290"/>
      <c r="G279" s="293"/>
      <c r="H279" s="280"/>
      <c r="J279" s="280"/>
      <c r="K279" s="280"/>
      <c r="L279" s="280"/>
      <c r="N279" s="288"/>
      <c r="O279" s="280"/>
    </row>
    <row r="280" spans="1:16" s="292" customFormat="1" ht="15.75" customHeight="1">
      <c r="A280" s="287"/>
      <c r="B280" s="280"/>
      <c r="D280" s="294"/>
      <c r="E280" s="289"/>
      <c r="F280" s="378"/>
      <c r="G280" s="293"/>
      <c r="H280" s="280"/>
      <c r="L280" s="280"/>
      <c r="N280" s="288"/>
      <c r="O280" s="280"/>
    </row>
    <row r="281" spans="1:16" s="190" customFormat="1" ht="15.75" customHeight="1">
      <c r="A281" s="385"/>
      <c r="D281" s="395"/>
      <c r="E281" s="406"/>
      <c r="F281" s="398"/>
      <c r="G281" s="389"/>
      <c r="I281" s="390"/>
      <c r="J281" s="390"/>
      <c r="K281" s="390"/>
      <c r="L281" s="390"/>
      <c r="M281" s="178"/>
      <c r="N281" s="391"/>
    </row>
    <row r="282" spans="1:16" s="190" customFormat="1" ht="15.75" customHeight="1">
      <c r="A282" s="385"/>
      <c r="B282" s="390"/>
      <c r="C282" s="390"/>
      <c r="D282" s="395"/>
      <c r="E282" s="398"/>
      <c r="F282" s="388"/>
      <c r="G282" s="389"/>
      <c r="H282" s="390"/>
      <c r="I282" s="390"/>
      <c r="J282" s="390"/>
      <c r="K282" s="390"/>
      <c r="L282" s="390"/>
      <c r="M282" s="178"/>
      <c r="N282" s="396"/>
      <c r="O282" s="390"/>
    </row>
    <row r="283" spans="1:16" s="292" customFormat="1" ht="15.75" customHeight="1">
      <c r="A283" s="287"/>
      <c r="B283" s="280"/>
      <c r="C283" s="280"/>
      <c r="D283" s="377"/>
      <c r="E283" s="297"/>
      <c r="F283" s="378"/>
      <c r="G283" s="293"/>
      <c r="H283" s="280"/>
      <c r="J283" s="280"/>
      <c r="K283" s="280"/>
      <c r="L283" s="280"/>
      <c r="N283" s="288"/>
      <c r="O283" s="280"/>
    </row>
    <row r="284" spans="1:16" s="292" customFormat="1" ht="15.75" customHeight="1">
      <c r="A284" s="287"/>
      <c r="D284" s="279"/>
      <c r="E284" s="318"/>
      <c r="F284" s="378"/>
      <c r="G284" s="293"/>
      <c r="J284" s="280"/>
      <c r="K284" s="280"/>
      <c r="L284" s="280"/>
      <c r="N284" s="288"/>
    </row>
    <row r="285" spans="1:16" s="321" customFormat="1" ht="15.75" customHeight="1">
      <c r="A285" s="287"/>
      <c r="B285" s="292"/>
      <c r="C285" s="292"/>
      <c r="D285" s="294"/>
      <c r="E285" s="316"/>
      <c r="F285" s="297"/>
      <c r="G285" s="293"/>
      <c r="H285" s="292"/>
      <c r="I285" s="292"/>
      <c r="J285" s="280"/>
      <c r="K285" s="280"/>
      <c r="L285" s="280"/>
      <c r="M285" s="292"/>
      <c r="N285" s="295"/>
      <c r="O285" s="292"/>
      <c r="P285" s="292"/>
    </row>
    <row r="286" spans="1:16" s="321" customFormat="1" ht="15.75" customHeight="1">
      <c r="A286" s="287"/>
      <c r="B286" s="292"/>
      <c r="C286" s="292"/>
      <c r="D286" s="305"/>
      <c r="E286" s="316"/>
      <c r="F286" s="297"/>
      <c r="G286" s="293"/>
      <c r="H286" s="292"/>
      <c r="I286" s="280"/>
      <c r="J286" s="280"/>
      <c r="K286" s="280"/>
      <c r="L286" s="280"/>
      <c r="M286" s="292"/>
      <c r="N286" s="295"/>
      <c r="O286" s="292"/>
      <c r="P286" s="292"/>
    </row>
    <row r="287" spans="1:16" s="412" customFormat="1" ht="15.75" customHeight="1">
      <c r="A287" s="385"/>
      <c r="B287" s="190"/>
      <c r="C287" s="190"/>
      <c r="D287" s="386"/>
      <c r="E287" s="393"/>
      <c r="F287" s="397"/>
      <c r="G287" s="389"/>
      <c r="H287" s="190"/>
      <c r="I287" s="390"/>
      <c r="J287" s="390"/>
      <c r="K287" s="390"/>
      <c r="L287" s="390"/>
      <c r="M287" s="178"/>
      <c r="N287" s="396"/>
      <c r="O287" s="190"/>
      <c r="P287" s="190"/>
    </row>
    <row r="288" spans="1:16" s="412" customFormat="1" ht="15.75" customHeight="1">
      <c r="A288" s="385"/>
      <c r="B288" s="390"/>
      <c r="C288" s="190"/>
      <c r="D288" s="386"/>
      <c r="E288" s="398"/>
      <c r="F288" s="388"/>
      <c r="G288" s="389"/>
      <c r="H288" s="390"/>
      <c r="I288" s="390"/>
      <c r="J288" s="390"/>
      <c r="K288" s="390"/>
      <c r="L288" s="390"/>
      <c r="M288" s="178"/>
      <c r="N288" s="396"/>
      <c r="O288" s="390"/>
      <c r="P288" s="190"/>
    </row>
    <row r="289" spans="1:16" s="321" customFormat="1" ht="15.75" customHeight="1">
      <c r="A289" s="287"/>
      <c r="B289" s="280"/>
      <c r="C289" s="292"/>
      <c r="D289" s="307"/>
      <c r="E289" s="289"/>
      <c r="F289" s="289"/>
      <c r="G289" s="293"/>
      <c r="H289" s="280"/>
      <c r="I289" s="280"/>
      <c r="J289" s="280"/>
      <c r="K289" s="280"/>
      <c r="L289" s="280"/>
      <c r="M289" s="292"/>
      <c r="N289" s="288"/>
      <c r="O289" s="280"/>
      <c r="P289" s="292"/>
    </row>
    <row r="290" spans="1:16" s="412" customFormat="1" ht="15.75" customHeight="1">
      <c r="A290" s="385"/>
      <c r="B290" s="390"/>
      <c r="C290" s="190"/>
      <c r="D290" s="386"/>
      <c r="E290" s="398"/>
      <c r="F290" s="388"/>
      <c r="G290" s="389"/>
      <c r="H290" s="390"/>
      <c r="I290" s="390"/>
      <c r="J290" s="390"/>
      <c r="K290" s="390"/>
      <c r="L290" s="390"/>
      <c r="M290" s="178"/>
      <c r="N290" s="396"/>
      <c r="O290" s="390"/>
      <c r="P290" s="190"/>
    </row>
    <row r="291" spans="1:16" s="412" customFormat="1" ht="15.75" customHeight="1">
      <c r="A291" s="421"/>
      <c r="B291" s="401"/>
      <c r="C291" s="190"/>
      <c r="D291" s="386"/>
      <c r="E291" s="402"/>
      <c r="F291" s="402"/>
      <c r="G291" s="389"/>
      <c r="H291" s="401"/>
      <c r="I291" s="390"/>
      <c r="J291" s="390"/>
      <c r="K291" s="390"/>
      <c r="L291" s="390"/>
      <c r="M291" s="178"/>
      <c r="N291" s="396"/>
      <c r="P291" s="190"/>
    </row>
    <row r="292" spans="1:16" s="412" customFormat="1" ht="15.75" customHeight="1">
      <c r="A292" s="385"/>
      <c r="B292" s="390"/>
      <c r="C292" s="190"/>
      <c r="D292" s="386"/>
      <c r="E292" s="398"/>
      <c r="F292" s="398"/>
      <c r="G292" s="389"/>
      <c r="H292" s="390"/>
      <c r="I292" s="390"/>
      <c r="J292" s="390"/>
      <c r="K292" s="390"/>
      <c r="L292" s="390"/>
      <c r="M292" s="178"/>
      <c r="N292" s="396"/>
      <c r="O292" s="390"/>
      <c r="P292" s="190"/>
    </row>
    <row r="293" spans="1:16" s="412" customFormat="1" ht="15.75" customHeight="1">
      <c r="A293" s="385"/>
      <c r="B293" s="390"/>
      <c r="C293" s="190"/>
      <c r="D293" s="434"/>
      <c r="E293" s="397"/>
      <c r="F293" s="388"/>
      <c r="G293" s="389"/>
      <c r="H293" s="390"/>
      <c r="I293" s="390"/>
      <c r="J293" s="390"/>
      <c r="K293" s="390"/>
      <c r="L293" s="390"/>
      <c r="M293" s="178"/>
      <c r="N293" s="396"/>
      <c r="O293" s="390"/>
      <c r="P293" s="190"/>
    </row>
    <row r="294" spans="1:16" s="321" customFormat="1" ht="15.75" customHeight="1">
      <c r="A294" s="287"/>
      <c r="B294" s="292"/>
      <c r="C294" s="292"/>
      <c r="D294" s="294"/>
      <c r="E294" s="316"/>
      <c r="F294" s="378"/>
      <c r="G294" s="293"/>
      <c r="H294" s="280"/>
      <c r="I294" s="280"/>
      <c r="J294" s="280"/>
      <c r="K294" s="280"/>
      <c r="L294" s="280"/>
      <c r="M294" s="292"/>
      <c r="N294" s="295"/>
      <c r="O294" s="292"/>
      <c r="P294" s="292"/>
    </row>
    <row r="295" spans="1:16" s="412" customFormat="1" ht="15.75" customHeight="1">
      <c r="A295" s="385"/>
      <c r="B295" s="390"/>
      <c r="C295" s="190"/>
      <c r="D295" s="386"/>
      <c r="E295" s="398"/>
      <c r="F295" s="398"/>
      <c r="G295" s="389"/>
      <c r="H295" s="390"/>
      <c r="I295" s="390"/>
      <c r="J295" s="390"/>
      <c r="K295" s="390"/>
      <c r="L295" s="390"/>
      <c r="M295" s="178"/>
      <c r="N295" s="396"/>
      <c r="O295" s="390"/>
      <c r="P295" s="190"/>
    </row>
    <row r="296" spans="1:16" s="412" customFormat="1" ht="15.75" customHeight="1">
      <c r="A296" s="385"/>
      <c r="B296" s="190"/>
      <c r="C296" s="190"/>
      <c r="D296" s="395"/>
      <c r="E296" s="406"/>
      <c r="F296" s="388"/>
      <c r="G296" s="389"/>
      <c r="H296" s="190"/>
      <c r="I296" s="390"/>
      <c r="J296" s="390"/>
      <c r="K296" s="390"/>
      <c r="L296" s="390"/>
      <c r="M296" s="178"/>
      <c r="N296" s="396"/>
      <c r="O296" s="190"/>
      <c r="P296" s="190"/>
    </row>
    <row r="297" spans="1:16" s="412" customFormat="1" ht="15.75" customHeight="1">
      <c r="A297" s="385"/>
      <c r="B297" s="386"/>
      <c r="C297" s="390"/>
      <c r="D297" s="386"/>
      <c r="E297" s="190"/>
      <c r="F297" s="393"/>
      <c r="G297" s="389"/>
      <c r="H297" s="190"/>
      <c r="I297" s="395"/>
      <c r="J297" s="190"/>
      <c r="K297" s="190"/>
      <c r="L297" s="390"/>
      <c r="M297" s="178"/>
      <c r="N297" s="396"/>
      <c r="O297" s="190"/>
      <c r="P297" s="190"/>
    </row>
    <row r="298" spans="1:16" s="412" customFormat="1" ht="15.75" customHeight="1">
      <c r="A298" s="385"/>
      <c r="B298" s="404"/>
      <c r="C298" s="390"/>
      <c r="D298" s="386"/>
      <c r="E298" s="190"/>
      <c r="F298" s="393"/>
      <c r="G298" s="389"/>
      <c r="H298" s="190"/>
      <c r="I298" s="395"/>
      <c r="J298" s="190"/>
      <c r="K298" s="190"/>
      <c r="L298" s="390"/>
      <c r="M298" s="178"/>
      <c r="N298" s="396"/>
      <c r="O298" s="390"/>
      <c r="P298" s="190"/>
    </row>
    <row r="299" spans="1:16" s="412" customFormat="1" ht="15.75" customHeight="1">
      <c r="A299" s="385"/>
      <c r="B299" s="390"/>
      <c r="C299" s="190"/>
      <c r="D299" s="386"/>
      <c r="E299" s="398"/>
      <c r="F299" s="398"/>
      <c r="G299" s="389"/>
      <c r="H299" s="390"/>
      <c r="I299" s="190"/>
      <c r="J299" s="395"/>
      <c r="K299" s="190"/>
      <c r="L299" s="390"/>
      <c r="M299" s="178"/>
      <c r="N299" s="396"/>
      <c r="O299" s="390"/>
      <c r="P299" s="190"/>
    </row>
    <row r="300" spans="1:16" s="321" customFormat="1" ht="15.75" customHeight="1">
      <c r="A300" s="287"/>
      <c r="B300" s="292"/>
      <c r="C300" s="292"/>
      <c r="D300" s="294"/>
      <c r="E300" s="327"/>
      <c r="F300" s="378"/>
      <c r="G300" s="293"/>
      <c r="H300" s="280"/>
      <c r="I300" s="292"/>
      <c r="J300" s="305"/>
      <c r="K300" s="292"/>
      <c r="L300" s="280"/>
      <c r="M300" s="340"/>
      <c r="N300" s="288"/>
      <c r="O300" s="280"/>
      <c r="P300" s="292"/>
    </row>
    <row r="301" spans="1:16" s="412" customFormat="1" ht="15.75" customHeight="1">
      <c r="A301" s="385"/>
      <c r="B301" s="390"/>
      <c r="C301" s="190"/>
      <c r="D301" s="386"/>
      <c r="E301" s="398"/>
      <c r="F301" s="388"/>
      <c r="G301" s="389"/>
      <c r="H301" s="390"/>
      <c r="I301" s="190"/>
      <c r="J301" s="395"/>
      <c r="K301" s="390"/>
      <c r="L301" s="390"/>
      <c r="M301" s="178"/>
      <c r="N301" s="391"/>
      <c r="O301" s="390"/>
      <c r="P301" s="190"/>
    </row>
    <row r="302" spans="1:16" s="292" customFormat="1" ht="15" customHeight="1">
      <c r="A302" s="298"/>
      <c r="B302" s="299"/>
      <c r="D302" s="294"/>
      <c r="E302" s="300"/>
      <c r="F302" s="380"/>
      <c r="G302" s="293"/>
      <c r="H302" s="301"/>
      <c r="I302" s="280"/>
      <c r="J302" s="280"/>
      <c r="K302" s="280"/>
      <c r="L302" s="280"/>
      <c r="N302" s="288"/>
      <c r="O302" s="280"/>
    </row>
    <row r="303" spans="1:16" s="292" customFormat="1" ht="15.75" customHeight="1">
      <c r="A303" s="287"/>
      <c r="B303" s="280"/>
      <c r="D303" s="294"/>
      <c r="E303" s="289"/>
      <c r="F303" s="289"/>
      <c r="G303" s="293"/>
      <c r="H303" s="280"/>
      <c r="I303" s="280"/>
      <c r="J303" s="280"/>
      <c r="K303" s="280"/>
      <c r="L303" s="280"/>
      <c r="N303" s="288"/>
      <c r="O303" s="280"/>
    </row>
    <row r="304" spans="1:16" s="292" customFormat="1" ht="15.75" customHeight="1">
      <c r="A304" s="287"/>
      <c r="D304" s="294"/>
      <c r="E304" s="343"/>
      <c r="F304" s="378"/>
      <c r="G304" s="293"/>
      <c r="J304" s="280"/>
      <c r="K304" s="280"/>
      <c r="L304" s="280"/>
      <c r="N304" s="295"/>
    </row>
    <row r="305" spans="1:16" s="190" customFormat="1" ht="15.75" customHeight="1">
      <c r="A305" s="385"/>
      <c r="D305" s="392"/>
      <c r="E305" s="393"/>
      <c r="F305" s="394"/>
      <c r="G305" s="389"/>
      <c r="J305" s="395"/>
      <c r="K305" s="390"/>
      <c r="L305" s="390"/>
      <c r="M305" s="178"/>
      <c r="N305" s="396"/>
    </row>
    <row r="306" spans="1:16" s="292" customFormat="1" ht="15.75" customHeight="1">
      <c r="A306" s="287"/>
      <c r="D306" s="305"/>
      <c r="E306" s="327"/>
      <c r="F306" s="290"/>
      <c r="G306" s="293"/>
      <c r="J306" s="305"/>
      <c r="L306" s="280"/>
      <c r="N306" s="295"/>
    </row>
    <row r="307" spans="1:16" s="190" customFormat="1" ht="15.75" customHeight="1">
      <c r="A307" s="400"/>
      <c r="B307" s="395"/>
      <c r="D307" s="386"/>
      <c r="E307" s="387"/>
      <c r="F307" s="397"/>
      <c r="G307" s="389"/>
      <c r="H307" s="390"/>
      <c r="J307" s="395"/>
      <c r="K307" s="390"/>
      <c r="L307" s="390"/>
      <c r="M307" s="178"/>
      <c r="N307" s="396"/>
    </row>
    <row r="308" spans="1:16" s="292" customFormat="1" ht="15.75" customHeight="1">
      <c r="A308" s="319"/>
      <c r="B308" s="280"/>
      <c r="D308" s="345"/>
      <c r="E308" s="297"/>
      <c r="F308" s="378"/>
      <c r="G308" s="293"/>
      <c r="H308" s="315"/>
      <c r="I308" s="294"/>
      <c r="J308" s="280"/>
      <c r="K308" s="280"/>
      <c r="L308" s="280"/>
      <c r="N308" s="288"/>
      <c r="O308" s="280"/>
    </row>
    <row r="309" spans="1:16" s="292" customFormat="1" ht="15.75" customHeight="1">
      <c r="A309" s="287"/>
      <c r="B309" s="331"/>
      <c r="D309" s="307"/>
      <c r="E309" s="289"/>
      <c r="F309" s="378"/>
      <c r="G309" s="293"/>
      <c r="H309" s="331"/>
      <c r="J309" s="280"/>
      <c r="L309" s="280"/>
      <c r="N309" s="295"/>
      <c r="O309" s="331"/>
      <c r="P309" s="321"/>
    </row>
    <row r="310" spans="1:16" s="190" customFormat="1" ht="15.75" customHeight="1">
      <c r="A310" s="400"/>
      <c r="B310" s="390"/>
      <c r="D310" s="404"/>
      <c r="E310" s="427"/>
      <c r="F310" s="397"/>
      <c r="G310" s="389"/>
      <c r="H310" s="390"/>
      <c r="J310" s="395"/>
      <c r="K310" s="390"/>
      <c r="L310" s="390"/>
      <c r="M310" s="178"/>
      <c r="N310" s="391"/>
      <c r="O310" s="412"/>
    </row>
    <row r="311" spans="1:16" s="292" customFormat="1" ht="15.75" customHeight="1">
      <c r="A311" s="287"/>
      <c r="D311" s="279"/>
      <c r="E311" s="318"/>
      <c r="F311" s="289"/>
      <c r="G311" s="293"/>
      <c r="I311" s="280"/>
      <c r="J311" s="280"/>
      <c r="L311" s="280"/>
      <c r="N311" s="295"/>
    </row>
    <row r="312" spans="1:16" s="292" customFormat="1" ht="15.75" customHeight="1">
      <c r="A312" s="287"/>
      <c r="D312" s="305"/>
      <c r="E312" s="316"/>
      <c r="F312" s="297"/>
      <c r="G312" s="293"/>
      <c r="J312" s="280"/>
      <c r="L312" s="280"/>
      <c r="N312" s="295"/>
    </row>
    <row r="313" spans="1:16" s="190" customFormat="1" ht="15.75" customHeight="1">
      <c r="A313" s="385"/>
      <c r="B313" s="390"/>
      <c r="C313" s="395"/>
      <c r="D313" s="386"/>
      <c r="E313" s="397"/>
      <c r="F313" s="361"/>
      <c r="G313" s="389"/>
      <c r="H313" s="390"/>
      <c r="J313" s="390"/>
      <c r="K313" s="390"/>
      <c r="L313" s="390"/>
      <c r="M313" s="178"/>
      <c r="N313" s="396"/>
      <c r="O313" s="390"/>
    </row>
    <row r="314" spans="1:16" s="292" customFormat="1" ht="15.75" customHeight="1">
      <c r="A314" s="287"/>
      <c r="B314" s="280"/>
      <c r="D314" s="294"/>
      <c r="E314" s="297"/>
      <c r="F314" s="378"/>
      <c r="G314" s="293"/>
      <c r="H314" s="280"/>
      <c r="J314" s="280"/>
      <c r="L314" s="280"/>
      <c r="N314" s="295"/>
      <c r="O314" s="280"/>
    </row>
    <row r="315" spans="1:16">
      <c r="F315" s="352"/>
    </row>
    <row r="316" spans="1:16" s="292" customFormat="1" ht="15.75" customHeight="1">
      <c r="A316" s="287"/>
      <c r="B316" s="334"/>
      <c r="C316" s="295"/>
      <c r="D316" s="288"/>
      <c r="E316" s="280"/>
      <c r="F316" s="288"/>
      <c r="G316" s="293"/>
      <c r="J316" s="280"/>
      <c r="L316" s="280"/>
      <c r="N316" s="295"/>
      <c r="O316" s="280"/>
    </row>
    <row r="317" spans="1:16" s="292" customFormat="1" ht="15.75" customHeight="1">
      <c r="A317" s="287"/>
      <c r="B317" s="280"/>
      <c r="C317" s="288"/>
      <c r="D317" s="312"/>
      <c r="E317" s="297"/>
      <c r="F317" s="308"/>
      <c r="G317" s="293"/>
      <c r="H317" s="280"/>
      <c r="J317" s="280"/>
      <c r="K317" s="280"/>
      <c r="L317" s="280"/>
      <c r="N317" s="288"/>
      <c r="O317" s="280"/>
    </row>
    <row r="318" spans="1:16" s="292" customFormat="1" ht="15.75" customHeight="1">
      <c r="A318" s="287"/>
      <c r="B318" s="280"/>
      <c r="C318" s="306"/>
      <c r="D318" s="306"/>
      <c r="E318" s="297"/>
      <c r="F318" s="288"/>
      <c r="G318" s="293"/>
      <c r="H318" s="280"/>
      <c r="J318" s="280"/>
      <c r="K318" s="280"/>
      <c r="L318" s="280"/>
      <c r="M318" s="280"/>
      <c r="N318" s="288"/>
      <c r="O318" s="280"/>
    </row>
    <row r="319" spans="1:16" s="292" customFormat="1" ht="15.75" customHeight="1">
      <c r="A319" s="287"/>
      <c r="B319" s="280"/>
      <c r="C319" s="288"/>
      <c r="D319" s="288"/>
      <c r="E319" s="289"/>
      <c r="F319" s="306"/>
      <c r="G319" s="293"/>
      <c r="H319" s="280"/>
      <c r="L319" s="280"/>
      <c r="M319" s="280"/>
      <c r="N319" s="288"/>
      <c r="O319" s="280"/>
    </row>
    <row r="320" spans="1:16" s="292" customFormat="1" ht="15.75" customHeight="1">
      <c r="A320" s="287"/>
      <c r="C320" s="295"/>
      <c r="D320" s="296"/>
      <c r="E320" s="318"/>
      <c r="F320" s="306"/>
      <c r="G320" s="293"/>
      <c r="L320" s="280"/>
      <c r="M320" s="178"/>
      <c r="N320" s="295"/>
    </row>
    <row r="321" spans="1:15" s="292" customFormat="1" ht="15.75" customHeight="1">
      <c r="A321" s="298"/>
      <c r="B321" s="299"/>
      <c r="C321" s="345"/>
      <c r="D321" s="288"/>
      <c r="E321" s="300"/>
      <c r="F321" s="302"/>
      <c r="G321" s="293"/>
      <c r="H321" s="347"/>
      <c r="I321" s="294"/>
      <c r="J321" s="280"/>
      <c r="K321" s="280"/>
      <c r="L321" s="280"/>
      <c r="N321" s="288"/>
      <c r="O321" s="280"/>
    </row>
    <row r="322" spans="1:15" s="292" customFormat="1" ht="15.75" customHeight="1">
      <c r="A322" s="287"/>
      <c r="C322" s="295"/>
      <c r="D322" s="295"/>
      <c r="E322" s="327"/>
      <c r="F322" s="353"/>
      <c r="G322" s="293"/>
      <c r="I322" s="305"/>
      <c r="J322" s="305"/>
      <c r="N322" s="295"/>
    </row>
    <row r="323" spans="1:15" s="292" customFormat="1" ht="15.75" customHeight="1">
      <c r="A323" s="287"/>
      <c r="C323" s="295"/>
      <c r="D323" s="288"/>
      <c r="E323" s="316"/>
      <c r="F323" s="288"/>
      <c r="G323" s="293"/>
      <c r="J323" s="305"/>
      <c r="L323" s="280"/>
      <c r="M323" s="178"/>
      <c r="N323" s="295"/>
    </row>
    <row r="324" spans="1:15" s="292" customFormat="1" ht="15.75" customHeight="1">
      <c r="A324" s="287"/>
      <c r="B324" s="334"/>
      <c r="C324" s="295"/>
      <c r="D324" s="288"/>
      <c r="E324" s="297"/>
      <c r="F324" s="308"/>
      <c r="G324" s="293"/>
      <c r="H324" s="280"/>
      <c r="J324" s="280"/>
      <c r="K324" s="280"/>
      <c r="L324" s="280"/>
      <c r="N324" s="323"/>
      <c r="O324" s="280"/>
    </row>
    <row r="325" spans="1:15" s="292" customFormat="1" ht="15.75" customHeight="1">
      <c r="A325" s="298"/>
      <c r="B325" s="299"/>
      <c r="C325" s="295"/>
      <c r="D325" s="288"/>
      <c r="E325" s="300"/>
      <c r="F325" s="342"/>
      <c r="G325" s="293"/>
      <c r="H325" s="301"/>
      <c r="I325" s="294"/>
      <c r="J325" s="280"/>
      <c r="L325" s="280"/>
      <c r="N325" s="288"/>
      <c r="O325" s="280"/>
    </row>
    <row r="326" spans="1:15" s="292" customFormat="1" ht="15.75" customHeight="1">
      <c r="A326" s="287"/>
      <c r="C326" s="295"/>
      <c r="D326" s="288"/>
      <c r="E326" s="318"/>
      <c r="F326" s="306"/>
      <c r="G326" s="293"/>
      <c r="J326" s="280"/>
      <c r="K326" s="280"/>
      <c r="L326" s="280"/>
      <c r="M326" s="178"/>
      <c r="N326" s="295"/>
    </row>
    <row r="327" spans="1:15" s="292" customFormat="1" ht="15.75" customHeight="1">
      <c r="A327" s="287"/>
      <c r="C327" s="295"/>
      <c r="D327" s="288"/>
      <c r="E327" s="318"/>
      <c r="F327" s="306"/>
      <c r="G327" s="293"/>
      <c r="J327" s="280"/>
      <c r="K327" s="280"/>
      <c r="L327" s="280"/>
      <c r="M327" s="178"/>
      <c r="N327" s="295"/>
    </row>
    <row r="328" spans="1:15" s="292" customFormat="1" ht="15.75" customHeight="1">
      <c r="A328" s="287"/>
      <c r="B328" s="280"/>
      <c r="C328" s="295"/>
      <c r="D328" s="312"/>
      <c r="E328" s="316"/>
      <c r="F328" s="337"/>
      <c r="G328" s="293"/>
      <c r="J328" s="280"/>
      <c r="K328" s="280"/>
      <c r="L328" s="280"/>
      <c r="M328" s="178"/>
      <c r="N328" s="288"/>
    </row>
    <row r="329" spans="1:15" s="292" customFormat="1" ht="15.75" customHeight="1">
      <c r="A329" s="287"/>
      <c r="B329" s="280"/>
      <c r="C329" s="295"/>
      <c r="D329" s="308"/>
      <c r="E329" s="314"/>
      <c r="F329" s="288"/>
      <c r="G329" s="293"/>
      <c r="H329" s="280"/>
      <c r="J329" s="280"/>
      <c r="K329" s="280"/>
      <c r="L329" s="280"/>
      <c r="N329" s="288"/>
      <c r="O329" s="280"/>
    </row>
    <row r="330" spans="1:15" s="292" customFormat="1" ht="15.75" customHeight="1">
      <c r="A330" s="313"/>
      <c r="B330" s="280"/>
      <c r="C330" s="295"/>
      <c r="D330" s="348"/>
      <c r="E330" s="336"/>
      <c r="F330" s="304"/>
      <c r="G330" s="293"/>
      <c r="H330" s="349"/>
      <c r="J330" s="280"/>
      <c r="K330" s="280"/>
      <c r="L330" s="280"/>
      <c r="M330" s="178"/>
      <c r="N330" s="288"/>
      <c r="O330" s="280"/>
    </row>
    <row r="331" spans="1:15" s="292" customFormat="1" ht="15.75" customHeight="1">
      <c r="A331" s="287"/>
      <c r="B331" s="305"/>
      <c r="C331" s="325"/>
      <c r="D331" s="288"/>
      <c r="F331" s="295"/>
      <c r="G331" s="293"/>
      <c r="H331" s="280"/>
      <c r="I331" s="305"/>
      <c r="L331" s="280"/>
      <c r="M331" s="178"/>
      <c r="N331" s="288"/>
      <c r="O331" s="280"/>
    </row>
    <row r="332" spans="1:15" s="292" customFormat="1" ht="15.75" customHeight="1">
      <c r="A332" s="298"/>
      <c r="B332" s="294"/>
      <c r="C332" s="342"/>
      <c r="D332" s="350"/>
      <c r="F332" s="295"/>
      <c r="G332" s="293"/>
      <c r="H332" s="280"/>
      <c r="I332" s="305"/>
      <c r="L332" s="280"/>
      <c r="M332" s="178"/>
      <c r="N332" s="323"/>
      <c r="O332" s="321"/>
    </row>
    <row r="333" spans="1:15" s="292" customFormat="1" ht="15.75" customHeight="1">
      <c r="A333" s="287"/>
      <c r="B333" s="294"/>
      <c r="C333" s="306"/>
      <c r="D333" s="306"/>
      <c r="F333" s="295"/>
      <c r="G333" s="293"/>
      <c r="H333" s="280"/>
      <c r="I333" s="279"/>
      <c r="L333" s="280"/>
      <c r="M333" s="178"/>
      <c r="N333" s="295"/>
      <c r="O333" s="280"/>
    </row>
    <row r="334" spans="1:15" s="292" customFormat="1" ht="15.75" customHeight="1">
      <c r="A334" s="287"/>
      <c r="B334" s="294"/>
      <c r="C334" s="306"/>
      <c r="D334" s="306"/>
      <c r="F334" s="288"/>
      <c r="G334" s="293"/>
      <c r="H334" s="280"/>
      <c r="I334" s="305"/>
      <c r="L334" s="280"/>
      <c r="M334" s="178"/>
      <c r="N334" s="288"/>
      <c r="O334" s="280"/>
    </row>
    <row r="335" spans="1:15" s="292" customFormat="1" ht="15.75" customHeight="1">
      <c r="A335" s="287"/>
      <c r="B335" s="294"/>
      <c r="C335" s="306"/>
      <c r="D335" s="306"/>
      <c r="F335" s="288"/>
      <c r="G335" s="293"/>
      <c r="H335" s="280"/>
      <c r="I335" s="305"/>
      <c r="L335" s="280"/>
      <c r="M335" s="178"/>
      <c r="N335" s="288"/>
      <c r="O335" s="280"/>
    </row>
    <row r="336" spans="1:15" s="292" customFormat="1" ht="15.75" customHeight="1">
      <c r="A336" s="287"/>
      <c r="B336" s="280"/>
      <c r="C336" s="295"/>
      <c r="D336" s="288"/>
      <c r="E336" s="289"/>
      <c r="F336" s="361"/>
      <c r="G336" s="293"/>
      <c r="H336" s="280"/>
      <c r="J336" s="280"/>
      <c r="K336" s="280"/>
      <c r="L336" s="280"/>
      <c r="N336" s="288"/>
      <c r="O336" s="280"/>
    </row>
    <row r="337" spans="1:16" s="292" customFormat="1" ht="15.75" customHeight="1">
      <c r="A337" s="287"/>
      <c r="C337" s="295"/>
      <c r="D337" s="288"/>
      <c r="E337" s="318"/>
      <c r="F337" s="306"/>
      <c r="G337" s="293"/>
      <c r="I337" s="305"/>
      <c r="J337" s="280"/>
      <c r="K337" s="280"/>
      <c r="L337" s="280"/>
      <c r="N337" s="288"/>
    </row>
    <row r="338" spans="1:16" s="292" customFormat="1" ht="15.75" customHeight="1">
      <c r="A338" s="287"/>
      <c r="C338" s="295"/>
      <c r="D338" s="288"/>
      <c r="E338" s="318"/>
      <c r="F338" s="306"/>
      <c r="G338" s="293"/>
      <c r="J338" s="280"/>
      <c r="L338" s="280"/>
      <c r="N338" s="295"/>
    </row>
    <row r="339" spans="1:16" s="292" customFormat="1" ht="15.75" customHeight="1">
      <c r="A339" s="319"/>
      <c r="C339" s="295"/>
      <c r="D339" s="296"/>
      <c r="E339" s="316"/>
      <c r="F339" s="308"/>
      <c r="G339" s="293"/>
      <c r="I339" s="305"/>
      <c r="J339" s="280"/>
      <c r="K339" s="280"/>
      <c r="L339" s="280"/>
      <c r="N339" s="288"/>
    </row>
    <row r="340" spans="1:16" s="331" customFormat="1" ht="15.75" customHeight="1">
      <c r="A340" s="298"/>
      <c r="B340" s="299"/>
      <c r="C340" s="288"/>
      <c r="D340" s="288"/>
      <c r="E340" s="300"/>
      <c r="F340" s="342"/>
      <c r="G340" s="293"/>
      <c r="H340" s="301"/>
      <c r="I340" s="292"/>
      <c r="J340" s="305"/>
      <c r="K340" s="292"/>
      <c r="L340" s="280"/>
      <c r="M340" s="178"/>
      <c r="N340" s="295"/>
      <c r="O340" s="280"/>
      <c r="P340" s="292"/>
    </row>
    <row r="341" spans="1:16" s="331" customFormat="1" ht="15.75" customHeight="1">
      <c r="A341" s="287"/>
      <c r="B341" s="280"/>
      <c r="C341" s="288"/>
      <c r="D341" s="288"/>
      <c r="E341" s="297"/>
      <c r="F341" s="308"/>
      <c r="G341" s="293"/>
      <c r="H341" s="280"/>
      <c r="I341" s="294"/>
      <c r="J341" s="292"/>
      <c r="K341" s="299"/>
      <c r="L341" s="280"/>
      <c r="M341" s="178"/>
      <c r="N341" s="323"/>
      <c r="O341" s="280"/>
      <c r="P341" s="292"/>
    </row>
    <row r="342" spans="1:16" s="331" customFormat="1" ht="15.75" customHeight="1">
      <c r="A342" s="287"/>
      <c r="B342" s="292"/>
      <c r="C342" s="295"/>
      <c r="D342" s="288"/>
      <c r="E342" s="316"/>
      <c r="F342" s="288"/>
      <c r="G342" s="293"/>
      <c r="H342" s="292"/>
      <c r="I342" s="294"/>
      <c r="J342" s="292"/>
      <c r="K342" s="292"/>
      <c r="L342" s="280"/>
      <c r="M342" s="178"/>
      <c r="N342" s="295"/>
      <c r="O342" s="292"/>
      <c r="P342" s="292"/>
    </row>
    <row r="343" spans="1:16" s="331" customFormat="1" ht="15.75" customHeight="1">
      <c r="A343" s="287"/>
      <c r="B343" s="280"/>
      <c r="C343" s="295"/>
      <c r="D343" s="288"/>
      <c r="E343" s="289"/>
      <c r="F343" s="306"/>
      <c r="G343" s="293"/>
      <c r="H343" s="280"/>
      <c r="I343" s="294"/>
      <c r="J343" s="305"/>
      <c r="K343" s="292"/>
      <c r="L343" s="280"/>
      <c r="M343" s="178"/>
      <c r="N343" s="295"/>
      <c r="O343" s="280"/>
      <c r="P343" s="292"/>
    </row>
    <row r="344" spans="1:16" s="331" customFormat="1" ht="15.75" customHeight="1">
      <c r="A344" s="287"/>
      <c r="B344" s="334"/>
      <c r="C344" s="295"/>
      <c r="D344" s="288"/>
      <c r="E344" s="297"/>
      <c r="F344" s="308"/>
      <c r="G344" s="293"/>
      <c r="H344" s="280"/>
      <c r="I344" s="292"/>
      <c r="J344" s="280"/>
      <c r="K344" s="292"/>
      <c r="L344" s="280"/>
      <c r="M344" s="292"/>
      <c r="N344" s="288"/>
      <c r="O344" s="280"/>
      <c r="P344" s="292"/>
    </row>
    <row r="345" spans="1:16" s="331" customFormat="1" ht="15.75" customHeight="1">
      <c r="A345" s="287"/>
      <c r="B345" s="292"/>
      <c r="C345" s="295"/>
      <c r="D345" s="288"/>
      <c r="E345" s="327"/>
      <c r="F345" s="353"/>
      <c r="G345" s="293"/>
      <c r="H345" s="292"/>
      <c r="I345" s="294"/>
      <c r="J345" s="305"/>
      <c r="K345" s="292"/>
      <c r="L345" s="280"/>
      <c r="M345" s="292"/>
      <c r="N345" s="295"/>
      <c r="O345" s="292"/>
      <c r="P345" s="292"/>
    </row>
    <row r="346" spans="1:16" s="331" customFormat="1" ht="15.75" customHeight="1">
      <c r="A346" s="287"/>
      <c r="B346" s="292"/>
      <c r="C346" s="295"/>
      <c r="D346" s="288"/>
      <c r="E346" s="327"/>
      <c r="F346" s="353"/>
      <c r="G346" s="293"/>
      <c r="H346" s="292"/>
      <c r="I346" s="292"/>
      <c r="J346" s="280"/>
      <c r="K346" s="280"/>
      <c r="L346" s="280"/>
      <c r="M346" s="292"/>
      <c r="N346" s="295"/>
      <c r="O346" s="292"/>
      <c r="P346" s="292"/>
    </row>
    <row r="347" spans="1:16" s="331" customFormat="1" ht="15.75" customHeight="1">
      <c r="A347" s="287"/>
      <c r="B347" s="292"/>
      <c r="C347" s="295"/>
      <c r="D347" s="302"/>
      <c r="E347" s="316"/>
      <c r="F347" s="308"/>
      <c r="G347" s="293"/>
      <c r="H347" s="292"/>
      <c r="I347" s="292"/>
      <c r="J347" s="280"/>
      <c r="K347" s="280"/>
      <c r="L347" s="280"/>
      <c r="M347" s="292"/>
      <c r="N347" s="295"/>
      <c r="O347" s="292"/>
      <c r="P347" s="292"/>
    </row>
    <row r="348" spans="1:16" s="331" customFormat="1" ht="15.75" customHeight="1">
      <c r="A348" s="287"/>
      <c r="B348" s="292"/>
      <c r="C348" s="295"/>
      <c r="D348" s="302"/>
      <c r="E348" s="316"/>
      <c r="F348" s="337"/>
      <c r="G348" s="293"/>
      <c r="H348" s="292"/>
      <c r="I348" s="292"/>
      <c r="J348" s="280"/>
      <c r="K348" s="292"/>
      <c r="L348" s="280"/>
      <c r="M348" s="292"/>
      <c r="N348" s="295"/>
      <c r="O348" s="292"/>
      <c r="P348" s="292"/>
    </row>
    <row r="349" spans="1:16" s="331" customFormat="1" ht="15.75" customHeight="1">
      <c r="A349" s="287"/>
      <c r="B349" s="292"/>
      <c r="C349" s="295"/>
      <c r="D349" s="288"/>
      <c r="E349" s="316"/>
      <c r="F349" s="288"/>
      <c r="G349" s="293"/>
      <c r="H349" s="292"/>
      <c r="I349" s="292"/>
      <c r="J349" s="292"/>
      <c r="K349" s="292"/>
      <c r="L349" s="280"/>
      <c r="M349" s="178"/>
      <c r="N349" s="295"/>
      <c r="O349" s="292"/>
      <c r="P349" s="292"/>
    </row>
    <row r="350" spans="1:16" s="331" customFormat="1" ht="15.75" customHeight="1">
      <c r="A350" s="287"/>
      <c r="B350" s="292"/>
      <c r="C350" s="295"/>
      <c r="D350" s="288"/>
      <c r="E350" s="318"/>
      <c r="F350" s="306"/>
      <c r="G350" s="293"/>
      <c r="H350" s="292"/>
      <c r="I350" s="292"/>
      <c r="J350" s="305"/>
      <c r="K350" s="292"/>
      <c r="L350" s="280"/>
      <c r="M350" s="178"/>
      <c r="N350" s="295"/>
      <c r="O350" s="292"/>
      <c r="P350" s="292"/>
    </row>
    <row r="351" spans="1:16" s="331" customFormat="1" ht="15.75" customHeight="1">
      <c r="A351" s="287"/>
      <c r="B351" s="280"/>
      <c r="C351" s="295"/>
      <c r="D351" s="302"/>
      <c r="E351" s="297"/>
      <c r="F351" s="308"/>
      <c r="G351" s="293"/>
      <c r="H351" s="280"/>
      <c r="I351" s="292"/>
      <c r="J351" s="280"/>
      <c r="K351" s="292"/>
      <c r="L351" s="280"/>
      <c r="M351" s="292"/>
      <c r="N351" s="288"/>
      <c r="O351" s="280"/>
      <c r="P351" s="292"/>
    </row>
    <row r="352" spans="1:16" s="331" customFormat="1" ht="15.75" customHeight="1">
      <c r="A352" s="287"/>
      <c r="B352" s="280"/>
      <c r="C352" s="295"/>
      <c r="D352" s="288"/>
      <c r="E352" s="280"/>
      <c r="F352" s="288"/>
      <c r="G352" s="293"/>
      <c r="H352" s="292"/>
      <c r="I352" s="292"/>
      <c r="J352" s="280"/>
      <c r="K352" s="292"/>
      <c r="L352" s="280"/>
      <c r="M352" s="292"/>
      <c r="N352" s="295"/>
      <c r="O352" s="280"/>
      <c r="P352" s="292"/>
    </row>
    <row r="353" spans="1:16" s="331" customFormat="1" ht="15.75" customHeight="1">
      <c r="A353" s="287"/>
      <c r="B353" s="292"/>
      <c r="C353" s="295"/>
      <c r="D353" s="295"/>
      <c r="E353" s="318"/>
      <c r="F353" s="306"/>
      <c r="G353" s="293"/>
      <c r="H353" s="292"/>
      <c r="I353" s="292"/>
      <c r="J353" s="292"/>
      <c r="K353" s="292"/>
      <c r="L353" s="280"/>
      <c r="M353" s="178"/>
      <c r="N353" s="295"/>
      <c r="O353" s="292"/>
      <c r="P353" s="292"/>
    </row>
    <row r="354" spans="1:16" s="331" customFormat="1" ht="15.75" customHeight="1">
      <c r="A354" s="287"/>
      <c r="B354" s="334"/>
      <c r="C354" s="295"/>
      <c r="D354" s="302"/>
      <c r="E354" s="297"/>
      <c r="F354" s="308"/>
      <c r="G354" s="293"/>
      <c r="H354" s="280"/>
      <c r="I354" s="292"/>
      <c r="J354" s="305"/>
      <c r="K354" s="292"/>
      <c r="L354" s="280"/>
      <c r="M354" s="178"/>
      <c r="N354" s="295"/>
      <c r="O354" s="280"/>
      <c r="P354" s="292"/>
    </row>
    <row r="355" spans="1:16" s="331" customFormat="1" ht="15.75" customHeight="1">
      <c r="A355" s="287"/>
      <c r="B355" s="292"/>
      <c r="C355" s="295"/>
      <c r="D355" s="302"/>
      <c r="E355" s="316"/>
      <c r="F355" s="308"/>
      <c r="G355" s="293"/>
      <c r="H355" s="292"/>
      <c r="I355" s="294"/>
      <c r="J355" s="305"/>
      <c r="K355" s="292"/>
      <c r="L355" s="280"/>
      <c r="M355" s="178"/>
      <c r="N355" s="295"/>
      <c r="O355" s="292"/>
      <c r="P355" s="321"/>
    </row>
    <row r="356" spans="1:16" s="292" customFormat="1" ht="15.75" customHeight="1">
      <c r="A356" s="287"/>
      <c r="C356" s="295"/>
      <c r="D356" s="288"/>
      <c r="E356" s="318"/>
      <c r="F356" s="306"/>
      <c r="G356" s="293"/>
      <c r="I356" s="294"/>
      <c r="J356" s="305"/>
      <c r="N356" s="295"/>
    </row>
    <row r="357" spans="1:16" s="292" customFormat="1" ht="15.75" customHeight="1">
      <c r="A357" s="298"/>
      <c r="C357" s="295"/>
      <c r="D357" s="288"/>
      <c r="E357" s="327"/>
      <c r="F357" s="353"/>
      <c r="G357" s="293"/>
      <c r="J357" s="305"/>
      <c r="L357" s="280"/>
      <c r="M357" s="178"/>
      <c r="N357" s="295"/>
    </row>
    <row r="358" spans="1:16" s="292" customFormat="1" ht="15.75" customHeight="1">
      <c r="A358" s="313"/>
      <c r="B358" s="338"/>
      <c r="C358" s="295"/>
      <c r="D358" s="302"/>
      <c r="E358" s="314"/>
      <c r="F358" s="304"/>
      <c r="G358" s="293"/>
      <c r="H358" s="315"/>
      <c r="J358" s="280"/>
      <c r="K358" s="280"/>
      <c r="L358" s="280"/>
      <c r="N358" s="288"/>
      <c r="P358" s="321"/>
    </row>
    <row r="359" spans="1:16" s="292" customFormat="1" ht="15.75" customHeight="1">
      <c r="A359" s="313"/>
      <c r="B359" s="339"/>
      <c r="C359" s="295"/>
      <c r="D359" s="302"/>
      <c r="E359" s="297"/>
      <c r="F359" s="308"/>
      <c r="G359" s="293"/>
      <c r="H359" s="349"/>
      <c r="J359" s="280"/>
      <c r="L359" s="280"/>
      <c r="N359" s="295"/>
      <c r="O359" s="280"/>
    </row>
    <row r="360" spans="1:16" s="292" customFormat="1" ht="15.75" customHeight="1">
      <c r="A360" s="298"/>
      <c r="C360" s="295"/>
      <c r="D360" s="312"/>
      <c r="E360" s="318"/>
      <c r="F360" s="308"/>
      <c r="G360" s="293"/>
      <c r="L360" s="280"/>
      <c r="N360" s="295"/>
      <c r="P360" s="321"/>
    </row>
    <row r="361" spans="1:16" s="292" customFormat="1" ht="15.75" customHeight="1">
      <c r="A361" s="287"/>
      <c r="B361" s="280"/>
      <c r="C361" s="295"/>
      <c r="D361" s="288"/>
      <c r="E361" s="289"/>
      <c r="F361" s="306"/>
      <c r="G361" s="293"/>
      <c r="H361" s="280"/>
      <c r="I361" s="294"/>
      <c r="J361" s="280"/>
      <c r="L361" s="280"/>
      <c r="N361" s="288"/>
      <c r="O361" s="280"/>
    </row>
    <row r="362" spans="1:16" s="292" customFormat="1" ht="15.75" customHeight="1">
      <c r="A362" s="298"/>
      <c r="B362" s="299"/>
      <c r="C362" s="295"/>
      <c r="D362" s="288"/>
      <c r="E362" s="300"/>
      <c r="F362" s="342"/>
      <c r="G362" s="293"/>
      <c r="H362" s="301"/>
      <c r="I362" s="294"/>
      <c r="J362" s="280"/>
      <c r="L362" s="280"/>
      <c r="N362" s="288"/>
      <c r="O362" s="280"/>
    </row>
    <row r="363" spans="1:16" s="292" customFormat="1" ht="15.75" customHeight="1">
      <c r="A363" s="287"/>
      <c r="B363" s="280"/>
      <c r="C363" s="295"/>
      <c r="D363" s="288"/>
      <c r="E363" s="297"/>
      <c r="F363" s="288"/>
      <c r="G363" s="293"/>
      <c r="H363" s="280"/>
      <c r="I363" s="294"/>
      <c r="J363" s="280"/>
      <c r="L363" s="280"/>
      <c r="N363" s="288"/>
      <c r="O363" s="280"/>
    </row>
    <row r="364" spans="1:16" s="292" customFormat="1" ht="15.75" customHeight="1">
      <c r="A364" s="298"/>
      <c r="B364" s="309"/>
      <c r="C364" s="295"/>
      <c r="D364" s="288"/>
      <c r="E364" s="310"/>
      <c r="F364" s="342"/>
      <c r="G364" s="293"/>
      <c r="H364" s="322"/>
      <c r="J364" s="280"/>
      <c r="K364" s="280"/>
      <c r="L364" s="280"/>
      <c r="N364" s="295"/>
    </row>
    <row r="365" spans="1:16" s="292" customFormat="1" ht="15.75" customHeight="1">
      <c r="A365" s="287"/>
      <c r="B365" s="280"/>
      <c r="C365" s="295"/>
      <c r="D365" s="295"/>
      <c r="E365" s="318"/>
      <c r="F365" s="308"/>
      <c r="G365" s="293"/>
      <c r="J365" s="305"/>
      <c r="L365" s="280"/>
      <c r="N365" s="295"/>
    </row>
    <row r="366" spans="1:16" s="292" customFormat="1" ht="15.75" customHeight="1">
      <c r="A366" s="287"/>
      <c r="B366" s="334"/>
      <c r="C366" s="295"/>
      <c r="D366" s="302"/>
      <c r="E366" s="297"/>
      <c r="F366" s="308"/>
      <c r="G366" s="293"/>
      <c r="H366" s="280"/>
      <c r="I366" s="294"/>
      <c r="J366" s="280"/>
      <c r="L366" s="280"/>
      <c r="N366" s="295"/>
      <c r="O366" s="280"/>
    </row>
    <row r="367" spans="1:16" s="292" customFormat="1" ht="15.75" customHeight="1">
      <c r="A367" s="287"/>
      <c r="B367" s="280"/>
      <c r="C367" s="288"/>
      <c r="D367" s="288"/>
      <c r="E367" s="290"/>
      <c r="F367" s="354"/>
      <c r="G367" s="293"/>
      <c r="H367" s="280"/>
      <c r="J367" s="280"/>
      <c r="K367" s="280"/>
      <c r="L367" s="280"/>
      <c r="N367" s="288"/>
      <c r="O367" s="280"/>
    </row>
    <row r="368" spans="1:16" s="292" customFormat="1" ht="15.75" customHeight="1">
      <c r="A368" s="287"/>
      <c r="B368" s="280"/>
      <c r="C368" s="295"/>
      <c r="D368" s="288"/>
      <c r="E368" s="297"/>
      <c r="F368" s="288"/>
      <c r="G368" s="293"/>
      <c r="H368" s="280"/>
      <c r="I368" s="294"/>
      <c r="J368" s="305"/>
      <c r="L368" s="280"/>
      <c r="M368" s="280"/>
      <c r="N368" s="288"/>
      <c r="O368" s="280"/>
    </row>
    <row r="369" spans="1:15" s="292" customFormat="1" ht="15.75" customHeight="1">
      <c r="A369" s="287"/>
      <c r="B369" s="280"/>
      <c r="C369" s="288"/>
      <c r="D369" s="288"/>
      <c r="E369" s="289"/>
      <c r="F369" s="306"/>
      <c r="G369" s="293"/>
      <c r="H369" s="280"/>
      <c r="I369" s="294"/>
      <c r="J369" s="280"/>
      <c r="K369" s="280"/>
      <c r="L369" s="280"/>
      <c r="M369" s="280"/>
      <c r="N369" s="288"/>
      <c r="O369" s="280"/>
    </row>
    <row r="370" spans="1:15" s="292" customFormat="1" ht="15.75" customHeight="1">
      <c r="A370" s="287"/>
      <c r="B370" s="280"/>
      <c r="C370" s="288"/>
      <c r="D370" s="288"/>
      <c r="E370" s="289"/>
      <c r="F370" s="308"/>
      <c r="G370" s="293"/>
      <c r="H370" s="280"/>
      <c r="I370" s="294"/>
      <c r="J370" s="280"/>
      <c r="K370" s="280"/>
      <c r="L370" s="280"/>
      <c r="N370" s="288"/>
      <c r="O370" s="280"/>
    </row>
    <row r="371" spans="1:15" s="292" customFormat="1" ht="15.75" customHeight="1">
      <c r="A371" s="287"/>
      <c r="B371" s="280"/>
      <c r="C371" s="288"/>
      <c r="D371" s="345"/>
      <c r="E371" s="289"/>
      <c r="F371" s="308"/>
      <c r="G371" s="293"/>
      <c r="H371" s="280"/>
      <c r="I371" s="294"/>
      <c r="L371" s="280"/>
      <c r="N371" s="288"/>
      <c r="O371" s="280"/>
    </row>
    <row r="372" spans="1:15" s="292" customFormat="1" ht="15.75" customHeight="1">
      <c r="A372" s="287"/>
      <c r="C372" s="295"/>
      <c r="D372" s="295"/>
      <c r="E372" s="318"/>
      <c r="F372" s="306"/>
      <c r="G372" s="293"/>
      <c r="I372" s="294"/>
      <c r="J372" s="305"/>
      <c r="K372" s="280"/>
      <c r="L372" s="280"/>
      <c r="M372" s="178"/>
      <c r="N372" s="295"/>
    </row>
    <row r="373" spans="1:15" s="292" customFormat="1" ht="15.75" customHeight="1">
      <c r="A373" s="287"/>
      <c r="C373" s="295"/>
      <c r="D373" s="288"/>
      <c r="E373" s="316"/>
      <c r="F373" s="288"/>
      <c r="G373" s="293"/>
      <c r="I373" s="294"/>
      <c r="J373" s="305"/>
      <c r="L373" s="280"/>
      <c r="M373" s="178"/>
      <c r="N373" s="295"/>
    </row>
    <row r="374" spans="1:15" s="292" customFormat="1" ht="15.75" customHeight="1">
      <c r="A374" s="298"/>
      <c r="B374" s="309"/>
      <c r="C374" s="296"/>
      <c r="D374" s="288"/>
      <c r="E374" s="310"/>
      <c r="F374" s="302"/>
      <c r="G374" s="293"/>
      <c r="H374" s="322"/>
      <c r="J374" s="305"/>
      <c r="L374" s="280"/>
      <c r="M374" s="178"/>
      <c r="N374" s="295"/>
    </row>
    <row r="375" spans="1:15" s="292" customFormat="1" ht="15.75" customHeight="1">
      <c r="A375" s="287"/>
      <c r="C375" s="295"/>
      <c r="D375" s="288"/>
      <c r="E375" s="318"/>
      <c r="F375" s="308"/>
      <c r="G375" s="293"/>
      <c r="K375" s="299"/>
      <c r="L375" s="280"/>
      <c r="M375" s="178"/>
      <c r="N375" s="323"/>
    </row>
    <row r="376" spans="1:15" s="292" customFormat="1" ht="15.75" customHeight="1">
      <c r="A376" s="287"/>
      <c r="C376" s="295"/>
      <c r="D376" s="288"/>
      <c r="F376" s="288"/>
      <c r="G376" s="293"/>
      <c r="H376" s="280"/>
      <c r="L376" s="280"/>
      <c r="M376" s="178"/>
      <c r="N376" s="295"/>
    </row>
    <row r="377" spans="1:15" s="292" customFormat="1" ht="15.75" customHeight="1">
      <c r="A377" s="287"/>
      <c r="C377" s="295"/>
      <c r="D377" s="288"/>
      <c r="F377" s="288"/>
      <c r="G377" s="293"/>
      <c r="H377" s="280"/>
      <c r="I377" s="294"/>
      <c r="J377" s="305"/>
      <c r="L377" s="280"/>
      <c r="M377" s="178"/>
      <c r="N377" s="295"/>
    </row>
    <row r="378" spans="1:15" s="292" customFormat="1" ht="15.75" customHeight="1">
      <c r="A378" s="298"/>
      <c r="B378" s="299"/>
      <c r="C378" s="295"/>
      <c r="D378" s="288"/>
      <c r="E378" s="344"/>
      <c r="F378" s="308"/>
      <c r="G378" s="293"/>
      <c r="H378" s="280"/>
      <c r="J378" s="280"/>
      <c r="K378" s="280"/>
      <c r="L378" s="280"/>
      <c r="M378" s="178"/>
      <c r="N378" s="295"/>
      <c r="O378" s="280"/>
    </row>
    <row r="379" spans="1:15" s="292" customFormat="1" ht="15.75" customHeight="1">
      <c r="A379" s="287"/>
      <c r="C379" s="295"/>
      <c r="D379" s="295"/>
      <c r="E379" s="316"/>
      <c r="F379" s="288"/>
      <c r="G379" s="293"/>
      <c r="J379" s="280"/>
      <c r="K379" s="280"/>
      <c r="L379" s="280"/>
      <c r="N379" s="295"/>
    </row>
    <row r="380" spans="1:15" s="292" customFormat="1" ht="15.75" customHeight="1">
      <c r="A380" s="287"/>
      <c r="B380" s="280"/>
      <c r="C380" s="329"/>
      <c r="D380" s="288"/>
      <c r="E380" s="280"/>
      <c r="F380" s="288"/>
      <c r="G380" s="293"/>
      <c r="J380" s="305"/>
      <c r="L380" s="280"/>
      <c r="N380" s="295"/>
      <c r="O380" s="280"/>
    </row>
    <row r="381" spans="1:15" s="292" customFormat="1" ht="15.75" customHeight="1">
      <c r="A381" s="287"/>
      <c r="B381" s="334"/>
      <c r="C381" s="306"/>
      <c r="D381" s="308"/>
      <c r="E381" s="280"/>
      <c r="F381" s="295"/>
      <c r="G381" s="293"/>
      <c r="I381" s="305"/>
      <c r="J381" s="280"/>
      <c r="L381" s="280"/>
      <c r="N381" s="288"/>
      <c r="O381" s="280"/>
    </row>
    <row r="382" spans="1:15" s="292" customFormat="1" ht="15.75" customHeight="1">
      <c r="A382" s="287"/>
      <c r="B382" s="303"/>
      <c r="C382" s="288"/>
      <c r="D382" s="337"/>
      <c r="E382" s="280"/>
      <c r="F382" s="288"/>
      <c r="G382" s="293"/>
      <c r="I382" s="305"/>
      <c r="J382" s="280"/>
      <c r="L382" s="280"/>
      <c r="N382" s="288"/>
      <c r="O382" s="280"/>
    </row>
    <row r="383" spans="1:15" s="292" customFormat="1" ht="15.75" customHeight="1">
      <c r="A383" s="287"/>
      <c r="B383" s="294"/>
      <c r="C383" s="329"/>
      <c r="D383" s="306"/>
      <c r="F383" s="295"/>
      <c r="G383" s="293"/>
      <c r="H383" s="280"/>
      <c r="I383" s="305"/>
      <c r="L383" s="280"/>
      <c r="M383" s="178"/>
      <c r="N383" s="295"/>
    </row>
    <row r="384" spans="1:15" s="292" customFormat="1" ht="15.75" customHeight="1">
      <c r="A384" s="319"/>
      <c r="B384" s="293"/>
      <c r="C384" s="335"/>
      <c r="D384" s="330"/>
      <c r="F384" s="288"/>
      <c r="G384" s="293"/>
      <c r="I384" s="294"/>
      <c r="J384" s="305"/>
      <c r="L384" s="280"/>
      <c r="M384" s="178"/>
      <c r="N384" s="295"/>
    </row>
    <row r="385" spans="1:15" s="292" customFormat="1" ht="15.75" customHeight="1">
      <c r="A385" s="287"/>
      <c r="B385" s="280"/>
      <c r="C385" s="295"/>
      <c r="D385" s="288"/>
      <c r="E385" s="297"/>
      <c r="F385" s="308"/>
      <c r="G385" s="293"/>
      <c r="H385" s="280"/>
      <c r="I385" s="294"/>
      <c r="J385" s="280"/>
      <c r="K385" s="280"/>
      <c r="L385" s="280"/>
      <c r="N385" s="288"/>
      <c r="O385" s="280"/>
    </row>
    <row r="386" spans="1:15" s="292" customFormat="1" ht="15.75" customHeight="1">
      <c r="A386" s="287"/>
      <c r="B386" s="280"/>
      <c r="C386" s="295"/>
      <c r="D386" s="288"/>
      <c r="E386" s="297"/>
      <c r="F386" s="288"/>
      <c r="G386" s="293"/>
      <c r="H386" s="280"/>
      <c r="I386" s="294"/>
      <c r="L386" s="280"/>
      <c r="M386" s="280"/>
      <c r="N386" s="288"/>
      <c r="O386" s="280"/>
    </row>
    <row r="387" spans="1:15" s="292" customFormat="1" ht="15.75" customHeight="1">
      <c r="A387" s="287"/>
      <c r="C387" s="295"/>
      <c r="D387" s="312"/>
      <c r="F387" s="337"/>
      <c r="G387" s="332"/>
      <c r="I387" s="305"/>
      <c r="N387" s="295"/>
    </row>
    <row r="388" spans="1:15" s="292" customFormat="1" ht="15.75" customHeight="1">
      <c r="A388" s="298"/>
      <c r="B388" s="309"/>
      <c r="C388" s="295"/>
      <c r="D388" s="296"/>
      <c r="E388" s="310"/>
      <c r="F388" s="342"/>
      <c r="G388" s="332"/>
      <c r="H388" s="311"/>
      <c r="I388" s="305"/>
      <c r="J388" s="351"/>
      <c r="K388" s="311"/>
      <c r="N388" s="295"/>
    </row>
    <row r="389" spans="1:15" s="292" customFormat="1" ht="15.75" customHeight="1">
      <c r="A389" s="287"/>
      <c r="C389" s="295"/>
      <c r="D389" s="296"/>
      <c r="E389" s="318"/>
      <c r="F389" s="306"/>
      <c r="G389" s="332"/>
      <c r="I389" s="305"/>
      <c r="N389" s="295"/>
    </row>
    <row r="390" spans="1:15" s="292" customFormat="1" ht="15.75" customHeight="1">
      <c r="A390" s="287"/>
      <c r="C390" s="295"/>
      <c r="D390" s="288"/>
      <c r="E390" s="318"/>
      <c r="F390" s="306"/>
      <c r="G390" s="332"/>
      <c r="I390" s="305"/>
      <c r="J390" s="305"/>
      <c r="N390" s="295"/>
    </row>
    <row r="391" spans="1:15" s="292" customFormat="1" ht="15.75" customHeight="1">
      <c r="A391" s="287"/>
      <c r="C391" s="295"/>
      <c r="D391" s="296"/>
      <c r="E391" s="318"/>
      <c r="F391" s="306"/>
      <c r="G391" s="332"/>
      <c r="I391" s="305"/>
      <c r="J391" s="305"/>
      <c r="N391" s="295"/>
    </row>
    <row r="392" spans="1:15" s="292" customFormat="1" ht="15.75" customHeight="1">
      <c r="A392" s="287"/>
      <c r="C392" s="295"/>
      <c r="D392" s="295"/>
      <c r="E392" s="318"/>
      <c r="F392" s="306"/>
      <c r="G392" s="332"/>
      <c r="I392" s="305"/>
      <c r="J392" s="305"/>
      <c r="N392" s="295"/>
    </row>
    <row r="393" spans="1:15" s="292" customFormat="1" ht="15.75" customHeight="1">
      <c r="A393" s="319"/>
      <c r="B393" s="309"/>
      <c r="C393" s="295"/>
      <c r="D393" s="295"/>
      <c r="E393" s="333"/>
      <c r="F393" s="342"/>
      <c r="G393" s="332"/>
      <c r="H393" s="309"/>
      <c r="I393" s="305"/>
      <c r="J393" s="305"/>
      <c r="N393" s="295"/>
    </row>
    <row r="394" spans="1:15" s="292" customFormat="1" ht="15.75" customHeight="1">
      <c r="A394" s="287"/>
      <c r="C394" s="295"/>
      <c r="D394" s="312"/>
      <c r="E394" s="318"/>
      <c r="F394" s="306"/>
      <c r="G394" s="332"/>
      <c r="I394" s="305"/>
      <c r="J394" s="305"/>
      <c r="K394" s="305"/>
      <c r="N394" s="295"/>
    </row>
    <row r="395" spans="1:15" s="292" customFormat="1" ht="15.75" customHeight="1">
      <c r="A395" s="287"/>
      <c r="C395" s="295"/>
      <c r="D395" s="312"/>
      <c r="E395" s="318"/>
      <c r="F395" s="306"/>
      <c r="G395" s="332"/>
      <c r="I395" s="305"/>
      <c r="J395" s="305"/>
      <c r="N395" s="295"/>
    </row>
    <row r="396" spans="1:15" s="292" customFormat="1" ht="15.75" customHeight="1">
      <c r="A396" s="287"/>
      <c r="C396" s="295"/>
      <c r="D396" s="295"/>
      <c r="E396" s="318"/>
      <c r="F396" s="306"/>
      <c r="G396" s="332"/>
      <c r="I396" s="305"/>
      <c r="J396" s="305"/>
      <c r="N396" s="295"/>
    </row>
    <row r="397" spans="1:15" s="292" customFormat="1" ht="15.75" customHeight="1">
      <c r="A397" s="298"/>
      <c r="C397" s="295"/>
      <c r="D397" s="295"/>
      <c r="E397" s="327"/>
      <c r="F397" s="353"/>
      <c r="G397" s="332"/>
      <c r="I397" s="305"/>
      <c r="J397" s="305"/>
      <c r="N397" s="295"/>
    </row>
    <row r="398" spans="1:15" s="292" customFormat="1" ht="15.75" customHeight="1">
      <c r="A398" s="298"/>
      <c r="C398" s="295"/>
      <c r="D398" s="295"/>
      <c r="E398" s="327"/>
      <c r="F398" s="353"/>
      <c r="G398" s="332"/>
      <c r="I398" s="305"/>
      <c r="J398" s="305"/>
      <c r="N398" s="295"/>
    </row>
    <row r="399" spans="1:15" s="292" customFormat="1" ht="15.75" customHeight="1">
      <c r="A399" s="287"/>
      <c r="B399" s="331"/>
      <c r="C399" s="288"/>
      <c r="D399" s="288"/>
      <c r="E399" s="346"/>
      <c r="F399" s="306"/>
      <c r="G399" s="332"/>
      <c r="H399" s="331"/>
      <c r="I399" s="305"/>
      <c r="J399" s="331"/>
      <c r="K399" s="331"/>
      <c r="N399" s="288"/>
      <c r="O399" s="331"/>
    </row>
    <row r="400" spans="1:15" s="292" customFormat="1" ht="15.75" customHeight="1">
      <c r="A400" s="287"/>
      <c r="C400" s="295"/>
      <c r="D400" s="295"/>
      <c r="E400" s="316"/>
      <c r="F400" s="288"/>
      <c r="G400" s="332"/>
      <c r="I400" s="305"/>
      <c r="J400" s="305"/>
      <c r="M400" s="295"/>
      <c r="N400" s="295"/>
    </row>
    <row r="401" spans="1:15" s="292" customFormat="1" ht="15.75" customHeight="1">
      <c r="A401" s="287"/>
      <c r="C401" s="295"/>
      <c r="D401" s="295"/>
      <c r="E401" s="318"/>
      <c r="F401" s="306"/>
      <c r="G401" s="332"/>
      <c r="I401" s="305"/>
      <c r="J401" s="305"/>
      <c r="N401" s="295"/>
    </row>
    <row r="402" spans="1:15" s="292" customFormat="1" ht="15.75" customHeight="1">
      <c r="A402" s="287"/>
      <c r="C402" s="295"/>
      <c r="D402" s="295"/>
      <c r="E402" s="318"/>
      <c r="F402" s="306"/>
      <c r="G402" s="332"/>
      <c r="I402" s="305"/>
      <c r="J402" s="305"/>
      <c r="N402" s="295"/>
    </row>
    <row r="403" spans="1:15" ht="15.75" customHeight="1">
      <c r="E403" s="205"/>
      <c r="F403" s="355"/>
      <c r="G403" s="197"/>
      <c r="O403" s="178"/>
    </row>
    <row r="404" spans="1:15" ht="15.75" customHeight="1">
      <c r="C404" s="284"/>
      <c r="E404" s="205"/>
      <c r="F404" s="355"/>
      <c r="G404" s="197"/>
      <c r="O404" s="178"/>
    </row>
    <row r="405" spans="1:15" ht="15.75" customHeight="1">
      <c r="C405" s="284"/>
      <c r="D405" s="208"/>
      <c r="E405" s="205"/>
      <c r="F405" s="355"/>
      <c r="G405" s="197"/>
      <c r="O405" s="178"/>
    </row>
    <row r="406" spans="1:15" ht="15.75" customHeight="1">
      <c r="C406" s="284"/>
      <c r="D406" s="229"/>
      <c r="E406" s="205"/>
      <c r="F406" s="355"/>
      <c r="G406" s="197"/>
    </row>
    <row r="407" spans="1:15" ht="15.75" customHeight="1">
      <c r="E407" s="205"/>
      <c r="F407" s="355"/>
      <c r="G407" s="197"/>
      <c r="O407" s="178"/>
    </row>
    <row r="408" spans="1:15" ht="15.75" customHeight="1">
      <c r="A408" s="226"/>
      <c r="B408" s="184"/>
      <c r="D408" s="284"/>
      <c r="E408" s="206"/>
      <c r="F408" s="356"/>
      <c r="G408" s="197"/>
      <c r="H408" s="201"/>
      <c r="J408" s="202"/>
      <c r="O408" s="178"/>
    </row>
    <row r="409" spans="1:15" ht="15.75" customHeight="1">
      <c r="A409" s="225"/>
      <c r="B409" s="184"/>
      <c r="D409" s="286"/>
      <c r="E409" s="206"/>
      <c r="F409" s="357"/>
      <c r="G409" s="197"/>
      <c r="H409" s="184"/>
      <c r="O409" s="178"/>
    </row>
    <row r="410" spans="1:15" s="211" customFormat="1" ht="15.75" customHeight="1">
      <c r="A410" s="228"/>
      <c r="C410" s="215"/>
      <c r="D410" s="215"/>
      <c r="E410" s="216"/>
      <c r="F410" s="358"/>
      <c r="G410" s="213"/>
      <c r="I410" s="214"/>
      <c r="N410" s="215"/>
    </row>
    <row r="411" spans="1:15" ht="15.75" customHeight="1">
      <c r="A411" s="226"/>
      <c r="F411" s="359"/>
      <c r="G411" s="197"/>
      <c r="O411" s="178"/>
    </row>
    <row r="412" spans="1:15" ht="15.75" customHeight="1">
      <c r="A412" s="226"/>
      <c r="F412" s="359"/>
      <c r="G412" s="197"/>
      <c r="O412" s="178"/>
    </row>
    <row r="413" spans="1:15">
      <c r="J413" s="280"/>
      <c r="K413" s="280"/>
      <c r="L413" s="280"/>
    </row>
    <row r="415" spans="1:15">
      <c r="F415" s="488"/>
    </row>
  </sheetData>
  <autoFilter ref="A11:P412">
    <filterColumn colId="2"/>
    <filterColumn colId="7"/>
    <filterColumn colId="10"/>
    <sortState ref="A12:P412">
      <sortCondition ref="A11:A412"/>
    </sortState>
  </autoFilter>
  <sortState ref="A12:P196">
    <sortCondition ref="M18"/>
  </sortState>
  <mergeCells count="1">
    <mergeCell ref="A1:O1"/>
  </mergeCells>
  <dataValidations count="1">
    <dataValidation type="list" allowBlank="1" showInputMessage="1" showErrorMessage="1" sqref="O356:O393">
      <formula1>"typeDD"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Récapitulatif</vt:lpstr>
      <vt:lpstr>Donateurs</vt:lpstr>
      <vt:lpstr>Feuil5</vt:lpstr>
      <vt:lpstr>DATA JUILLET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CJ2018-3</cp:lastModifiedBy>
  <cp:lastPrinted>2021-06-11T09:45:49Z</cp:lastPrinted>
  <dcterms:created xsi:type="dcterms:W3CDTF">2020-09-02T13:35:58Z</dcterms:created>
  <dcterms:modified xsi:type="dcterms:W3CDTF">2022-09-02T09:39:16Z</dcterms:modified>
</cp:coreProperties>
</file>