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 tabRatio="553" activeTab="3"/>
  </bookViews>
  <sheets>
    <sheet name="Récapitulatif" sheetId="16" r:id="rId1"/>
    <sheet name="Donateurs" sheetId="147" r:id="rId2"/>
    <sheet name="Feuil1" sheetId="152" r:id="rId3"/>
    <sheet name="DATA AOUT 2022" sheetId="9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'DATA AOUT 2022'!$A$11:$P$413</definedName>
  </definedNames>
  <calcPr calcId="124519"/>
  <pivotCaches>
    <pivotCache cacheId="152" r:id="rId16"/>
    <pivotCache cacheId="153" r:id="rId17"/>
    <pivotCache cacheId="154" r:id="rId18"/>
  </pivotCache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16"/>
  <c r="M17"/>
  <c r="A39"/>
  <c r="AU6" i="152"/>
  <c r="AU16" s="1"/>
  <c r="AS7"/>
  <c r="AT7" s="1"/>
  <c r="AS8"/>
  <c r="AT8" s="1"/>
  <c r="AS9"/>
  <c r="AT9" s="1"/>
  <c r="AS10"/>
  <c r="AT10" s="1"/>
  <c r="AS11"/>
  <c r="AT11" s="1"/>
  <c r="AS12"/>
  <c r="AT12" s="1"/>
  <c r="AS13"/>
  <c r="AT13" s="1"/>
  <c r="AS14"/>
  <c r="AT14" s="1"/>
  <c r="AS15"/>
  <c r="AT15" s="1"/>
  <c r="AS6"/>
  <c r="AT6" s="1"/>
  <c r="AR7"/>
  <c r="AR8"/>
  <c r="AR9"/>
  <c r="AR10"/>
  <c r="AR11"/>
  <c r="AR12"/>
  <c r="AR13"/>
  <c r="AR14"/>
  <c r="AR15"/>
  <c r="AR6"/>
  <c r="AQ7"/>
  <c r="AQ8"/>
  <c r="AQ9"/>
  <c r="AQ10"/>
  <c r="AQ11"/>
  <c r="AQ12"/>
  <c r="AQ13"/>
  <c r="AQ14"/>
  <c r="AQ15"/>
  <c r="AQ6"/>
  <c r="AT16" l="1"/>
  <c r="AS16"/>
  <c r="AR16"/>
  <c r="AS18"/>
  <c r="AR18" l="1"/>
  <c r="F34" i="95" l="1"/>
  <c r="F86"/>
  <c r="G12" l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C42" i="16"/>
  <c r="C41"/>
  <c r="C39"/>
  <c r="C37"/>
  <c r="C36"/>
  <c r="C35"/>
  <c r="C34"/>
  <c r="C33"/>
  <c r="C32"/>
  <c r="C31"/>
  <c r="C30"/>
  <c r="C29"/>
  <c r="A29"/>
  <c r="A30" s="1"/>
  <c r="A31" s="1"/>
  <c r="A32" s="1"/>
  <c r="A33" s="1"/>
  <c r="C28"/>
  <c r="O17"/>
  <c r="L17"/>
  <c r="H17"/>
  <c r="C17"/>
  <c r="A20" s="1"/>
  <c r="G16"/>
  <c r="F16"/>
  <c r="H37" s="1"/>
  <c r="E16"/>
  <c r="I37" s="1"/>
  <c r="D16"/>
  <c r="E37" s="1"/>
  <c r="A16"/>
  <c r="G15"/>
  <c r="F15"/>
  <c r="H36" s="1"/>
  <c r="E15"/>
  <c r="I36" s="1"/>
  <c r="D15"/>
  <c r="E36" s="1"/>
  <c r="A15"/>
  <c r="G14"/>
  <c r="F14"/>
  <c r="H35" s="1"/>
  <c r="E14"/>
  <c r="I35" s="1"/>
  <c r="D14"/>
  <c r="E35" s="1"/>
  <c r="A14"/>
  <c r="G13"/>
  <c r="F13"/>
  <c r="H34" s="1"/>
  <c r="E13"/>
  <c r="I34" s="1"/>
  <c r="D13"/>
  <c r="E34" s="1"/>
  <c r="A13"/>
  <c r="G12"/>
  <c r="F12"/>
  <c r="H33" s="1"/>
  <c r="E12"/>
  <c r="I33" s="1"/>
  <c r="D12"/>
  <c r="E33" s="1"/>
  <c r="A12"/>
  <c r="G11"/>
  <c r="F11"/>
  <c r="H32" s="1"/>
  <c r="E11"/>
  <c r="I32" s="1"/>
  <c r="D11"/>
  <c r="E32" s="1"/>
  <c r="A11"/>
  <c r="G10"/>
  <c r="F10"/>
  <c r="H31" s="1"/>
  <c r="E10"/>
  <c r="I31" s="1"/>
  <c r="D10"/>
  <c r="E31" s="1"/>
  <c r="A10"/>
  <c r="G9"/>
  <c r="F9"/>
  <c r="H30" s="1"/>
  <c r="E9"/>
  <c r="I30" s="1"/>
  <c r="D9"/>
  <c r="E30" s="1"/>
  <c r="A9"/>
  <c r="G8"/>
  <c r="F8"/>
  <c r="H29" s="1"/>
  <c r="E8"/>
  <c r="I29" s="1"/>
  <c r="D8"/>
  <c r="E29" s="1"/>
  <c r="A8"/>
  <c r="G7"/>
  <c r="F7"/>
  <c r="H28" s="1"/>
  <c r="E7"/>
  <c r="I28" s="1"/>
  <c r="D7"/>
  <c r="E28" s="1"/>
  <c r="A7"/>
  <c r="G6"/>
  <c r="F6"/>
  <c r="H39" s="1"/>
  <c r="E6"/>
  <c r="I39" s="1"/>
  <c r="D6"/>
  <c r="E39" s="1"/>
  <c r="A6"/>
  <c r="G5"/>
  <c r="D42" s="1"/>
  <c r="F5"/>
  <c r="H42" s="1"/>
  <c r="E5"/>
  <c r="I42" s="1"/>
  <c r="D5"/>
  <c r="A5"/>
  <c r="G4"/>
  <c r="D41" s="1"/>
  <c r="F4"/>
  <c r="H41" s="1"/>
  <c r="E4"/>
  <c r="I41" s="1"/>
  <c r="D4"/>
  <c r="A4"/>
  <c r="E47"/>
  <c r="D55"/>
  <c r="D56"/>
  <c r="D57"/>
  <c r="D58"/>
  <c r="D59"/>
  <c r="D60"/>
  <c r="D48"/>
  <c r="D49"/>
  <c r="D50"/>
  <c r="D51"/>
  <c r="D47"/>
  <c r="L61"/>
  <c r="I5" l="1"/>
  <c r="J5" s="1"/>
  <c r="C43"/>
  <c r="D17"/>
  <c r="J42"/>
  <c r="J30"/>
  <c r="J34"/>
  <c r="J29"/>
  <c r="J33"/>
  <c r="J37"/>
  <c r="A34"/>
  <c r="A36" s="1"/>
  <c r="A41" s="1"/>
  <c r="A42" s="1"/>
  <c r="A35"/>
  <c r="A37" s="1"/>
  <c r="J41"/>
  <c r="J28"/>
  <c r="J36"/>
  <c r="J32"/>
  <c r="J39"/>
  <c r="I43"/>
  <c r="J31"/>
  <c r="J35"/>
  <c r="I4"/>
  <c r="I8"/>
  <c r="J8" s="1"/>
  <c r="I12"/>
  <c r="J12" s="1"/>
  <c r="I16"/>
  <c r="J16" s="1"/>
  <c r="F17"/>
  <c r="I9"/>
  <c r="J9" s="1"/>
  <c r="I13"/>
  <c r="J13" s="1"/>
  <c r="E17"/>
  <c r="C20" s="1"/>
  <c r="I6"/>
  <c r="J6" s="1"/>
  <c r="I10"/>
  <c r="J10" s="1"/>
  <c r="I14"/>
  <c r="J14" s="1"/>
  <c r="I7"/>
  <c r="J7" s="1"/>
  <c r="I11"/>
  <c r="J11" s="1"/>
  <c r="I15"/>
  <c r="J15" s="1"/>
  <c r="G17"/>
  <c r="B20" s="1"/>
  <c r="K42" l="1"/>
  <c r="D20"/>
  <c r="G19"/>
  <c r="K39"/>
  <c r="K29"/>
  <c r="K37"/>
  <c r="J4"/>
  <c r="I17"/>
  <c r="K28"/>
  <c r="J43"/>
  <c r="K33"/>
  <c r="K31"/>
  <c r="K32"/>
  <c r="K36"/>
  <c r="K30"/>
  <c r="K35"/>
  <c r="K34"/>
  <c r="K41"/>
  <c r="K43" l="1"/>
  <c r="I18"/>
  <c r="E20"/>
  <c r="J17"/>
  <c r="C87" l="1"/>
  <c r="C86"/>
  <c r="C84"/>
  <c r="C82"/>
  <c r="C81"/>
  <c r="C80"/>
  <c r="C79"/>
  <c r="C78"/>
  <c r="C77"/>
  <c r="C76"/>
  <c r="C75"/>
  <c r="C74"/>
  <c r="C73"/>
  <c r="A73"/>
  <c r="A74" s="1"/>
  <c r="A75" s="1"/>
  <c r="A76" s="1"/>
  <c r="A77" s="1"/>
  <c r="C72"/>
  <c r="O61"/>
  <c r="N61"/>
  <c r="M61"/>
  <c r="H61"/>
  <c r="C61"/>
  <c r="A64" s="1"/>
  <c r="G60"/>
  <c r="F60"/>
  <c r="H82" s="1"/>
  <c r="E60"/>
  <c r="I82" s="1"/>
  <c r="E82"/>
  <c r="A60"/>
  <c r="G59"/>
  <c r="F59"/>
  <c r="H81" s="1"/>
  <c r="E59"/>
  <c r="I81" s="1"/>
  <c r="E81"/>
  <c r="A59"/>
  <c r="G58"/>
  <c r="F58"/>
  <c r="H80" s="1"/>
  <c r="E58"/>
  <c r="I80" s="1"/>
  <c r="E80"/>
  <c r="A58"/>
  <c r="G57"/>
  <c r="F57"/>
  <c r="H79" s="1"/>
  <c r="E57"/>
  <c r="I79" s="1"/>
  <c r="E79"/>
  <c r="A57"/>
  <c r="G56"/>
  <c r="F56"/>
  <c r="H78" s="1"/>
  <c r="E56"/>
  <c r="I78" s="1"/>
  <c r="E78"/>
  <c r="A56"/>
  <c r="G55"/>
  <c r="F55"/>
  <c r="H77" s="1"/>
  <c r="E55"/>
  <c r="I77" s="1"/>
  <c r="E77"/>
  <c r="A55"/>
  <c r="G54"/>
  <c r="F54"/>
  <c r="H76" s="1"/>
  <c r="E54"/>
  <c r="I76" s="1"/>
  <c r="D54"/>
  <c r="E76" s="1"/>
  <c r="A54"/>
  <c r="G53"/>
  <c r="F53"/>
  <c r="H75" s="1"/>
  <c r="E53"/>
  <c r="I75" s="1"/>
  <c r="D53"/>
  <c r="E75" s="1"/>
  <c r="A53"/>
  <c r="G52"/>
  <c r="F52"/>
  <c r="H74" s="1"/>
  <c r="E52"/>
  <c r="I74" s="1"/>
  <c r="D52"/>
  <c r="E74" s="1"/>
  <c r="A52"/>
  <c r="G51"/>
  <c r="F51"/>
  <c r="H73" s="1"/>
  <c r="E51"/>
  <c r="I73" s="1"/>
  <c r="E73"/>
  <c r="A51"/>
  <c r="G50"/>
  <c r="F50"/>
  <c r="H72" s="1"/>
  <c r="E50"/>
  <c r="I72" s="1"/>
  <c r="E72"/>
  <c r="A50"/>
  <c r="G49"/>
  <c r="F49"/>
  <c r="H84" s="1"/>
  <c r="E49"/>
  <c r="I84" s="1"/>
  <c r="E84"/>
  <c r="A49"/>
  <c r="G48"/>
  <c r="D87" s="1"/>
  <c r="F48"/>
  <c r="H87" s="1"/>
  <c r="E48"/>
  <c r="I87" s="1"/>
  <c r="A48"/>
  <c r="G47"/>
  <c r="D86" s="1"/>
  <c r="F47"/>
  <c r="H86" s="1"/>
  <c r="I86"/>
  <c r="A47"/>
  <c r="B20" i="147"/>
  <c r="B19"/>
  <c r="J74" i="16" l="1"/>
  <c r="J78"/>
  <c r="D61"/>
  <c r="J84"/>
  <c r="I88"/>
  <c r="J75"/>
  <c r="J79"/>
  <c r="C88"/>
  <c r="I48"/>
  <c r="J48" s="1"/>
  <c r="A78"/>
  <c r="A80" s="1"/>
  <c r="A82" s="1"/>
  <c r="A84" s="1"/>
  <c r="A86" s="1"/>
  <c r="A87" s="1"/>
  <c r="A79"/>
  <c r="A81" s="1"/>
  <c r="J87"/>
  <c r="J86"/>
  <c r="J73"/>
  <c r="J77"/>
  <c r="J81"/>
  <c r="J72"/>
  <c r="J76"/>
  <c r="J80"/>
  <c r="J82"/>
  <c r="I50"/>
  <c r="J50" s="1"/>
  <c r="I54"/>
  <c r="J54" s="1"/>
  <c r="I47"/>
  <c r="I51"/>
  <c r="J51" s="1"/>
  <c r="I55"/>
  <c r="J55" s="1"/>
  <c r="I59"/>
  <c r="J59" s="1"/>
  <c r="F61"/>
  <c r="G63" s="1"/>
  <c r="I52"/>
  <c r="J52" s="1"/>
  <c r="I56"/>
  <c r="J56" s="1"/>
  <c r="I60"/>
  <c r="J60" s="1"/>
  <c r="E61"/>
  <c r="C64" s="1"/>
  <c r="I49"/>
  <c r="J49" s="1"/>
  <c r="I53"/>
  <c r="J53" s="1"/>
  <c r="I57"/>
  <c r="J57" s="1"/>
  <c r="I58"/>
  <c r="J58" s="1"/>
  <c r="G61"/>
  <c r="B64" s="1"/>
  <c r="K87" l="1"/>
  <c r="K75"/>
  <c r="D64"/>
  <c r="K82"/>
  <c r="K81"/>
  <c r="K78"/>
  <c r="K72"/>
  <c r="J88"/>
  <c r="K86"/>
  <c r="K79"/>
  <c r="K76"/>
  <c r="K73"/>
  <c r="I61"/>
  <c r="J47"/>
  <c r="K80"/>
  <c r="K77"/>
  <c r="K74"/>
  <c r="K84"/>
  <c r="K88" l="1"/>
  <c r="I62"/>
  <c r="E64"/>
  <c r="J61"/>
  <c r="C133" l="1"/>
  <c r="C132"/>
  <c r="C130"/>
  <c r="C128"/>
  <c r="C127"/>
  <c r="C126"/>
  <c r="C125"/>
  <c r="C124"/>
  <c r="C123"/>
  <c r="C122"/>
  <c r="C121"/>
  <c r="C120"/>
  <c r="C119"/>
  <c r="A119"/>
  <c r="C118"/>
  <c r="O107"/>
  <c r="N107"/>
  <c r="M107"/>
  <c r="L107"/>
  <c r="H107"/>
  <c r="C107"/>
  <c r="A110" s="1"/>
  <c r="G106"/>
  <c r="F106"/>
  <c r="H128" s="1"/>
  <c r="E106"/>
  <c r="I128" s="1"/>
  <c r="D106"/>
  <c r="A106"/>
  <c r="G105"/>
  <c r="F105"/>
  <c r="H127" s="1"/>
  <c r="E105"/>
  <c r="I127" s="1"/>
  <c r="D105"/>
  <c r="A105"/>
  <c r="G104"/>
  <c r="F104"/>
  <c r="H126" s="1"/>
  <c r="E104"/>
  <c r="I126" s="1"/>
  <c r="D104"/>
  <c r="E126" s="1"/>
  <c r="A104"/>
  <c r="G103"/>
  <c r="F103"/>
  <c r="H125" s="1"/>
  <c r="E103"/>
  <c r="I125" s="1"/>
  <c r="D103"/>
  <c r="A103"/>
  <c r="G102"/>
  <c r="F102"/>
  <c r="H124" s="1"/>
  <c r="E102"/>
  <c r="I124" s="1"/>
  <c r="D102"/>
  <c r="A102"/>
  <c r="G101"/>
  <c r="F101"/>
  <c r="H123" s="1"/>
  <c r="E101"/>
  <c r="I123" s="1"/>
  <c r="D101"/>
  <c r="E123" s="1"/>
  <c r="A101"/>
  <c r="G100"/>
  <c r="F100"/>
  <c r="H122" s="1"/>
  <c r="E100"/>
  <c r="I122" s="1"/>
  <c r="D100"/>
  <c r="E122" s="1"/>
  <c r="A100"/>
  <c r="G99"/>
  <c r="F99"/>
  <c r="H121" s="1"/>
  <c r="E99"/>
  <c r="I121" s="1"/>
  <c r="D99"/>
  <c r="A99"/>
  <c r="G98"/>
  <c r="F98"/>
  <c r="H120" s="1"/>
  <c r="E98"/>
  <c r="I120" s="1"/>
  <c r="D98"/>
  <c r="A98"/>
  <c r="G97"/>
  <c r="F97"/>
  <c r="H119" s="1"/>
  <c r="E97"/>
  <c r="I119" s="1"/>
  <c r="D97"/>
  <c r="E119" s="1"/>
  <c r="A97"/>
  <c r="G96"/>
  <c r="F96"/>
  <c r="H118" s="1"/>
  <c r="E96"/>
  <c r="I118" s="1"/>
  <c r="D96"/>
  <c r="A96"/>
  <c r="G95"/>
  <c r="F95"/>
  <c r="H130" s="1"/>
  <c r="E95"/>
  <c r="I130" s="1"/>
  <c r="D95"/>
  <c r="E130" s="1"/>
  <c r="A95"/>
  <c r="G94"/>
  <c r="D133" s="1"/>
  <c r="F94"/>
  <c r="H133" s="1"/>
  <c r="E94"/>
  <c r="I133" s="1"/>
  <c r="D94"/>
  <c r="A94"/>
  <c r="G93"/>
  <c r="D132" s="1"/>
  <c r="F93"/>
  <c r="H132" s="1"/>
  <c r="E93"/>
  <c r="I132" s="1"/>
  <c r="D93"/>
  <c r="A93"/>
  <c r="A120" l="1"/>
  <c r="A121" s="1"/>
  <c r="A122" s="1"/>
  <c r="A123" s="1"/>
  <c r="I93"/>
  <c r="J93" s="1"/>
  <c r="I99"/>
  <c r="J99" s="1"/>
  <c r="I103"/>
  <c r="J103" s="1"/>
  <c r="C134"/>
  <c r="I106"/>
  <c r="J106" s="1"/>
  <c r="I96"/>
  <c r="J96" s="1"/>
  <c r="I98"/>
  <c r="J98" s="1"/>
  <c r="J123"/>
  <c r="I102"/>
  <c r="J102" s="1"/>
  <c r="I105"/>
  <c r="J105" s="1"/>
  <c r="E118"/>
  <c r="J118" s="1"/>
  <c r="E120"/>
  <c r="J120" s="1"/>
  <c r="E128"/>
  <c r="J128" s="1"/>
  <c r="J133"/>
  <c r="E125"/>
  <c r="J125" s="1"/>
  <c r="K125" s="1"/>
  <c r="E107"/>
  <c r="C110" s="1"/>
  <c r="I94"/>
  <c r="J94" s="1"/>
  <c r="E121"/>
  <c r="J121" s="1"/>
  <c r="E127"/>
  <c r="J127" s="1"/>
  <c r="I97"/>
  <c r="J97" s="1"/>
  <c r="E124"/>
  <c r="J124" s="1"/>
  <c r="J122"/>
  <c r="J132"/>
  <c r="J119"/>
  <c r="J130"/>
  <c r="I134"/>
  <c r="J126"/>
  <c r="I104"/>
  <c r="J104" s="1"/>
  <c r="D107"/>
  <c r="I100"/>
  <c r="J100" s="1"/>
  <c r="I101"/>
  <c r="J101" s="1"/>
  <c r="G107"/>
  <c r="B110" s="1"/>
  <c r="I95"/>
  <c r="J95" s="1"/>
  <c r="F107"/>
  <c r="C176"/>
  <c r="C177"/>
  <c r="C154"/>
  <c r="A157" s="1"/>
  <c r="H154"/>
  <c r="A125" l="1"/>
  <c r="A127" s="1"/>
  <c r="A124"/>
  <c r="A126" s="1"/>
  <c r="A128" s="1"/>
  <c r="A130" s="1"/>
  <c r="A132" s="1"/>
  <c r="A133" s="1"/>
  <c r="K128"/>
  <c r="K132"/>
  <c r="K127"/>
  <c r="K124"/>
  <c r="K120"/>
  <c r="K119"/>
  <c r="D110"/>
  <c r="K118"/>
  <c r="K121"/>
  <c r="K130"/>
  <c r="K133"/>
  <c r="K126"/>
  <c r="K123"/>
  <c r="I107"/>
  <c r="J134"/>
  <c r="G109"/>
  <c r="K122"/>
  <c r="N154"/>
  <c r="M154"/>
  <c r="L154"/>
  <c r="G153"/>
  <c r="F153"/>
  <c r="H177" s="1"/>
  <c r="E153"/>
  <c r="I177" s="1"/>
  <c r="D153"/>
  <c r="A153"/>
  <c r="E177" l="1"/>
  <c r="J177" s="1"/>
  <c r="I153"/>
  <c r="J153" s="1"/>
  <c r="K134"/>
  <c r="E110"/>
  <c r="J107"/>
  <c r="I108"/>
  <c r="K177" l="1"/>
  <c r="C182"/>
  <c r="C181"/>
  <c r="C179"/>
  <c r="C175"/>
  <c r="C174"/>
  <c r="C173"/>
  <c r="C172"/>
  <c r="C171"/>
  <c r="C170"/>
  <c r="C169"/>
  <c r="C168"/>
  <c r="C167"/>
  <c r="C166"/>
  <c r="A166"/>
  <c r="A167" s="1"/>
  <c r="A168" s="1"/>
  <c r="A169" s="1"/>
  <c r="A170" s="1"/>
  <c r="A171" s="1"/>
  <c r="C165"/>
  <c r="O154"/>
  <c r="G152"/>
  <c r="F152"/>
  <c r="H176" s="1"/>
  <c r="E152"/>
  <c r="I176" s="1"/>
  <c r="D152"/>
  <c r="A152"/>
  <c r="G151"/>
  <c r="F151"/>
  <c r="E151"/>
  <c r="D151"/>
  <c r="A151"/>
  <c r="G150"/>
  <c r="F150"/>
  <c r="H174" s="1"/>
  <c r="E150"/>
  <c r="I174" s="1"/>
  <c r="D150"/>
  <c r="E174" s="1"/>
  <c r="A150"/>
  <c r="G149"/>
  <c r="F149"/>
  <c r="H173" s="1"/>
  <c r="E149"/>
  <c r="I173" s="1"/>
  <c r="D149"/>
  <c r="E173" s="1"/>
  <c r="A149"/>
  <c r="G148"/>
  <c r="F148"/>
  <c r="H172" s="1"/>
  <c r="E148"/>
  <c r="I172" s="1"/>
  <c r="D148"/>
  <c r="E172" s="1"/>
  <c r="A148"/>
  <c r="G147"/>
  <c r="F147"/>
  <c r="H171" s="1"/>
  <c r="E147"/>
  <c r="I171" s="1"/>
  <c r="D147"/>
  <c r="E171" s="1"/>
  <c r="A147"/>
  <c r="G146"/>
  <c r="F146"/>
  <c r="H170" s="1"/>
  <c r="E146"/>
  <c r="I170" s="1"/>
  <c r="D146"/>
  <c r="E170" s="1"/>
  <c r="A146"/>
  <c r="G145"/>
  <c r="F145"/>
  <c r="H169" s="1"/>
  <c r="E145"/>
  <c r="I169" s="1"/>
  <c r="D145"/>
  <c r="E169" s="1"/>
  <c r="A145"/>
  <c r="G144"/>
  <c r="F144"/>
  <c r="H168" s="1"/>
  <c r="E144"/>
  <c r="I168" s="1"/>
  <c r="D144"/>
  <c r="E168" s="1"/>
  <c r="A144"/>
  <c r="G143"/>
  <c r="F143"/>
  <c r="H167" s="1"/>
  <c r="E143"/>
  <c r="I167" s="1"/>
  <c r="D143"/>
  <c r="A143"/>
  <c r="G142"/>
  <c r="F142"/>
  <c r="H166" s="1"/>
  <c r="E142"/>
  <c r="I166" s="1"/>
  <c r="D142"/>
  <c r="E166" s="1"/>
  <c r="A142"/>
  <c r="G141"/>
  <c r="F141"/>
  <c r="H165" s="1"/>
  <c r="E141"/>
  <c r="D141"/>
  <c r="E165" s="1"/>
  <c r="A141"/>
  <c r="G140"/>
  <c r="F140"/>
  <c r="H179" s="1"/>
  <c r="E140"/>
  <c r="I179" s="1"/>
  <c r="D140"/>
  <c r="E179" s="1"/>
  <c r="A140"/>
  <c r="G139"/>
  <c r="D182" s="1"/>
  <c r="F139"/>
  <c r="H182" s="1"/>
  <c r="E139"/>
  <c r="I182" s="1"/>
  <c r="D139"/>
  <c r="A139"/>
  <c r="G138"/>
  <c r="F138"/>
  <c r="E138"/>
  <c r="I181" s="1"/>
  <c r="D138"/>
  <c r="A138"/>
  <c r="A187"/>
  <c r="D187"/>
  <c r="E187"/>
  <c r="F187"/>
  <c r="G187"/>
  <c r="A188"/>
  <c r="D188"/>
  <c r="E188"/>
  <c r="F188"/>
  <c r="G188"/>
  <c r="A189"/>
  <c r="D189"/>
  <c r="E189"/>
  <c r="F189"/>
  <c r="G189"/>
  <c r="C5" i="95"/>
  <c r="D154" i="16" l="1"/>
  <c r="C183"/>
  <c r="D181"/>
  <c r="G154"/>
  <c r="J182"/>
  <c r="I152"/>
  <c r="E176"/>
  <c r="J176" s="1"/>
  <c r="I188"/>
  <c r="J188" s="1"/>
  <c r="F154"/>
  <c r="I165"/>
  <c r="J165" s="1"/>
  <c r="E154"/>
  <c r="C157" s="1"/>
  <c r="I175"/>
  <c r="H175"/>
  <c r="J170"/>
  <c r="J166"/>
  <c r="J171"/>
  <c r="I189"/>
  <c r="J189" s="1"/>
  <c r="I187"/>
  <c r="J187" s="1"/>
  <c r="I139"/>
  <c r="J139" s="1"/>
  <c r="I143"/>
  <c r="J143" s="1"/>
  <c r="I147"/>
  <c r="J147" s="1"/>
  <c r="I151"/>
  <c r="J151" s="1"/>
  <c r="E167"/>
  <c r="J167" s="1"/>
  <c r="E175"/>
  <c r="I138"/>
  <c r="J138" s="1"/>
  <c r="A172"/>
  <c r="A174" s="1"/>
  <c r="A177" s="1"/>
  <c r="A179" s="1"/>
  <c r="A181" s="1"/>
  <c r="A182" s="1"/>
  <c r="A173"/>
  <c r="J174"/>
  <c r="J169"/>
  <c r="J173"/>
  <c r="J172"/>
  <c r="J168"/>
  <c r="J179"/>
  <c r="I140"/>
  <c r="J140" s="1"/>
  <c r="I144"/>
  <c r="J144" s="1"/>
  <c r="I148"/>
  <c r="J148" s="1"/>
  <c r="J152"/>
  <c r="I141"/>
  <c r="I145"/>
  <c r="J145" s="1"/>
  <c r="I149"/>
  <c r="J149" s="1"/>
  <c r="I142"/>
  <c r="J142" s="1"/>
  <c r="I146"/>
  <c r="J146" s="1"/>
  <c r="I150"/>
  <c r="J150" s="1"/>
  <c r="B157"/>
  <c r="H181"/>
  <c r="J181" s="1"/>
  <c r="K182" l="1"/>
  <c r="K176"/>
  <c r="I183"/>
  <c r="A175"/>
  <c r="A176"/>
  <c r="D157"/>
  <c r="J141"/>
  <c r="I154"/>
  <c r="J175"/>
  <c r="J183" s="1"/>
  <c r="G156"/>
  <c r="K181"/>
  <c r="K171"/>
  <c r="K169"/>
  <c r="K167"/>
  <c r="K174"/>
  <c r="K179"/>
  <c r="K168"/>
  <c r="K173"/>
  <c r="K172"/>
  <c r="K166"/>
  <c r="K165"/>
  <c r="K170"/>
  <c r="K175" l="1"/>
  <c r="I155"/>
  <c r="K183"/>
  <c r="J154"/>
  <c r="E157"/>
  <c r="C6" i="95" l="1"/>
  <c r="C229" i="16" l="1"/>
  <c r="C228"/>
  <c r="C226"/>
  <c r="C224"/>
  <c r="C223"/>
  <c r="C222"/>
  <c r="C221"/>
  <c r="C220"/>
  <c r="C219"/>
  <c r="C218"/>
  <c r="C217"/>
  <c r="C216"/>
  <c r="C215"/>
  <c r="C214"/>
  <c r="A214"/>
  <c r="A215" s="1"/>
  <c r="A216" s="1"/>
  <c r="A217" s="1"/>
  <c r="A218" s="1"/>
  <c r="A219" s="1"/>
  <c r="C213"/>
  <c r="O202"/>
  <c r="N202"/>
  <c r="M202"/>
  <c r="L202"/>
  <c r="H202"/>
  <c r="C202"/>
  <c r="A205" s="1"/>
  <c r="G201"/>
  <c r="F201"/>
  <c r="H224" s="1"/>
  <c r="E201"/>
  <c r="I224" s="1"/>
  <c r="D201"/>
  <c r="A201"/>
  <c r="G200"/>
  <c r="F200"/>
  <c r="H223" s="1"/>
  <c r="E200"/>
  <c r="I223" s="1"/>
  <c r="D200"/>
  <c r="A200"/>
  <c r="G199"/>
  <c r="F199"/>
  <c r="H222" s="1"/>
  <c r="E199"/>
  <c r="I222" s="1"/>
  <c r="D199"/>
  <c r="E222" s="1"/>
  <c r="A199"/>
  <c r="G198"/>
  <c r="F198"/>
  <c r="H221" s="1"/>
  <c r="E198"/>
  <c r="I221" s="1"/>
  <c r="D198"/>
  <c r="E221" s="1"/>
  <c r="A198"/>
  <c r="G197"/>
  <c r="F197"/>
  <c r="H220" s="1"/>
  <c r="E197"/>
  <c r="I220" s="1"/>
  <c r="D197"/>
  <c r="A197"/>
  <c r="G196"/>
  <c r="F196"/>
  <c r="H219" s="1"/>
  <c r="E196"/>
  <c r="I219" s="1"/>
  <c r="D196"/>
  <c r="A196"/>
  <c r="G195"/>
  <c r="F195"/>
  <c r="H218" s="1"/>
  <c r="E195"/>
  <c r="I218" s="1"/>
  <c r="D195"/>
  <c r="E218" s="1"/>
  <c r="A195"/>
  <c r="G194"/>
  <c r="F194"/>
  <c r="H217" s="1"/>
  <c r="E194"/>
  <c r="I217" s="1"/>
  <c r="D194"/>
  <c r="E217" s="1"/>
  <c r="A194"/>
  <c r="G193"/>
  <c r="F193"/>
  <c r="H216" s="1"/>
  <c r="E193"/>
  <c r="I216" s="1"/>
  <c r="D193"/>
  <c r="A193"/>
  <c r="G192"/>
  <c r="F192"/>
  <c r="H215" s="1"/>
  <c r="E192"/>
  <c r="I215" s="1"/>
  <c r="D192"/>
  <c r="A192"/>
  <c r="G191"/>
  <c r="F191"/>
  <c r="H214" s="1"/>
  <c r="E191"/>
  <c r="I214" s="1"/>
  <c r="D191"/>
  <c r="E214" s="1"/>
  <c r="A191"/>
  <c r="G190"/>
  <c r="F190"/>
  <c r="H213" s="1"/>
  <c r="E190"/>
  <c r="I213" s="1"/>
  <c r="D190"/>
  <c r="A190"/>
  <c r="H226"/>
  <c r="I226"/>
  <c r="E226"/>
  <c r="D229"/>
  <c r="H229"/>
  <c r="I229"/>
  <c r="D228"/>
  <c r="I228"/>
  <c r="E224" l="1"/>
  <c r="J224" s="1"/>
  <c r="I201"/>
  <c r="C230"/>
  <c r="I190"/>
  <c r="J190" s="1"/>
  <c r="J214"/>
  <c r="I193"/>
  <c r="J193" s="1"/>
  <c r="J218"/>
  <c r="I197"/>
  <c r="J197" s="1"/>
  <c r="J222"/>
  <c r="J201"/>
  <c r="E216"/>
  <c r="J216" s="1"/>
  <c r="F202"/>
  <c r="I192"/>
  <c r="J192" s="1"/>
  <c r="I196"/>
  <c r="J196" s="1"/>
  <c r="I200"/>
  <c r="J200" s="1"/>
  <c r="E223"/>
  <c r="J223" s="1"/>
  <c r="E220"/>
  <c r="J220" s="1"/>
  <c r="J229"/>
  <c r="A220"/>
  <c r="A222" s="1"/>
  <c r="A224" s="1"/>
  <c r="A226" s="1"/>
  <c r="A228" s="1"/>
  <c r="A229" s="1"/>
  <c r="A221"/>
  <c r="A223" s="1"/>
  <c r="J221"/>
  <c r="J226"/>
  <c r="I230"/>
  <c r="J217"/>
  <c r="I198"/>
  <c r="J198" s="1"/>
  <c r="E202"/>
  <c r="C205" s="1"/>
  <c r="E215"/>
  <c r="J215" s="1"/>
  <c r="E219"/>
  <c r="J219" s="1"/>
  <c r="I194"/>
  <c r="J194" s="1"/>
  <c r="D202"/>
  <c r="I199"/>
  <c r="J199" s="1"/>
  <c r="G202"/>
  <c r="B205" s="1"/>
  <c r="E213"/>
  <c r="J213" s="1"/>
  <c r="H228"/>
  <c r="J228" s="1"/>
  <c r="I191"/>
  <c r="J191" s="1"/>
  <c r="I195"/>
  <c r="J195" s="1"/>
  <c r="C277"/>
  <c r="C276"/>
  <c r="C274"/>
  <c r="C267"/>
  <c r="C268"/>
  <c r="C269"/>
  <c r="C270"/>
  <c r="C266"/>
  <c r="C271"/>
  <c r="C272"/>
  <c r="C262"/>
  <c r="C263"/>
  <c r="C261"/>
  <c r="G236"/>
  <c r="D277" s="1"/>
  <c r="G237"/>
  <c r="G238"/>
  <c r="G239"/>
  <c r="F236"/>
  <c r="H277" s="1"/>
  <c r="F237"/>
  <c r="H274" s="1"/>
  <c r="F238"/>
  <c r="H261" s="1"/>
  <c r="F239"/>
  <c r="F240"/>
  <c r="F241"/>
  <c r="F242"/>
  <c r="F243"/>
  <c r="F244"/>
  <c r="F245"/>
  <c r="F246"/>
  <c r="F247"/>
  <c r="F248"/>
  <c r="H271" s="1"/>
  <c r="F249"/>
  <c r="F235"/>
  <c r="H276" s="1"/>
  <c r="E236"/>
  <c r="I277" s="1"/>
  <c r="E237"/>
  <c r="I274" s="1"/>
  <c r="E238"/>
  <c r="I261" s="1"/>
  <c r="E239"/>
  <c r="E240"/>
  <c r="E241"/>
  <c r="E242"/>
  <c r="E243"/>
  <c r="E244"/>
  <c r="E245"/>
  <c r="E246"/>
  <c r="E247"/>
  <c r="E248"/>
  <c r="I271" s="1"/>
  <c r="E249"/>
  <c r="E235"/>
  <c r="I276" s="1"/>
  <c r="D241"/>
  <c r="D242"/>
  <c r="D243"/>
  <c r="E266" s="1"/>
  <c r="D244"/>
  <c r="E267" s="1"/>
  <c r="D245"/>
  <c r="E268" s="1"/>
  <c r="D246"/>
  <c r="E269" s="1"/>
  <c r="D247"/>
  <c r="E270" s="1"/>
  <c r="D248"/>
  <c r="E271" s="1"/>
  <c r="D249"/>
  <c r="E272" s="1"/>
  <c r="D236"/>
  <c r="D237"/>
  <c r="E274" s="1"/>
  <c r="D238"/>
  <c r="E261" s="1"/>
  <c r="D239"/>
  <c r="E262" s="1"/>
  <c r="D240"/>
  <c r="E263" s="1"/>
  <c r="D235"/>
  <c r="A236"/>
  <c r="A237"/>
  <c r="A238"/>
  <c r="A239"/>
  <c r="A240"/>
  <c r="A241"/>
  <c r="A242"/>
  <c r="A243"/>
  <c r="A244"/>
  <c r="A245"/>
  <c r="A246"/>
  <c r="A247"/>
  <c r="A248"/>
  <c r="A249"/>
  <c r="A235"/>
  <c r="G248"/>
  <c r="K220" l="1"/>
  <c r="K224"/>
  <c r="K223"/>
  <c r="D205"/>
  <c r="K222"/>
  <c r="K228"/>
  <c r="G204"/>
  <c r="K219"/>
  <c r="K216"/>
  <c r="K215"/>
  <c r="K217"/>
  <c r="K229"/>
  <c r="K226"/>
  <c r="K213"/>
  <c r="J230"/>
  <c r="K221"/>
  <c r="K218"/>
  <c r="K214"/>
  <c r="I202"/>
  <c r="J271"/>
  <c r="I248"/>
  <c r="J248" s="1"/>
  <c r="J202" l="1"/>
  <c r="I203"/>
  <c r="E205"/>
  <c r="K230"/>
  <c r="K271"/>
  <c r="C265" l="1"/>
  <c r="C264"/>
  <c r="A262"/>
  <c r="A263" s="1"/>
  <c r="A264" s="1"/>
  <c r="A265" s="1"/>
  <c r="A266" s="1"/>
  <c r="A267" s="1"/>
  <c r="O250"/>
  <c r="N250"/>
  <c r="M250"/>
  <c r="L250"/>
  <c r="H250"/>
  <c r="C250"/>
  <c r="A253" s="1"/>
  <c r="G249"/>
  <c r="H272"/>
  <c r="I272"/>
  <c r="G247"/>
  <c r="H270"/>
  <c r="I270"/>
  <c r="G246"/>
  <c r="H269"/>
  <c r="I269"/>
  <c r="G245"/>
  <c r="H268"/>
  <c r="I268"/>
  <c r="G244"/>
  <c r="H267"/>
  <c r="I267"/>
  <c r="G243"/>
  <c r="H266"/>
  <c r="I266"/>
  <c r="G242"/>
  <c r="H265"/>
  <c r="I265"/>
  <c r="E265"/>
  <c r="G241"/>
  <c r="H264"/>
  <c r="I264"/>
  <c r="E264"/>
  <c r="G240"/>
  <c r="H263"/>
  <c r="I263"/>
  <c r="H262"/>
  <c r="I262"/>
  <c r="G235"/>
  <c r="D276" s="1"/>
  <c r="A284"/>
  <c r="D284"/>
  <c r="E284"/>
  <c r="F284"/>
  <c r="H309" s="1"/>
  <c r="G284"/>
  <c r="A285"/>
  <c r="D285"/>
  <c r="E285"/>
  <c r="I323" s="1"/>
  <c r="F285"/>
  <c r="G285"/>
  <c r="D323" s="1"/>
  <c r="A286"/>
  <c r="D286"/>
  <c r="E286"/>
  <c r="F286"/>
  <c r="G286"/>
  <c r="D324" s="1"/>
  <c r="A287"/>
  <c r="D287"/>
  <c r="E321" s="1"/>
  <c r="E287"/>
  <c r="F287"/>
  <c r="H321" s="1"/>
  <c r="G287"/>
  <c r="A288"/>
  <c r="D288"/>
  <c r="E288"/>
  <c r="F288"/>
  <c r="H310" s="1"/>
  <c r="G288"/>
  <c r="A289"/>
  <c r="D289"/>
  <c r="E311" s="1"/>
  <c r="E289"/>
  <c r="F289"/>
  <c r="G289"/>
  <c r="A290"/>
  <c r="D290"/>
  <c r="E312" s="1"/>
  <c r="E290"/>
  <c r="F290"/>
  <c r="H312" s="1"/>
  <c r="G290"/>
  <c r="A291"/>
  <c r="D291"/>
  <c r="E291"/>
  <c r="F291"/>
  <c r="H313" s="1"/>
  <c r="G291"/>
  <c r="A292"/>
  <c r="D292"/>
  <c r="E292"/>
  <c r="I314" s="1"/>
  <c r="F292"/>
  <c r="H314" s="1"/>
  <c r="G292"/>
  <c r="A293"/>
  <c r="D293"/>
  <c r="E293"/>
  <c r="I315" s="1"/>
  <c r="F293"/>
  <c r="H315" s="1"/>
  <c r="G293"/>
  <c r="A294"/>
  <c r="D294"/>
  <c r="E316" s="1"/>
  <c r="E294"/>
  <c r="F294"/>
  <c r="G294"/>
  <c r="A295"/>
  <c r="D295"/>
  <c r="E317" s="1"/>
  <c r="E295"/>
  <c r="F295"/>
  <c r="H317" s="1"/>
  <c r="G295"/>
  <c r="A296"/>
  <c r="D296"/>
  <c r="E296"/>
  <c r="I318" s="1"/>
  <c r="F296"/>
  <c r="H318" s="1"/>
  <c r="G296"/>
  <c r="A297"/>
  <c r="D297"/>
  <c r="E319" s="1"/>
  <c r="E297"/>
  <c r="F297"/>
  <c r="G297"/>
  <c r="C298"/>
  <c r="A301" s="1"/>
  <c r="H298"/>
  <c r="L298"/>
  <c r="M298"/>
  <c r="N298"/>
  <c r="O298"/>
  <c r="C309"/>
  <c r="E309"/>
  <c r="I309"/>
  <c r="A310"/>
  <c r="A311" s="1"/>
  <c r="A312" s="1"/>
  <c r="A313" s="1"/>
  <c r="A314" s="1"/>
  <c r="A315" s="1"/>
  <c r="C310"/>
  <c r="E310"/>
  <c r="I310"/>
  <c r="C311"/>
  <c r="H311"/>
  <c r="C312"/>
  <c r="C313"/>
  <c r="E313"/>
  <c r="I313"/>
  <c r="C314"/>
  <c r="E314"/>
  <c r="C315"/>
  <c r="C316"/>
  <c r="H316"/>
  <c r="C317"/>
  <c r="I317"/>
  <c r="C318"/>
  <c r="E318"/>
  <c r="C319"/>
  <c r="H319"/>
  <c r="C321"/>
  <c r="I321"/>
  <c r="C323"/>
  <c r="C324"/>
  <c r="H324"/>
  <c r="I297" l="1"/>
  <c r="J297" s="1"/>
  <c r="I289"/>
  <c r="J289" s="1"/>
  <c r="J310"/>
  <c r="I285"/>
  <c r="J285" s="1"/>
  <c r="I319"/>
  <c r="J318"/>
  <c r="I293"/>
  <c r="J293" s="1"/>
  <c r="I292"/>
  <c r="J292" s="1"/>
  <c r="G250"/>
  <c r="B253" s="1"/>
  <c r="I238"/>
  <c r="J238" s="1"/>
  <c r="I236"/>
  <c r="J236" s="1"/>
  <c r="I237"/>
  <c r="J237" s="1"/>
  <c r="C278"/>
  <c r="I278"/>
  <c r="J262"/>
  <c r="J266"/>
  <c r="J270"/>
  <c r="J277"/>
  <c r="A269"/>
  <c r="A271" s="1"/>
  <c r="A268"/>
  <c r="A270" s="1"/>
  <c r="A272" s="1"/>
  <c r="A274" s="1"/>
  <c r="A276" s="1"/>
  <c r="A277" s="1"/>
  <c r="J265"/>
  <c r="J269"/>
  <c r="J276"/>
  <c r="J264"/>
  <c r="J268"/>
  <c r="J263"/>
  <c r="J267"/>
  <c r="J272"/>
  <c r="I235"/>
  <c r="I239"/>
  <c r="J239" s="1"/>
  <c r="I243"/>
  <c r="J243" s="1"/>
  <c r="I247"/>
  <c r="J247" s="1"/>
  <c r="F250"/>
  <c r="J261"/>
  <c r="K261" s="1"/>
  <c r="I240"/>
  <c r="J240" s="1"/>
  <c r="I244"/>
  <c r="J244" s="1"/>
  <c r="I249"/>
  <c r="J249" s="1"/>
  <c r="E250"/>
  <c r="C253" s="1"/>
  <c r="I241"/>
  <c r="J241" s="1"/>
  <c r="I245"/>
  <c r="J245" s="1"/>
  <c r="D250"/>
  <c r="J274"/>
  <c r="I242"/>
  <c r="J242" s="1"/>
  <c r="I246"/>
  <c r="J246" s="1"/>
  <c r="J319"/>
  <c r="K319" s="1"/>
  <c r="J317"/>
  <c r="J314"/>
  <c r="I286"/>
  <c r="J286" s="1"/>
  <c r="H323"/>
  <c r="J323" s="1"/>
  <c r="J321"/>
  <c r="E315"/>
  <c r="J315" s="1"/>
  <c r="K315" s="1"/>
  <c r="I311"/>
  <c r="C325"/>
  <c r="E298"/>
  <c r="C301" s="1"/>
  <c r="I296"/>
  <c r="J296" s="1"/>
  <c r="I294"/>
  <c r="J294" s="1"/>
  <c r="I290"/>
  <c r="J290" s="1"/>
  <c r="D298"/>
  <c r="I284"/>
  <c r="J284" s="1"/>
  <c r="J311"/>
  <c r="K311" s="1"/>
  <c r="J313"/>
  <c r="G298"/>
  <c r="B301" s="1"/>
  <c r="D301" s="1"/>
  <c r="I288"/>
  <c r="J288" s="1"/>
  <c r="I287"/>
  <c r="J287" s="1"/>
  <c r="A317"/>
  <c r="A316"/>
  <c r="A318" s="1"/>
  <c r="A319" s="1"/>
  <c r="A321" s="1"/>
  <c r="A323" s="1"/>
  <c r="A324" s="1"/>
  <c r="K314"/>
  <c r="K318"/>
  <c r="I316"/>
  <c r="J316" s="1"/>
  <c r="I312"/>
  <c r="J312" s="1"/>
  <c r="J309"/>
  <c r="F298"/>
  <c r="I295"/>
  <c r="J295" s="1"/>
  <c r="I291"/>
  <c r="J291" s="1"/>
  <c r="I324"/>
  <c r="J324" s="1"/>
  <c r="K316" l="1"/>
  <c r="G300"/>
  <c r="K274"/>
  <c r="K277"/>
  <c r="K324"/>
  <c r="K323"/>
  <c r="K312"/>
  <c r="K276"/>
  <c r="D253"/>
  <c r="G252"/>
  <c r="K267"/>
  <c r="K272"/>
  <c r="K268"/>
  <c r="K265"/>
  <c r="K270"/>
  <c r="J235"/>
  <c r="I250"/>
  <c r="K269"/>
  <c r="J278"/>
  <c r="K263"/>
  <c r="K262"/>
  <c r="K264"/>
  <c r="K266"/>
  <c r="K321"/>
  <c r="K310"/>
  <c r="I325"/>
  <c r="K309"/>
  <c r="J325"/>
  <c r="K317"/>
  <c r="I298"/>
  <c r="K313"/>
  <c r="K278" l="1"/>
  <c r="I251"/>
  <c r="E253"/>
  <c r="J250"/>
  <c r="K325"/>
  <c r="I299"/>
  <c r="E301"/>
  <c r="J298"/>
  <c r="C370"/>
  <c r="C369"/>
  <c r="C367"/>
  <c r="C365"/>
  <c r="C364"/>
  <c r="C363"/>
  <c r="C362"/>
  <c r="C361"/>
  <c r="C360"/>
  <c r="C359"/>
  <c r="C358"/>
  <c r="C357"/>
  <c r="C356"/>
  <c r="C355"/>
  <c r="A356"/>
  <c r="A357" s="1"/>
  <c r="A358" s="1"/>
  <c r="A359" s="1"/>
  <c r="A360" s="1"/>
  <c r="A361" s="1"/>
  <c r="O344"/>
  <c r="N344"/>
  <c r="M344"/>
  <c r="L344"/>
  <c r="H344"/>
  <c r="C344"/>
  <c r="A347" s="1"/>
  <c r="G343"/>
  <c r="F343"/>
  <c r="H365" s="1"/>
  <c r="E343"/>
  <c r="I365" s="1"/>
  <c r="D343"/>
  <c r="E365" s="1"/>
  <c r="A343"/>
  <c r="G342"/>
  <c r="F342"/>
  <c r="H364" s="1"/>
  <c r="E342"/>
  <c r="I364" s="1"/>
  <c r="D342"/>
  <c r="A342"/>
  <c r="G341"/>
  <c r="F341"/>
  <c r="H363" s="1"/>
  <c r="E341"/>
  <c r="I363" s="1"/>
  <c r="D341"/>
  <c r="E363" s="1"/>
  <c r="A341"/>
  <c r="G340"/>
  <c r="F340"/>
  <c r="H362" s="1"/>
  <c r="E340"/>
  <c r="I362" s="1"/>
  <c r="D340"/>
  <c r="E362" s="1"/>
  <c r="A340"/>
  <c r="G339"/>
  <c r="F339"/>
  <c r="H361" s="1"/>
  <c r="E339"/>
  <c r="I361" s="1"/>
  <c r="D339"/>
  <c r="E361" s="1"/>
  <c r="A339"/>
  <c r="G338"/>
  <c r="F338"/>
  <c r="H360" s="1"/>
  <c r="E338"/>
  <c r="I360" s="1"/>
  <c r="D338"/>
  <c r="A338"/>
  <c r="G337"/>
  <c r="F337"/>
  <c r="H359" s="1"/>
  <c r="E337"/>
  <c r="I359" s="1"/>
  <c r="D337"/>
  <c r="E359" s="1"/>
  <c r="A337"/>
  <c r="G336"/>
  <c r="F336"/>
  <c r="H358" s="1"/>
  <c r="E336"/>
  <c r="I358" s="1"/>
  <c r="D336"/>
  <c r="E358" s="1"/>
  <c r="A336"/>
  <c r="G335"/>
  <c r="F335"/>
  <c r="H357" s="1"/>
  <c r="E335"/>
  <c r="I357" s="1"/>
  <c r="D335"/>
  <c r="E357" s="1"/>
  <c r="A335"/>
  <c r="G334"/>
  <c r="F334"/>
  <c r="H356" s="1"/>
  <c r="E334"/>
  <c r="I356" s="1"/>
  <c r="D334"/>
  <c r="A334"/>
  <c r="G333"/>
  <c r="F333"/>
  <c r="H367" s="1"/>
  <c r="E333"/>
  <c r="I367" s="1"/>
  <c r="D333"/>
  <c r="E367" s="1"/>
  <c r="A333"/>
  <c r="G332"/>
  <c r="D370" s="1"/>
  <c r="F332"/>
  <c r="H370" s="1"/>
  <c r="E332"/>
  <c r="I370" s="1"/>
  <c r="D332"/>
  <c r="A332"/>
  <c r="G331"/>
  <c r="D369" s="1"/>
  <c r="F331"/>
  <c r="H369" s="1"/>
  <c r="E331"/>
  <c r="I369" s="1"/>
  <c r="D331"/>
  <c r="A331"/>
  <c r="G330"/>
  <c r="F330"/>
  <c r="H355" s="1"/>
  <c r="E330"/>
  <c r="I355" s="1"/>
  <c r="D330"/>
  <c r="E355" s="1"/>
  <c r="A330"/>
  <c r="E386"/>
  <c r="G344" l="1"/>
  <c r="B347" s="1"/>
  <c r="I332"/>
  <c r="J332" s="1"/>
  <c r="I331"/>
  <c r="J331" s="1"/>
  <c r="C371"/>
  <c r="J370"/>
  <c r="I334"/>
  <c r="J334" s="1"/>
  <c r="J358"/>
  <c r="I338"/>
  <c r="J338" s="1"/>
  <c r="J362"/>
  <c r="I342"/>
  <c r="J342" s="1"/>
  <c r="F344"/>
  <c r="J355"/>
  <c r="I371"/>
  <c r="J367"/>
  <c r="J359"/>
  <c r="J363"/>
  <c r="A363"/>
  <c r="A362"/>
  <c r="A364" s="1"/>
  <c r="A365" s="1"/>
  <c r="A367" s="1"/>
  <c r="A369" s="1"/>
  <c r="A370" s="1"/>
  <c r="J369"/>
  <c r="K369" s="1"/>
  <c r="J357"/>
  <c r="J361"/>
  <c r="J365"/>
  <c r="I335"/>
  <c r="J335" s="1"/>
  <c r="I339"/>
  <c r="J339" s="1"/>
  <c r="I343"/>
  <c r="J343" s="1"/>
  <c r="E344"/>
  <c r="C347" s="1"/>
  <c r="E356"/>
  <c r="J356" s="1"/>
  <c r="E360"/>
  <c r="J360" s="1"/>
  <c r="K360" s="1"/>
  <c r="E364"/>
  <c r="J364" s="1"/>
  <c r="I336"/>
  <c r="J336" s="1"/>
  <c r="I340"/>
  <c r="J340" s="1"/>
  <c r="D344"/>
  <c r="I333"/>
  <c r="J333" s="1"/>
  <c r="I337"/>
  <c r="J337" s="1"/>
  <c r="I341"/>
  <c r="J341" s="1"/>
  <c r="I330"/>
  <c r="J330" s="1"/>
  <c r="N391"/>
  <c r="M391"/>
  <c r="O391"/>
  <c r="L391"/>
  <c r="D388"/>
  <c r="D347" l="1"/>
  <c r="K356"/>
  <c r="K370"/>
  <c r="K365"/>
  <c r="G346"/>
  <c r="K364"/>
  <c r="I344"/>
  <c r="K362"/>
  <c r="K355"/>
  <c r="K367"/>
  <c r="K359"/>
  <c r="J371"/>
  <c r="K357"/>
  <c r="K361"/>
  <c r="K358"/>
  <c r="K363"/>
  <c r="J344" l="1"/>
  <c r="I345"/>
  <c r="E347"/>
  <c r="K371"/>
  <c r="C418" l="1"/>
  <c r="C417"/>
  <c r="C415"/>
  <c r="C413"/>
  <c r="C412"/>
  <c r="C411"/>
  <c r="C410"/>
  <c r="C409"/>
  <c r="C408"/>
  <c r="C407"/>
  <c r="C406"/>
  <c r="C405"/>
  <c r="C404"/>
  <c r="C403"/>
  <c r="A403"/>
  <c r="A404" s="1"/>
  <c r="A405" s="1"/>
  <c r="A406" s="1"/>
  <c r="A407" s="1"/>
  <c r="A408" s="1"/>
  <c r="A409" s="1"/>
  <c r="C402"/>
  <c r="H391"/>
  <c r="C391"/>
  <c r="A394" s="1"/>
  <c r="G390"/>
  <c r="F390"/>
  <c r="H413" s="1"/>
  <c r="E390"/>
  <c r="I413" s="1"/>
  <c r="D390"/>
  <c r="E413" s="1"/>
  <c r="A390"/>
  <c r="G389"/>
  <c r="F389"/>
  <c r="H412" s="1"/>
  <c r="E389"/>
  <c r="I412" s="1"/>
  <c r="D389"/>
  <c r="A389"/>
  <c r="G388"/>
  <c r="F388"/>
  <c r="H411" s="1"/>
  <c r="E388"/>
  <c r="A388"/>
  <c r="G387"/>
  <c r="F387"/>
  <c r="H410" s="1"/>
  <c r="E387"/>
  <c r="I410" s="1"/>
  <c r="D387"/>
  <c r="E410" s="1"/>
  <c r="A387"/>
  <c r="G386"/>
  <c r="F386"/>
  <c r="H409" s="1"/>
  <c r="I409"/>
  <c r="D386"/>
  <c r="E409" s="1"/>
  <c r="A386"/>
  <c r="G385"/>
  <c r="F385"/>
  <c r="H408" s="1"/>
  <c r="E385"/>
  <c r="I408" s="1"/>
  <c r="D385"/>
  <c r="A385"/>
  <c r="G384"/>
  <c r="F384"/>
  <c r="H407" s="1"/>
  <c r="E384"/>
  <c r="I407" s="1"/>
  <c r="D384"/>
  <c r="E407" s="1"/>
  <c r="A384"/>
  <c r="G383"/>
  <c r="F383"/>
  <c r="H406" s="1"/>
  <c r="E383"/>
  <c r="I406" s="1"/>
  <c r="D383"/>
  <c r="E406" s="1"/>
  <c r="A383"/>
  <c r="G382"/>
  <c r="F382"/>
  <c r="H405" s="1"/>
  <c r="E382"/>
  <c r="I405" s="1"/>
  <c r="D382"/>
  <c r="E405" s="1"/>
  <c r="A382"/>
  <c r="G381"/>
  <c r="F381"/>
  <c r="H404" s="1"/>
  <c r="E381"/>
  <c r="I404" s="1"/>
  <c r="D381"/>
  <c r="A381"/>
  <c r="G380"/>
  <c r="F380"/>
  <c r="H415" s="1"/>
  <c r="E380"/>
  <c r="I415" s="1"/>
  <c r="D380"/>
  <c r="E415" s="1"/>
  <c r="A380"/>
  <c r="G379"/>
  <c r="D418" s="1"/>
  <c r="F379"/>
  <c r="H418" s="1"/>
  <c r="E379"/>
  <c r="I418" s="1"/>
  <c r="D379"/>
  <c r="A379"/>
  <c r="G378"/>
  <c r="D417" s="1"/>
  <c r="F378"/>
  <c r="H417" s="1"/>
  <c r="E378"/>
  <c r="I417" s="1"/>
  <c r="D378"/>
  <c r="A378"/>
  <c r="G377"/>
  <c r="F377"/>
  <c r="H403" s="1"/>
  <c r="E377"/>
  <c r="I403" s="1"/>
  <c r="D377"/>
  <c r="E403" s="1"/>
  <c r="A377"/>
  <c r="G376"/>
  <c r="F376"/>
  <c r="E376"/>
  <c r="I402" s="1"/>
  <c r="D376"/>
  <c r="E402" s="1"/>
  <c r="A376"/>
  <c r="I411" l="1"/>
  <c r="I419" s="1"/>
  <c r="I388"/>
  <c r="J388" s="1"/>
  <c r="I381"/>
  <c r="J381" s="1"/>
  <c r="J407"/>
  <c r="G391"/>
  <c r="B394" s="1"/>
  <c r="C419"/>
  <c r="I389"/>
  <c r="J389" s="1"/>
  <c r="J415"/>
  <c r="I385"/>
  <c r="J385" s="1"/>
  <c r="I379"/>
  <c r="J379" s="1"/>
  <c r="F391"/>
  <c r="I378"/>
  <c r="J378" s="1"/>
  <c r="E411"/>
  <c r="H402"/>
  <c r="J418"/>
  <c r="J406"/>
  <c r="J410"/>
  <c r="J402"/>
  <c r="J417"/>
  <c r="J405"/>
  <c r="J409"/>
  <c r="J413"/>
  <c r="J403"/>
  <c r="A411"/>
  <c r="A410"/>
  <c r="A412" s="1"/>
  <c r="A413" s="1"/>
  <c r="A415" s="1"/>
  <c r="A417" s="1"/>
  <c r="A418" s="1"/>
  <c r="I383"/>
  <c r="J383" s="1"/>
  <c r="D391"/>
  <c r="I382"/>
  <c r="J382" s="1"/>
  <c r="I386"/>
  <c r="J386" s="1"/>
  <c r="I390"/>
  <c r="J390" s="1"/>
  <c r="E391"/>
  <c r="C394" s="1"/>
  <c r="E404"/>
  <c r="J404" s="1"/>
  <c r="E408"/>
  <c r="J408" s="1"/>
  <c r="E412"/>
  <c r="J412" s="1"/>
  <c r="I387"/>
  <c r="J387" s="1"/>
  <c r="I376"/>
  <c r="I380"/>
  <c r="J380" s="1"/>
  <c r="I384"/>
  <c r="J384" s="1"/>
  <c r="I377"/>
  <c r="J377" s="1"/>
  <c r="C466"/>
  <c r="C465"/>
  <c r="C463"/>
  <c r="C457"/>
  <c r="C458"/>
  <c r="C459"/>
  <c r="C460"/>
  <c r="C461"/>
  <c r="C456"/>
  <c r="C455"/>
  <c r="C454"/>
  <c r="C453"/>
  <c r="C452"/>
  <c r="C451"/>
  <c r="C450"/>
  <c r="C439"/>
  <c r="K417" l="1"/>
  <c r="D394"/>
  <c r="J411"/>
  <c r="K411" s="1"/>
  <c r="K404"/>
  <c r="K412"/>
  <c r="K418"/>
  <c r="K408"/>
  <c r="G393"/>
  <c r="K402"/>
  <c r="K409"/>
  <c r="K410"/>
  <c r="K415"/>
  <c r="K413"/>
  <c r="K407"/>
  <c r="K403"/>
  <c r="I391"/>
  <c r="J376"/>
  <c r="K405"/>
  <c r="K406"/>
  <c r="C467"/>
  <c r="A437"/>
  <c r="A438"/>
  <c r="J419" l="1"/>
  <c r="K419" s="1"/>
  <c r="J391"/>
  <c r="I392"/>
  <c r="E394"/>
  <c r="A451" l="1"/>
  <c r="A452" s="1"/>
  <c r="A453" s="1"/>
  <c r="A454" s="1"/>
  <c r="A455" s="1"/>
  <c r="A456" s="1"/>
  <c r="A457" s="1"/>
  <c r="C475"/>
  <c r="E511"/>
  <c r="H439"/>
  <c r="D424"/>
  <c r="E450" s="1"/>
  <c r="D425"/>
  <c r="E451" s="1"/>
  <c r="D426"/>
  <c r="D427"/>
  <c r="D428"/>
  <c r="D429"/>
  <c r="E452" s="1"/>
  <c r="D430"/>
  <c r="E453" s="1"/>
  <c r="D431"/>
  <c r="E454" s="1"/>
  <c r="D432"/>
  <c r="E455" s="1"/>
  <c r="D433"/>
  <c r="E456" s="1"/>
  <c r="D434"/>
  <c r="E457" s="1"/>
  <c r="D435"/>
  <c r="E458" s="1"/>
  <c r="D436"/>
  <c r="E459" s="1"/>
  <c r="D437"/>
  <c r="E460" s="1"/>
  <c r="E463" l="1"/>
  <c r="A459"/>
  <c r="A458"/>
  <c r="A460" s="1"/>
  <c r="A461" s="1"/>
  <c r="A463" s="1"/>
  <c r="A465" s="1"/>
  <c r="A466" s="1"/>
  <c r="E475"/>
  <c r="G437" l="1"/>
  <c r="G436"/>
  <c r="F436"/>
  <c r="H459" s="1"/>
  <c r="E424" l="1"/>
  <c r="I450" s="1"/>
  <c r="F424"/>
  <c r="H450" s="1"/>
  <c r="G424"/>
  <c r="G425"/>
  <c r="D490" s="1"/>
  <c r="G426"/>
  <c r="A435"/>
  <c r="A436"/>
  <c r="A424"/>
  <c r="E436"/>
  <c r="I459" s="1"/>
  <c r="J459" s="1"/>
  <c r="E484"/>
  <c r="H484"/>
  <c r="C484"/>
  <c r="J450" l="1"/>
  <c r="D491"/>
  <c r="D465"/>
  <c r="I484"/>
  <c r="J484" s="1"/>
  <c r="I436"/>
  <c r="J436" s="1"/>
  <c r="I475"/>
  <c r="I424"/>
  <c r="H475"/>
  <c r="J475" l="1"/>
  <c r="K475" s="1"/>
  <c r="K450"/>
  <c r="K459"/>
  <c r="K484"/>
  <c r="J424"/>
  <c r="C491" l="1"/>
  <c r="C490"/>
  <c r="C488"/>
  <c r="C486"/>
  <c r="C485"/>
  <c r="C483"/>
  <c r="C482"/>
  <c r="C481"/>
  <c r="C480"/>
  <c r="C479"/>
  <c r="C478"/>
  <c r="C477"/>
  <c r="A477"/>
  <c r="A478" s="1"/>
  <c r="A479" s="1"/>
  <c r="A480" s="1"/>
  <c r="A481" s="1"/>
  <c r="A482" s="1"/>
  <c r="C476"/>
  <c r="A442"/>
  <c r="G438"/>
  <c r="F438"/>
  <c r="E438"/>
  <c r="D438"/>
  <c r="E461" s="1"/>
  <c r="F437"/>
  <c r="E437"/>
  <c r="E485"/>
  <c r="G435"/>
  <c r="F435"/>
  <c r="E435"/>
  <c r="G434"/>
  <c r="F434"/>
  <c r="E434"/>
  <c r="A434"/>
  <c r="G433"/>
  <c r="F433"/>
  <c r="E433"/>
  <c r="E481"/>
  <c r="A433"/>
  <c r="G432"/>
  <c r="F432"/>
  <c r="E432"/>
  <c r="E480"/>
  <c r="A432"/>
  <c r="G431"/>
  <c r="F431"/>
  <c r="E431"/>
  <c r="E479"/>
  <c r="A431"/>
  <c r="G430"/>
  <c r="F430"/>
  <c r="E430"/>
  <c r="A430"/>
  <c r="G429"/>
  <c r="F429"/>
  <c r="E429"/>
  <c r="E477"/>
  <c r="A429"/>
  <c r="G428"/>
  <c r="F428"/>
  <c r="E428"/>
  <c r="E476"/>
  <c r="A428"/>
  <c r="G427"/>
  <c r="D466" s="1"/>
  <c r="F427"/>
  <c r="E427"/>
  <c r="I466" s="1"/>
  <c r="A427"/>
  <c r="F426"/>
  <c r="E426"/>
  <c r="A426"/>
  <c r="F425"/>
  <c r="H451" s="1"/>
  <c r="E425"/>
  <c r="I451" s="1"/>
  <c r="A425"/>
  <c r="H491" l="1"/>
  <c r="H465"/>
  <c r="H476"/>
  <c r="H463"/>
  <c r="I477"/>
  <c r="I452"/>
  <c r="I478"/>
  <c r="I453"/>
  <c r="J451"/>
  <c r="I491"/>
  <c r="I465"/>
  <c r="H488"/>
  <c r="H466"/>
  <c r="J466" s="1"/>
  <c r="I476"/>
  <c r="I463"/>
  <c r="I428"/>
  <c r="J428" s="1"/>
  <c r="H477"/>
  <c r="J477" s="1"/>
  <c r="H452"/>
  <c r="J452" s="1"/>
  <c r="H478"/>
  <c r="H453"/>
  <c r="J453" s="1"/>
  <c r="I479"/>
  <c r="I454"/>
  <c r="H480"/>
  <c r="H455"/>
  <c r="I481"/>
  <c r="I456"/>
  <c r="I482"/>
  <c r="I457"/>
  <c r="H483"/>
  <c r="H458"/>
  <c r="H485"/>
  <c r="H460"/>
  <c r="I486"/>
  <c r="I461"/>
  <c r="H479"/>
  <c r="H454"/>
  <c r="I480"/>
  <c r="I455"/>
  <c r="H481"/>
  <c r="H456"/>
  <c r="H482"/>
  <c r="H457"/>
  <c r="I483"/>
  <c r="I458"/>
  <c r="I485"/>
  <c r="I460"/>
  <c r="H486"/>
  <c r="H461"/>
  <c r="A483"/>
  <c r="A485" s="1"/>
  <c r="A486" s="1"/>
  <c r="A488" s="1"/>
  <c r="A490" s="1"/>
  <c r="A491" s="1"/>
  <c r="A484"/>
  <c r="I488"/>
  <c r="I427"/>
  <c r="J427" s="1"/>
  <c r="E486"/>
  <c r="D439"/>
  <c r="F439"/>
  <c r="I490"/>
  <c r="E439"/>
  <c r="C442" s="1"/>
  <c r="G439"/>
  <c r="B442" s="1"/>
  <c r="E488"/>
  <c r="C492"/>
  <c r="I425"/>
  <c r="I426"/>
  <c r="J426" s="1"/>
  <c r="I430"/>
  <c r="J430" s="1"/>
  <c r="I434"/>
  <c r="J434" s="1"/>
  <c r="I435"/>
  <c r="J435" s="1"/>
  <c r="I437"/>
  <c r="J437" s="1"/>
  <c r="I432"/>
  <c r="J432" s="1"/>
  <c r="I431"/>
  <c r="J431" s="1"/>
  <c r="I438"/>
  <c r="J438" s="1"/>
  <c r="E478"/>
  <c r="E482"/>
  <c r="E483"/>
  <c r="H490"/>
  <c r="I433"/>
  <c r="J433" s="1"/>
  <c r="I429"/>
  <c r="J429" s="1"/>
  <c r="C511"/>
  <c r="J478" l="1"/>
  <c r="K478" s="1"/>
  <c r="J485"/>
  <c r="K485" s="1"/>
  <c r="J481"/>
  <c r="J479"/>
  <c r="K479" s="1"/>
  <c r="J461"/>
  <c r="J456"/>
  <c r="K456" s="1"/>
  <c r="J454"/>
  <c r="K454" s="1"/>
  <c r="J486"/>
  <c r="K486" s="1"/>
  <c r="J491"/>
  <c r="K491" s="1"/>
  <c r="J482"/>
  <c r="K482" s="1"/>
  <c r="J490"/>
  <c r="K490" s="1"/>
  <c r="J480"/>
  <c r="K480" s="1"/>
  <c r="J476"/>
  <c r="K476" s="1"/>
  <c r="J457"/>
  <c r="J483"/>
  <c r="K483" s="1"/>
  <c r="I467"/>
  <c r="D442"/>
  <c r="I492"/>
  <c r="K466"/>
  <c r="K451"/>
  <c r="K461"/>
  <c r="K457"/>
  <c r="J460"/>
  <c r="K460" s="1"/>
  <c r="J458"/>
  <c r="K458" s="1"/>
  <c r="J455"/>
  <c r="K455" s="1"/>
  <c r="K453"/>
  <c r="K452"/>
  <c r="J463"/>
  <c r="K463" s="1"/>
  <c r="J465"/>
  <c r="K465" s="1"/>
  <c r="G441"/>
  <c r="J488"/>
  <c r="K488" s="1"/>
  <c r="J425"/>
  <c r="I439"/>
  <c r="K481"/>
  <c r="K477"/>
  <c r="E502"/>
  <c r="E501"/>
  <c r="E500"/>
  <c r="J492" l="1"/>
  <c r="K492" s="1"/>
  <c r="I440"/>
  <c r="J467"/>
  <c r="K467" s="1"/>
  <c r="E442"/>
  <c r="J439"/>
  <c r="A501" l="1"/>
  <c r="A502" s="1"/>
  <c r="A503" s="1"/>
  <c r="A504" s="1"/>
  <c r="A505" s="1"/>
  <c r="A506" s="1"/>
  <c r="A507" s="1"/>
  <c r="A508" s="1"/>
  <c r="C514"/>
  <c r="C513"/>
  <c r="C509"/>
  <c r="C508"/>
  <c r="C507"/>
  <c r="C506"/>
  <c r="C505"/>
  <c r="C504"/>
  <c r="C503"/>
  <c r="C502"/>
  <c r="C501"/>
  <c r="C500"/>
  <c r="H509"/>
  <c r="I509"/>
  <c r="E509"/>
  <c r="H508"/>
  <c r="I508"/>
  <c r="H507"/>
  <c r="I507"/>
  <c r="E507"/>
  <c r="H506"/>
  <c r="I506"/>
  <c r="E506"/>
  <c r="H505"/>
  <c r="I505"/>
  <c r="H504"/>
  <c r="I504"/>
  <c r="E504"/>
  <c r="H503"/>
  <c r="I503"/>
  <c r="E503"/>
  <c r="H502"/>
  <c r="I502"/>
  <c r="H501"/>
  <c r="I501"/>
  <c r="H500"/>
  <c r="I500"/>
  <c r="H511"/>
  <c r="I511"/>
  <c r="H514"/>
  <c r="I514"/>
  <c r="I513"/>
  <c r="A509" l="1"/>
  <c r="A511" s="1"/>
  <c r="A513" s="1"/>
  <c r="A514" s="1"/>
  <c r="J514"/>
  <c r="J506"/>
  <c r="J509"/>
  <c r="C515"/>
  <c r="J502"/>
  <c r="J500"/>
  <c r="J515" s="1"/>
  <c r="K515" s="1"/>
  <c r="J511"/>
  <c r="I515"/>
  <c r="J503"/>
  <c r="J507"/>
  <c r="J504"/>
  <c r="J501"/>
  <c r="E508"/>
  <c r="J508" s="1"/>
  <c r="E505"/>
  <c r="J505" s="1"/>
  <c r="H513"/>
  <c r="J513" s="1"/>
  <c r="C7" i="95"/>
  <c r="E6" l="1"/>
  <c r="D7"/>
  <c r="K505" i="16"/>
  <c r="K508"/>
  <c r="K513"/>
  <c r="K509"/>
  <c r="K501"/>
  <c r="K511"/>
  <c r="K507"/>
  <c r="K502"/>
  <c r="K514"/>
  <c r="K504"/>
  <c r="K506"/>
  <c r="K500"/>
  <c r="K503"/>
  <c r="C537" l="1"/>
  <c r="C523"/>
  <c r="C532"/>
  <c r="I528" l="1"/>
  <c r="I529"/>
  <c r="I530"/>
  <c r="I531"/>
  <c r="I532"/>
  <c r="I533"/>
  <c r="I527"/>
  <c r="I526"/>
  <c r="I537"/>
  <c r="H532"/>
  <c r="E532"/>
  <c r="J532" l="1"/>
  <c r="K532" l="1"/>
  <c r="C538" l="1"/>
  <c r="C535"/>
  <c r="C533"/>
  <c r="C531"/>
  <c r="C530"/>
  <c r="C529"/>
  <c r="C528"/>
  <c r="C527"/>
  <c r="C526"/>
  <c r="C525"/>
  <c r="C524"/>
  <c r="H537"/>
  <c r="J537" s="1"/>
  <c r="C558"/>
  <c r="K537" l="1"/>
  <c r="C539"/>
  <c r="C561"/>
  <c r="J561" s="1"/>
  <c r="K561" s="1"/>
  <c r="C560"/>
  <c r="J560" s="1"/>
  <c r="K560" s="1"/>
  <c r="J558"/>
  <c r="C548"/>
  <c r="J548" s="1"/>
  <c r="C549"/>
  <c r="J549" s="1"/>
  <c r="C550"/>
  <c r="J550" s="1"/>
  <c r="C551"/>
  <c r="J551" s="1"/>
  <c r="C552"/>
  <c r="J552" s="1"/>
  <c r="C553"/>
  <c r="J553" s="1"/>
  <c r="C554"/>
  <c r="J554" s="1"/>
  <c r="C555"/>
  <c r="C556"/>
  <c r="J556" s="1"/>
  <c r="C547"/>
  <c r="J547" s="1"/>
  <c r="I562"/>
  <c r="J555"/>
  <c r="C562" l="1"/>
  <c r="J562"/>
  <c r="G563" s="1"/>
  <c r="K553" l="1"/>
  <c r="K549"/>
  <c r="K558"/>
  <c r="K556" l="1"/>
  <c r="K548"/>
  <c r="K547"/>
  <c r="K554"/>
  <c r="K550"/>
  <c r="K551"/>
  <c r="K552"/>
  <c r="K555"/>
  <c r="K562" l="1"/>
  <c r="F574" l="1"/>
  <c r="H573"/>
  <c r="F572"/>
  <c r="C582" l="1"/>
  <c r="J582" s="1"/>
  <c r="C581"/>
  <c r="J581" s="1"/>
  <c r="C580"/>
  <c r="J580" s="1"/>
  <c r="C579"/>
  <c r="J579" s="1"/>
  <c r="C578"/>
  <c r="J578" s="1"/>
  <c r="C577"/>
  <c r="J577" s="1"/>
  <c r="C576"/>
  <c r="J576" s="1"/>
  <c r="C575"/>
  <c r="J575" s="1"/>
  <c r="C574"/>
  <c r="J574" s="1"/>
  <c r="C573"/>
  <c r="J573" s="1"/>
  <c r="C572"/>
  <c r="J572" s="1"/>
  <c r="C571"/>
  <c r="J571" s="1"/>
  <c r="C584"/>
  <c r="J584" s="1"/>
  <c r="C587"/>
  <c r="J587" s="1"/>
  <c r="I588"/>
  <c r="C614"/>
  <c r="C586" l="1"/>
  <c r="J586" s="1"/>
  <c r="J588" s="1"/>
  <c r="C588" l="1"/>
  <c r="I614" l="1"/>
  <c r="J613" l="1"/>
  <c r="J612"/>
  <c r="J610"/>
  <c r="J608"/>
  <c r="J607"/>
  <c r="J606"/>
  <c r="J605"/>
  <c r="J604"/>
  <c r="J603"/>
  <c r="J602"/>
  <c r="J601"/>
  <c r="J600"/>
  <c r="J599"/>
  <c r="J598"/>
  <c r="J597"/>
  <c r="J596"/>
  <c r="J614" l="1"/>
  <c r="J633" l="1"/>
  <c r="J632"/>
  <c r="J631"/>
  <c r="J630"/>
  <c r="J629"/>
  <c r="J628"/>
  <c r="J627"/>
  <c r="J625"/>
  <c r="J622"/>
  <c r="J636"/>
  <c r="J639"/>
  <c r="J638"/>
  <c r="I640"/>
  <c r="J626"/>
  <c r="C640" l="1"/>
  <c r="J624"/>
  <c r="J623"/>
  <c r="J634"/>
  <c r="J640" l="1"/>
  <c r="F660" l="1"/>
  <c r="H660"/>
  <c r="F651"/>
  <c r="H650"/>
  <c r="F649"/>
  <c r="I666"/>
  <c r="J660" l="1"/>
  <c r="J659"/>
  <c r="J658"/>
  <c r="J657"/>
  <c r="J656"/>
  <c r="J655"/>
  <c r="J654"/>
  <c r="J653"/>
  <c r="J652"/>
  <c r="J651"/>
  <c r="J650"/>
  <c r="J649"/>
  <c r="J662"/>
  <c r="J665"/>
  <c r="J664"/>
  <c r="J648" l="1"/>
  <c r="J666" s="1"/>
  <c r="C666"/>
  <c r="I695" l="1"/>
  <c r="J689"/>
  <c r="J675" l="1"/>
  <c r="J688" l="1"/>
  <c r="J687"/>
  <c r="J686"/>
  <c r="J685"/>
  <c r="J684"/>
  <c r="J683"/>
  <c r="J682"/>
  <c r="J681"/>
  <c r="J680"/>
  <c r="J679"/>
  <c r="J678"/>
  <c r="J677"/>
  <c r="C691"/>
  <c r="J691" s="1"/>
  <c r="C694"/>
  <c r="J694" s="1"/>
  <c r="C693"/>
  <c r="J693" s="1"/>
  <c r="C722"/>
  <c r="J676" l="1"/>
  <c r="J695" s="1"/>
  <c r="C695"/>
  <c r="J735" l="1"/>
  <c r="J716" l="1"/>
  <c r="J715"/>
  <c r="J714"/>
  <c r="J713"/>
  <c r="J712"/>
  <c r="J711"/>
  <c r="J710"/>
  <c r="J709"/>
  <c r="J708"/>
  <c r="J707"/>
  <c r="J706"/>
  <c r="J705"/>
  <c r="J704"/>
  <c r="J718"/>
  <c r="J721"/>
  <c r="J720"/>
  <c r="I722"/>
  <c r="J703" l="1"/>
  <c r="J722" s="1"/>
  <c r="I750" l="1"/>
  <c r="J743" l="1"/>
  <c r="J740" l="1"/>
  <c r="J736"/>
  <c r="J732"/>
  <c r="J746"/>
  <c r="J748"/>
  <c r="J749"/>
  <c r="J742"/>
  <c r="J741"/>
  <c r="J739"/>
  <c r="J738"/>
  <c r="J737"/>
  <c r="J734"/>
  <c r="J733"/>
  <c r="J731"/>
  <c r="J744" l="1"/>
  <c r="J750" s="1"/>
  <c r="K750" s="1"/>
  <c r="C667" l="1"/>
  <c r="C641"/>
  <c r="J767"/>
  <c r="J768" l="1"/>
  <c r="J766"/>
  <c r="J765"/>
  <c r="J764"/>
  <c r="J763"/>
  <c r="J762"/>
  <c r="J761"/>
  <c r="J760"/>
  <c r="J759"/>
  <c r="J758"/>
  <c r="J772"/>
  <c r="J775"/>
  <c r="J774"/>
  <c r="J770" l="1"/>
  <c r="J769"/>
  <c r="J776" l="1"/>
  <c r="J794" l="1"/>
  <c r="F784" l="1"/>
  <c r="J818"/>
  <c r="J821"/>
  <c r="J802"/>
  <c r="J801"/>
  <c r="J800"/>
  <c r="C793" l="1"/>
  <c r="J793" s="1"/>
  <c r="C792"/>
  <c r="J792" s="1"/>
  <c r="C791"/>
  <c r="J791" s="1"/>
  <c r="C790"/>
  <c r="J790" s="1"/>
  <c r="C789"/>
  <c r="J789" s="1"/>
  <c r="J788"/>
  <c r="C787"/>
  <c r="J787" s="1"/>
  <c r="C786"/>
  <c r="J786" s="1"/>
  <c r="C785"/>
  <c r="J785" s="1"/>
  <c r="C784"/>
  <c r="J784" s="1"/>
  <c r="C796"/>
  <c r="J796" s="1"/>
  <c r="C799"/>
  <c r="J799" s="1"/>
  <c r="C798" l="1"/>
  <c r="J798" s="1"/>
  <c r="J803" s="1"/>
  <c r="J829" l="1"/>
  <c r="J828"/>
  <c r="J827"/>
  <c r="J880"/>
  <c r="J853"/>
  <c r="J852"/>
  <c r="J850"/>
  <c r="E848"/>
  <c r="J848" s="1"/>
  <c r="E847"/>
  <c r="J847" s="1"/>
  <c r="E845"/>
  <c r="J845" s="1"/>
  <c r="H844"/>
  <c r="E844"/>
  <c r="F843"/>
  <c r="E843"/>
  <c r="E842"/>
  <c r="J842" s="1"/>
  <c r="I841"/>
  <c r="H841"/>
  <c r="E841"/>
  <c r="I840"/>
  <c r="E840"/>
  <c r="H839"/>
  <c r="E839"/>
  <c r="I838"/>
  <c r="J830"/>
  <c r="J814"/>
  <c r="J826"/>
  <c r="B814" l="1"/>
  <c r="B818"/>
  <c r="B819"/>
  <c r="B812"/>
  <c r="B815"/>
  <c r="B816"/>
  <c r="B813"/>
  <c r="B817"/>
  <c r="J813"/>
  <c r="I855"/>
  <c r="J840"/>
  <c r="J823"/>
  <c r="J839"/>
  <c r="J811"/>
  <c r="J817"/>
  <c r="J812"/>
  <c r="J825"/>
  <c r="J820"/>
  <c r="J843"/>
  <c r="J841"/>
  <c r="J844"/>
  <c r="J838"/>
  <c r="J816" l="1"/>
  <c r="J815"/>
  <c r="J819"/>
  <c r="C846"/>
  <c r="J831" l="1"/>
  <c r="C855"/>
  <c r="J846"/>
  <c r="J855" s="1"/>
  <c r="K584" l="1"/>
  <c r="K571"/>
  <c r="K587"/>
  <c r="K577"/>
  <c r="K582"/>
  <c r="K581"/>
  <c r="K653" l="1"/>
  <c r="K575"/>
  <c r="K604"/>
  <c r="K578"/>
  <c r="K573"/>
  <c r="K605"/>
  <c r="K579"/>
  <c r="K574"/>
  <c r="K572"/>
  <c r="K602"/>
  <c r="K576"/>
  <c r="K606"/>
  <c r="K601"/>
  <c r="K654"/>
  <c r="K650"/>
  <c r="K665"/>
  <c r="K613"/>
  <c r="K600"/>
  <c r="K652"/>
  <c r="K607"/>
  <c r="K659"/>
  <c r="K608"/>
  <c r="K660"/>
  <c r="K655"/>
  <c r="K603"/>
  <c r="K662"/>
  <c r="K610"/>
  <c r="K586"/>
  <c r="K649"/>
  <c r="K657"/>
  <c r="K648"/>
  <c r="K656"/>
  <c r="K599"/>
  <c r="K597"/>
  <c r="K598"/>
  <c r="K651"/>
  <c r="K596"/>
  <c r="K658" l="1"/>
  <c r="K580"/>
  <c r="K664"/>
  <c r="K612"/>
  <c r="K588" l="1"/>
  <c r="K666"/>
  <c r="K803"/>
  <c r="K614"/>
  <c r="H523" l="1"/>
  <c r="H524"/>
  <c r="H535"/>
  <c r="H525"/>
  <c r="I535"/>
  <c r="H538"/>
  <c r="H529"/>
  <c r="H528"/>
  <c r="H526"/>
  <c r="H530"/>
  <c r="J530" s="1"/>
  <c r="I523"/>
  <c r="H527"/>
  <c r="I538"/>
  <c r="H531"/>
  <c r="H533"/>
  <c r="I525"/>
  <c r="E529"/>
  <c r="E528"/>
  <c r="E527"/>
  <c r="I524"/>
  <c r="E531"/>
  <c r="K530" l="1"/>
  <c r="J538"/>
  <c r="K538" s="1"/>
  <c r="J525"/>
  <c r="K525" s="1"/>
  <c r="E526"/>
  <c r="J526" s="1"/>
  <c r="K526" s="1"/>
  <c r="E524"/>
  <c r="J524" s="1"/>
  <c r="E533"/>
  <c r="J533" s="1"/>
  <c r="K533" s="1"/>
  <c r="I539"/>
  <c r="J528"/>
  <c r="J531"/>
  <c r="J527"/>
  <c r="E523"/>
  <c r="J523" s="1"/>
  <c r="J529"/>
  <c r="J535"/>
  <c r="K528" l="1"/>
  <c r="K535"/>
  <c r="K524"/>
  <c r="K523"/>
  <c r="J539"/>
  <c r="K527"/>
  <c r="K529"/>
  <c r="K531"/>
  <c r="G540" l="1"/>
  <c r="K539"/>
  <c r="G97" i="95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l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111"/>
  <c r="G210" l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</calcChain>
</file>

<file path=xl/sharedStrings.xml><?xml version="1.0" encoding="utf-8"?>
<sst xmlns="http://schemas.openxmlformats.org/spreadsheetml/2006/main" count="3136" uniqueCount="549">
  <si>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</si>
  <si>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</si>
  <si>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</si>
  <si>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</si>
  <si>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</si>
  <si>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</si>
  <si>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</si>
  <si>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</si>
  <si>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</si>
  <si>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</si>
  <si>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</si>
  <si>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</si>
  <si>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</si>
  <si>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</si>
  <si>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</si>
  <si>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</si>
  <si>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</si>
  <si>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</si>
  <si>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</si>
  <si>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</si>
  <si>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</si>
  <si>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</si>
  <si>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</si>
  <si>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</si>
  <si>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</si>
  <si>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</si>
  <si>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</si>
  <si>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</si>
  <si>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</si>
  <si>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</si>
  <si>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</si>
  <si>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</si>
  <si>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</si>
  <si>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</si>
  <si>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</si>
  <si>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</si>
  <si>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</si>
  <si>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</si>
  <si>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</si>
  <si>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</si>
  <si>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</si>
  <si>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</si>
  <si>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</si>
  <si>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</si>
  <si>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</si>
  <si>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</si>
  <si>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</si>
  <si>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</si>
  <si>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</si>
  <si>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</si>
  <si>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</si>
  <si>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</si>
  <si>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</si>
  <si>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</si>
  <si>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</si>
  <si>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</si>
  <si>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</si>
  <si>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</si>
  <si>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</si>
  <si>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</si>
  <si>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</si>
  <si>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</si>
  <si>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</si>
  <si>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</si>
  <si>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</si>
  <si>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</si>
  <si>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</si>
  <si>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</si>
  <si>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</si>
  <si>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</si>
  <si>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</si>
  <si>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</si>
  <si>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</si>
  <si>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</si>
  <si>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</si>
  <si>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</si>
  <si>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</si>
  <si>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</si>
  <si>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</si>
  <si>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</si>
  <si>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</si>
  <si>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</si>
  <si>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</si>
  <si>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</si>
  <si>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</si>
  <si>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</si>
  <si>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</si>
  <si>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</si>
  <si>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</si>
  <si>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</si>
  <si>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</si>
  <si>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</si>
  <si>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</si>
  <si>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</si>
  <si>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</si>
  <si>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</si>
  <si>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</si>
  <si>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</si>
  <si>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</si>
  <si>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</si>
  <si>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</si>
  <si>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</si>
  <si>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</si>
  <si>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</si>
  <si>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</si>
  <si>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</si>
  <si>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</si>
  <si>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</si>
  <si>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</si>
  <si>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</si>
  <si>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</si>
  <si>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</si>
  <si>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</si>
  <si>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</si>
  <si>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</si>
  <si>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</si>
  <si>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</si>
  <si>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</si>
  <si>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</si>
  <si>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</si>
  <si>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</si>
  <si>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</si>
  <si>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</si>
  <si>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</si>
  <si>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</si>
  <si>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</si>
  <si>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</si>
  <si>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</si>
  <si>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</si>
  <si>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</si>
  <si>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</si>
  <si>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</si>
  <si>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</si>
  <si>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</si>
  <si>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</si>
  <si>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</si>
  <si>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</si>
  <si>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</si>
  <si>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</si>
  <si>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Internet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</si>
  <si>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</si>
  <si>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</si>
  <si>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</si>
  <si>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</si>
  <si>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</si>
  <si>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</si>
  <si>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</si>
  <si>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</si>
  <si>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</si>
  <si>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</si>
  <si>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</si>
  <si>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</si>
  <si>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</si>
  <si>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</si>
  <si>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</si>
  <si>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</si>
  <si>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Travel Subsistence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</si>
  <si>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</si>
  <si>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</si>
  <si>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</si>
  <si>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</si>
  <si>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</si>
  <si>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</si>
  <si>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</si>
  <si>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</si>
  <si>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Wildcat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</si>
  <si>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</si>
  <si>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</si>
  <si>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</si>
  <si>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</si>
  <si>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</si>
  <si>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</si>
  <si>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</si>
  <si>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TOTAL DEPENSE EN NOVEMBRE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</si>
  <si>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</si>
  <si>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</si>
  <si>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</si>
  <si>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</si>
  <si>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</si>
  <si>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</si>
  <si>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</si>
  <si>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</si>
  <si>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</si>
  <si>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</si>
  <si>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</si>
  <si>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</si>
  <si>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</si>
  <si>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</si>
  <si>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</si>
  <si>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</si>
  <si>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</si>
  <si>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</si>
  <si>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</si>
  <si>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</si>
  <si>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</si>
  <si>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</si>
  <si>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</si>
  <si>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</si>
  <si>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</si>
  <si>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</si>
  <si>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</si>
  <si>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</si>
  <si>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</si>
  <si>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</si>
  <si>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</si>
  <si>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</si>
  <si>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Paule</t>
  </si>
  <si>
    <t>Hurielle</t>
  </si>
  <si>
    <t>PALF</t>
  </si>
  <si>
    <t>RALFF</t>
  </si>
  <si>
    <t>RALFF/UE</t>
  </si>
  <si>
    <t>RALFF/Wildcat</t>
  </si>
  <si>
    <t>BALANCE 01 Avril 2022</t>
  </si>
  <si>
    <t>TOTAL RECU EN AVRIL</t>
  </si>
  <si>
    <t>TOTAL DEPENSE EN AVRIL</t>
  </si>
  <si>
    <t>BALANCE 30 AVRIL 2022</t>
  </si>
  <si>
    <t>BALANCE CAISSES ET BANQUE AU 30 Avril 2022</t>
  </si>
  <si>
    <t>Balance a   01 Avril 2022</t>
  </si>
  <si>
    <t>Balance au 30 Avril 2022</t>
  </si>
  <si>
    <t>TOTAL DEPENSE EN MAI</t>
  </si>
  <si>
    <t>TOTAL RECU EN MAI</t>
  </si>
  <si>
    <t>BALANCE 01 MAI 2022</t>
  </si>
  <si>
    <t>Balance a   01 MAI 2022</t>
  </si>
  <si>
    <t>Yan</t>
  </si>
  <si>
    <t>Transfer fees</t>
  </si>
  <si>
    <t>Lawyer fees</t>
  </si>
  <si>
    <t>Trust building</t>
  </si>
  <si>
    <t>Balance au 31 MAI 2022</t>
  </si>
  <si>
    <t>BALANCE 31 MAI 2022</t>
  </si>
  <si>
    <t>BALANCE CAISSES ET BANQUE AU 31 MAI 2022</t>
  </si>
  <si>
    <t>BALANCE 01 JUIN 2022</t>
  </si>
  <si>
    <t>TOTAL RECU EN JUIN</t>
  </si>
  <si>
    <t>TOTAL DEPENSE EN JUIN</t>
  </si>
  <si>
    <t>BALANCE CAISSES ET BANQUE AU 30 JUIN 2022</t>
  </si>
  <si>
    <t>BALANCE 30 JUIN 2022</t>
  </si>
  <si>
    <t>Balance a   01 JUIN 2022</t>
  </si>
  <si>
    <t>Balance au 30 JUIN 2022</t>
  </si>
  <si>
    <t>Office materials</t>
  </si>
  <si>
    <t>Balance a   01 JUILLET 2022</t>
  </si>
  <si>
    <t>Balance au 31JUILLET 2022</t>
  </si>
  <si>
    <t>BALANCE CAISSES ET BANQUE AU 31 JUILLET 2022</t>
  </si>
  <si>
    <t>BALANCE 01 JUILLET 2022</t>
  </si>
  <si>
    <t>TOTAL DEPENSE EN JUILLET</t>
  </si>
  <si>
    <t>BALANCE 31 JUILLET 2022</t>
  </si>
  <si>
    <t>Bonus</t>
  </si>
  <si>
    <t>BALANCE 01 AOUT 2022</t>
  </si>
  <si>
    <t>TOTAL RECU EN AOUT</t>
  </si>
  <si>
    <t>TOTAL DEPENSE EN AOUT</t>
  </si>
  <si>
    <t>BALANCE 31 AOUT 2022</t>
  </si>
  <si>
    <t>TOTAL RECU EN JUILLET</t>
  </si>
  <si>
    <t>BALANCE CAISSES ET BANQUE AU 31 AOUT 2022</t>
  </si>
  <si>
    <t>Balance a   01 AOUT 2022</t>
  </si>
  <si>
    <t>Balance au 31 AOUT 2022</t>
  </si>
  <si>
    <t>Solde au 01/08/2022</t>
  </si>
  <si>
    <t>RAPPORT FINANCIER AOUT 2022</t>
  </si>
  <si>
    <t>BCI-37107255251/56</t>
  </si>
  <si>
    <t>Frais de transfert d'argent à Crépin</t>
  </si>
  <si>
    <t>Office</t>
  </si>
  <si>
    <t>Reglement prestation Entretient bureau Mois de Juillet  2022/Odile</t>
  </si>
  <si>
    <t>Oui</t>
  </si>
  <si>
    <t>Hurielle/Retour Caisse</t>
  </si>
  <si>
    <t>P29/Retour Caisse /Av sur Salaire</t>
  </si>
  <si>
    <t>Achat credit  teléphonique MTN/PALF/Prémière partie Août 2022/Management</t>
  </si>
  <si>
    <t xml:space="preserve">Management </t>
  </si>
  <si>
    <t>Achat credit  teléphonique MTN/PALF/Prémière partie Août 2022/Legal</t>
  </si>
  <si>
    <t>Achat credit  teléphonique MTN/PALF/Prémière partie Août 2022/Investigation</t>
  </si>
  <si>
    <t>Achat credit  teléphonique Airtel/PALF/Prémière partie Aout 2022/Management</t>
  </si>
  <si>
    <t>Achat credit  teléphonique Airtel/PALF/Prémière partie Aout 2022/Legal</t>
  </si>
  <si>
    <t>Achat credit  teléphonique Airtel/PALF/Prémière partie Août 2022/Investigation</t>
  </si>
  <si>
    <t>Bonus mois de Juillet 2022/Hurielle</t>
  </si>
  <si>
    <t>Decharge</t>
  </si>
  <si>
    <t>BCI-37107255231/56</t>
  </si>
  <si>
    <t>Reglement Facture Gardiennage Mois de Juillet 2022</t>
  </si>
  <si>
    <t>Bonus mois de Juillet 2022/Crepin</t>
  </si>
  <si>
    <t>Achat credit teléphonique MTN/CCU/Danielle</t>
  </si>
  <si>
    <t>CCU</t>
  </si>
  <si>
    <t>Grace/avance sur salaire</t>
  </si>
  <si>
    <t>Achat ampoule et serviette/Bureau PALF</t>
  </si>
  <si>
    <t>Frais de transfert d'argent à P29 et I23c</t>
  </si>
  <si>
    <t>Reglement facture d'eau (LCDE) période Juillet - Août 2022/Bureau PALF</t>
  </si>
  <si>
    <t>Achat fourniture de bureau/stylo,agrafe,sous chemise,chemise cartonnée,cole et enveloppe</t>
  </si>
  <si>
    <t>Achat 03 Bonbones d'eau minerale/Bureau PALF</t>
  </si>
  <si>
    <t>Office Materials</t>
  </si>
  <si>
    <t>Frais de mission maitre Marie Hélène à oyo du 17 au 20/08/2022</t>
  </si>
  <si>
    <t>Achat credit  teléphonique MTN/PALF/Deuxième partie Août 2022/Management</t>
  </si>
  <si>
    <t>Achat credit  teléphonique MTN/PALF/Deuxième partie Août 2022/Legal</t>
  </si>
  <si>
    <t>Achat credit  teléphonique MTN/PALF/Deuxième partie Août 2022/Investigation</t>
  </si>
  <si>
    <t>Achat credit  teléphonique Airtel/PALF/Deuxième partie Aout 2022/Management</t>
  </si>
  <si>
    <t>Achat credit  teléphonique Airtel/PALF/Deuxième partie Aout 2022/Legal</t>
  </si>
  <si>
    <t>Achat credit  teléphonique Airtel/PALF/Deuxième partie Août 2022/Investigation</t>
  </si>
  <si>
    <t>I23C/Retour caisse (150$)</t>
  </si>
  <si>
    <t>Entretien groupe electrogène et charge batterie</t>
  </si>
  <si>
    <t>Crépin/Retour caisse</t>
  </si>
  <si>
    <t>recharge batterie et transport techniciens</t>
  </si>
  <si>
    <t>BCI-3654491-34</t>
  </si>
  <si>
    <t>Frais de transfert charden farell à P29</t>
  </si>
  <si>
    <t>Crepin</t>
  </si>
  <si>
    <t>Collation pour départ  Danielle MBUI</t>
  </si>
  <si>
    <t xml:space="preserve">Personnel </t>
  </si>
  <si>
    <t>Team Bulding</t>
  </si>
  <si>
    <t>Frais de transfert charden farell à I23c</t>
  </si>
  <si>
    <t>Reglement prestation Entretient bureau Mois d'Août 2022/Odile</t>
  </si>
  <si>
    <t>Reglement frais d' internet mois de Septembre 2022/Canal Box</t>
  </si>
  <si>
    <t>I23c</t>
  </si>
  <si>
    <t>Relevé</t>
  </si>
  <si>
    <t>Frais bancaire compte 34</t>
  </si>
  <si>
    <t>bank fees</t>
  </si>
  <si>
    <t>Fonds reçu de Wildcat</t>
  </si>
  <si>
    <t>Grant</t>
  </si>
  <si>
    <t>Retrait especes/appro caisse/bord n°3654491</t>
  </si>
  <si>
    <t>Reglement Facture Gardiennage Mois d'Aout 2022/3654496</t>
  </si>
  <si>
    <t>Retrait especes/appro caisse/bord n°3667230</t>
  </si>
  <si>
    <t>Paiement salaire mois de Juillet 2022/Crepin IBOUILI IBOUILI</t>
  </si>
  <si>
    <t>Paiement salaire mois de Juillet 2022/Grace MOLENDE</t>
  </si>
  <si>
    <t>Paiement salaire mois de Juillet 2022/Hurielle MFOULOU</t>
  </si>
  <si>
    <t>Paiement salaire mois de Juillet 2022/Merveille MAHANGA</t>
  </si>
  <si>
    <t>Paiement congés et  salaire mois de Juillet 2022/Evariste LELOUSSI</t>
  </si>
  <si>
    <t>Reglement facture honoraire du mois de Juillet 2022/P29/chq n°3667218</t>
  </si>
  <si>
    <t>Reglement facture honoraire du mois de Juillet 2022/I23C/chq n°366719</t>
  </si>
  <si>
    <t>Frais bancaire compte 56</t>
  </si>
  <si>
    <t>Retrait especes/appro caisse/bord n°3667231</t>
  </si>
  <si>
    <t>Reglèment loyer mois de Juillet 2022</t>
  </si>
  <si>
    <t>Reglement loyer mois d'Août 2022</t>
  </si>
  <si>
    <t>Paiement salaire mois d'Août 2022/Crepin IBOUILI IBOUILI</t>
  </si>
  <si>
    <t>Paiement salaire mois d'Août 2022/Grace MOLENDE</t>
  </si>
  <si>
    <t>Paiement salaire mois d'Aout 2022/Merveille MAHANGA</t>
  </si>
  <si>
    <t>Achat 03 Ordinateurs Portables + Accessoire (02 Housses)/PALF</t>
  </si>
  <si>
    <t>Equipement</t>
  </si>
  <si>
    <t>Frais de Test covid Tiffany/retour au CONGO</t>
  </si>
  <si>
    <t>Travel Expense</t>
  </si>
  <si>
    <t>Cumul frais de transport local mois de Août 2022 /Tiffany GOBERT</t>
  </si>
  <si>
    <t>Reçu de caisse/Crépin</t>
  </si>
  <si>
    <t>Frais impression des photos au labo pour la planche photographique</t>
  </si>
  <si>
    <t>Operation</t>
  </si>
  <si>
    <t>Alimentation de 5 gendarmes et 03 agents EF pendant la mission sur Mossendjo</t>
  </si>
  <si>
    <t>Bonus de 5 gendarmes après le deférement à Mossendjo</t>
  </si>
  <si>
    <t>Bonus de 03 agents EF après la mission sur Mossendjo</t>
  </si>
  <si>
    <t>Achat Billet Dolisie-Brazzaville/Crepin IBOUILI</t>
  </si>
  <si>
    <t>CREPIN IBOUILI - CONGO Frais d'Hotel 04 Nuitées du 31/07/ au 04/08/2022 à Dolisie</t>
  </si>
  <si>
    <t>Reçu de caisse (avance sur salaire)/Crépin</t>
  </si>
  <si>
    <t>Achat billet Brazzaville-Oyo/Crepin IBOUILI</t>
  </si>
  <si>
    <t>CREPIN IBOUILI - CONGO Food-Allowance du 17 au 20/08/2022 à Oyo</t>
  </si>
  <si>
    <t>Frais achat médocs de KAMBA André</t>
  </si>
  <si>
    <t>Jail visit</t>
  </si>
  <si>
    <t>Achat Billet Oyo-Brazzaville/Crepin IBOUILI</t>
  </si>
  <si>
    <t>Cumul frais de Jail visits du mois de Août 2022/Crépin</t>
  </si>
  <si>
    <t>CREPIN IBOUILI - CONGO Frais d'Hotel 03 Nuitées du 17 au 20/08/2022 à Oyo</t>
  </si>
  <si>
    <t>Retour caisse/Crépin</t>
  </si>
  <si>
    <t>Cumul frais Transport Local du mois de Août 2022/Crépin</t>
  </si>
  <si>
    <t>Reçu Caisse/Grace</t>
  </si>
  <si>
    <t>Reçu caisse/Grace - Avance sur Salaire</t>
  </si>
  <si>
    <t>Cumul Frais de Transport Local du Mois de Août 2022/GRACE MOLENDE</t>
  </si>
  <si>
    <t>Reçu caisse/Merveille</t>
  </si>
  <si>
    <t>Cumul frais de transport local mois d'août 2022/Merveille</t>
  </si>
  <si>
    <t>Retour caisse/Hurielle</t>
  </si>
  <si>
    <t>Reçu caisse/Hurielle</t>
  </si>
  <si>
    <t>Achat billet aller Brazzaville -Dolisie/HURIELLE</t>
  </si>
  <si>
    <t>HURIELLE - CONGO Frais d'hotel (01 nuitée) à dolisie du 07 au  08/08/2022</t>
  </si>
  <si>
    <t>Achat billet aller Dolisie - Mossendjo/HURIELLE</t>
  </si>
  <si>
    <t>Achat sandales du prévenue</t>
  </si>
  <si>
    <t>Achat médicament d'urgence de Christine (la prevenue)</t>
  </si>
  <si>
    <t>Achat médicaments de Christine(la prevenue)</t>
  </si>
  <si>
    <t>Achat billet de retour Mossendjo-Dolisie/HURIELLE</t>
  </si>
  <si>
    <t>HURIELLE - CONGO Frais d'hotel (03 nuitée) du 08 au 11 Août 2022 à Mossendjo</t>
  </si>
  <si>
    <t>Achat billet de retour Dolisie-Brazzaville/HURIELLE</t>
  </si>
  <si>
    <t>Cumul frais de Jail Visits du mois de Aout 2022/Hurielle MFOULOU</t>
  </si>
  <si>
    <t>HURIELLE - CONGO Frais d'hotel (01 nuitée) du 11 au 12 Août 2022 à Dolisie</t>
  </si>
  <si>
    <t>Cumul frais de Transport Local mois de Août  2022/Hurielle MFOULOU</t>
  </si>
  <si>
    <t>Reçu caisse/I23C</t>
  </si>
  <si>
    <t>I23C - CONGO Food allowance mission Dolisie du 4 au 6 août 2022</t>
  </si>
  <si>
    <t>I23C - CONGO Paiement 2 nuitées du 4 au 6 Août 2022 à Dolisie</t>
  </si>
  <si>
    <t>Achat billet Dolisie-Brazzaville  / I23C</t>
  </si>
  <si>
    <t>Achat billet Brazzaville-Ngo/ I23C</t>
  </si>
  <si>
    <t>Taxi Ngo-Djambla /I23C</t>
  </si>
  <si>
    <t xml:space="preserve">I23C - CONGO Paiement 1 nuit du 10 au 11 août 2022 à Djambala </t>
  </si>
  <si>
    <t>Taxi Djambala-Lékana / I23C</t>
  </si>
  <si>
    <t>I23C - CONGO Paiement 2 nuitées du 10 au 12 août 2022 à Lékana</t>
  </si>
  <si>
    <t>Taxi Lékana-Djambala / I23C</t>
  </si>
  <si>
    <t>Taxi Djambla-Ngo / I23C</t>
  </si>
  <si>
    <t>I23C - CONGO Paiement 2 nuitées du 12 au 14 août 2022 à Ngo</t>
  </si>
  <si>
    <t>Taxi Ngo-Brazzaville / I23C</t>
  </si>
  <si>
    <t>Retour Caisse de 150$ (100000)/I23C</t>
  </si>
  <si>
    <t>Taxi Brazzaville-Kinkala / I23C</t>
  </si>
  <si>
    <t>Taxi Kinkala-Boko / I23C</t>
  </si>
  <si>
    <t>Taxi Boko-Kinkala (départ pour Kinkala) / I23C</t>
  </si>
  <si>
    <t>Taxi Kinkala- Brazzaville (départ pour Brazzaville) / I23C</t>
  </si>
  <si>
    <t>Achat billet Brazzaville-Pointe Noire / I23C</t>
  </si>
  <si>
    <t>I23C - CONGO Food allowance mission Pointe Noire du 24 au 28 Août 2022</t>
  </si>
  <si>
    <t>Achat billet Pointe-Noire-Brazzaville / I23C</t>
  </si>
  <si>
    <t>Cumul frais de trust Bulding du mois d'Août 2022/I23C</t>
  </si>
  <si>
    <t>Cumul frais de transport local du mois d'Août 2022/I23C</t>
  </si>
  <si>
    <t>Retour Caisse/I23C</t>
  </si>
  <si>
    <t>Retour  caisse/P29 - Solde Avance sur Salaire</t>
  </si>
  <si>
    <t>Recu de caisse/P29</t>
  </si>
  <si>
    <t>Achat billet  brazzaville- dolisie/P29</t>
  </si>
  <si>
    <t xml:space="preserve">P29 - CONGO Food allowance mission du 04 au 06-08-2022 </t>
  </si>
  <si>
    <t>Achat billet  dolisie-mila mila/P29</t>
  </si>
  <si>
    <t>Achat billet  mila mila-dolisie/P29</t>
  </si>
  <si>
    <t>Achat billet  dolisie-Brazzaville/P29</t>
  </si>
  <si>
    <t>P29 - CONGO Paiement 2 nuitées du 04 au 06-08-2022 à dolisie</t>
  </si>
  <si>
    <t>Achat billet brazzaville-oyo/P29</t>
  </si>
  <si>
    <t xml:space="preserve">P29 - CONGO Food allowance mission du 09 au 14-08-2022 </t>
  </si>
  <si>
    <t>P29 - CONGO Paiement 3 nuitées du 09 au 12-08-2022 à oyo</t>
  </si>
  <si>
    <t>Achat billet oyo-makoua/P29</t>
  </si>
  <si>
    <t>Achat billet makoua- Brazzaville/P29</t>
  </si>
  <si>
    <t>P29 - CONGO Paiement 3 nuitées du 12 au 14-08-2022 à makoua</t>
  </si>
  <si>
    <t>Achat billet Brazzaville -Pointe Noire /P29</t>
  </si>
  <si>
    <t xml:space="preserve">P29 - CONGO Food allowance mission du 22 au 28-08-2022 </t>
  </si>
  <si>
    <t>Achat billet Pointe Noire-dolisie/P29</t>
  </si>
  <si>
    <t>P29 - CONGO Paiement 4 nuitées du 22 au 26-08-2022 à Pointe Noire</t>
  </si>
  <si>
    <t>Cumul Frais de Trust Bulding du Mois d'Août 2022/P29</t>
  </si>
  <si>
    <t>P29 - CONGO Paiement 2 nuitées du 26 au 28-08-2022 à dolisie</t>
  </si>
  <si>
    <t>Achat billet dolisie-Brazzaville/P29</t>
  </si>
  <si>
    <t>Cumul Frais de Transport Local du Mois d'Août 2022/P29</t>
  </si>
  <si>
    <t>CONGO</t>
  </si>
  <si>
    <t>5.6</t>
  </si>
  <si>
    <t>Achat Appareil photo + Accessoire (Batterie, carte mémoire et Sac )/PALF</t>
  </si>
  <si>
    <t>Achat 04 Disque dure Exterme WD Elements + 04 Pochette pour disque dure/PALF</t>
  </si>
  <si>
    <t>3.2</t>
  </si>
  <si>
    <t>4.5</t>
  </si>
  <si>
    <t>5.2.2</t>
  </si>
  <si>
    <t>4.3</t>
  </si>
  <si>
    <t>1.1.1.7</t>
  </si>
  <si>
    <t>1.1.2.1</t>
  </si>
  <si>
    <t>1.1.1.4</t>
  </si>
  <si>
    <t>1.1.1.9</t>
  </si>
  <si>
    <t>4.4</t>
  </si>
  <si>
    <t>4.2</t>
  </si>
  <si>
    <t>Entretretien général Jardin, Bureau PALF Mois d'Août 2022</t>
  </si>
  <si>
    <t>4.6</t>
  </si>
  <si>
    <t>2.2</t>
  </si>
  <si>
    <t>1.3.2</t>
  </si>
  <si>
    <t>HURIELLE - CONGO Food Allowance du 07 au 12 Août 2022</t>
  </si>
  <si>
    <t>Consultation médicale du prévenu Christine et frais des examens</t>
  </si>
  <si>
    <t>Achat carnet de soin de Christine (la prevenue)</t>
  </si>
  <si>
    <t>Frais achat Fournitures de la procédure (Rames + Chemises cartonnées)</t>
  </si>
  <si>
    <t>Frais de carburant pour la mission de Mossendjo</t>
  </si>
  <si>
    <t>Frais impression de la procédure</t>
  </si>
  <si>
    <t>Achat raffraichissement opération</t>
  </si>
  <si>
    <t>Frais reparation de la roue</t>
  </si>
  <si>
    <t>Paiement salaire mois d'Août 2022/Hurielle MFOULOU</t>
  </si>
  <si>
    <t>Achat billet Brazzaville-Dolisie / I23C</t>
  </si>
  <si>
    <t>I23C - CONGO Food allowance mission du 9 au 14 août 2022</t>
  </si>
  <si>
    <t>I23C - CONGO Paiement 4 nuitées du 24 au 28 Août 2022 à Pointe Noire</t>
  </si>
  <si>
    <t>RALFF-CO3655</t>
  </si>
  <si>
    <t>RALFF-CO3656</t>
  </si>
  <si>
    <t>RALFF-CO3657</t>
  </si>
  <si>
    <t>RALFF-CO3658</t>
  </si>
  <si>
    <t>RALFF-CO3659</t>
  </si>
  <si>
    <t>RALFF-CO3660</t>
  </si>
  <si>
    <t>RALFF-CO3661</t>
  </si>
  <si>
    <t>RALFF-CO3662</t>
  </si>
  <si>
    <t>RALFF-CO3663</t>
  </si>
  <si>
    <t>RALFF-CO3664</t>
  </si>
  <si>
    <t>RALFF-CO3665</t>
  </si>
  <si>
    <t>RALFF-CO3666</t>
  </si>
  <si>
    <t>RALFF-CO3667</t>
  </si>
  <si>
    <t>RALFF-CO3668</t>
  </si>
  <si>
    <t>RALFF-CO3669</t>
  </si>
  <si>
    <t>RALFF-CO3670</t>
  </si>
  <si>
    <t>RALFF-CO3671</t>
  </si>
  <si>
    <t>RALFF-CO3672</t>
  </si>
  <si>
    <t>RALFF-CO3673</t>
  </si>
  <si>
    <t>RALFF-CO3674</t>
  </si>
  <si>
    <t>RALFF-CO3675</t>
  </si>
  <si>
    <t>RALFF-CO3676</t>
  </si>
  <si>
    <t>RALFF-CO3677</t>
  </si>
  <si>
    <t>RALFF-CO3678</t>
  </si>
  <si>
    <t>RALFF-CO3679</t>
  </si>
  <si>
    <t>RALFF-CO3680</t>
  </si>
  <si>
    <t>RALFF-CO3681</t>
  </si>
  <si>
    <t>RALFF-CO3682</t>
  </si>
  <si>
    <t>RALFF-CO3683</t>
  </si>
  <si>
    <t>RALFF-CO3684</t>
  </si>
  <si>
    <t>RALFF-CO3685</t>
  </si>
  <si>
    <t>RALFF-CO3686</t>
  </si>
  <si>
    <t>RALFF-CO3687</t>
  </si>
  <si>
    <t>RALFF-CO3688</t>
  </si>
  <si>
    <t>RALFF-CO3689</t>
  </si>
  <si>
    <t>RALFF-CO3690</t>
  </si>
  <si>
    <t>RALFF-CO3691</t>
  </si>
  <si>
    <t>RALFF-CO3692</t>
  </si>
  <si>
    <t>RALFF-CO3693</t>
  </si>
  <si>
    <t>RALFF-CO3694</t>
  </si>
  <si>
    <t>RALFF-CO3695</t>
  </si>
  <si>
    <t>RALFF-CO3696</t>
  </si>
  <si>
    <t>RALFF-CO3697</t>
  </si>
  <si>
    <t>RALFF-CO3698</t>
  </si>
  <si>
    <t>RALFF-CO3699</t>
  </si>
  <si>
    <t>RALFF-CO3700</t>
  </si>
  <si>
    <t>RALFF-CO3701</t>
  </si>
  <si>
    <t>RALFF-CO3702</t>
  </si>
  <si>
    <t>RALFF-CO3703</t>
  </si>
  <si>
    <t>RALFF-CO3704</t>
  </si>
  <si>
    <t>RALFF-CO3705</t>
  </si>
  <si>
    <t>RALFF-CO3706</t>
  </si>
  <si>
    <t>RALFF-CO3707</t>
  </si>
  <si>
    <t>RALFF-CO3708</t>
  </si>
  <si>
    <t>RALFF-CO3709</t>
  </si>
  <si>
    <t>RALFF-CO3710</t>
  </si>
  <si>
    <t>RALFF-CO3711</t>
  </si>
  <si>
    <t>RALFF-CO3712</t>
  </si>
  <si>
    <t>RALFF-CO3713</t>
  </si>
  <si>
    <t>RALFF-CO3714</t>
  </si>
  <si>
    <t>RALFF-CO3715</t>
  </si>
  <si>
    <t>RALFF-CO3716</t>
  </si>
  <si>
    <t>RALFF-CO3717</t>
  </si>
  <si>
    <t>RALFF-CO3718</t>
  </si>
  <si>
    <t>RALFF-CO3719</t>
  </si>
  <si>
    <t>RALFF-CO3720</t>
  </si>
  <si>
    <t>RALFF-CO3721</t>
  </si>
  <si>
    <t>RALFF-CO3722</t>
  </si>
  <si>
    <t>RALFF-CO3723</t>
  </si>
  <si>
    <t>RALFF-CO3724</t>
  </si>
  <si>
    <t>RALFF-CO3725</t>
  </si>
  <si>
    <t>RALFF-CO3726</t>
  </si>
  <si>
    <t>RALFF-CO3727</t>
  </si>
  <si>
    <t>RALFF-CO3728</t>
  </si>
  <si>
    <t>RALFF-CO3729</t>
  </si>
  <si>
    <t>RALFF-CO3730</t>
  </si>
  <si>
    <t>RALFF-CO3731</t>
  </si>
  <si>
    <t>RALFF-CO3732</t>
  </si>
  <si>
    <t>RALFF-CO3733</t>
  </si>
  <si>
    <t>RALFF-CO3734</t>
  </si>
  <si>
    <t>RALFF-CO3735</t>
  </si>
  <si>
    <t>RALFF-CO3736</t>
  </si>
  <si>
    <t>RALFF-CO3737</t>
  </si>
  <si>
    <t>RALFF-CO3738</t>
  </si>
  <si>
    <t>RALFF-CO3739</t>
  </si>
  <si>
    <t>RALFF-CO3740</t>
  </si>
  <si>
    <t>RALFF-CO3741</t>
  </si>
  <si>
    <t>RALFF-CO3742</t>
  </si>
  <si>
    <t>RALFF-CO3743</t>
  </si>
  <si>
    <t>RALFF-CO3744</t>
  </si>
  <si>
    <t>RALFF-CO3745</t>
  </si>
  <si>
    <t>RALFF-CO3746</t>
  </si>
  <si>
    <t>RALFF-CO3747</t>
  </si>
  <si>
    <t>RALFF-CO3748</t>
  </si>
  <si>
    <t>RALFF-CO3749</t>
  </si>
  <si>
    <t>RALFF-CO3750</t>
  </si>
  <si>
    <t>RALFF-CO3751</t>
  </si>
  <si>
    <t>RALFF-CO3752</t>
  </si>
  <si>
    <t>RALFF-CO3753</t>
  </si>
  <si>
    <t>RALFF-CO3754</t>
  </si>
  <si>
    <t>RALFF-CO3755</t>
  </si>
  <si>
    <t>RALFF-CO3756</t>
  </si>
  <si>
    <t>Fonds reçu de ECF</t>
  </si>
  <si>
    <t>ECF</t>
  </si>
  <si>
    <t>Cumul taxes sur Reglement facture d'eau (LCDE) période Juillet - Août 2022/Bureau PALF</t>
  </si>
</sst>
</file>

<file path=xl/styles.xml><?xml version="1.0" encoding="utf-8"?>
<styleSheet xmlns="http://schemas.openxmlformats.org/spreadsheetml/2006/main">
  <numFmts count="9">
    <numFmt numFmtId="41" formatCode="_-* #,##0\ _F_C_F_A_-;\-* #,##0\ _F_C_F_A_-;_-* &quot;-&quot;\ _F_C_F_A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[$-409]d\-mmm\-yy;@"/>
    <numFmt numFmtId="167" formatCode="[$-40C]0"/>
    <numFmt numFmtId="168" formatCode="&quot; &quot;#,##0&quot;    &quot;;&quot;-&quot;#,##0&quot;    &quot;;&quot; -&quot;#&quot;    &quot;;&quot; &quot;@&quot; &quot;"/>
    <numFmt numFmtId="169" formatCode="[$-40C]General"/>
    <numFmt numFmtId="170" formatCode="[$]d\ mmm\ yyyy;@"/>
    <numFmt numFmtId="171" formatCode="[$-10C00]d\ mmm\ yyyy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23" fillId="0" borderId="0" applyBorder="0" applyProtection="0"/>
    <xf numFmtId="9" fontId="1" fillId="0" borderId="0" applyFont="0" applyFill="0" applyBorder="0" applyAlignment="0" applyProtection="0"/>
  </cellStyleXfs>
  <cellXfs count="49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Fill="1" applyBorder="1" applyAlignment="1"/>
    <xf numFmtId="165" fontId="0" fillId="0" borderId="0" xfId="0" applyNumberFormat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165" fontId="14" fillId="0" borderId="0" xfId="1" applyNumberFormat="1" applyFont="1" applyBorder="1" applyProtection="1">
      <protection locked="0"/>
    </xf>
    <xf numFmtId="165" fontId="15" fillId="0" borderId="0" xfId="1" applyNumberFormat="1" applyFont="1" applyBorder="1" applyProtection="1">
      <protection locked="0"/>
    </xf>
    <xf numFmtId="165" fontId="12" fillId="0" borderId="0" xfId="0" applyNumberFormat="1" applyFont="1" applyFill="1" applyBorder="1" applyAlignment="1"/>
    <xf numFmtId="165" fontId="13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4" fillId="0" borderId="0" xfId="0" applyFont="1" applyAlignment="1"/>
    <xf numFmtId="0" fontId="5" fillId="7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65" fontId="4" fillId="0" borderId="0" xfId="1" applyNumberFormat="1" applyFont="1" applyFill="1" applyProtection="1"/>
    <xf numFmtId="165" fontId="5" fillId="0" borderId="3" xfId="1" applyNumberFormat="1" applyFont="1" applyFill="1" applyBorder="1" applyAlignment="1" applyProtection="1">
      <alignment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/>
    <xf numFmtId="165" fontId="4" fillId="10" borderId="5" xfId="1" applyNumberFormat="1" applyFont="1" applyFill="1" applyBorder="1" applyProtection="1"/>
    <xf numFmtId="165" fontId="4" fillId="10" borderId="5" xfId="0" applyNumberFormat="1" applyFont="1" applyFill="1" applyBorder="1" applyAlignment="1"/>
    <xf numFmtId="165" fontId="4" fillId="0" borderId="3" xfId="1" applyNumberFormat="1" applyFont="1" applyBorder="1" applyProtection="1"/>
    <xf numFmtId="165" fontId="0" fillId="0" borderId="1" xfId="1" applyNumberFormat="1" applyFont="1" applyFill="1" applyBorder="1" applyProtection="1"/>
    <xf numFmtId="165" fontId="4" fillId="0" borderId="6" xfId="1" applyNumberFormat="1" applyFont="1" applyFill="1" applyBorder="1" applyProtection="1"/>
    <xf numFmtId="165" fontId="4" fillId="0" borderId="1" xfId="0" applyNumberFormat="1" applyFont="1" applyFill="1" applyBorder="1" applyAlignment="1"/>
    <xf numFmtId="165" fontId="4" fillId="0" borderId="1" xfId="1" applyNumberFormat="1" applyFont="1" applyFill="1" applyBorder="1" applyProtection="1"/>
    <xf numFmtId="165" fontId="19" fillId="0" borderId="1" xfId="1" applyNumberFormat="1" applyFont="1" applyFill="1" applyBorder="1" applyProtection="1"/>
    <xf numFmtId="165" fontId="1" fillId="0" borderId="1" xfId="1" applyNumberFormat="1" applyFont="1" applyFill="1" applyBorder="1" applyProtection="1"/>
    <xf numFmtId="165" fontId="5" fillId="10" borderId="4" xfId="1" applyNumberFormat="1" applyFont="1" applyFill="1" applyBorder="1" applyAlignment="1" applyProtection="1">
      <alignment horizontal="left"/>
    </xf>
    <xf numFmtId="165" fontId="5" fillId="10" borderId="5" xfId="1" applyNumberFormat="1" applyFont="1" applyFill="1" applyBorder="1" applyAlignment="1" applyProtection="1">
      <alignment horizontal="left"/>
    </xf>
    <xf numFmtId="165" fontId="4" fillId="10" borderId="1" xfId="0" applyNumberFormat="1" applyFont="1" applyFill="1" applyBorder="1" applyAlignment="1"/>
    <xf numFmtId="0" fontId="5" fillId="0" borderId="4" xfId="0" applyFont="1" applyFill="1" applyBorder="1" applyAlignment="1"/>
    <xf numFmtId="165" fontId="4" fillId="0" borderId="1" xfId="1" applyNumberFormat="1" applyFont="1" applyFill="1" applyBorder="1" applyAlignment="1" applyProtection="1"/>
    <xf numFmtId="165" fontId="4" fillId="0" borderId="6" xfId="1" applyNumberFormat="1" applyFont="1" applyBorder="1" applyProtection="1"/>
    <xf numFmtId="165" fontId="20" fillId="0" borderId="1" xfId="1" applyNumberFormat="1" applyFont="1" applyBorder="1" applyProtection="1"/>
    <xf numFmtId="165" fontId="20" fillId="0" borderId="0" xfId="1" applyNumberFormat="1" applyFont="1" applyProtection="1"/>
    <xf numFmtId="165" fontId="10" fillId="0" borderId="1" xfId="0" applyNumberFormat="1" applyFont="1" applyBorder="1" applyAlignment="1"/>
    <xf numFmtId="0" fontId="18" fillId="10" borderId="4" xfId="0" applyFont="1" applyFill="1" applyBorder="1" applyAlignment="1"/>
    <xf numFmtId="165" fontId="0" fillId="0" borderId="1" xfId="1" applyNumberFormat="1" applyFont="1" applyBorder="1" applyProtection="1"/>
    <xf numFmtId="165" fontId="4" fillId="0" borderId="1" xfId="0" applyNumberFormat="1" applyFont="1" applyBorder="1" applyAlignme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5" fontId="16" fillId="0" borderId="6" xfId="1" applyNumberFormat="1" applyFont="1" applyBorder="1" applyProtection="1"/>
    <xf numFmtId="165" fontId="19" fillId="0" borderId="6" xfId="1" applyNumberFormat="1" applyFont="1" applyBorder="1" applyProtection="1"/>
    <xf numFmtId="165" fontId="19" fillId="0" borderId="1" xfId="1" applyNumberFormat="1" applyFont="1" applyBorder="1" applyAlignment="1" applyProtection="1">
      <alignment vertical="center"/>
    </xf>
    <xf numFmtId="165" fontId="19" fillId="5" borderId="1" xfId="1" applyNumberFormat="1" applyFont="1" applyFill="1" applyBorder="1" applyProtection="1"/>
    <xf numFmtId="165" fontId="9" fillId="0" borderId="3" xfId="1" applyNumberFormat="1" applyFont="1" applyFill="1" applyBorder="1" applyProtection="1"/>
    <xf numFmtId="165" fontId="19" fillId="5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Protection="1"/>
    <xf numFmtId="165" fontId="19" fillId="0" borderId="1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Protection="1"/>
    <xf numFmtId="165" fontId="21" fillId="0" borderId="0" xfId="1" applyNumberFormat="1" applyFont="1" applyBorder="1" applyProtection="1">
      <protection locked="0"/>
    </xf>
    <xf numFmtId="0" fontId="6" fillId="0" borderId="1" xfId="0" applyFont="1" applyFill="1" applyBorder="1" applyAlignment="1"/>
    <xf numFmtId="0" fontId="22" fillId="0" borderId="1" xfId="0" applyFont="1" applyBorder="1" applyAlignment="1">
      <alignment vertical="center"/>
    </xf>
    <xf numFmtId="165" fontId="23" fillId="0" borderId="1" xfId="1" applyNumberFormat="1" applyFont="1" applyBorder="1" applyProtection="1">
      <protection locked="0"/>
    </xf>
    <xf numFmtId="165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1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65" fontId="4" fillId="0" borderId="0" xfId="1" applyNumberFormat="1" applyFont="1" applyFill="1" applyBorder="1" applyProtection="1"/>
    <xf numFmtId="165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 applyAlignment="1"/>
    <xf numFmtId="165" fontId="4" fillId="17" borderId="5" xfId="1" applyNumberFormat="1" applyFont="1" applyFill="1" applyBorder="1" applyProtection="1"/>
    <xf numFmtId="165" fontId="4" fillId="17" borderId="5" xfId="0" applyNumberFormat="1" applyFont="1" applyFill="1" applyBorder="1" applyAlignment="1"/>
    <xf numFmtId="165" fontId="4" fillId="0" borderId="3" xfId="1" applyNumberFormat="1" applyFont="1" applyFill="1" applyBorder="1" applyProtection="1"/>
    <xf numFmtId="165" fontId="24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horizontal="center" vertical="center"/>
    </xf>
    <xf numFmtId="165" fontId="23" fillId="0" borderId="1" xfId="1" applyNumberFormat="1" applyFont="1" applyFill="1" applyBorder="1" applyProtection="1"/>
    <xf numFmtId="165" fontId="28" fillId="0" borderId="1" xfId="1" applyNumberFormat="1" applyFont="1" applyFill="1" applyBorder="1" applyProtection="1"/>
    <xf numFmtId="165" fontId="23" fillId="0" borderId="0" xfId="1" applyNumberFormat="1" applyFont="1" applyFill="1" applyBorder="1" applyProtection="1"/>
    <xf numFmtId="165" fontId="5" fillId="17" borderId="4" xfId="1" applyNumberFormat="1" applyFont="1" applyFill="1" applyBorder="1" applyAlignment="1" applyProtection="1">
      <alignment horizontal="left"/>
    </xf>
    <xf numFmtId="165" fontId="5" fillId="17" borderId="5" xfId="1" applyNumberFormat="1" applyFont="1" applyFill="1" applyBorder="1" applyAlignment="1" applyProtection="1">
      <alignment horizontal="left"/>
    </xf>
    <xf numFmtId="165" fontId="4" fillId="17" borderId="1" xfId="0" applyNumberFormat="1" applyFont="1" applyFill="1" applyBorder="1" applyAlignment="1"/>
    <xf numFmtId="165" fontId="29" fillId="0" borderId="1" xfId="1" applyNumberFormat="1" applyFont="1" applyFill="1" applyBorder="1" applyProtection="1"/>
    <xf numFmtId="3" fontId="24" fillId="0" borderId="1" xfId="0" applyNumberFormat="1" applyFont="1" applyFill="1" applyBorder="1" applyAlignment="1">
      <alignment vertical="center"/>
    </xf>
    <xf numFmtId="165" fontId="29" fillId="0" borderId="0" xfId="1" applyNumberFormat="1" applyFont="1" applyFill="1" applyBorder="1" applyProtection="1"/>
    <xf numFmtId="165" fontId="10" fillId="0" borderId="1" xfId="0" applyNumberFormat="1" applyFont="1" applyFill="1" applyBorder="1" applyAlignment="1"/>
    <xf numFmtId="0" fontId="18" fillId="17" borderId="4" xfId="0" applyFont="1" applyFill="1" applyBorder="1" applyAlignment="1"/>
    <xf numFmtId="165" fontId="30" fillId="0" borderId="3" xfId="1" applyNumberFormat="1" applyFont="1" applyFill="1" applyBorder="1" applyProtection="1"/>
    <xf numFmtId="165" fontId="28" fillId="0" borderId="6" xfId="1" applyNumberFormat="1" applyFont="1" applyFill="1" applyBorder="1" applyProtection="1"/>
    <xf numFmtId="165" fontId="28" fillId="18" borderId="1" xfId="1" applyNumberFormat="1" applyFont="1" applyFill="1" applyBorder="1" applyProtection="1"/>
    <xf numFmtId="165" fontId="28" fillId="18" borderId="1" xfId="1" applyNumberFormat="1" applyFont="1" applyFill="1" applyBorder="1" applyAlignment="1" applyProtection="1">
      <alignment vertical="center"/>
    </xf>
    <xf numFmtId="165" fontId="31" fillId="0" borderId="6" xfId="1" applyNumberFormat="1" applyFont="1" applyFill="1" applyBorder="1" applyProtection="1"/>
    <xf numFmtId="165" fontId="31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vertical="center"/>
    </xf>
    <xf numFmtId="165" fontId="24" fillId="0" borderId="0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Fill="1" applyBorder="1" applyAlignment="1"/>
    <xf numFmtId="165" fontId="19" fillId="0" borderId="6" xfId="1" applyNumberFormat="1" applyFont="1" applyFill="1" applyBorder="1" applyProtection="1"/>
    <xf numFmtId="165" fontId="19" fillId="0" borderId="1" xfId="0" applyNumberFormat="1" applyFont="1" applyFill="1" applyBorder="1" applyAlignment="1"/>
    <xf numFmtId="165" fontId="7" fillId="0" borderId="0" xfId="0" applyNumberFormat="1" applyFont="1" applyAlignment="1">
      <alignment vertical="center"/>
    </xf>
    <xf numFmtId="165" fontId="8" fillId="0" borderId="6" xfId="1" applyNumberFormat="1" applyFont="1" applyBorder="1" applyProtection="1"/>
    <xf numFmtId="165" fontId="8" fillId="0" borderId="1" xfId="1" applyNumberFormat="1" applyFont="1" applyFill="1" applyBorder="1" applyProtection="1"/>
    <xf numFmtId="165" fontId="3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7" fillId="22" borderId="0" xfId="0" applyNumberFormat="1" applyFont="1" applyFill="1" applyAlignment="1">
      <alignment vertical="center"/>
    </xf>
    <xf numFmtId="165" fontId="4" fillId="3" borderId="3" xfId="1" applyNumberFormat="1" applyFont="1" applyFill="1" applyBorder="1" applyProtection="1"/>
    <xf numFmtId="0" fontId="12" fillId="3" borderId="1" xfId="0" applyFont="1" applyFill="1" applyBorder="1" applyAlignment="1"/>
    <xf numFmtId="165" fontId="0" fillId="3" borderId="1" xfId="1" applyNumberFormat="1" applyFont="1" applyFill="1" applyBorder="1" applyProtection="1"/>
    <xf numFmtId="165" fontId="4" fillId="3" borderId="1" xfId="1" applyNumberFormat="1" applyFont="1" applyFill="1" applyBorder="1" applyProtection="1"/>
    <xf numFmtId="165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5" fontId="1" fillId="3" borderId="1" xfId="1" applyNumberFormat="1" applyFont="1" applyFill="1" applyBorder="1" applyProtection="1"/>
    <xf numFmtId="165" fontId="4" fillId="3" borderId="1" xfId="0" applyNumberFormat="1" applyFont="1" applyFill="1" applyBorder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/>
    <xf numFmtId="0" fontId="22" fillId="21" borderId="1" xfId="0" applyFont="1" applyFill="1" applyBorder="1" applyAlignment="1">
      <alignment vertical="center"/>
    </xf>
    <xf numFmtId="165" fontId="23" fillId="21" borderId="1" xfId="1" applyNumberFormat="1" applyFont="1" applyFill="1" applyBorder="1" applyProtection="1">
      <protection locked="0"/>
    </xf>
    <xf numFmtId="165" fontId="24" fillId="21" borderId="1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/>
    <xf numFmtId="165" fontId="19" fillId="21" borderId="1" xfId="1" applyNumberFormat="1" applyFont="1" applyFill="1" applyBorder="1" applyProtection="1"/>
    <xf numFmtId="165" fontId="4" fillId="21" borderId="1" xfId="0" applyNumberFormat="1" applyFont="1" applyFill="1" applyBorder="1" applyAlignment="1"/>
    <xf numFmtId="165" fontId="4" fillId="0" borderId="1" xfId="1" applyNumberFormat="1" applyFont="1" applyBorder="1" applyProtection="1"/>
    <xf numFmtId="165" fontId="4" fillId="21" borderId="1" xfId="1" applyNumberFormat="1" applyFont="1" applyFill="1" applyBorder="1" applyProtection="1"/>
    <xf numFmtId="165" fontId="19" fillId="5" borderId="1" xfId="0" applyNumberFormat="1" applyFont="1" applyFill="1" applyBorder="1" applyAlignment="1"/>
    <xf numFmtId="165" fontId="19" fillId="0" borderId="1" xfId="1" applyNumberFormat="1" applyFont="1" applyBorder="1" applyProtection="1"/>
    <xf numFmtId="165" fontId="19" fillId="0" borderId="0" xfId="1" applyNumberFormat="1" applyFont="1" applyProtection="1"/>
    <xf numFmtId="0" fontId="5" fillId="0" borderId="1" xfId="0" applyFont="1" applyFill="1" applyBorder="1" applyAlignment="1"/>
    <xf numFmtId="0" fontId="5" fillId="5" borderId="1" xfId="0" applyFont="1" applyFill="1" applyBorder="1" applyAlignment="1"/>
    <xf numFmtId="0" fontId="5" fillId="21" borderId="1" xfId="0" applyFont="1" applyFill="1" applyBorder="1" applyAlignment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5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35" fillId="0" borderId="0" xfId="1" applyNumberFormat="1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5" borderId="1" xfId="1" applyNumberFormat="1" applyFont="1" applyFill="1" applyBorder="1" applyProtection="1"/>
    <xf numFmtId="165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5" fontId="8" fillId="0" borderId="1" xfId="1" applyNumberFormat="1" applyFont="1" applyBorder="1" applyProtection="1"/>
    <xf numFmtId="165" fontId="34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0" fillId="0" borderId="4" xfId="0" applyFont="1" applyFill="1" applyBorder="1" applyAlignment="1"/>
    <xf numFmtId="165" fontId="19" fillId="0" borderId="1" xfId="0" applyNumberFormat="1" applyFont="1" applyBorder="1" applyAlignment="1"/>
    <xf numFmtId="0" fontId="40" fillId="0" borderId="0" xfId="0" applyFont="1" applyFill="1" applyBorder="1" applyAlignment="1"/>
    <xf numFmtId="0" fontId="40" fillId="0" borderId="1" xfId="0" applyFont="1" applyFill="1" applyBorder="1" applyAlignment="1"/>
    <xf numFmtId="165" fontId="19" fillId="0" borderId="3" xfId="1" applyNumberFormat="1" applyFont="1" applyBorder="1" applyProtection="1"/>
    <xf numFmtId="165" fontId="1" fillId="0" borderId="1" xfId="1" applyNumberFormat="1" applyFont="1" applyBorder="1" applyProtection="1"/>
    <xf numFmtId="165" fontId="19" fillId="22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15" fillId="0" borderId="0" xfId="1" applyNumberFormat="1" applyFont="1" applyFill="1" applyBorder="1" applyProtection="1">
      <protection locked="0"/>
    </xf>
    <xf numFmtId="165" fontId="14" fillId="0" borderId="0" xfId="1" applyNumberFormat="1" applyFont="1" applyFill="1" applyBorder="1" applyProtection="1">
      <protection locked="0"/>
    </xf>
    <xf numFmtId="165" fontId="13" fillId="0" borderId="0" xfId="0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165" fontId="24" fillId="0" borderId="1" xfId="1" applyNumberFormat="1" applyFont="1" applyFill="1" applyBorder="1" applyProtection="1">
      <protection locked="0"/>
    </xf>
    <xf numFmtId="165" fontId="19" fillId="21" borderId="1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14" fontId="41" fillId="0" borderId="1" xfId="3" applyNumberFormat="1" applyFont="1" applyFill="1" applyBorder="1"/>
    <xf numFmtId="165" fontId="5" fillId="0" borderId="3" xfId="1" applyNumberFormat="1" applyFont="1" applyFill="1" applyBorder="1" applyAlignment="1" applyProtection="1">
      <alignment horizontal="center" vertical="center" wrapText="1"/>
    </xf>
    <xf numFmtId="14" fontId="36" fillId="0" borderId="1" xfId="0" applyNumberFormat="1" applyFont="1" applyFill="1" applyBorder="1" applyAlignment="1">
      <alignment vertical="center"/>
    </xf>
    <xf numFmtId="0" fontId="36" fillId="5" borderId="1" xfId="0" applyFont="1" applyFill="1" applyBorder="1" applyAlignment="1">
      <alignment vertical="center"/>
    </xf>
    <xf numFmtId="0" fontId="36" fillId="19" borderId="1" xfId="0" applyFont="1" applyFill="1" applyBorder="1" applyAlignment="1">
      <alignment vertical="center"/>
    </xf>
    <xf numFmtId="0" fontId="36" fillId="23" borderId="1" xfId="0" applyFont="1" applyFill="1" applyBorder="1" applyAlignment="1">
      <alignment vertical="center"/>
    </xf>
    <xf numFmtId="3" fontId="36" fillId="0" borderId="1" xfId="1" applyNumberFormat="1" applyFont="1" applyFill="1" applyBorder="1" applyAlignment="1" applyProtection="1">
      <alignment horizontal="right" vertical="center"/>
    </xf>
    <xf numFmtId="165" fontId="36" fillId="0" borderId="1" xfId="1" applyNumberFormat="1" applyFont="1" applyFill="1" applyBorder="1" applyAlignment="1" applyProtection="1">
      <alignment vertical="center"/>
    </xf>
    <xf numFmtId="0" fontId="42" fillId="21" borderId="1" xfId="0" applyFont="1" applyFill="1" applyBorder="1" applyAlignment="1">
      <alignment vertical="center"/>
    </xf>
    <xf numFmtId="165" fontId="36" fillId="0" borderId="1" xfId="0" applyNumberFormat="1" applyFont="1" applyFill="1" applyBorder="1" applyAlignment="1">
      <alignment vertical="center"/>
    </xf>
    <xf numFmtId="0" fontId="36" fillId="12" borderId="1" xfId="0" applyFont="1" applyFill="1" applyBorder="1" applyAlignment="1">
      <alignment vertical="center"/>
    </xf>
    <xf numFmtId="165" fontId="36" fillId="12" borderId="1" xfId="1" applyNumberFormat="1" applyFont="1" applyFill="1" applyBorder="1" applyAlignment="1" applyProtection="1">
      <alignment vertical="center"/>
    </xf>
    <xf numFmtId="0" fontId="36" fillId="12" borderId="1" xfId="0" applyFont="1" applyFill="1" applyBorder="1" applyAlignment="1">
      <alignment horizontal="left" vertical="center"/>
    </xf>
    <xf numFmtId="165" fontId="36" fillId="0" borderId="1" xfId="1" applyNumberFormat="1" applyFont="1" applyFill="1" applyBorder="1" applyAlignment="1">
      <alignment horizontal="left" vertical="center" wrapText="1"/>
    </xf>
    <xf numFmtId="165" fontId="36" fillId="0" borderId="1" xfId="0" applyNumberFormat="1" applyFont="1" applyFill="1" applyBorder="1" applyAlignment="1">
      <alignment horizontal="left"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36" fillId="12" borderId="1" xfId="0" applyFont="1" applyFill="1" applyBorder="1" applyAlignment="1">
      <alignment horizontal="center" vertical="center"/>
    </xf>
    <xf numFmtId="3" fontId="34" fillId="0" borderId="0" xfId="0" applyNumberFormat="1" applyFont="1"/>
    <xf numFmtId="0" fontId="43" fillId="0" borderId="1" xfId="0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43" fillId="0" borderId="1" xfId="0" applyFont="1" applyFill="1" applyBorder="1" applyAlignment="1">
      <alignment horizontal="left" vertical="center"/>
    </xf>
    <xf numFmtId="0" fontId="0" fillId="25" borderId="0" xfId="0" applyFill="1" applyAlignment="1">
      <alignment vertical="center"/>
    </xf>
    <xf numFmtId="165" fontId="2" fillId="25" borderId="0" xfId="0" applyNumberFormat="1" applyFont="1" applyFill="1" applyAlignment="1">
      <alignment vertical="center"/>
    </xf>
    <xf numFmtId="165" fontId="34" fillId="25" borderId="0" xfId="0" applyNumberFormat="1" applyFont="1" applyFill="1" applyAlignment="1">
      <alignment vertical="center"/>
    </xf>
    <xf numFmtId="165" fontId="32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1" xfId="0" applyFont="1" applyFill="1" applyBorder="1" applyAlignment="1">
      <alignment vertical="center"/>
    </xf>
    <xf numFmtId="170" fontId="36" fillId="0" borderId="1" xfId="0" applyNumberFormat="1" applyFont="1" applyFill="1" applyBorder="1" applyAlignment="1"/>
    <xf numFmtId="170" fontId="36" fillId="12" borderId="1" xfId="0" applyNumberFormat="1" applyFont="1" applyFill="1" applyBorder="1" applyAlignment="1"/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0" fontId="34" fillId="0" borderId="0" xfId="7" applyNumberFormat="1" applyFont="1"/>
    <xf numFmtId="0" fontId="2" fillId="0" borderId="0" xfId="0" applyFont="1"/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7" fontId="41" fillId="5" borderId="1" xfId="2" applyNumberFormat="1" applyFont="1" applyFill="1" applyBorder="1" applyAlignment="1">
      <alignment horizontal="left" vertical="center"/>
    </xf>
    <xf numFmtId="0" fontId="42" fillId="21" borderId="1" xfId="0" applyFont="1" applyFill="1" applyBorder="1" applyAlignment="1">
      <alignment horizontal="center" vertical="center"/>
    </xf>
    <xf numFmtId="165" fontId="36" fillId="0" borderId="1" xfId="0" applyNumberFormat="1" applyFont="1" applyFill="1" applyBorder="1" applyAlignment="1">
      <alignment horizontal="center" vertical="center"/>
    </xf>
    <xf numFmtId="165" fontId="45" fillId="0" borderId="1" xfId="0" applyNumberFormat="1" applyFont="1" applyFill="1" applyBorder="1" applyAlignment="1">
      <alignment horizontal="center" vertical="center"/>
    </xf>
    <xf numFmtId="165" fontId="43" fillId="0" borderId="1" xfId="0" applyNumberFormat="1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left" vertical="center"/>
    </xf>
    <xf numFmtId="0" fontId="41" fillId="5" borderId="1" xfId="2" applyFont="1" applyFill="1" applyBorder="1" applyAlignment="1">
      <alignment horizontal="left" vertical="center"/>
    </xf>
    <xf numFmtId="41" fontId="36" fillId="23" borderId="1" xfId="4" applyFont="1" applyFill="1" applyBorder="1" applyAlignment="1">
      <alignment horizontal="right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left" vertical="center"/>
    </xf>
    <xf numFmtId="167" fontId="36" fillId="5" borderId="1" xfId="2" applyNumberFormat="1" applyFont="1" applyFill="1" applyBorder="1" applyAlignment="1">
      <alignment horizontal="left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1" fontId="36" fillId="5" borderId="1" xfId="4" applyFont="1" applyFill="1" applyBorder="1" applyAlignment="1">
      <alignment horizontal="left" vertical="center" wrapText="1"/>
    </xf>
    <xf numFmtId="165" fontId="36" fillId="5" borderId="1" xfId="0" applyNumberFormat="1" applyFont="1" applyFill="1" applyBorder="1" applyAlignment="1">
      <alignment horizontal="left" vertical="center"/>
    </xf>
    <xf numFmtId="41" fontId="36" fillId="0" borderId="1" xfId="4" applyFont="1" applyFill="1" applyBorder="1" applyAlignment="1" applyProtection="1">
      <alignment horizontal="right"/>
    </xf>
    <xf numFmtId="41" fontId="36" fillId="12" borderId="1" xfId="4" applyFont="1" applyFill="1" applyBorder="1" applyAlignment="1" applyProtection="1">
      <alignment horizontal="right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65" fontId="41" fillId="5" borderId="1" xfId="1" applyNumberFormat="1" applyFont="1" applyFill="1" applyBorder="1" applyAlignment="1">
      <alignment horizontal="left" vertical="center"/>
    </xf>
    <xf numFmtId="3" fontId="41" fillId="5" borderId="1" xfId="1" applyNumberFormat="1" applyFont="1" applyFill="1" applyBorder="1" applyAlignment="1" applyProtection="1">
      <alignment horizontal="left" vertical="center"/>
    </xf>
    <xf numFmtId="165" fontId="36" fillId="5" borderId="1" xfId="1" applyNumberFormat="1" applyFont="1" applyFill="1" applyBorder="1" applyAlignment="1">
      <alignment horizontal="left" vertical="center"/>
    </xf>
    <xf numFmtId="0" fontId="36" fillId="5" borderId="1" xfId="2" applyFont="1" applyFill="1" applyBorder="1" applyAlignment="1" applyProtection="1">
      <alignment horizontal="left" vertical="center"/>
    </xf>
    <xf numFmtId="0" fontId="36" fillId="0" borderId="1" xfId="0" applyFont="1" applyBorder="1" applyAlignment="1">
      <alignment horizontal="left" vertical="center"/>
    </xf>
    <xf numFmtId="169" fontId="36" fillId="5" borderId="1" xfId="2" applyNumberFormat="1" applyFont="1" applyFill="1" applyBorder="1" applyAlignment="1">
      <alignment horizontal="left" vertical="center"/>
    </xf>
    <xf numFmtId="171" fontId="36" fillId="0" borderId="1" xfId="2" applyNumberFormat="1" applyFont="1" applyFill="1" applyBorder="1" applyAlignment="1">
      <alignment horizontal="left" vertical="center" wrapText="1"/>
    </xf>
    <xf numFmtId="167" fontId="36" fillId="0" borderId="1" xfId="2" applyNumberFormat="1" applyFont="1" applyFill="1" applyBorder="1" applyAlignment="1">
      <alignment horizontal="left" vertical="center"/>
    </xf>
    <xf numFmtId="167" fontId="36" fillId="0" borderId="1" xfId="2" applyNumberFormat="1" applyFont="1" applyFill="1" applyBorder="1" applyAlignment="1">
      <alignment horizontal="left" vertical="center" wrapText="1"/>
    </xf>
    <xf numFmtId="171" fontId="36" fillId="0" borderId="1" xfId="0" applyNumberFormat="1" applyFont="1" applyFill="1" applyBorder="1" applyAlignment="1">
      <alignment horizontal="left" vertical="center"/>
    </xf>
    <xf numFmtId="165" fontId="36" fillId="0" borderId="1" xfId="1" applyNumberFormat="1" applyFont="1" applyFill="1" applyBorder="1" applyAlignment="1">
      <alignment horizontal="left" vertical="center"/>
    </xf>
    <xf numFmtId="41" fontId="41" fillId="5" borderId="1" xfId="4" applyFont="1" applyFill="1" applyBorder="1" applyAlignment="1">
      <alignment horizontal="left" vertical="center"/>
    </xf>
    <xf numFmtId="167" fontId="41" fillId="5" borderId="1" xfId="2" applyNumberFormat="1" applyFont="1" applyFill="1" applyBorder="1" applyAlignment="1">
      <alignment horizontal="left" vertical="center" wrapText="1"/>
    </xf>
    <xf numFmtId="167" fontId="41" fillId="5" borderId="1" xfId="2" applyNumberFormat="1" applyFont="1" applyFill="1" applyBorder="1" applyAlignment="1" applyProtection="1">
      <alignment horizontal="left" vertical="center" wrapText="1"/>
    </xf>
    <xf numFmtId="41" fontId="41" fillId="5" borderId="1" xfId="4" applyFont="1" applyFill="1" applyBorder="1" applyAlignment="1">
      <alignment horizontal="left" vertical="center" wrapText="1"/>
    </xf>
    <xf numFmtId="165" fontId="41" fillId="5" borderId="1" xfId="0" applyNumberFormat="1" applyFont="1" applyFill="1" applyBorder="1" applyAlignment="1">
      <alignment horizontal="left" vertical="center"/>
    </xf>
    <xf numFmtId="168" fontId="41" fillId="5" borderId="1" xfId="6" applyNumberFormat="1" applyFont="1" applyFill="1" applyBorder="1" applyAlignment="1">
      <alignment horizontal="left" vertical="center" wrapText="1"/>
    </xf>
    <xf numFmtId="169" fontId="41" fillId="5" borderId="1" xfId="2" applyNumberFormat="1" applyFont="1" applyFill="1" applyBorder="1" applyAlignment="1">
      <alignment horizontal="left" vertical="center"/>
    </xf>
    <xf numFmtId="0" fontId="41" fillId="5" borderId="1" xfId="2" applyFont="1" applyFill="1" applyBorder="1" applyAlignment="1" applyProtection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170" fontId="36" fillId="5" borderId="1" xfId="0" applyNumberFormat="1" applyFont="1" applyFill="1" applyBorder="1" applyAlignment="1">
      <alignment horizontal="left" vertical="center"/>
    </xf>
    <xf numFmtId="170" fontId="41" fillId="5" borderId="1" xfId="0" applyNumberFormat="1" applyFont="1" applyFill="1" applyBorder="1" applyAlignment="1">
      <alignment horizontal="left" vertical="center"/>
    </xf>
    <xf numFmtId="170" fontId="36" fillId="5" borderId="1" xfId="2" applyNumberFormat="1" applyFont="1" applyFill="1" applyBorder="1" applyAlignment="1">
      <alignment horizontal="left" vertical="center"/>
    </xf>
    <xf numFmtId="170" fontId="41" fillId="5" borderId="1" xfId="2" applyNumberFormat="1" applyFont="1" applyFill="1" applyBorder="1" applyAlignment="1">
      <alignment horizontal="left" vertical="center" wrapText="1"/>
    </xf>
    <xf numFmtId="170" fontId="36" fillId="5" borderId="1" xfId="2" applyNumberFormat="1" applyFont="1" applyFill="1" applyBorder="1" applyAlignment="1">
      <alignment horizontal="left" vertical="center" wrapText="1"/>
    </xf>
    <xf numFmtId="170" fontId="41" fillId="5" borderId="1" xfId="2" applyNumberFormat="1" applyFont="1" applyFill="1" applyBorder="1" applyAlignment="1">
      <alignment horizontal="left" vertical="center"/>
    </xf>
    <xf numFmtId="170" fontId="36" fillId="0" borderId="1" xfId="0" applyNumberFormat="1" applyFont="1" applyFill="1" applyBorder="1" applyAlignment="1">
      <alignment horizontal="left" vertical="center"/>
    </xf>
    <xf numFmtId="165" fontId="36" fillId="0" borderId="1" xfId="1" applyNumberFormat="1" applyFont="1" applyFill="1" applyBorder="1" applyAlignment="1" applyProtection="1">
      <alignment horizontal="left" vertical="center"/>
    </xf>
    <xf numFmtId="170" fontId="41" fillId="5" borderId="1" xfId="2" applyNumberFormat="1" applyFont="1" applyFill="1" applyBorder="1" applyAlignment="1" applyProtection="1">
      <alignment horizontal="left" vertical="center" wrapText="1"/>
    </xf>
    <xf numFmtId="167" fontId="41" fillId="5" borderId="1" xfId="2" applyNumberFormat="1" applyFont="1" applyFill="1" applyBorder="1" applyAlignment="1" applyProtection="1">
      <alignment horizontal="left" vertical="center"/>
    </xf>
    <xf numFmtId="168" fontId="41" fillId="5" borderId="1" xfId="6" applyNumberFormat="1" applyFont="1" applyFill="1" applyBorder="1" applyAlignment="1">
      <alignment horizontal="left" vertical="center"/>
    </xf>
    <xf numFmtId="170" fontId="36" fillId="0" borderId="1" xfId="2" applyNumberFormat="1" applyFont="1" applyFill="1" applyBorder="1" applyAlignment="1">
      <alignment horizontal="left" vertical="center" wrapText="1"/>
    </xf>
    <xf numFmtId="170" fontId="36" fillId="0" borderId="1" xfId="2" applyNumberFormat="1" applyFont="1" applyFill="1" applyBorder="1" applyAlignment="1">
      <alignment horizontal="left" vertical="center"/>
    </xf>
    <xf numFmtId="0" fontId="36" fillId="0" borderId="1" xfId="2" applyFont="1" applyFill="1" applyBorder="1" applyAlignment="1">
      <alignment horizontal="left" vertical="center"/>
    </xf>
    <xf numFmtId="170" fontId="43" fillId="0" borderId="1" xfId="2" applyNumberFormat="1" applyFont="1" applyFill="1" applyBorder="1" applyAlignment="1">
      <alignment horizontal="left" vertical="center" wrapText="1"/>
    </xf>
    <xf numFmtId="165" fontId="43" fillId="0" borderId="1" xfId="1" applyNumberFormat="1" applyFont="1" applyFill="1" applyBorder="1" applyAlignment="1">
      <alignment horizontal="left" vertical="center"/>
    </xf>
    <xf numFmtId="0" fontId="41" fillId="5" borderId="1" xfId="0" applyFont="1" applyFill="1" applyBorder="1" applyAlignment="1">
      <alignment horizontal="right" vertical="center"/>
    </xf>
    <xf numFmtId="0" fontId="36" fillId="5" borderId="1" xfId="0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right" vertical="center"/>
    </xf>
    <xf numFmtId="0" fontId="41" fillId="5" borderId="1" xfId="0" applyFont="1" applyFill="1" applyBorder="1" applyAlignment="1">
      <alignment vertical="center"/>
    </xf>
    <xf numFmtId="41" fontId="41" fillId="5" borderId="1" xfId="4" applyFont="1" applyFill="1" applyBorder="1" applyAlignment="1">
      <alignment vertical="center"/>
    </xf>
    <xf numFmtId="41" fontId="41" fillId="5" borderId="1" xfId="4" applyFont="1" applyFill="1" applyBorder="1" applyAlignment="1">
      <alignment horizontal="right" vertical="center"/>
    </xf>
    <xf numFmtId="3" fontId="36" fillId="0" borderId="1" xfId="1" applyNumberFormat="1" applyFont="1" applyFill="1" applyBorder="1" applyAlignment="1" applyProtection="1">
      <alignment vertical="center"/>
    </xf>
    <xf numFmtId="3" fontId="45" fillId="0" borderId="1" xfId="1" applyNumberFormat="1" applyFont="1" applyFill="1" applyBorder="1" applyAlignment="1" applyProtection="1">
      <alignment vertical="center"/>
    </xf>
    <xf numFmtId="3" fontId="44" fillId="24" borderId="1" xfId="1" applyNumberFormat="1" applyFont="1" applyFill="1" applyBorder="1" applyAlignment="1" applyProtection="1">
      <alignment vertical="center"/>
    </xf>
    <xf numFmtId="3" fontId="36" fillId="12" borderId="1" xfId="1" applyNumberFormat="1" applyFont="1" applyFill="1" applyBorder="1" applyAlignment="1" applyProtection="1">
      <alignment vertical="center"/>
    </xf>
    <xf numFmtId="165" fontId="41" fillId="5" borderId="1" xfId="1" applyNumberFormat="1" applyFont="1" applyFill="1" applyBorder="1" applyAlignment="1">
      <alignment vertical="center"/>
    </xf>
    <xf numFmtId="165" fontId="36" fillId="5" borderId="1" xfId="1" applyNumberFormat="1" applyFont="1" applyFill="1" applyBorder="1" applyAlignment="1">
      <alignment vertical="center"/>
    </xf>
    <xf numFmtId="168" fontId="36" fillId="5" borderId="1" xfId="6" applyNumberFormat="1" applyFont="1" applyFill="1" applyBorder="1" applyAlignment="1">
      <alignment vertical="center" wrapText="1"/>
    </xf>
    <xf numFmtId="3" fontId="36" fillId="5" borderId="1" xfId="1" applyNumberFormat="1" applyFont="1" applyFill="1" applyBorder="1" applyAlignment="1" applyProtection="1">
      <alignment vertical="center"/>
    </xf>
    <xf numFmtId="168" fontId="36" fillId="0" borderId="1" xfId="6" applyNumberFormat="1" applyFont="1" applyFill="1" applyBorder="1" applyAlignment="1">
      <alignment vertical="center" wrapText="1"/>
    </xf>
    <xf numFmtId="165" fontId="36" fillId="0" borderId="1" xfId="1" applyNumberFormat="1" applyFont="1" applyFill="1" applyBorder="1" applyAlignment="1">
      <alignment vertical="center"/>
    </xf>
    <xf numFmtId="167" fontId="41" fillId="5" borderId="1" xfId="2" applyNumberFormat="1" applyFont="1" applyFill="1" applyBorder="1" applyAlignment="1">
      <alignment vertical="center" wrapText="1"/>
    </xf>
    <xf numFmtId="168" fontId="41" fillId="5" borderId="1" xfId="6" applyNumberFormat="1" applyFont="1" applyFill="1" applyBorder="1" applyAlignment="1">
      <alignment vertical="center" wrapText="1"/>
    </xf>
    <xf numFmtId="167" fontId="36" fillId="5" borderId="1" xfId="2" applyNumberFormat="1" applyFont="1" applyFill="1" applyBorder="1" applyAlignment="1">
      <alignment vertical="center"/>
    </xf>
    <xf numFmtId="3" fontId="41" fillId="5" borderId="1" xfId="1" applyNumberFormat="1" applyFont="1" applyFill="1" applyBorder="1" applyAlignment="1" applyProtection="1">
      <alignment vertical="center"/>
    </xf>
    <xf numFmtId="168" fontId="41" fillId="5" borderId="1" xfId="6" applyNumberFormat="1" applyFont="1" applyFill="1" applyBorder="1" applyAlignment="1" applyProtection="1">
      <alignment vertical="center" wrapText="1"/>
    </xf>
    <xf numFmtId="168" fontId="41" fillId="5" borderId="1" xfId="6" applyNumberFormat="1" applyFont="1" applyFill="1" applyBorder="1" applyAlignment="1">
      <alignment vertical="center"/>
    </xf>
    <xf numFmtId="3" fontId="43" fillId="0" borderId="1" xfId="1" applyNumberFormat="1" applyFont="1" applyFill="1" applyBorder="1" applyAlignment="1" applyProtection="1">
      <alignment vertical="center"/>
    </xf>
    <xf numFmtId="0" fontId="0" fillId="0" borderId="1" xfId="0" applyBorder="1"/>
    <xf numFmtId="3" fontId="41" fillId="5" borderId="1" xfId="1" applyNumberFormat="1" applyFont="1" applyFill="1" applyBorder="1" applyAlignment="1" applyProtection="1">
      <alignment horizontal="right" vertical="center"/>
    </xf>
    <xf numFmtId="165" fontId="36" fillId="5" borderId="1" xfId="1" applyNumberFormat="1" applyFont="1" applyFill="1" applyBorder="1" applyAlignment="1">
      <alignment horizontal="right" vertical="center"/>
    </xf>
    <xf numFmtId="41" fontId="36" fillId="5" borderId="1" xfId="4" applyFont="1" applyFill="1" applyBorder="1" applyAlignment="1">
      <alignment horizontal="right" vertical="center"/>
    </xf>
    <xf numFmtId="165" fontId="36" fillId="0" borderId="1" xfId="0" applyNumberFormat="1" applyFont="1" applyFill="1" applyBorder="1" applyAlignment="1">
      <alignment horizontal="right" vertical="center"/>
    </xf>
    <xf numFmtId="168" fontId="36" fillId="0" borderId="1" xfId="6" applyNumberFormat="1" applyFont="1" applyFill="1" applyBorder="1" applyAlignment="1">
      <alignment horizontal="right" vertical="center" wrapText="1"/>
    </xf>
    <xf numFmtId="165" fontId="36" fillId="0" borderId="1" xfId="1" applyNumberFormat="1" applyFont="1" applyFill="1" applyBorder="1" applyAlignment="1">
      <alignment horizontal="right" vertical="center"/>
    </xf>
    <xf numFmtId="168" fontId="36" fillId="5" borderId="1" xfId="6" applyNumberFormat="1" applyFont="1" applyFill="1" applyBorder="1" applyAlignment="1">
      <alignment horizontal="right" vertical="center" wrapText="1"/>
    </xf>
    <xf numFmtId="165" fontId="36" fillId="5" borderId="1" xfId="0" applyNumberFormat="1" applyFont="1" applyFill="1" applyBorder="1" applyAlignment="1">
      <alignment horizontal="right" vertical="center"/>
    </xf>
    <xf numFmtId="165" fontId="41" fillId="5" borderId="1" xfId="0" applyNumberFormat="1" applyFont="1" applyFill="1" applyBorder="1" applyAlignment="1">
      <alignment horizontal="right" vertical="center"/>
    </xf>
    <xf numFmtId="168" fontId="41" fillId="5" borderId="1" xfId="6" applyNumberFormat="1" applyFont="1" applyFill="1" applyBorder="1" applyAlignment="1">
      <alignment horizontal="right" vertical="center" wrapText="1"/>
    </xf>
    <xf numFmtId="41" fontId="41" fillId="5" borderId="1" xfId="4" applyFont="1" applyFill="1" applyBorder="1" applyAlignment="1">
      <alignment horizontal="right" vertical="center" wrapText="1"/>
    </xf>
    <xf numFmtId="165" fontId="41" fillId="5" borderId="1" xfId="1" applyNumberFormat="1" applyFont="1" applyFill="1" applyBorder="1" applyAlignment="1">
      <alignment horizontal="right" vertical="center"/>
    </xf>
    <xf numFmtId="41" fontId="41" fillId="5" borderId="1" xfId="4" applyFont="1" applyFill="1" applyBorder="1" applyAlignment="1" applyProtection="1">
      <alignment horizontal="right" vertical="center"/>
    </xf>
    <xf numFmtId="165" fontId="41" fillId="0" borderId="1" xfId="0" applyNumberFormat="1" applyFont="1" applyFill="1" applyBorder="1" applyAlignment="1">
      <alignment horizontal="right" vertical="center"/>
    </xf>
    <xf numFmtId="41" fontId="36" fillId="0" borderId="1" xfId="4" applyFont="1" applyFill="1" applyBorder="1" applyAlignment="1" applyProtection="1">
      <alignment horizontal="right" vertical="center"/>
    </xf>
    <xf numFmtId="168" fontId="41" fillId="5" borderId="1" xfId="6" applyNumberFormat="1" applyFont="1" applyFill="1" applyBorder="1" applyAlignment="1" applyProtection="1">
      <alignment horizontal="right" vertical="center" wrapText="1"/>
    </xf>
    <xf numFmtId="168" fontId="36" fillId="0" borderId="1" xfId="6" applyNumberFormat="1" applyFont="1" applyFill="1" applyBorder="1" applyAlignment="1">
      <alignment horizontal="right" vertical="center"/>
    </xf>
    <xf numFmtId="3" fontId="43" fillId="0" borderId="1" xfId="1" applyNumberFormat="1" applyFont="1" applyFill="1" applyBorder="1" applyAlignment="1" applyProtection="1">
      <alignment horizontal="right" vertical="center"/>
    </xf>
    <xf numFmtId="41" fontId="41" fillId="0" borderId="1" xfId="4" applyFont="1" applyFill="1" applyBorder="1" applyAlignment="1" applyProtection="1">
      <alignment horizontal="right" vertical="center"/>
    </xf>
    <xf numFmtId="0" fontId="34" fillId="0" borderId="0" xfId="0" applyFont="1"/>
    <xf numFmtId="0" fontId="0" fillId="0" borderId="0" xfId="0" applyNumberFormat="1" applyFont="1"/>
    <xf numFmtId="0" fontId="41" fillId="0" borderId="1" xfId="0" applyFont="1" applyFill="1" applyBorder="1" applyAlignment="1"/>
    <xf numFmtId="0" fontId="46" fillId="0" borderId="1" xfId="0" applyFont="1" applyFill="1" applyBorder="1" applyAlignment="1">
      <alignment vertical="center"/>
    </xf>
    <xf numFmtId="165" fontId="47" fillId="0" borderId="1" xfId="1" applyNumberFormat="1" applyFont="1" applyBorder="1" applyProtection="1">
      <protection locked="0"/>
    </xf>
    <xf numFmtId="165" fontId="48" fillId="0" borderId="0" xfId="0" applyNumberFormat="1" applyFont="1" applyAlignment="1">
      <alignment vertical="center"/>
    </xf>
    <xf numFmtId="0" fontId="48" fillId="0" borderId="1" xfId="0" applyFont="1" applyBorder="1" applyAlignment="1">
      <alignment vertical="center"/>
    </xf>
    <xf numFmtId="3" fontId="48" fillId="0" borderId="1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171" fontId="41" fillId="0" borderId="1" xfId="0" applyNumberFormat="1" applyFont="1" applyFill="1" applyBorder="1" applyAlignment="1">
      <alignment horizontal="left" vertical="center"/>
    </xf>
    <xf numFmtId="165" fontId="41" fillId="0" borderId="1" xfId="1" applyNumberFormat="1" applyFont="1" applyFill="1" applyBorder="1" applyAlignment="1">
      <alignment vertical="center"/>
    </xf>
    <xf numFmtId="41" fontId="41" fillId="0" borderId="1" xfId="4" applyFont="1" applyFill="1" applyBorder="1" applyAlignment="1">
      <alignment horizontal="right" vertical="center"/>
    </xf>
    <xf numFmtId="165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horizontal="right" vertical="center"/>
    </xf>
    <xf numFmtId="41" fontId="36" fillId="0" borderId="1" xfId="4" applyFont="1" applyFill="1" applyBorder="1" applyAlignment="1">
      <alignment horizontal="right" vertical="center" wrapText="1"/>
    </xf>
    <xf numFmtId="171" fontId="41" fillId="0" borderId="1" xfId="2" applyNumberFormat="1" applyFont="1" applyFill="1" applyBorder="1" applyAlignment="1">
      <alignment horizontal="left" vertical="center" wrapText="1"/>
    </xf>
    <xf numFmtId="3" fontId="41" fillId="0" borderId="1" xfId="1" applyNumberFormat="1" applyFont="1" applyFill="1" applyBorder="1" applyAlignment="1" applyProtection="1">
      <alignment vertical="center"/>
    </xf>
    <xf numFmtId="3" fontId="41" fillId="0" borderId="1" xfId="1" applyNumberFormat="1" applyFont="1" applyFill="1" applyBorder="1" applyAlignment="1" applyProtection="1">
      <alignment horizontal="right" vertical="center"/>
    </xf>
    <xf numFmtId="41" fontId="36" fillId="0" borderId="1" xfId="4" applyFont="1" applyFill="1" applyBorder="1" applyAlignment="1">
      <alignment horizontal="right" vertical="center"/>
    </xf>
    <xf numFmtId="41" fontId="36" fillId="0" borderId="1" xfId="4" applyFont="1" applyFill="1" applyBorder="1" applyAlignment="1">
      <alignment horizontal="left" vertical="center"/>
    </xf>
    <xf numFmtId="169" fontId="41" fillId="0" borderId="1" xfId="2" applyNumberFormat="1" applyFont="1" applyFill="1" applyBorder="1" applyAlignment="1">
      <alignment horizontal="left" vertical="center"/>
    </xf>
    <xf numFmtId="165" fontId="41" fillId="0" borderId="1" xfId="0" applyNumberFormat="1" applyFont="1" applyFill="1" applyBorder="1" applyAlignment="1">
      <alignment horizontal="left" vertical="center"/>
    </xf>
    <xf numFmtId="165" fontId="41" fillId="0" borderId="1" xfId="1" applyNumberFormat="1" applyFont="1" applyFill="1" applyBorder="1" applyAlignment="1">
      <alignment horizontal="right" vertical="center"/>
    </xf>
    <xf numFmtId="171" fontId="36" fillId="0" borderId="1" xfId="2" applyNumberFormat="1" applyFont="1" applyFill="1" applyBorder="1" applyAlignment="1">
      <alignment horizontal="left" vertical="center"/>
    </xf>
    <xf numFmtId="169" fontId="36" fillId="0" borderId="1" xfId="2" applyNumberFormat="1" applyFont="1" applyFill="1" applyBorder="1" applyAlignment="1">
      <alignment horizontal="left" vertical="center"/>
    </xf>
    <xf numFmtId="41" fontId="36" fillId="0" borderId="1" xfId="4" applyFont="1" applyFill="1" applyBorder="1" applyAlignment="1">
      <alignment horizontal="left" vertical="center" wrapText="1"/>
    </xf>
    <xf numFmtId="167" fontId="36" fillId="0" borderId="1" xfId="2" applyNumberFormat="1" applyFont="1" applyFill="1" applyBorder="1" applyAlignment="1">
      <alignment vertical="center"/>
    </xf>
    <xf numFmtId="168" fontId="36" fillId="0" borderId="1" xfId="6" applyNumberFormat="1" applyFont="1" applyFill="1" applyBorder="1" applyAlignment="1" applyProtection="1">
      <alignment vertical="center" wrapText="1"/>
    </xf>
    <xf numFmtId="167" fontId="36" fillId="0" borderId="1" xfId="2" applyNumberFormat="1" applyFont="1" applyFill="1" applyBorder="1" applyAlignment="1" applyProtection="1">
      <alignment horizontal="left" vertical="center" wrapText="1"/>
    </xf>
    <xf numFmtId="167" fontId="41" fillId="0" borderId="1" xfId="2" applyNumberFormat="1" applyFont="1" applyFill="1" applyBorder="1" applyAlignment="1">
      <alignment horizontal="left" vertical="center"/>
    </xf>
    <xf numFmtId="168" fontId="36" fillId="0" borderId="1" xfId="6" applyNumberFormat="1" applyFont="1" applyFill="1" applyBorder="1" applyAlignment="1">
      <alignment horizontal="left" vertical="center" wrapText="1"/>
    </xf>
    <xf numFmtId="167" fontId="36" fillId="0" borderId="1" xfId="2" applyNumberFormat="1" applyFont="1" applyFill="1" applyBorder="1" applyAlignment="1">
      <alignment vertical="center" wrapText="1"/>
    </xf>
    <xf numFmtId="41" fontId="41" fillId="0" borderId="1" xfId="4" applyFont="1" applyFill="1" applyBorder="1" applyAlignment="1">
      <alignment horizontal="left" vertical="center" wrapText="1"/>
    </xf>
    <xf numFmtId="0" fontId="36" fillId="0" borderId="1" xfId="2" applyFont="1" applyFill="1" applyBorder="1" applyAlignment="1" applyProtection="1">
      <alignment horizontal="left" vertical="center"/>
    </xf>
    <xf numFmtId="167" fontId="36" fillId="0" borderId="1" xfId="2" applyNumberFormat="1" applyFont="1" applyFill="1" applyBorder="1" applyAlignment="1" applyProtection="1">
      <alignment horizontal="left" vertical="center"/>
    </xf>
    <xf numFmtId="167" fontId="36" fillId="0" borderId="1" xfId="2" applyNumberFormat="1" applyFont="1" applyFill="1" applyBorder="1" applyAlignment="1" applyProtection="1">
      <alignment vertical="center" wrapText="1"/>
    </xf>
    <xf numFmtId="0" fontId="36" fillId="0" borderId="1" xfId="2" applyFont="1" applyFill="1" applyBorder="1" applyAlignment="1">
      <alignment vertical="center"/>
    </xf>
    <xf numFmtId="168" fontId="36" fillId="0" borderId="1" xfId="6" applyNumberFormat="1" applyFont="1" applyFill="1" applyBorder="1" applyAlignment="1">
      <alignment vertical="center"/>
    </xf>
    <xf numFmtId="171" fontId="36" fillId="0" borderId="1" xfId="2" applyNumberFormat="1" applyFont="1" applyFill="1" applyBorder="1" applyAlignment="1" applyProtection="1">
      <alignment horizontal="left" vertical="center" wrapText="1"/>
    </xf>
    <xf numFmtId="167" fontId="36" fillId="0" borderId="1" xfId="2" applyNumberFormat="1" applyFont="1" applyFill="1" applyBorder="1" applyAlignment="1">
      <alignment horizontal="right" vertical="center" wrapText="1"/>
    </xf>
    <xf numFmtId="41" fontId="41" fillId="0" borderId="1" xfId="4" applyFont="1" applyFill="1" applyBorder="1" applyAlignment="1">
      <alignment horizontal="left" vertical="center"/>
    </xf>
    <xf numFmtId="167" fontId="36" fillId="0" borderId="1" xfId="0" applyNumberFormat="1" applyFont="1" applyFill="1" applyBorder="1" applyAlignment="1">
      <alignment horizontal="left" vertical="center"/>
    </xf>
    <xf numFmtId="168" fontId="36" fillId="0" borderId="1" xfId="6" applyNumberFormat="1" applyFont="1" applyFill="1" applyBorder="1" applyAlignment="1" applyProtection="1">
      <alignment horizontal="right" vertical="center" wrapText="1"/>
    </xf>
    <xf numFmtId="41" fontId="36" fillId="0" borderId="1" xfId="4" applyFont="1" applyFill="1" applyBorder="1" applyAlignment="1" applyProtection="1">
      <alignment horizontal="right" vertical="center" wrapText="1"/>
    </xf>
    <xf numFmtId="168" fontId="36" fillId="0" borderId="1" xfId="6" applyNumberFormat="1" applyFont="1" applyFill="1" applyBorder="1" applyAlignment="1" applyProtection="1">
      <alignment horizontal="left" vertical="center" wrapText="1"/>
    </xf>
    <xf numFmtId="167" fontId="36" fillId="0" borderId="1" xfId="2" applyNumberFormat="1" applyFont="1" applyFill="1" applyBorder="1" applyAlignment="1">
      <alignment horizontal="right" vertical="center"/>
    </xf>
    <xf numFmtId="170" fontId="41" fillId="0" borderId="1" xfId="0" applyNumberFormat="1" applyFont="1" applyFill="1" applyBorder="1" applyAlignment="1">
      <alignment horizontal="left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right" vertical="center"/>
    </xf>
    <xf numFmtId="41" fontId="36" fillId="20" borderId="1" xfId="4" applyFont="1" applyFill="1" applyBorder="1" applyAlignment="1">
      <alignment horizontal="right" vertical="center"/>
    </xf>
    <xf numFmtId="0" fontId="36" fillId="20" borderId="1" xfId="0" applyFont="1" applyFill="1" applyBorder="1" applyAlignment="1">
      <alignment horizontal="left" vertical="center"/>
    </xf>
    <xf numFmtId="0" fontId="43" fillId="20" borderId="1" xfId="0" applyFont="1" applyFill="1" applyBorder="1" applyAlignment="1">
      <alignment horizontal="center" vertical="center"/>
    </xf>
    <xf numFmtId="3" fontId="36" fillId="0" borderId="1" xfId="1" applyNumberFormat="1" applyFont="1" applyFill="1" applyBorder="1" applyAlignment="1" applyProtection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11" fontId="49" fillId="0" borderId="1" xfId="0" applyNumberFormat="1" applyFont="1" applyFill="1" applyBorder="1" applyAlignment="1">
      <alignment horizontal="left" vertical="center"/>
    </xf>
  </cellXfs>
  <cellStyles count="8">
    <cellStyle name="Excel Built-in Comma" xfId="6"/>
    <cellStyle name="Excel Built-in Normal" xfId="2"/>
    <cellStyle name="Milliers" xfId="1" builtinId="3"/>
    <cellStyle name="Milliers [0]" xfId="4" builtinId="6"/>
    <cellStyle name="Milliers 3" xfId="5"/>
    <cellStyle name="Normal" xfId="0" builtinId="0"/>
    <cellStyle name="Normal_Total expenses by date" xfId="3"/>
    <cellStyle name="Pourcentage" xfId="7" builtinId="5"/>
  </cellStyles>
  <dxfs count="1">
    <dxf>
      <font>
        <color theme="1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CREPIN%20du%2031-0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ted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lff\AppData\Local\Microsoft\Windows\INetCache\Content.Outlook\BTO9MOI8\RAPPORT%20FINANCIER%20JUILLE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comptable_Dalia_au_21_Aout_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Evariste%20du%2021%20ao&#251;t%202020%20vf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21_08_20_%20Herick%20_Harmonis&#233;e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i23c%20au%2019%20Ao&#251;t%202020%20corri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%20PALF%20JB%20actualis&#233;e%20ce%2021.08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%20comptable_%20Jospin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P29-Comptabilit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Shely%20A%20(1)%20(1)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4916.375441319447" createdVersion="3" refreshedVersion="3" minRefreshableVersion="3" recordCount="304">
  <cacheSource type="worksheet">
    <worksheetSource ref="A11:O315" sheet="DATA AOUT 2022"/>
  </cacheSource>
  <cacheFields count="15">
    <cacheField name="Date" numFmtId="0">
      <sharedItems containsNonDate="0" containsDate="1" containsString="0" containsBlank="1" minDate="2022-08-01T00:00:00" maxDate="2022-09-01T00:00:00"/>
    </cacheField>
    <cacheField name="Details" numFmtId="0">
      <sharedItems containsBlank="1"/>
    </cacheField>
    <cacheField name="Type de dépenses" numFmtId="0">
      <sharedItems containsBlank="1"/>
    </cacheField>
    <cacheField name="Departement" numFmtId="0">
      <sharedItems containsBlank="1"/>
    </cacheField>
    <cacheField name="Received" numFmtId="0">
      <sharedItems containsString="0" containsBlank="1" containsNumber="1" containsInteger="1" minValue="1550" maxValue="12302243"/>
    </cacheField>
    <cacheField name="Spent" numFmtId="0">
      <sharedItems containsString="0" containsBlank="1" containsNumber="1" containsInteger="1" minValue="150" maxValue="2000000"/>
    </cacheField>
    <cacheField name="Balance" numFmtId="165">
      <sharedItems containsString="0" containsBlank="1" containsNumber="1" containsInteger="1" minValue="19080452" maxValue="40010743"/>
    </cacheField>
    <cacheField name="Name" numFmtId="0">
      <sharedItems containsBlank="1"/>
    </cacheField>
    <cacheField name="Receipt" numFmtId="0">
      <sharedItems containsBlank="1" containsMixedTypes="1" containsNumber="1" containsInteger="1" minValue="3654491" maxValue="3667231"/>
    </cacheField>
    <cacheField name="Donor" numFmtId="0">
      <sharedItems containsBlank="1" count="5">
        <m/>
        <s v="Wildcat"/>
        <s v="UE"/>
        <s v="ECF"/>
        <s v=" " u="1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J2018-3" refreshedDate="44916.375442476849" createdVersion="3" refreshedVersion="3" minRefreshableVersion="3" recordCount="376">
  <cacheSource type="worksheet">
    <worksheetSource ref="A11:O387" sheet="DATA AOUT 2022"/>
  </cacheSource>
  <cacheFields count="15">
    <cacheField name="Date" numFmtId="0">
      <sharedItems containsNonDate="0" containsDate="1" containsString="0" containsBlank="1" minDate="2022-08-01T00:00:00" maxDate="2022-09-01T00:00:00"/>
    </cacheField>
    <cacheField name="Details" numFmtId="0">
      <sharedItems containsBlank="1"/>
    </cacheField>
    <cacheField name="Type de dépenses" numFmtId="0">
      <sharedItems containsBlank="1"/>
    </cacheField>
    <cacheField name="Departement" numFmtId="0">
      <sharedItems containsBlank="1"/>
    </cacheField>
    <cacheField name="Received" numFmtId="0">
      <sharedItems containsString="0" containsBlank="1" containsNumber="1" containsInteger="1" minValue="1550" maxValue="12302243"/>
    </cacheField>
    <cacheField name="Spent" numFmtId="0">
      <sharedItems containsString="0" containsBlank="1" containsNumber="1" containsInteger="1" minValue="150" maxValue="2000000"/>
    </cacheField>
    <cacheField name="Balance" numFmtId="165">
      <sharedItems containsString="0" containsBlank="1" containsNumber="1" containsInteger="1" minValue="19080452" maxValue="40010743"/>
    </cacheField>
    <cacheField name="Name" numFmtId="0">
      <sharedItems containsBlank="1"/>
    </cacheField>
    <cacheField name="Receipt" numFmtId="0">
      <sharedItems containsBlank="1" containsMixedTypes="1" containsNumber="1" containsInteger="1" minValue="3654491" maxValue="3667231"/>
    </cacheField>
    <cacheField name="Donor" numFmtId="0">
      <sharedItems containsBlank="1" count="5">
        <m/>
        <s v="Wildcat"/>
        <s v="UE"/>
        <s v="ECF"/>
        <s v=" " u="1"/>
      </sharedItems>
    </cacheField>
    <cacheField name="Project" numFmtId="0">
      <sharedItems containsBlank="1" count="4">
        <m/>
        <s v="RALFF"/>
        <s v="PALF"/>
        <s v="UE" u="1"/>
      </sharedItems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J2018-3" refreshedDate="44916.375443865742" createdVersion="3" refreshedVersion="3" minRefreshableVersion="3" recordCount="220">
  <cacheSource type="worksheet">
    <worksheetSource ref="A11:O231" sheet="DATA AOUT 2022"/>
  </cacheSource>
  <cacheFields count="15">
    <cacheField name="Date" numFmtId="171">
      <sharedItems containsSemiMixedTypes="0" containsNonDate="0" containsDate="1" containsString="0" minDate="2022-08-01T00:00:00" maxDate="2022-09-01T00:00:00"/>
    </cacheField>
    <cacheField name="Details" numFmtId="0">
      <sharedItems/>
    </cacheField>
    <cacheField name="Type de dépenses" numFmtId="0">
      <sharedItems containsBlank="1" count="20">
        <m/>
        <s v="Versement"/>
        <s v="Transfer fees"/>
        <s v="Services"/>
        <s v="Telephone"/>
        <s v="Personnel"/>
        <s v="bank fees"/>
        <s v="Office Materials"/>
        <s v="Transport"/>
        <s v="Travel Subsistence"/>
        <s v="Bonus"/>
        <s v="Equipement"/>
        <s v="Grant"/>
        <s v="Jail visit"/>
        <s v="Rent &amp; Utilities"/>
        <s v="Lawyer fees"/>
        <s v="Personnel "/>
        <s v="Trust building"/>
        <s v="Travel Expense"/>
        <s v="Internet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1550" maxValue="12302243"/>
    </cacheField>
    <cacheField name="Spent" numFmtId="0">
      <sharedItems containsString="0" containsBlank="1" containsNumber="1" containsInteger="1" minValue="150" maxValue="2000000"/>
    </cacheField>
    <cacheField name="Balance" numFmtId="165">
      <sharedItems containsSemiMixedTypes="0" containsString="0" containsNumber="1" containsInteger="1" minValue="19080452" maxValue="40010743"/>
    </cacheField>
    <cacheField name="Name" numFmtId="0">
      <sharedItems containsBlank="1" count="11">
        <m/>
        <s v="Caisse"/>
        <s v="BCI-Sous Compte"/>
        <s v="Crépin"/>
        <s v="Hurielle"/>
        <s v="P29"/>
        <s v="i23c"/>
        <s v="Grace"/>
        <s v="Merveille"/>
        <s v="Tiffany"/>
        <s v="BCI"/>
      </sharedItems>
    </cacheField>
    <cacheField name="Receipt" numFmtId="0">
      <sharedItems containsBlank="1" containsMixedTypes="1" containsNumber="1" containsInteger="1" minValue="3654491" maxValue="3667231"/>
    </cacheField>
    <cacheField name="Donor" numFmtId="0">
      <sharedItems containsBlank="1"/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4">
  <r>
    <d v="2022-08-01T00:00:00"/>
    <s v="Solde au 01/08/2022"/>
    <m/>
    <m/>
    <m/>
    <m/>
    <n v="23525884"/>
    <m/>
    <m/>
    <x v="0"/>
    <m/>
    <m/>
    <m/>
    <m/>
    <m/>
  </r>
  <r>
    <d v="2022-08-01T00:00:00"/>
    <s v="BCI-37107255251/56"/>
    <s v="Versement"/>
    <m/>
    <n v="600000"/>
    <m/>
    <n v="24125884"/>
    <s v="Caisse"/>
    <m/>
    <x v="0"/>
    <m/>
    <m/>
    <m/>
    <m/>
    <m/>
  </r>
  <r>
    <d v="2022-08-01T00:00:00"/>
    <s v="Crépin"/>
    <s v="Versement"/>
    <m/>
    <m/>
    <n v="291250"/>
    <n v="23834634"/>
    <s v="Caisse"/>
    <m/>
    <x v="0"/>
    <m/>
    <m/>
    <m/>
    <m/>
    <m/>
  </r>
  <r>
    <d v="2022-08-01T00:00:00"/>
    <s v="Frais de transfert d'argent à Crépin"/>
    <s v="Transfer fees"/>
    <s v="Office"/>
    <m/>
    <n v="9790"/>
    <n v="23824844"/>
    <s v="Caisse"/>
    <s v="Oui"/>
    <x v="1"/>
    <s v="RALFF"/>
    <s v="CONGO"/>
    <s v="RALFF-CO3655"/>
    <s v="5.6"/>
    <m/>
  </r>
  <r>
    <d v="2022-08-01T00:00:00"/>
    <s v="Reglement prestation Entretient bureau Mois de Juillet  2022/Odile"/>
    <s v="Services"/>
    <s v="Office"/>
    <m/>
    <n v="75625"/>
    <n v="23749219"/>
    <s v="Caisse"/>
    <s v="Oui"/>
    <x v="1"/>
    <s v="PALF"/>
    <s v="CONGO"/>
    <m/>
    <m/>
    <m/>
  </r>
  <r>
    <d v="2022-08-01T00:00:00"/>
    <s v="Hurielle/Retour Caisse"/>
    <s v="Versement"/>
    <m/>
    <n v="30000"/>
    <m/>
    <n v="23779219"/>
    <s v="Caisse"/>
    <m/>
    <x v="0"/>
    <m/>
    <m/>
    <m/>
    <m/>
    <m/>
  </r>
  <r>
    <d v="2022-08-01T00:00:00"/>
    <s v="P29/Retour Caisse /Av sur Salaire"/>
    <s v="Versement"/>
    <m/>
    <n v="50000"/>
    <m/>
    <n v="23829219"/>
    <s v="Caisse"/>
    <m/>
    <x v="0"/>
    <m/>
    <m/>
    <m/>
    <m/>
    <m/>
  </r>
  <r>
    <d v="2022-08-01T00:00:00"/>
    <s v="Achat credit  teléphonique MTN/PALF/Prémière partie Août 2022/Management"/>
    <s v="Telephone"/>
    <s v="Management "/>
    <m/>
    <n v="22000"/>
    <n v="23807219"/>
    <s v="Caisse"/>
    <s v="Oui"/>
    <x v="1"/>
    <s v="RALFF"/>
    <s v="CONGO"/>
    <s v="RALFF-CO3656"/>
    <s v="4.6"/>
    <m/>
  </r>
  <r>
    <d v="2022-08-01T00:00:00"/>
    <s v="Achat credit  teléphonique MTN/PALF/Prémière partie Août 2022/Legal"/>
    <s v="Telephone"/>
    <s v="Legal"/>
    <m/>
    <n v="32000"/>
    <n v="23775219"/>
    <s v="Caisse"/>
    <s v="Oui"/>
    <x v="1"/>
    <s v="RALFF"/>
    <s v="CONGO"/>
    <s v="RALFF-CO3657"/>
    <s v="4.6"/>
    <m/>
  </r>
  <r>
    <d v="2022-08-01T00:00:00"/>
    <s v="Achat credit  teléphonique MTN/PALF/Prémière partie Août 2022/Investigation"/>
    <s v="Telephone"/>
    <s v="Investigation"/>
    <m/>
    <n v="20000"/>
    <n v="23755219"/>
    <s v="Caisse"/>
    <s v="Oui"/>
    <x v="1"/>
    <s v="RALFF"/>
    <s v="CONGO"/>
    <s v="RALFF-CO3658"/>
    <s v="4.6"/>
    <m/>
  </r>
  <r>
    <d v="2022-08-01T00:00:00"/>
    <s v="Achat credit  teléphonique Airtel/PALF/Prémière partie Aout 2022/Management"/>
    <s v="Telephone"/>
    <s v="Management "/>
    <m/>
    <n v="10000"/>
    <n v="23745219"/>
    <s v="Caisse"/>
    <s v="Oui"/>
    <x v="1"/>
    <s v="RALFF"/>
    <s v="CONGO"/>
    <s v="RALFF-CO3659"/>
    <s v="4.6"/>
    <m/>
  </r>
  <r>
    <d v="2022-08-01T00:00:00"/>
    <s v="Achat credit  teléphonique Airtel/PALF/Prémière partie Aout 2022/Legal"/>
    <s v="Telephone"/>
    <s v="Legal"/>
    <m/>
    <n v="10000"/>
    <n v="23735219"/>
    <s v="Caisse"/>
    <s v="Oui"/>
    <x v="1"/>
    <s v="RALFF"/>
    <s v="CONGO"/>
    <s v="RALFF-CO3660"/>
    <s v="4.6"/>
    <m/>
  </r>
  <r>
    <d v="2022-08-01T00:00:00"/>
    <s v="Achat credit  teléphonique Airtel/PALF/Prémière partie Août 2022/Investigation"/>
    <s v="Telephone"/>
    <s v="Investigation"/>
    <m/>
    <n v="32000"/>
    <n v="23703219"/>
    <s v="Caisse"/>
    <s v="Oui"/>
    <x v="1"/>
    <s v="RALFF"/>
    <s v="CONGO"/>
    <s v="RALFF-CO3661"/>
    <s v="4.6"/>
    <m/>
  </r>
  <r>
    <d v="2022-08-01T00:00:00"/>
    <s v="P29"/>
    <s v="Versement"/>
    <m/>
    <m/>
    <n v="25000"/>
    <n v="23678219"/>
    <s v="Caisse"/>
    <m/>
    <x v="0"/>
    <m/>
    <m/>
    <m/>
    <m/>
    <m/>
  </r>
  <r>
    <d v="2022-08-01T00:00:00"/>
    <s v="Retrait especes/appro caisse/bord n°3667230"/>
    <s v="Versement"/>
    <m/>
    <m/>
    <n v="600000"/>
    <n v="23078219"/>
    <s v="BCI-Sous Compte"/>
    <n v="3667230"/>
    <x v="0"/>
    <m/>
    <m/>
    <m/>
    <m/>
    <m/>
  </r>
  <r>
    <d v="2022-08-01T00:00:00"/>
    <s v="Paiement salaire mois de Juillet 2022/Crepin IBOUILI IBOUILI"/>
    <s v="Personnel"/>
    <s v="Legal"/>
    <m/>
    <n v="357982"/>
    <n v="22720237"/>
    <s v="BCI-Sous Compte"/>
    <n v="3667213"/>
    <x v="2"/>
    <s v="RALFF"/>
    <s v="CONGO"/>
    <s v="RALFF-CO3662"/>
    <s v="1.1.1.7"/>
    <m/>
  </r>
  <r>
    <d v="2022-08-01T00:00:00"/>
    <s v="Paiement salaire mois de Juillet 2022/Grace MOLENDE"/>
    <s v="Personnel"/>
    <s v="Management"/>
    <m/>
    <n v="350000"/>
    <n v="22370237"/>
    <s v="BCI-Sous Compte"/>
    <n v="3667214"/>
    <x v="2"/>
    <s v="RALFF"/>
    <s v="CONGO"/>
    <s v="RALFF-CO3663"/>
    <s v="1.1.2.1"/>
    <m/>
  </r>
  <r>
    <d v="2022-08-01T00:00:00"/>
    <s v="Paiement salaire mois de Juillet 2022/Hurielle MFOULOU"/>
    <s v="Personnel"/>
    <s v="Legal"/>
    <m/>
    <n v="200000"/>
    <n v="22170237"/>
    <s v="BCI-Sous Compte"/>
    <n v="3667215"/>
    <x v="2"/>
    <s v="RALFF"/>
    <s v="CONGO"/>
    <s v="RALFF-CO3664"/>
    <s v="1.1.1.7"/>
    <m/>
  </r>
  <r>
    <d v="2022-08-01T00:00:00"/>
    <s v="Paiement salaire mois de Juillet 2022/Merveille MAHANGA"/>
    <s v="Personnel"/>
    <s v="Management"/>
    <m/>
    <n v="300000"/>
    <n v="21870237"/>
    <s v="BCI-Sous Compte"/>
    <n v="3667216"/>
    <x v="2"/>
    <s v="RALFF"/>
    <s v="CONGO"/>
    <s v="RALFF-CO3665"/>
    <s v="1.1.2.1"/>
    <m/>
  </r>
  <r>
    <d v="2022-08-01T00:00:00"/>
    <s v="Paiement congés et  salaire mois de Juillet 2022/Evariste LELOUSSI"/>
    <s v="Personnel"/>
    <s v="Media"/>
    <m/>
    <n v="344901"/>
    <n v="21525336"/>
    <s v="BCI-Sous Compte"/>
    <n v="3667217"/>
    <x v="2"/>
    <s v="RALFF"/>
    <s v="CONGO"/>
    <s v="RALFF-CO3666"/>
    <s v="1.1.1.4"/>
    <m/>
  </r>
  <r>
    <d v="2022-08-01T00:00:00"/>
    <s v="Reglement facture honoraire du mois de Juillet 2022/P29/chq n°3667218"/>
    <s v="Personnel"/>
    <s v="Investigation"/>
    <m/>
    <n v="225000"/>
    <n v="21300336"/>
    <s v="BCI-Sous Compte"/>
    <n v="3667218"/>
    <x v="2"/>
    <s v="RALFF"/>
    <s v="CONGO"/>
    <s v="RALFF-CO3667"/>
    <s v="1.1.1.9"/>
    <m/>
  </r>
  <r>
    <d v="2022-08-01T00:00:00"/>
    <s v="Reglement facture honoraire du mois de Juillet 2022/I23C/chq n°366719"/>
    <s v="Personnel"/>
    <s v="Investigation"/>
    <m/>
    <n v="450000"/>
    <n v="20850336"/>
    <s v="BCI-Sous Compte"/>
    <n v="3667219"/>
    <x v="2"/>
    <s v="RALFF"/>
    <s v="CONGO"/>
    <s v="RALFF-CO3668"/>
    <s v="1.1.1.9"/>
    <m/>
  </r>
  <r>
    <d v="2022-08-01T00:00:00"/>
    <s v="Frais bancaire compte 56"/>
    <s v="bank fees"/>
    <s v="Office"/>
    <m/>
    <n v="17364"/>
    <n v="20832972"/>
    <s v="BCI-Sous Compte"/>
    <s v="Relevé"/>
    <x v="2"/>
    <s v="RALFF"/>
    <s v="CONGO"/>
    <s v="RALFF-CO3669"/>
    <s v="5.6"/>
    <m/>
  </r>
  <r>
    <d v="2022-08-01T00:00:00"/>
    <s v="Reçu de caisse/Crépin"/>
    <s v="Versement"/>
    <m/>
    <n v="291250"/>
    <m/>
    <n v="21124222"/>
    <s v="Crépin"/>
    <m/>
    <x v="0"/>
    <m/>
    <m/>
    <m/>
    <m/>
    <m/>
  </r>
  <r>
    <d v="2022-08-01T00:00:00"/>
    <s v="Frais achat Fournitures de la procédure (Rames + Chemises cartonnées)"/>
    <s v="Office Materials"/>
    <s v="Legal"/>
    <m/>
    <n v="5000"/>
    <n v="21119222"/>
    <s v="Crépin"/>
    <s v="Oui"/>
    <x v="1"/>
    <s v="PALF"/>
    <s v="CONGO"/>
    <m/>
    <m/>
    <m/>
  </r>
  <r>
    <d v="2022-08-01T00:00:00"/>
    <s v="Frais impression des photos au labo pour la planche photographique"/>
    <s v="Office Materials"/>
    <s v="Legal"/>
    <m/>
    <n v="3200"/>
    <n v="21116022"/>
    <s v="Crépin"/>
    <s v="Oui"/>
    <x v="1"/>
    <s v="PALF"/>
    <s v="CONGO"/>
    <m/>
    <m/>
    <m/>
  </r>
  <r>
    <d v="2022-08-01T00:00:00"/>
    <s v="Frais impression de la procédure"/>
    <s v="Office Materials"/>
    <s v="Legal"/>
    <m/>
    <n v="6000"/>
    <n v="21110022"/>
    <s v="Crépin"/>
    <s v="Oui"/>
    <x v="1"/>
    <s v="PALF"/>
    <s v="CONGO"/>
    <m/>
    <m/>
    <m/>
  </r>
  <r>
    <d v="2022-08-01T00:00:00"/>
    <s v="Frais de carburant pour la mission de Mossendjo"/>
    <s v="Transport"/>
    <s v="Operation"/>
    <m/>
    <n v="71250"/>
    <n v="21038772"/>
    <s v="Crépin"/>
    <s v="Oui"/>
    <x v="1"/>
    <s v="PALF"/>
    <s v="CONGO"/>
    <m/>
    <m/>
    <m/>
  </r>
  <r>
    <d v="2022-08-01T00:00:00"/>
    <s v="Achat raffraichissement opération"/>
    <s v="Travel Subsistence"/>
    <s v="Operation"/>
    <m/>
    <n v="9250"/>
    <n v="21029522"/>
    <s v="Crépin"/>
    <s v="Oui"/>
    <x v="1"/>
    <s v="PALF"/>
    <s v="CONGO"/>
    <m/>
    <m/>
    <m/>
  </r>
  <r>
    <d v="2022-08-01T00:00:00"/>
    <s v="Retour caisse/Hurielle"/>
    <s v="Versement"/>
    <m/>
    <m/>
    <n v="30000"/>
    <n v="20999522"/>
    <s v="Hurielle"/>
    <m/>
    <x v="0"/>
    <m/>
    <m/>
    <m/>
    <m/>
    <m/>
  </r>
  <r>
    <d v="2022-08-01T00:00:00"/>
    <s v="Retour  caisse/P29 - Solde Avance sur Salaire"/>
    <s v="Versement"/>
    <m/>
    <m/>
    <n v="50000"/>
    <n v="20949522"/>
    <s v="P29"/>
    <m/>
    <x v="0"/>
    <m/>
    <m/>
    <m/>
    <m/>
    <m/>
  </r>
  <r>
    <d v="2022-08-01T00:00:00"/>
    <s v="Recu de caisse/P29"/>
    <s v="Versement"/>
    <m/>
    <n v="25000"/>
    <m/>
    <n v="20974522"/>
    <s v="P29"/>
    <m/>
    <x v="0"/>
    <m/>
    <m/>
    <m/>
    <m/>
    <m/>
  </r>
  <r>
    <d v="2022-08-02T00:00:00"/>
    <s v="Bonus mois de Juillet 2022/Hurielle"/>
    <s v="Bonus"/>
    <s v="Legal"/>
    <m/>
    <n v="15000"/>
    <n v="20959522"/>
    <s v="Caisse"/>
    <s v="Decharge"/>
    <x v="1"/>
    <s v="PALF"/>
    <s v="CONGO"/>
    <m/>
    <m/>
    <m/>
  </r>
  <r>
    <d v="2022-08-02T00:00:00"/>
    <s v="Frais reparation de la roue"/>
    <s v="Transport"/>
    <s v="Operation"/>
    <m/>
    <n v="2500"/>
    <n v="20957022"/>
    <s v="Crépin"/>
    <s v="Oui"/>
    <x v="1"/>
    <s v="PALF"/>
    <s v="CONGO"/>
    <m/>
    <m/>
    <m/>
  </r>
  <r>
    <d v="2022-08-02T00:00:00"/>
    <s v="Alimentation de 5 gendarmes et 03 agents EF pendant la mission sur Mossendjo"/>
    <s v="Travel Subsistence"/>
    <s v="Operation"/>
    <m/>
    <n v="21500"/>
    <n v="20935522"/>
    <s v="Crépin"/>
    <s v="Oui"/>
    <x v="1"/>
    <s v="PALF"/>
    <s v="CONGO"/>
    <m/>
    <m/>
    <m/>
  </r>
  <r>
    <d v="2022-08-02T00:00:00"/>
    <s v="Bonus de 5 gendarmes après le deférement à Mossendjo"/>
    <s v="Bonus"/>
    <s v="Operation"/>
    <m/>
    <n v="50000"/>
    <n v="20885522"/>
    <s v="Crépin"/>
    <s v="Oui"/>
    <x v="1"/>
    <s v="PALF"/>
    <s v="CONGO"/>
    <m/>
    <m/>
    <m/>
  </r>
  <r>
    <d v="2022-08-02T00:00:00"/>
    <s v="Bonus de 03 agents EF après la mission sur Mossendjo"/>
    <s v="Bonus"/>
    <s v="Operation"/>
    <m/>
    <n v="30000"/>
    <n v="20855522"/>
    <s v="Crépin"/>
    <s v="Oui"/>
    <x v="1"/>
    <s v="PALF"/>
    <s v="CONGO"/>
    <m/>
    <m/>
    <m/>
  </r>
  <r>
    <d v="2022-08-03T00:00:00"/>
    <s v="Crépin"/>
    <s v="Versement"/>
    <m/>
    <m/>
    <n v="28000"/>
    <n v="20827522"/>
    <s v="Caisse"/>
    <m/>
    <x v="0"/>
    <m/>
    <m/>
    <m/>
    <m/>
    <m/>
  </r>
  <r>
    <d v="2022-08-03T00:00:00"/>
    <s v="Frais de transfert d'argent à Crépin"/>
    <s v="Transfer fees"/>
    <s v="Office"/>
    <m/>
    <n v="840"/>
    <n v="20826682"/>
    <s v="Caisse"/>
    <s v="Oui"/>
    <x v="2"/>
    <s v="RALFF"/>
    <s v="CONGO"/>
    <s v="RALFF-CO3670"/>
    <s v="5.6"/>
    <m/>
  </r>
  <r>
    <d v="2022-08-03T00:00:00"/>
    <s v="P29"/>
    <s v="Versement"/>
    <m/>
    <m/>
    <n v="93000"/>
    <n v="20733682"/>
    <s v="Caisse"/>
    <m/>
    <x v="0"/>
    <m/>
    <m/>
    <m/>
    <m/>
    <m/>
  </r>
  <r>
    <d v="2022-08-03T00:00:00"/>
    <s v="I23C"/>
    <s v="Versement"/>
    <m/>
    <m/>
    <n v="83000"/>
    <n v="20650682"/>
    <s v="Caisse"/>
    <m/>
    <x v="0"/>
    <m/>
    <m/>
    <m/>
    <m/>
    <m/>
  </r>
  <r>
    <d v="2022-08-03T00:00:00"/>
    <s v="Reçu de caisse/Crépin"/>
    <s v="Versement"/>
    <m/>
    <n v="28000"/>
    <m/>
    <n v="20678682"/>
    <s v="Crépin"/>
    <m/>
    <x v="0"/>
    <m/>
    <m/>
    <m/>
    <m/>
    <m/>
  </r>
  <r>
    <d v="2022-08-03T00:00:00"/>
    <s v="Achat billet Brazzaville-Dolisie / I23C"/>
    <s v="Transport"/>
    <s v="Investigation"/>
    <m/>
    <n v="10000"/>
    <n v="20668682"/>
    <s v="i23c"/>
    <s v="Oui"/>
    <x v="2"/>
    <s v="RALFF"/>
    <s v="CONGO"/>
    <s v="RALFF-CO3671"/>
    <s v="2.2"/>
    <m/>
  </r>
  <r>
    <d v="2022-08-03T00:00:00"/>
    <s v="Reçu caisse/I23C"/>
    <s v="Versement"/>
    <m/>
    <n v="83000"/>
    <m/>
    <n v="20751682"/>
    <s v="i23c"/>
    <m/>
    <x v="0"/>
    <m/>
    <m/>
    <m/>
    <m/>
    <m/>
  </r>
  <r>
    <d v="2022-08-03T00:00:00"/>
    <s v="Recu de caisse/P29"/>
    <s v="Versement"/>
    <m/>
    <n v="93000"/>
    <m/>
    <n v="20844682"/>
    <s v="P29"/>
    <m/>
    <x v="0"/>
    <m/>
    <m/>
    <m/>
    <m/>
    <m/>
  </r>
  <r>
    <d v="2022-08-03T00:00:00"/>
    <s v="Achat billet  brazzaville- dolisie/P29"/>
    <s v="Transport"/>
    <s v="Investigation"/>
    <m/>
    <n v="10000"/>
    <n v="20834682"/>
    <s v="P29"/>
    <s v="Oui"/>
    <x v="2"/>
    <s v="RALFF"/>
    <s v="CONGO"/>
    <s v="RALFF-CO3672"/>
    <s v="2.2"/>
    <m/>
  </r>
  <r>
    <d v="2022-08-04T00:00:00"/>
    <s v="BCI-37107255231/56"/>
    <s v="Versement"/>
    <m/>
    <n v="2000000"/>
    <m/>
    <n v="22834682"/>
    <s v="Caisse"/>
    <m/>
    <x v="0"/>
    <m/>
    <m/>
    <m/>
    <m/>
    <m/>
  </r>
  <r>
    <d v="2022-08-04T00:00:00"/>
    <s v="Achat Billet Dolisie-Brazzaville/Crepin IBOUILI"/>
    <s v="Transport"/>
    <s v="Management"/>
    <m/>
    <n v="10000"/>
    <n v="22824682"/>
    <s v="Crépin"/>
    <s v="Oui"/>
    <x v="2"/>
    <s v="RALFF"/>
    <s v="CONGO"/>
    <s v="RALFF-CO3673"/>
    <s v="2.2"/>
    <m/>
  </r>
  <r>
    <d v="2022-08-04T00:00:00"/>
    <s v="CREPIN IBOUILI - CONGO Frais d'Hotel 04 Nuitées du 31/07/ au 04/08/2022 à Dolisie"/>
    <s v="Travel Subsistence"/>
    <s v="Management"/>
    <m/>
    <n v="60000"/>
    <n v="22764682"/>
    <s v="Crépin"/>
    <s v="Oui"/>
    <x v="2"/>
    <s v="RALFF"/>
    <s v="CONGO"/>
    <s v="RALFF-CO3674"/>
    <s v="1.3.2"/>
    <m/>
  </r>
  <r>
    <d v="2022-08-04T00:00:00"/>
    <s v="I23C - CONGO Food allowance mission Dolisie du 4 au 6 août 2022"/>
    <s v="Travel Subsistence"/>
    <s v="Investigation"/>
    <m/>
    <n v="20000"/>
    <n v="22744682"/>
    <s v="i23c"/>
    <s v="Decharge"/>
    <x v="2"/>
    <s v="RALFF"/>
    <s v="CONGO"/>
    <s v="RALFF-CO3675"/>
    <s v="1.3.2"/>
    <m/>
  </r>
  <r>
    <d v="2022-08-04T00:00:00"/>
    <s v="P29 - CONGO Food allowance mission du 04 au 06-08-2022 "/>
    <s v="Travel Subsistence"/>
    <s v="Investigation"/>
    <m/>
    <n v="20000"/>
    <n v="22724682"/>
    <s v="P29"/>
    <s v="Decharge"/>
    <x v="2"/>
    <s v="RALFF"/>
    <s v="CONGO"/>
    <s v="RALFF-CO3676"/>
    <s v="1.3.2"/>
    <m/>
  </r>
  <r>
    <d v="2022-08-05T00:00:00"/>
    <s v="Merveille"/>
    <s v="Versement"/>
    <m/>
    <m/>
    <n v="10000"/>
    <n v="22714682"/>
    <s v="Caisse"/>
    <m/>
    <x v="0"/>
    <m/>
    <m/>
    <m/>
    <m/>
    <m/>
  </r>
  <r>
    <d v="2022-08-05T00:00:00"/>
    <s v="Reglement Facture Gardiennage Mois de Juillet 2022"/>
    <s v="Services"/>
    <s v="Office"/>
    <m/>
    <n v="260000"/>
    <n v="22454682"/>
    <s v="Caisse"/>
    <s v="Oui"/>
    <x v="1"/>
    <s v="PALF"/>
    <s v="CONGO"/>
    <m/>
    <m/>
    <m/>
  </r>
  <r>
    <d v="2022-08-05T00:00:00"/>
    <s v="Bonus mois de Juillet 2022/Crepin"/>
    <s v="Bonus"/>
    <s v="Legal"/>
    <m/>
    <n v="50000"/>
    <n v="22404682"/>
    <s v="Caisse"/>
    <s v="Decharge"/>
    <x v="1"/>
    <s v="PALF"/>
    <s v="CONGO"/>
    <m/>
    <m/>
    <m/>
  </r>
  <r>
    <d v="2022-08-05T00:00:00"/>
    <s v="Hurielle"/>
    <s v="Versement"/>
    <m/>
    <m/>
    <n v="260000"/>
    <n v="22144682"/>
    <s v="Caisse"/>
    <m/>
    <x v="0"/>
    <m/>
    <m/>
    <m/>
    <m/>
    <m/>
  </r>
  <r>
    <d v="2022-08-05T00:00:00"/>
    <s v="Grace"/>
    <s v="Versement"/>
    <m/>
    <m/>
    <n v="5000"/>
    <n v="22139682"/>
    <s v="Caisse"/>
    <m/>
    <x v="0"/>
    <m/>
    <m/>
    <m/>
    <m/>
    <m/>
  </r>
  <r>
    <d v="2022-08-05T00:00:00"/>
    <s v="Retrait especes/appro caisse/bord n°3667231"/>
    <s v="Versement"/>
    <m/>
    <m/>
    <n v="2000000"/>
    <n v="20139682"/>
    <s v="BCI-Sous Compte"/>
    <n v="3667231"/>
    <x v="0"/>
    <m/>
    <m/>
    <m/>
    <m/>
    <m/>
  </r>
  <r>
    <d v="2022-08-05T00:00:00"/>
    <s v="Reçu Caisse/Grace"/>
    <s v="Versement"/>
    <m/>
    <n v="5000"/>
    <m/>
    <n v="20144682"/>
    <s v="Grace"/>
    <m/>
    <x v="0"/>
    <m/>
    <m/>
    <m/>
    <m/>
    <m/>
  </r>
  <r>
    <d v="2022-08-05T00:00:00"/>
    <s v="Reçu caisse/Merveille"/>
    <s v="Versement"/>
    <m/>
    <n v="10000"/>
    <m/>
    <n v="20154682"/>
    <s v="Merveille"/>
    <m/>
    <x v="0"/>
    <m/>
    <m/>
    <m/>
    <m/>
    <m/>
  </r>
  <r>
    <d v="2022-08-05T00:00:00"/>
    <s v="Reçu caisse/Hurielle"/>
    <s v="Versement"/>
    <m/>
    <n v="260000"/>
    <m/>
    <n v="20414682"/>
    <s v="Hurielle"/>
    <m/>
    <x v="0"/>
    <m/>
    <m/>
    <m/>
    <m/>
    <m/>
  </r>
  <r>
    <d v="2022-08-05T00:00:00"/>
    <s v="Achat billet  dolisie-mila mila/P29"/>
    <s v="Transport"/>
    <s v="Investigation"/>
    <m/>
    <n v="5000"/>
    <n v="20409682"/>
    <s v="P29"/>
    <s v="Oui"/>
    <x v="2"/>
    <s v="RALFF"/>
    <s v="CONGO"/>
    <s v="RALFF-CO3677"/>
    <s v="2.2"/>
    <m/>
  </r>
  <r>
    <d v="2022-08-05T00:00:00"/>
    <s v="Achat billet  mila mila-dolisie/P29"/>
    <s v="Transport"/>
    <s v="Investigation"/>
    <m/>
    <n v="5000"/>
    <n v="20404682"/>
    <s v="P29"/>
    <s v="Oui"/>
    <x v="2"/>
    <s v="RALFF"/>
    <s v="CONGO"/>
    <s v="RALFF-CO3678"/>
    <s v="2.2"/>
    <m/>
  </r>
  <r>
    <d v="2022-08-06T00:00:00"/>
    <s v="Achat 03 Ordinateurs Portables + Accessoire (02 Housses)/PALF"/>
    <s v="Equipement"/>
    <s v="Office"/>
    <m/>
    <n v="898222"/>
    <n v="19506460"/>
    <s v="Tiffany"/>
    <s v="Oui"/>
    <x v="2"/>
    <s v="RALFF"/>
    <s v="CONGO"/>
    <s v="RALFF-CO3679"/>
    <s v="3.2"/>
    <m/>
  </r>
  <r>
    <d v="2022-08-06T00:00:00"/>
    <s v="I23C - CONGO Paiement 2 nuitées du 4 au 6 Août 2022 à Dolisie"/>
    <s v="Travel Subsistence"/>
    <s v="Investigation"/>
    <m/>
    <n v="30000"/>
    <n v="19476460"/>
    <s v="i23c"/>
    <s v="Oui"/>
    <x v="2"/>
    <s v="RALFF"/>
    <s v="CONGO"/>
    <s v="RALFF-CO3680"/>
    <s v="1.3.2"/>
    <m/>
  </r>
  <r>
    <d v="2022-08-06T00:00:00"/>
    <s v="Achat billet Dolisie-Brazzaville  / I23C"/>
    <s v="Transport"/>
    <s v="Investigation"/>
    <m/>
    <n v="10000"/>
    <n v="19466460"/>
    <s v="i23c"/>
    <s v="Oui"/>
    <x v="2"/>
    <s v="RALFF"/>
    <s v="CONGO"/>
    <s v="RALFF-CO3681"/>
    <s v="2.2"/>
    <m/>
  </r>
  <r>
    <d v="2022-08-06T00:00:00"/>
    <s v="Achat billet  dolisie-Brazzaville/P29"/>
    <s v="Transport"/>
    <s v="Investigation"/>
    <m/>
    <n v="10000"/>
    <n v="19456460"/>
    <s v="P29"/>
    <s v="Oui"/>
    <x v="2"/>
    <s v="RALFF"/>
    <s v="CONGO"/>
    <s v="RALFF-CO3682"/>
    <s v="2.2"/>
    <m/>
  </r>
  <r>
    <d v="2022-08-06T00:00:00"/>
    <s v="P29 - CONGO Paiement 2 nuitées du 04 au 06-08-2022 à dolisie"/>
    <s v="Travel Subsistence"/>
    <s v="Investigation"/>
    <m/>
    <n v="30000"/>
    <n v="19426460"/>
    <s v="P29"/>
    <s v="Oui"/>
    <x v="2"/>
    <s v="RALFF"/>
    <s v="CONGO"/>
    <s v="RALFF-CO3683"/>
    <s v="1.3.2"/>
    <m/>
  </r>
  <r>
    <d v="2022-08-07T00:00:00"/>
    <s v="Achat billet aller Brazzaville -Dolisie/HURIELLE"/>
    <s v="Transport"/>
    <s v="Legal"/>
    <m/>
    <n v="10000"/>
    <n v="19416460"/>
    <s v="Hurielle"/>
    <s v="Oui"/>
    <x v="2"/>
    <s v="RALFF"/>
    <s v="CONGO"/>
    <s v="RALFF-CO3684"/>
    <s v="2.2"/>
    <m/>
  </r>
  <r>
    <d v="2022-08-07T00:00:00"/>
    <s v="HURIELLE - CONGO Food Allowance du 07 au 12 Août 2022"/>
    <s v="Travel Subsistence"/>
    <s v="Legal"/>
    <m/>
    <n v="50000"/>
    <n v="19366460"/>
    <s v="Hurielle"/>
    <s v="Decharge"/>
    <x v="2"/>
    <s v="RALFF"/>
    <s v="CONGO"/>
    <s v="RALFF-CO3685"/>
    <s v="1.3.2"/>
    <m/>
  </r>
  <r>
    <d v="2022-08-08T00:00:00"/>
    <s v="Achat credit teléphonique MTN/CCU/Danielle"/>
    <s v="Telephone"/>
    <s v="CCU"/>
    <m/>
    <n v="10000"/>
    <n v="19356460"/>
    <s v="Caisse"/>
    <s v="Oui"/>
    <x v="1"/>
    <s v="RALFF"/>
    <s v="CONGO"/>
    <s v="RALFF-CO3686"/>
    <s v="4.6"/>
    <m/>
  </r>
  <r>
    <d v="2022-08-08T00:00:00"/>
    <s v="I23C"/>
    <s v="Versement"/>
    <m/>
    <m/>
    <n v="100000"/>
    <n v="19256460"/>
    <s v="Caisse"/>
    <m/>
    <x v="0"/>
    <m/>
    <m/>
    <m/>
    <m/>
    <m/>
  </r>
  <r>
    <d v="2022-08-08T00:00:00"/>
    <s v="P29"/>
    <s v="Versement"/>
    <m/>
    <m/>
    <n v="100000"/>
    <n v="19156460"/>
    <s v="Caisse"/>
    <m/>
    <x v="0"/>
    <m/>
    <m/>
    <m/>
    <m/>
    <m/>
  </r>
  <r>
    <d v="2022-08-08T00:00:00"/>
    <s v="I23C"/>
    <s v="Versement"/>
    <m/>
    <m/>
    <n v="20000"/>
    <n v="19136460"/>
    <s v="Caisse"/>
    <m/>
    <x v="0"/>
    <m/>
    <m/>
    <m/>
    <m/>
    <m/>
  </r>
  <r>
    <d v="2022-08-08T00:00:00"/>
    <s v="P29"/>
    <s v="Versement"/>
    <m/>
    <m/>
    <n v="10000"/>
    <n v="19126460"/>
    <s v="Caisse"/>
    <m/>
    <x v="0"/>
    <m/>
    <m/>
    <m/>
    <m/>
    <m/>
  </r>
  <r>
    <d v="2022-08-08T00:00:00"/>
    <s v="Frais bancaire compte 34"/>
    <s v="bank fees"/>
    <s v="Office"/>
    <m/>
    <n v="26008"/>
    <n v="19100452"/>
    <s v="BCI"/>
    <s v="Relevé"/>
    <x v="1"/>
    <s v="PALF"/>
    <s v="CONGO"/>
    <m/>
    <m/>
    <m/>
  </r>
  <r>
    <d v="2022-08-08T00:00:00"/>
    <s v="HURIELLE - CONGO Frais d'hotel (01 nuitée) à dolisie du 07 au  08/08/2022"/>
    <s v="Travel Subsistence"/>
    <s v="Legal"/>
    <m/>
    <n v="15000"/>
    <n v="19085452"/>
    <s v="Hurielle"/>
    <s v="Oui"/>
    <x v="1"/>
    <s v="RALFF"/>
    <s v="CONGO"/>
    <s v="RALFF-CO3687"/>
    <s v="1.3.2"/>
    <m/>
  </r>
  <r>
    <d v="2022-08-08T00:00:00"/>
    <s v="Achat billet aller Dolisie - Mossendjo/HURIELLE"/>
    <s v="Transport"/>
    <s v="Legal"/>
    <m/>
    <n v="5000"/>
    <n v="19080452"/>
    <s v="Hurielle"/>
    <s v="Oui"/>
    <x v="1"/>
    <s v="RALFF"/>
    <s v="CONGO"/>
    <s v="RALFF-CO3688"/>
    <s v="2.2"/>
    <m/>
  </r>
  <r>
    <d v="2022-08-08T00:00:00"/>
    <s v="Reçu caisse/I23C"/>
    <s v="Versement"/>
    <m/>
    <n v="20000"/>
    <m/>
    <n v="19100452"/>
    <s v="i23c"/>
    <m/>
    <x v="0"/>
    <m/>
    <m/>
    <m/>
    <m/>
    <m/>
  </r>
  <r>
    <d v="2022-08-08T00:00:00"/>
    <s v="Reçu caisse/I23C"/>
    <s v="Versement"/>
    <m/>
    <n v="100000"/>
    <m/>
    <n v="19200452"/>
    <s v="i23c"/>
    <m/>
    <x v="0"/>
    <m/>
    <m/>
    <m/>
    <m/>
    <m/>
  </r>
  <r>
    <d v="2022-08-08T00:00:00"/>
    <s v="Achat billet Brazzaville-Ngo/ I23C"/>
    <s v="Transport"/>
    <s v="Investigation"/>
    <m/>
    <n v="6000"/>
    <n v="19194452"/>
    <s v="i23c"/>
    <s v="Oui"/>
    <x v="1"/>
    <s v="RALFF"/>
    <s v="CONGO"/>
    <s v="RALFF-CO3689"/>
    <s v="2.2"/>
    <m/>
  </r>
  <r>
    <d v="2022-08-08T00:00:00"/>
    <s v="Recu de caisse/P29"/>
    <s v="Versement"/>
    <m/>
    <n v="100000"/>
    <m/>
    <n v="19294452"/>
    <s v="P29"/>
    <m/>
    <x v="0"/>
    <m/>
    <m/>
    <m/>
    <m/>
    <m/>
  </r>
  <r>
    <d v="2022-08-08T00:00:00"/>
    <s v="Recu de caisse/P29"/>
    <s v="Versement"/>
    <m/>
    <n v="10000"/>
    <m/>
    <n v="19304452"/>
    <s v="P29"/>
    <m/>
    <x v="0"/>
    <m/>
    <m/>
    <m/>
    <m/>
    <m/>
  </r>
  <r>
    <d v="2022-08-08T00:00:00"/>
    <s v="Achat billet brazzaville-oyo/P29"/>
    <s v="Transport"/>
    <s v="Investigation"/>
    <m/>
    <n v="7000"/>
    <n v="19297452"/>
    <s v="P29"/>
    <s v="Oui"/>
    <x v="1"/>
    <s v="RALFF"/>
    <s v="CONGO"/>
    <s v="RALFF-CO3690"/>
    <s v="2.2"/>
    <m/>
  </r>
  <r>
    <d v="2022-08-09T00:00:00"/>
    <s v="Grace/avance sur salaire"/>
    <s v="Versement"/>
    <m/>
    <m/>
    <n v="100000"/>
    <n v="19197452"/>
    <s v="Caisse"/>
    <m/>
    <x v="0"/>
    <m/>
    <m/>
    <m/>
    <m/>
    <m/>
  </r>
  <r>
    <d v="2022-08-09T00:00:00"/>
    <s v="Fonds reçu de Wildcat"/>
    <s v="Grant"/>
    <m/>
    <n v="12302243"/>
    <m/>
    <n v="31499695"/>
    <s v="BCI"/>
    <s v="Relevé"/>
    <x v="1"/>
    <m/>
    <s v="CONGO"/>
    <m/>
    <m/>
    <m/>
  </r>
  <r>
    <d v="2022-08-09T00:00:00"/>
    <s v="Reçu caisse/Grace - Avance sur Salaire"/>
    <s v="Versement"/>
    <m/>
    <n v="100000"/>
    <m/>
    <n v="31599695"/>
    <s v="Grace"/>
    <m/>
    <x v="0"/>
    <m/>
    <m/>
    <m/>
    <m/>
    <m/>
  </r>
  <r>
    <d v="2022-08-09T00:00:00"/>
    <s v="Achat sandales du prévenue"/>
    <s v="Jail visit"/>
    <s v="Legal"/>
    <m/>
    <n v="1000"/>
    <n v="31598695"/>
    <s v="Hurielle"/>
    <s v="Oui"/>
    <x v="1"/>
    <s v="PALF"/>
    <s v="CONGO"/>
    <m/>
    <m/>
    <m/>
  </r>
  <r>
    <d v="2022-08-09T00:00:00"/>
    <s v="Achat médicament d'urgence de Christine (la prevenue)"/>
    <s v="Jail visit"/>
    <s v="Legal"/>
    <m/>
    <n v="1550"/>
    <n v="31597145"/>
    <s v="Hurielle"/>
    <s v="Oui"/>
    <x v="1"/>
    <s v="PALF"/>
    <s v="CONGO"/>
    <m/>
    <m/>
    <m/>
  </r>
  <r>
    <d v="2022-08-09T00:00:00"/>
    <s v="Consultation médicale du prévenu Christine et frais des examens"/>
    <s v="Jail visit"/>
    <s v="Legal"/>
    <m/>
    <n v="10000"/>
    <n v="31587145"/>
    <s v="Hurielle"/>
    <s v="Oui"/>
    <x v="1"/>
    <s v="PALF"/>
    <s v="CONGO"/>
    <m/>
    <m/>
    <m/>
  </r>
  <r>
    <d v="2022-08-09T00:00:00"/>
    <s v="Achat carnet de soin de Christine (la prevenue)"/>
    <s v="Jail visit"/>
    <s v="Legal"/>
    <m/>
    <n v="150"/>
    <n v="31586995"/>
    <s v="Hurielle"/>
    <s v="Oui"/>
    <x v="1"/>
    <s v="PALF"/>
    <s v="CONGO"/>
    <m/>
    <m/>
    <m/>
  </r>
  <r>
    <d v="2022-08-09T00:00:00"/>
    <s v="I23C - CONGO Food allowance mission du 9 au 14 août 2022"/>
    <s v="Travel Subsistence"/>
    <s v="Investigation"/>
    <m/>
    <n v="50000"/>
    <n v="31536995"/>
    <s v="i23c"/>
    <s v="Decharge"/>
    <x v="1"/>
    <s v="RALFF"/>
    <s v="CONGO"/>
    <s v="RALFF-CO3691"/>
    <s v="1.3.2"/>
    <m/>
  </r>
  <r>
    <d v="2022-08-09T00:00:00"/>
    <s v="Taxi Ngo-Djambla /I23C"/>
    <s v="Transport"/>
    <s v="Investigation"/>
    <m/>
    <n v="4000"/>
    <n v="31532995"/>
    <s v="i23c"/>
    <s v="Oui"/>
    <x v="1"/>
    <s v="RALFF"/>
    <s v="CONGO"/>
    <s v="RALFF-CO3692"/>
    <s v="2.2"/>
    <m/>
  </r>
  <r>
    <d v="2022-08-09T00:00:00"/>
    <s v="P29 - CONGO Food allowance mission du 09 au 14-08-2022 "/>
    <s v="Travel Subsistence"/>
    <s v="Investigation"/>
    <m/>
    <n v="50000"/>
    <n v="31482995"/>
    <s v="P29"/>
    <s v="Decharge"/>
    <x v="1"/>
    <s v="RALFF"/>
    <s v="CONGO"/>
    <s v="RALFF-CO3693"/>
    <s v="1.3.2"/>
    <m/>
  </r>
  <r>
    <d v="2022-08-10T00:00:00"/>
    <s v="Reçu de caisse (avance sur salaire)/Crépin"/>
    <s v="Versement"/>
    <m/>
    <n v="40000"/>
    <m/>
    <n v="31522995"/>
    <s v="Crépin"/>
    <m/>
    <x v="0"/>
    <m/>
    <m/>
    <m/>
    <m/>
    <m/>
  </r>
  <r>
    <d v="2022-08-10T00:00:00"/>
    <s v="Crépin"/>
    <s v="Versement"/>
    <m/>
    <m/>
    <n v="40000"/>
    <n v="31482995"/>
    <s v="Caisse"/>
    <m/>
    <x v="0"/>
    <m/>
    <m/>
    <m/>
    <m/>
    <m/>
  </r>
  <r>
    <d v="2022-08-10T00:00:00"/>
    <s v="Achat ampoule et serviette/Bureau PALF"/>
    <s v="Office Materials"/>
    <s v="Office"/>
    <m/>
    <n v="16000"/>
    <n v="31466995"/>
    <s v="Caisse"/>
    <s v="Oui"/>
    <x v="1"/>
    <s v="RALFF"/>
    <s v="CONGO"/>
    <s v="RALFF-CO3694"/>
    <s v="4.3"/>
    <m/>
  </r>
  <r>
    <d v="2022-08-10T00:00:00"/>
    <s v="P29"/>
    <s v="Versement"/>
    <m/>
    <m/>
    <n v="84000"/>
    <n v="31382995"/>
    <s v="Caisse"/>
    <m/>
    <x v="0"/>
    <m/>
    <m/>
    <m/>
    <m/>
    <m/>
  </r>
  <r>
    <d v="2022-08-10T00:00:00"/>
    <s v="I23C"/>
    <s v="Versement"/>
    <m/>
    <m/>
    <n v="81000"/>
    <n v="31301995"/>
    <s v="Caisse"/>
    <m/>
    <x v="0"/>
    <m/>
    <m/>
    <m/>
    <m/>
    <m/>
  </r>
  <r>
    <d v="2022-08-10T00:00:00"/>
    <s v="Frais de transfert d'argent à P29 et I23c"/>
    <s v="Transfer fees"/>
    <s v="Office"/>
    <m/>
    <n v="4950"/>
    <n v="31297045"/>
    <s v="Caisse"/>
    <s v="Oui"/>
    <x v="1"/>
    <s v="RALFF"/>
    <s v="CONGO"/>
    <s v="RALFF-CO3695"/>
    <s v="5.6"/>
    <m/>
  </r>
  <r>
    <d v="2022-08-10T00:00:00"/>
    <s v="Reglement facture d'eau (LCDE) période Juillet - Août 2022/Bureau PALF"/>
    <s v="Rent &amp; Utilities"/>
    <s v="Office"/>
    <m/>
    <n v="10448"/>
    <n v="31291547"/>
    <s v="Caisse"/>
    <s v="Oui"/>
    <x v="2"/>
    <s v="RALFF"/>
    <s v="CONGO"/>
    <s v="RALFF-CO3696"/>
    <s v="4.4"/>
    <m/>
  </r>
  <r>
    <d v="2022-08-10T00:00:00"/>
    <s v="Cumul taxes sur Reglement facture d'eau (LCDE) période Juillet - Août 2022/Bureau PALF"/>
    <s v="Rent &amp; Utilities"/>
    <s v="Office"/>
    <m/>
    <n v="2302"/>
    <n v="31294743"/>
    <s v="Caisse"/>
    <s v="Oui"/>
    <x v="1"/>
    <s v="PALF"/>
    <s v="CONGO"/>
    <m/>
    <m/>
    <m/>
  </r>
  <r>
    <d v="2022-08-10T00:00:00"/>
    <s v="Achat fourniture de bureau/stylo,agrafe,sous chemise,chemise cartonnée,cole et enveloppe"/>
    <s v="Office Materials"/>
    <s v="Office"/>
    <m/>
    <n v="29000"/>
    <n v="31265743"/>
    <s v="Caisse"/>
    <s v="Oui"/>
    <x v="1"/>
    <s v="RALFF"/>
    <s v="CONGO"/>
    <s v="RALFF-CO3697"/>
    <s v="4.3"/>
    <m/>
  </r>
  <r>
    <d v="2022-08-10T00:00:00"/>
    <s v="Reglèment loyer mois de Juillet 2022"/>
    <s v="Rent &amp; Utilities"/>
    <s v="Office"/>
    <m/>
    <n v="500000"/>
    <n v="30765743"/>
    <s v="BCI-Sous Compte"/>
    <n v="3667218"/>
    <x v="2"/>
    <s v="RALFF"/>
    <s v="CONGO"/>
    <s v="RALFF-CO3698"/>
    <s v="4.2"/>
    <m/>
  </r>
  <r>
    <d v="2022-08-10T00:00:00"/>
    <s v="Cumul Frais de Transport Local du Mois de Août 2022/GRACE MOLENDE"/>
    <s v="Transport"/>
    <s v="Management"/>
    <m/>
    <n v="7000"/>
    <n v="30758743"/>
    <s v="Grace"/>
    <s v="Decharge"/>
    <x v="1"/>
    <s v="RALFF"/>
    <s v="CONGO"/>
    <s v="RALFF-CO3699"/>
    <s v="2.2"/>
    <m/>
  </r>
  <r>
    <d v="2022-08-10T00:00:00"/>
    <s v="Achat médicaments de Christine(la prevenue)"/>
    <s v="Jail visit"/>
    <s v="Legal"/>
    <m/>
    <n v="13600"/>
    <n v="30745143"/>
    <s v="Hurielle"/>
    <s v="Oui"/>
    <x v="1"/>
    <s v="PALF"/>
    <s v="CONGO"/>
    <m/>
    <m/>
    <m/>
  </r>
  <r>
    <d v="2022-08-10T00:00:00"/>
    <s v="I23C - CONGO Paiement 1 nuit du 10 au 11 août 2022 à Djambala "/>
    <s v="Travel Subsistence"/>
    <s v="Investigation"/>
    <m/>
    <n v="15000"/>
    <n v="30730143"/>
    <s v="i23c"/>
    <s v="Oui"/>
    <x v="1"/>
    <s v="RALFF"/>
    <s v="CONGO"/>
    <s v="RALFF-CO3700"/>
    <s v="1.3.2"/>
    <m/>
  </r>
  <r>
    <d v="2022-08-10T00:00:00"/>
    <s v="Taxi Djambala-Lékana / I23C"/>
    <s v="Transport"/>
    <s v="Investigation"/>
    <m/>
    <n v="4000"/>
    <n v="30726143"/>
    <s v="i23c"/>
    <s v="Oui"/>
    <x v="1"/>
    <s v="RALFF"/>
    <s v="CONGO"/>
    <s v="RALFF-CO3701"/>
    <s v="2.2"/>
    <m/>
  </r>
  <r>
    <d v="2022-08-10T00:00:00"/>
    <s v="Reçu caisse/I23C"/>
    <s v="Versement"/>
    <m/>
    <n v="81000"/>
    <m/>
    <n v="30807143"/>
    <s v="i23c"/>
    <m/>
    <x v="0"/>
    <m/>
    <m/>
    <m/>
    <m/>
    <m/>
  </r>
  <r>
    <d v="2022-08-10T00:00:00"/>
    <s v="Recu de caisse/P29"/>
    <s v="Versement"/>
    <m/>
    <n v="84000"/>
    <m/>
    <n v="30891143"/>
    <s v="P29"/>
    <m/>
    <x v="0"/>
    <m/>
    <m/>
    <m/>
    <m/>
    <m/>
  </r>
  <r>
    <d v="2022-08-11T00:00:00"/>
    <s v="Achat billet de retour Mossendjo-Dolisie/HURIELLE"/>
    <s v="Transport"/>
    <s v="Legal"/>
    <m/>
    <n v="5000"/>
    <n v="30886143"/>
    <s v="Hurielle"/>
    <s v="Oui"/>
    <x v="1"/>
    <s v="RALFF"/>
    <s v="CONGO"/>
    <s v="RALFF-CO3702"/>
    <s v="2.2"/>
    <m/>
  </r>
  <r>
    <d v="2022-08-11T00:00:00"/>
    <s v="HURIELLE - CONGO Frais d'hotel (03 nuitée) du 08 au 11 Août 2022 à Mossendjo"/>
    <s v="Travel Subsistence"/>
    <s v="Legal"/>
    <m/>
    <n v="45000"/>
    <n v="30841143"/>
    <s v="Hurielle"/>
    <s v="Oui"/>
    <x v="1"/>
    <s v="RALFF"/>
    <s v="CONGO"/>
    <s v="RALFF-CO3703"/>
    <s v="1.3.2"/>
    <m/>
  </r>
  <r>
    <d v="2022-08-11T00:00:00"/>
    <s v="Achat billet de retour Dolisie-Brazzaville/HURIELLE"/>
    <s v="Transport"/>
    <s v="Legal"/>
    <m/>
    <n v="10000"/>
    <n v="30831143"/>
    <s v="Hurielle"/>
    <s v="Oui"/>
    <x v="1"/>
    <s v="RALFF"/>
    <s v="CONGO"/>
    <s v="RALFF-CO3704"/>
    <s v="2.2"/>
    <m/>
  </r>
  <r>
    <d v="2022-08-12T00:00:00"/>
    <s v="Achat 03 Bonbones d'eau minerale/Bureau PALF"/>
    <s v="Office Materials"/>
    <s v="Office"/>
    <m/>
    <n v="13500"/>
    <n v="30817643"/>
    <s v="Caisse"/>
    <s v="Oui"/>
    <x v="1"/>
    <s v="RALFF"/>
    <s v="CONGO"/>
    <s v="RALFF-CO3705"/>
    <s v="4.3"/>
    <m/>
  </r>
  <r>
    <d v="2022-08-12T00:00:00"/>
    <s v="Reglement loyer mois d'Août 2022"/>
    <s v="Rent &amp; Utilities"/>
    <s v="Office"/>
    <m/>
    <n v="500000"/>
    <n v="30317643"/>
    <s v="BCI-Sous Compte"/>
    <n v="3667226"/>
    <x v="2"/>
    <s v="RALFF"/>
    <s v="CONGO"/>
    <s v="RALFF-CO3706"/>
    <s v="4.2"/>
    <m/>
  </r>
  <r>
    <d v="2022-08-12T00:00:00"/>
    <s v="HURIELLE - CONGO Frais d'hotel (01 nuitée) du 11 au 12 Août 2022 à Dolisie"/>
    <s v="Travel Subsistence"/>
    <s v="Legal"/>
    <m/>
    <n v="15000"/>
    <n v="30302643"/>
    <s v="Hurielle"/>
    <s v="Oui"/>
    <x v="1"/>
    <s v="RALFF"/>
    <s v="CONGO"/>
    <s v="RALFF-CO3707"/>
    <s v="1.3.2"/>
    <m/>
  </r>
  <r>
    <d v="2022-08-12T00:00:00"/>
    <s v="I23C - CONGO Paiement 2 nuitées du 10 au 12 août 2022 à Lékana"/>
    <s v="Travel Subsistence"/>
    <s v="Investigation"/>
    <m/>
    <n v="30000"/>
    <n v="30272643"/>
    <s v="i23c"/>
    <s v="Oui"/>
    <x v="1"/>
    <s v="RALFF"/>
    <s v="CONGO"/>
    <s v="RALFF-CO3708"/>
    <s v="1.3.2"/>
    <m/>
  </r>
  <r>
    <d v="2022-08-12T00:00:00"/>
    <s v="Taxi Lékana-Djambala / I23C"/>
    <s v="Transport"/>
    <s v="Investigation"/>
    <m/>
    <n v="4000"/>
    <n v="30268643"/>
    <s v="i23c"/>
    <s v="Oui"/>
    <x v="1"/>
    <s v="RALFF"/>
    <s v="CONGO"/>
    <s v="RALFF-CO3709"/>
    <s v="2.2"/>
    <m/>
  </r>
  <r>
    <d v="2022-08-12T00:00:00"/>
    <s v="Taxi Djambla-Ngo / I23C"/>
    <s v="Transport"/>
    <s v="Investigation"/>
    <m/>
    <n v="4000"/>
    <n v="30264643"/>
    <s v="i23c"/>
    <s v="Oui"/>
    <x v="1"/>
    <s v="RALFF"/>
    <s v="CONGO"/>
    <s v="RALFF-CO3710"/>
    <s v="2.2"/>
    <m/>
  </r>
  <r>
    <d v="2022-08-12T00:00:00"/>
    <s v="P29 - CONGO Paiement 3 nuitées du 09 au 12-08-2022 à oyo"/>
    <s v="Travel Subsistence"/>
    <s v="Investigation"/>
    <m/>
    <n v="45000"/>
    <n v="30219643"/>
    <s v="P29"/>
    <s v="Oui"/>
    <x v="1"/>
    <s v="RALFF"/>
    <s v="CONGO"/>
    <s v="RALFF-CO3711"/>
    <s v="1.3.2"/>
    <m/>
  </r>
  <r>
    <d v="2022-08-12T00:00:00"/>
    <s v="Achat billet oyo-makoua/P29"/>
    <s v="Transport"/>
    <s v="Investigation"/>
    <m/>
    <n v="8000"/>
    <n v="30211643"/>
    <s v="P29"/>
    <s v="Oui"/>
    <x v="1"/>
    <s v="RALFF"/>
    <s v="CONGO"/>
    <s v="RALFF-CO3712"/>
    <s v="2.2"/>
    <m/>
  </r>
  <r>
    <d v="2022-08-13T00:00:00"/>
    <s v="Achat billet makoua- Brazzaville/P29"/>
    <s v="Transport"/>
    <s v="Investigation"/>
    <m/>
    <n v="12000"/>
    <n v="30199643"/>
    <s v="P29"/>
    <s v="Oui"/>
    <x v="1"/>
    <s v="RALFF"/>
    <s v="CONGO"/>
    <s v="RALFF-CO3713"/>
    <s v="2.2"/>
    <m/>
  </r>
  <r>
    <d v="2022-08-14T00:00:00"/>
    <s v="I23C - CONGO Paiement 2 nuitées du 12 au 14 août 2022 à Ngo"/>
    <s v="Travel Subsistence"/>
    <s v="Investigation"/>
    <m/>
    <n v="30000"/>
    <n v="30169643"/>
    <s v="i23c"/>
    <s v="Oui"/>
    <x v="1"/>
    <s v="RALFF"/>
    <s v="CONGO"/>
    <s v="RALFF-CO3714"/>
    <s v="1.3.2"/>
    <m/>
  </r>
  <r>
    <d v="2022-08-14T00:00:00"/>
    <s v="Taxi Ngo-Brazzaville / I23C"/>
    <s v="Transport"/>
    <s v="Investigation"/>
    <m/>
    <n v="6000"/>
    <n v="30163643"/>
    <s v="i23c"/>
    <s v="Oui"/>
    <x v="1"/>
    <s v="RALFF"/>
    <s v="CONGO"/>
    <s v="RALFF-CO3715"/>
    <s v="2.2"/>
    <m/>
  </r>
  <r>
    <d v="2022-08-14T00:00:00"/>
    <s v="P29 - CONGO Paiement 3 nuitées du 12 au 14-08-2022 à makoua"/>
    <s v="Travel Subsistence"/>
    <s v="Investigation"/>
    <m/>
    <n v="30000"/>
    <n v="30133643"/>
    <s v="P29"/>
    <s v="Oui"/>
    <x v="1"/>
    <s v="RALFF"/>
    <s v="CONGO"/>
    <s v="RALFF-CO3716"/>
    <s v="1.3.2"/>
    <m/>
  </r>
  <r>
    <d v="2022-08-16T00:00:00"/>
    <s v="Recu de caisse/P29"/>
    <s v="Versement"/>
    <m/>
    <n v="10000"/>
    <m/>
    <n v="30143643"/>
    <s v="P29"/>
    <m/>
    <x v="0"/>
    <m/>
    <m/>
    <m/>
    <m/>
    <m/>
  </r>
  <r>
    <d v="2022-08-16T00:00:00"/>
    <s v="Hurielle/Retour Caisse"/>
    <s v="Versement"/>
    <m/>
    <n v="58000"/>
    <m/>
    <n v="30201643"/>
    <s v="Caisse"/>
    <m/>
    <x v="0"/>
    <m/>
    <m/>
    <m/>
    <m/>
    <m/>
  </r>
  <r>
    <d v="2022-08-16T00:00:00"/>
    <s v="Crépin"/>
    <s v="Versement"/>
    <m/>
    <m/>
    <n v="241000"/>
    <n v="29960643"/>
    <s v="Caisse"/>
    <m/>
    <x v="0"/>
    <m/>
    <m/>
    <m/>
    <m/>
    <m/>
  </r>
  <r>
    <d v="2022-08-16T00:00:00"/>
    <s v="Frais de mission maitre Marie Hélène à oyo du 17 au 20/08/2022"/>
    <s v="Lawyer fees"/>
    <s v="Legal"/>
    <m/>
    <n v="97000"/>
    <n v="29863643"/>
    <s v="Caisse"/>
    <s v="Oui"/>
    <x v="1"/>
    <s v="RALFF"/>
    <s v="CONGO"/>
    <s v="RALFF-CO3717"/>
    <s v="5.2.2"/>
    <m/>
  </r>
  <r>
    <d v="2022-08-16T00:00:00"/>
    <s v="Achat credit  teléphonique MTN/PALF/Deuxième partie Août 2022/Management"/>
    <s v="Telephone"/>
    <s v="Management "/>
    <m/>
    <n v="10000"/>
    <n v="29853643"/>
    <s v="Caisse"/>
    <s v="Oui"/>
    <x v="1"/>
    <s v="RALFF"/>
    <s v="CONGO"/>
    <s v="RALFF-CO3718"/>
    <s v="4.6"/>
    <m/>
  </r>
  <r>
    <d v="2022-08-16T00:00:00"/>
    <s v="Achat credit  teléphonique MTN/PALF/Deuxième partie Août 2022/Legal"/>
    <s v="Telephone"/>
    <s v="Legal"/>
    <m/>
    <n v="15000"/>
    <n v="29838643"/>
    <s v="Caisse"/>
    <s v="Oui"/>
    <x v="1"/>
    <s v="RALFF"/>
    <s v="CONGO"/>
    <s v="RALFF-CO3719"/>
    <s v="4.6"/>
    <m/>
  </r>
  <r>
    <d v="2022-08-16T00:00:00"/>
    <s v="Achat credit  teléphonique MTN/PALF/Deuxième partie Août 2022/Investigation"/>
    <s v="Telephone"/>
    <s v="Investigation"/>
    <m/>
    <n v="20000"/>
    <n v="29818643"/>
    <s v="Caisse"/>
    <s v="Oui"/>
    <x v="1"/>
    <s v="RALFF"/>
    <s v="CONGO"/>
    <s v="RALFF-CO3720"/>
    <s v="4.6"/>
    <m/>
  </r>
  <r>
    <d v="2022-08-16T00:00:00"/>
    <s v="Achat credit  teléphonique Airtel/PALF/Deuxième partie Aout 2022/Management"/>
    <s v="Telephone"/>
    <s v="Management "/>
    <m/>
    <n v="10000"/>
    <n v="29808643"/>
    <s v="Caisse"/>
    <s v="Oui"/>
    <x v="1"/>
    <s v="RALFF"/>
    <s v="CONGO"/>
    <s v="RALFF-CO3721"/>
    <s v="4.6"/>
    <m/>
  </r>
  <r>
    <d v="2022-08-16T00:00:00"/>
    <s v="Achat credit  teléphonique Airtel/PALF/Deuxième partie Aout 2022/Legal"/>
    <s v="Telephone"/>
    <s v="Legal"/>
    <m/>
    <n v="5000"/>
    <n v="29803643"/>
    <s v="Caisse"/>
    <s v="Oui"/>
    <x v="1"/>
    <s v="RALFF"/>
    <s v="CONGO"/>
    <s v="RALFF-CO3722"/>
    <s v="4.6"/>
    <m/>
  </r>
  <r>
    <d v="2022-08-16T00:00:00"/>
    <s v="Achat credit  teléphonique Airtel/PALF/Deuxième partie Août 2022/Investigation"/>
    <s v="Telephone"/>
    <s v="Investigation"/>
    <m/>
    <n v="10000"/>
    <n v="29793643"/>
    <s v="Caisse"/>
    <s v="Oui"/>
    <x v="1"/>
    <s v="RALFF"/>
    <s v="CONGO"/>
    <s v="RALFF-CO3723"/>
    <s v="4.6"/>
    <m/>
  </r>
  <r>
    <d v="2022-08-16T00:00:00"/>
    <s v="P29"/>
    <s v="Versement"/>
    <m/>
    <m/>
    <n v="10000"/>
    <n v="29783643"/>
    <s v="Caisse"/>
    <m/>
    <x v="0"/>
    <m/>
    <m/>
    <m/>
    <m/>
    <m/>
  </r>
  <r>
    <d v="2022-08-16T00:00:00"/>
    <s v="I23C"/>
    <s v="Versement"/>
    <m/>
    <m/>
    <n v="15000"/>
    <n v="29768643"/>
    <s v="Caisse"/>
    <m/>
    <x v="0"/>
    <m/>
    <m/>
    <m/>
    <m/>
    <m/>
  </r>
  <r>
    <d v="2022-08-16T00:00:00"/>
    <s v="I23C/Retour caisse (150$)"/>
    <s v="Versement"/>
    <m/>
    <n v="100000"/>
    <m/>
    <n v="29868643"/>
    <s v="Caisse"/>
    <m/>
    <x v="0"/>
    <m/>
    <m/>
    <m/>
    <m/>
    <m/>
  </r>
  <r>
    <d v="2022-08-16T00:00:00"/>
    <s v="Reçu de caisse/Crépin"/>
    <s v="Versement"/>
    <m/>
    <n v="241000"/>
    <m/>
    <n v="30109643"/>
    <s v="Crépin"/>
    <m/>
    <x v="0"/>
    <m/>
    <m/>
    <m/>
    <m/>
    <m/>
  </r>
  <r>
    <d v="2022-08-16T00:00:00"/>
    <s v="Achat billet Brazzaville-Oyo/Crepin IBOUILI"/>
    <s v="Transport"/>
    <s v="Management"/>
    <m/>
    <n v="7000"/>
    <n v="30102643"/>
    <s v="Crépin"/>
    <s v="Oui"/>
    <x v="1"/>
    <s v="RALFF"/>
    <s v="CONGO"/>
    <s v="RALFF-CO3724"/>
    <s v="2.2"/>
    <m/>
  </r>
  <r>
    <d v="2022-08-16T00:00:00"/>
    <s v="Retour caisse/Hurielle"/>
    <s v="Versement"/>
    <m/>
    <m/>
    <n v="58000"/>
    <n v="30044643"/>
    <s v="Hurielle"/>
    <m/>
    <x v="0"/>
    <m/>
    <m/>
    <m/>
    <m/>
    <m/>
  </r>
  <r>
    <d v="2022-08-16T00:00:00"/>
    <s v="Retour Caisse de 150$ (100000)/I23C"/>
    <s v="Versement"/>
    <m/>
    <m/>
    <n v="100000"/>
    <n v="29944643"/>
    <s v="i23c"/>
    <m/>
    <x v="0"/>
    <m/>
    <m/>
    <m/>
    <m/>
    <m/>
  </r>
  <r>
    <d v="2022-08-16T00:00:00"/>
    <s v="Reçu caisse/I23C"/>
    <s v="Versement"/>
    <m/>
    <n v="15000"/>
    <m/>
    <n v="29959643"/>
    <s v="i23c"/>
    <m/>
    <x v="0"/>
    <m/>
    <m/>
    <m/>
    <m/>
    <m/>
  </r>
  <r>
    <d v="2022-08-17T00:00:00"/>
    <s v="P29"/>
    <s v="Versement"/>
    <m/>
    <m/>
    <n v="10000"/>
    <n v="29949643"/>
    <s v="Caisse"/>
    <m/>
    <x v="0"/>
    <m/>
    <m/>
    <m/>
    <m/>
    <m/>
  </r>
  <r>
    <d v="2022-08-17T00:00:00"/>
    <s v="Entretien groupe electrogène et charge batterie"/>
    <s v="Rent &amp; Utilities"/>
    <s v="Office"/>
    <m/>
    <n v="5000"/>
    <n v="29944643"/>
    <s v="Caisse"/>
    <s v="Oui"/>
    <x v="1"/>
    <s v="PALF"/>
    <s v="CONGO"/>
    <m/>
    <m/>
    <m/>
  </r>
  <r>
    <d v="2022-08-17T00:00:00"/>
    <s v="CREPIN IBOUILI - CONGO Food-Allowance du 17 au 20/08/2022 à Oyo"/>
    <s v="Travel Subsistence"/>
    <s v="Management"/>
    <m/>
    <n v="30000"/>
    <n v="29914643"/>
    <s v="Crépin"/>
    <s v="Oui"/>
    <x v="1"/>
    <s v="RALFF"/>
    <s v="CONGO"/>
    <s v="RALFF-CO3725"/>
    <s v="1.3.2"/>
    <m/>
  </r>
  <r>
    <d v="2022-08-17T00:00:00"/>
    <s v="Recu de caisse/P29"/>
    <s v="Versement"/>
    <m/>
    <n v="10000"/>
    <m/>
    <n v="29924643"/>
    <s v="P29"/>
    <m/>
    <x v="0"/>
    <m/>
    <m/>
    <m/>
    <m/>
    <m/>
  </r>
  <r>
    <d v="2022-08-18T00:00:00"/>
    <s v="P29"/>
    <s v="Versement"/>
    <m/>
    <m/>
    <n v="13000"/>
    <n v="29911643"/>
    <s v="Caisse"/>
    <m/>
    <x v="0"/>
    <m/>
    <m/>
    <m/>
    <m/>
    <m/>
  </r>
  <r>
    <d v="2022-08-18T00:00:00"/>
    <s v="I23C"/>
    <s v="Versement"/>
    <m/>
    <m/>
    <n v="25000"/>
    <n v="29886643"/>
    <s v="Caisse"/>
    <m/>
    <x v="0"/>
    <m/>
    <m/>
    <m/>
    <m/>
    <m/>
  </r>
  <r>
    <d v="2022-08-18T00:00:00"/>
    <s v="Reçu caisse/I23C"/>
    <s v="Versement"/>
    <m/>
    <n v="25000"/>
    <m/>
    <n v="29911643"/>
    <s v="i23c"/>
    <m/>
    <x v="0"/>
    <m/>
    <m/>
    <m/>
    <m/>
    <m/>
  </r>
  <r>
    <d v="2022-08-18T00:00:00"/>
    <s v="Recu de caisse/P29"/>
    <s v="Versement"/>
    <m/>
    <n v="13000"/>
    <m/>
    <n v="29924643"/>
    <s v="P29"/>
    <m/>
    <x v="0"/>
    <m/>
    <m/>
    <m/>
    <m/>
    <m/>
  </r>
  <r>
    <d v="2022-08-19T00:00:00"/>
    <s v="Hurielle"/>
    <s v="Versement"/>
    <m/>
    <m/>
    <n v="6000"/>
    <n v="29918643"/>
    <s v="Caisse"/>
    <m/>
    <x v="0"/>
    <m/>
    <m/>
    <m/>
    <m/>
    <m/>
  </r>
  <r>
    <d v="2022-08-19T00:00:00"/>
    <s v="P29"/>
    <s v="Versement"/>
    <m/>
    <m/>
    <n v="110000"/>
    <n v="29808643"/>
    <s v="Caisse"/>
    <m/>
    <x v="0"/>
    <m/>
    <m/>
    <m/>
    <m/>
    <m/>
  </r>
  <r>
    <d v="2022-08-19T00:00:00"/>
    <s v="Frais achat médocs de KAMBA André"/>
    <s v="Jail visit"/>
    <s v="Legal"/>
    <m/>
    <n v="7000"/>
    <n v="29801643"/>
    <s v="Crépin"/>
    <s v="Oui"/>
    <x v="1"/>
    <s v="PALF"/>
    <s v="CONGO"/>
    <m/>
    <m/>
    <m/>
  </r>
  <r>
    <d v="2022-08-19T00:00:00"/>
    <s v="Achat Billet Oyo-Brazzaville/Crepin IBOUILI"/>
    <s v="Transport"/>
    <s v="Management"/>
    <m/>
    <n v="7000"/>
    <n v="29794643"/>
    <s v="Crépin"/>
    <s v="Oui"/>
    <x v="1"/>
    <s v="RALFF"/>
    <s v="CONGO"/>
    <s v="RALFF-CO3726"/>
    <s v="2.2"/>
    <m/>
  </r>
  <r>
    <d v="2022-08-19T00:00:00"/>
    <s v="Cumul frais de Jail visits du mois de Août 2022/Crépin"/>
    <s v="Jail visit"/>
    <s v="Legal"/>
    <m/>
    <n v="34000"/>
    <n v="29760643"/>
    <s v="Crépin"/>
    <s v="Decharge"/>
    <x v="1"/>
    <s v="PALF"/>
    <s v="CONGO"/>
    <m/>
    <m/>
    <m/>
  </r>
  <r>
    <d v="2022-08-19T00:00:00"/>
    <s v="Cumul frais de Jail Visits du mois de Aout 2022/Hurielle MFOULOU"/>
    <s v="Jail visit"/>
    <s v="Legal"/>
    <m/>
    <n v="11000"/>
    <n v="29749643"/>
    <s v="Hurielle"/>
    <s v="Decharge"/>
    <x v="1"/>
    <s v="PALF"/>
    <s v="CONGO"/>
    <m/>
    <m/>
    <m/>
  </r>
  <r>
    <d v="2022-08-19T00:00:00"/>
    <s v="Reçu caisse/Hurielle"/>
    <s v="Versement"/>
    <m/>
    <n v="6000"/>
    <m/>
    <n v="29755643"/>
    <s v="Hurielle"/>
    <m/>
    <x v="0"/>
    <m/>
    <m/>
    <m/>
    <m/>
    <m/>
  </r>
  <r>
    <d v="2022-08-19T00:00:00"/>
    <s v="Taxi Brazzaville-Kinkala / I23C"/>
    <s v="Transport"/>
    <s v="Investigation"/>
    <m/>
    <n v="4000"/>
    <n v="29751643"/>
    <s v="i23c"/>
    <s v="Oui"/>
    <x v="1"/>
    <s v="RALFF"/>
    <s v="CONGO"/>
    <s v="RALFF-CO3727"/>
    <s v="2.2"/>
    <m/>
  </r>
  <r>
    <d v="2022-08-19T00:00:00"/>
    <s v="Taxi Kinkala-Boko / I23C"/>
    <s v="Transport"/>
    <s v="Investigation"/>
    <m/>
    <n v="6000"/>
    <n v="29745643"/>
    <s v="i23c"/>
    <s v="Oui"/>
    <x v="1"/>
    <s v="RALFF"/>
    <s v="CONGO"/>
    <s v="RALFF-CO3728"/>
    <s v="2.2"/>
    <m/>
  </r>
  <r>
    <d v="2022-08-19T00:00:00"/>
    <s v="Taxi Boko-Kinkala (départ pour Kinkala) / I23C"/>
    <s v="Transport"/>
    <s v="Investigation"/>
    <m/>
    <n v="6000"/>
    <n v="29739643"/>
    <s v="i23c"/>
    <s v="Oui"/>
    <x v="1"/>
    <s v="RALFF"/>
    <s v="CONGO"/>
    <s v="RALFF-CO3729"/>
    <s v="2.2"/>
    <m/>
  </r>
  <r>
    <d v="2022-08-19T00:00:00"/>
    <s v="Taxi Kinkala- Brazzaville (départ pour Brazzaville) / I23C"/>
    <s v="Transport"/>
    <s v="Investigation"/>
    <m/>
    <n v="4000"/>
    <n v="29735643"/>
    <s v="i23c"/>
    <s v="Oui"/>
    <x v="1"/>
    <s v="RALFF"/>
    <s v="CONGO"/>
    <s v="RALFF-CO3730"/>
    <s v="2.2"/>
    <m/>
  </r>
  <r>
    <d v="2022-08-19T00:00:00"/>
    <s v="Recu de caisse/P29"/>
    <s v="Versement"/>
    <m/>
    <n v="110000"/>
    <m/>
    <n v="29845643"/>
    <s v="P29"/>
    <m/>
    <x v="0"/>
    <m/>
    <m/>
    <m/>
    <m/>
    <m/>
  </r>
  <r>
    <d v="2022-08-20T00:00:00"/>
    <s v="CREPIN IBOUILI - CONGO Frais d'Hotel 03 Nuitées du 17 au 20/08/2022 à Oyo"/>
    <s v="Travel Subsistence"/>
    <s v="Management"/>
    <m/>
    <n v="45000"/>
    <n v="29800643"/>
    <s v="Crépin"/>
    <s v="Oui"/>
    <x v="1"/>
    <s v="RALFF"/>
    <s v="CONGO"/>
    <s v="RALFF-CO3731"/>
    <s v="1.3.2"/>
    <m/>
  </r>
  <r>
    <d v="2022-08-20T00:00:00"/>
    <s v="Achat billet Brazzaville -Pointe Noire /P29"/>
    <s v="Transport"/>
    <s v="Investigation"/>
    <m/>
    <n v="15000"/>
    <n v="29785643"/>
    <s v="P29"/>
    <s v="Oui"/>
    <x v="1"/>
    <s v="RALFF"/>
    <s v="CONGO"/>
    <s v="RALFF-CO3732"/>
    <s v="2.2"/>
    <m/>
  </r>
  <r>
    <d v="2022-08-22T00:00:00"/>
    <s v="recharge batterie et transport techniciens"/>
    <s v="Rent &amp; Utilities"/>
    <s v="Office"/>
    <m/>
    <n v="3000"/>
    <n v="29782643"/>
    <s v="Caisse"/>
    <s v="Oui"/>
    <x v="1"/>
    <s v="PALF"/>
    <s v="CONGO"/>
    <m/>
    <m/>
    <m/>
  </r>
  <r>
    <d v="2022-08-22T00:00:00"/>
    <s v="I23C"/>
    <s v="Versement"/>
    <m/>
    <m/>
    <n v="13000"/>
    <n v="29769643"/>
    <s v="Caisse"/>
    <m/>
    <x v="0"/>
    <m/>
    <m/>
    <m/>
    <m/>
    <m/>
  </r>
  <r>
    <d v="2022-08-22T00:00:00"/>
    <s v="Crépin/Retour caisse"/>
    <s v="Versement"/>
    <m/>
    <n v="60000"/>
    <m/>
    <n v="29829643"/>
    <s v="Caisse"/>
    <m/>
    <x v="0"/>
    <m/>
    <m/>
    <m/>
    <m/>
    <m/>
  </r>
  <r>
    <d v="2022-08-22T00:00:00"/>
    <s v="I23C"/>
    <s v="Versement"/>
    <m/>
    <m/>
    <n v="15000"/>
    <n v="29814643"/>
    <s v="Caisse"/>
    <m/>
    <x v="0"/>
    <m/>
    <m/>
    <m/>
    <m/>
    <m/>
  </r>
  <r>
    <d v="2022-08-22T00:00:00"/>
    <s v="Achat billet Brazzaville-Pointe Noire / I23C"/>
    <s v="Transport"/>
    <s v="Investigation"/>
    <m/>
    <n v="15000"/>
    <n v="29799643"/>
    <s v="i23c"/>
    <s v="Oui"/>
    <x v="1"/>
    <s v="RALFF"/>
    <s v="CONGO"/>
    <s v="RALFF-CO3733"/>
    <s v="2.2"/>
    <m/>
  </r>
  <r>
    <d v="2022-08-22T00:00:00"/>
    <s v="I23C"/>
    <s v="Versement"/>
    <m/>
    <m/>
    <n v="90000"/>
    <n v="29709643"/>
    <s v="Caisse"/>
    <m/>
    <x v="0"/>
    <m/>
    <m/>
    <m/>
    <m/>
    <m/>
  </r>
  <r>
    <d v="2022-08-22T00:00:00"/>
    <s v="BCI-3654491-34"/>
    <s v="Versement"/>
    <m/>
    <n v="1000000"/>
    <m/>
    <n v="30709643"/>
    <s v="Caisse"/>
    <m/>
    <x v="0"/>
    <m/>
    <m/>
    <m/>
    <m/>
    <m/>
  </r>
  <r>
    <d v="2022-08-22T00:00:00"/>
    <s v="Retrait especes/appro caisse/bord n°3654491"/>
    <s v="Versement"/>
    <m/>
    <m/>
    <n v="1000000"/>
    <n v="29709643"/>
    <s v="BCI"/>
    <n v="3654491"/>
    <x v="0"/>
    <m/>
    <m/>
    <m/>
    <m/>
    <m/>
  </r>
  <r>
    <d v="2022-08-22T00:00:00"/>
    <s v="Retour caisse/Crépin"/>
    <s v="Versement"/>
    <m/>
    <m/>
    <n v="60000"/>
    <n v="29649643"/>
    <s v="Crépin"/>
    <m/>
    <x v="0"/>
    <m/>
    <m/>
    <m/>
    <m/>
    <m/>
  </r>
  <r>
    <d v="2022-08-22T00:00:00"/>
    <s v="Reçu caisse/I23C"/>
    <s v="Versement"/>
    <m/>
    <n v="15000"/>
    <m/>
    <n v="29664643"/>
    <s v="i23c"/>
    <m/>
    <x v="0"/>
    <m/>
    <m/>
    <m/>
    <m/>
    <m/>
  </r>
  <r>
    <d v="2022-08-22T00:00:00"/>
    <s v="Reçu caisse/I23C"/>
    <s v="Versement"/>
    <m/>
    <n v="13000"/>
    <m/>
    <n v="29677643"/>
    <s v="i23c"/>
    <m/>
    <x v="0"/>
    <m/>
    <m/>
    <m/>
    <m/>
    <m/>
  </r>
  <r>
    <d v="2022-08-22T00:00:00"/>
    <s v="Reçu caisse/I23C"/>
    <s v="Versement"/>
    <m/>
    <n v="90000"/>
    <m/>
    <n v="29767643"/>
    <s v="i23c"/>
    <m/>
    <x v="0"/>
    <m/>
    <m/>
    <m/>
    <m/>
    <m/>
  </r>
  <r>
    <d v="2022-08-22T00:00:00"/>
    <s v="P29 - CONGO Food allowance mission du 22 au 28-08-2022 "/>
    <s v="Travel Subsistence"/>
    <s v="Investigation"/>
    <m/>
    <n v="60000"/>
    <n v="29707643"/>
    <s v="P29"/>
    <s v="Decharge"/>
    <x v="1"/>
    <s v="RALFF"/>
    <s v="CONGO"/>
    <s v="RALFF-CO3734"/>
    <s v="1.3.2"/>
    <m/>
  </r>
  <r>
    <d v="2022-08-23T00:00:00"/>
    <s v="Cumul frais Transport Local du mois de Août 2022/Crépin"/>
    <s v="Transport"/>
    <s v="Management"/>
    <m/>
    <n v="23000"/>
    <n v="29684643"/>
    <s v="Crépin"/>
    <s v="Decharge"/>
    <x v="1"/>
    <s v="RALFF"/>
    <s v="CONGO"/>
    <s v="RALFF-CO3735"/>
    <s v="2.2"/>
    <m/>
  </r>
  <r>
    <d v="2022-08-24T00:00:00"/>
    <s v="Frais de transfert charden farell à P29"/>
    <s v="Transfer fees"/>
    <s v="Office"/>
    <m/>
    <n v="3240"/>
    <n v="29681403"/>
    <s v="Caisse"/>
    <s v="Oui"/>
    <x v="1"/>
    <s v="RALFF"/>
    <s v="CONGO"/>
    <s v="RALFF-CO3736"/>
    <s v="5.6"/>
    <m/>
  </r>
  <r>
    <d v="2022-08-24T00:00:00"/>
    <s v="P29"/>
    <s v="Versement"/>
    <m/>
    <m/>
    <n v="108000"/>
    <n v="29573403"/>
    <s v="Caisse"/>
    <m/>
    <x v="0"/>
    <m/>
    <m/>
    <m/>
    <m/>
    <m/>
  </r>
  <r>
    <d v="2022-08-24T00:00:00"/>
    <s v="I23C - CONGO Food allowance mission Pointe Noire du 24 au 28 Août 2022"/>
    <s v="Travel Subsistence"/>
    <s v="Investigation"/>
    <m/>
    <n v="40000"/>
    <n v="29533403"/>
    <s v="i23c"/>
    <s v="Decharge"/>
    <x v="1"/>
    <s v="RALFF"/>
    <s v="CONGO"/>
    <s v="RALFF-CO3737"/>
    <s v="1.3.2"/>
    <m/>
  </r>
  <r>
    <d v="2022-08-24T00:00:00"/>
    <s v="Recu de caisse/P29"/>
    <s v="Versement"/>
    <m/>
    <n v="108000"/>
    <m/>
    <n v="29641403"/>
    <s v="P29"/>
    <m/>
    <x v="0"/>
    <m/>
    <m/>
    <m/>
    <m/>
    <m/>
  </r>
  <r>
    <d v="2022-08-25T00:00:00"/>
    <s v="Collation pour départ  Danielle MBUI"/>
    <s v="Personnel "/>
    <s v="Team Bulding"/>
    <m/>
    <n v="50000"/>
    <n v="29591403"/>
    <s v="Caisse"/>
    <s v="Oui"/>
    <x v="1"/>
    <s v="PALF"/>
    <s v="CONGO"/>
    <m/>
    <m/>
    <m/>
  </r>
  <r>
    <d v="2022-08-25T00:00:00"/>
    <s v="Crepin"/>
    <s v="Versement"/>
    <m/>
    <n v="47000"/>
    <m/>
    <n v="29638403"/>
    <s v="Caisse"/>
    <m/>
    <x v="0"/>
    <m/>
    <m/>
    <m/>
    <m/>
    <m/>
  </r>
  <r>
    <d v="2022-08-25T00:00:00"/>
    <s v="Paiement salaire mois d'Août 2022/Crepin IBOUILI IBOUILI"/>
    <s v="Personnel"/>
    <s v="Legal"/>
    <m/>
    <n v="357982"/>
    <n v="29280421"/>
    <s v="BCI-Sous Compte"/>
    <n v="3667222"/>
    <x v="1"/>
    <s v="RALFF"/>
    <s v="CONGO"/>
    <s v="RALFF-CO3738"/>
    <s v="1.1.1.7"/>
    <m/>
  </r>
  <r>
    <d v="2022-08-25T00:00:00"/>
    <s v="Paiement salaire mois d'Août 2022/Hurielle MFOULOU"/>
    <s v="Personnel"/>
    <s v="Legal"/>
    <m/>
    <n v="200000"/>
    <n v="29080421"/>
    <s v="BCI-Sous Compte"/>
    <n v="3667223"/>
    <x v="2"/>
    <s v="RALFF"/>
    <s v="CONGO"/>
    <s v="RALFF-CO3739"/>
    <s v="1.1.1.7"/>
    <m/>
  </r>
  <r>
    <d v="2022-08-25T00:00:00"/>
    <s v="Paiement salaire mois d'Août 2022/Grace MOLENDE"/>
    <s v="Personnel"/>
    <s v="Management"/>
    <m/>
    <n v="350000"/>
    <n v="28730421"/>
    <s v="BCI-Sous Compte"/>
    <n v="3667224"/>
    <x v="2"/>
    <s v="RALFF"/>
    <s v="CONGO"/>
    <s v="RALFF-CO3740"/>
    <s v="1.1.2.1"/>
    <m/>
  </r>
  <r>
    <d v="2022-08-25T00:00:00"/>
    <s v="Paiement salaire mois d'Aout 2022/Merveille MAHANGA"/>
    <s v="Personnel"/>
    <s v="Management"/>
    <m/>
    <n v="300000"/>
    <n v="28430421"/>
    <s v="BCI-Sous Compte"/>
    <n v="3667225"/>
    <x v="2"/>
    <s v="RALFF"/>
    <s v="CONGO"/>
    <s v="RALFF-CO3741"/>
    <s v="1.1.2.1"/>
    <m/>
  </r>
  <r>
    <d v="2022-08-25T00:00:00"/>
    <s v="Achat Appareil photo + Accessoire (Batterie, carte mémoire et Sac )/PALF"/>
    <s v="Equipement"/>
    <s v="Office"/>
    <m/>
    <n v="554257"/>
    <n v="27876164"/>
    <s v="Tiffany"/>
    <s v="Oui"/>
    <x v="2"/>
    <s v="RALFF"/>
    <s v="CONGO"/>
    <s v="RALFF-CO3742"/>
    <s v="3.2"/>
    <m/>
  </r>
  <r>
    <d v="2022-08-25T00:00:00"/>
    <s v="Achat 04 Disque dure Exterme WD Elements + 04 Pochette pour disque dure/PALF"/>
    <s v="Equipement"/>
    <s v="Office"/>
    <m/>
    <n v="298113"/>
    <n v="27578051"/>
    <s v="Tiffany"/>
    <s v="Oui"/>
    <x v="1"/>
    <s v="RALFF"/>
    <s v="CONGO"/>
    <s v="RALFF-CO3743"/>
    <s v="3.2"/>
    <m/>
  </r>
  <r>
    <d v="2022-08-25T00:00:00"/>
    <s v="Retour caisse/Crépin"/>
    <s v="Versement"/>
    <m/>
    <m/>
    <n v="47000"/>
    <n v="27531051"/>
    <s v="Crépin"/>
    <m/>
    <x v="0"/>
    <m/>
    <m/>
    <m/>
    <m/>
    <m/>
  </r>
  <r>
    <d v="2022-08-26T00:00:00"/>
    <s v="Achat billet Pointe Noire-dolisie/P29"/>
    <s v="Transport"/>
    <s v="Investigation"/>
    <m/>
    <n v="5000"/>
    <n v="27526051"/>
    <s v="P29"/>
    <s v="Oui"/>
    <x v="1"/>
    <s v="RALFF"/>
    <s v="CONGO"/>
    <s v="RALFF-CO3744"/>
    <s v="2.2"/>
    <m/>
  </r>
  <r>
    <d v="2022-08-26T00:00:00"/>
    <s v="Frais de transfert charden farell à I23c"/>
    <s v="Transfer fees"/>
    <s v="Office"/>
    <m/>
    <n v="1920"/>
    <n v="27524131"/>
    <s v="Caisse"/>
    <s v="Oui"/>
    <x v="1"/>
    <s v="RALFF"/>
    <s v="CONGO"/>
    <s v="RALFF-CO3745"/>
    <s v="5.6"/>
    <m/>
  </r>
  <r>
    <d v="2022-08-26T00:00:00"/>
    <s v="Merveille"/>
    <s v="Versement"/>
    <m/>
    <m/>
    <n v="10000"/>
    <n v="27514131"/>
    <s v="Caisse"/>
    <m/>
    <x v="0"/>
    <m/>
    <m/>
    <m/>
    <m/>
    <m/>
  </r>
  <r>
    <d v="2022-08-26T00:00:00"/>
    <s v="I23C"/>
    <s v="Versement"/>
    <m/>
    <m/>
    <n v="64000"/>
    <n v="27450131"/>
    <s v="Caisse"/>
    <m/>
    <x v="0"/>
    <m/>
    <m/>
    <m/>
    <m/>
    <m/>
  </r>
  <r>
    <d v="2022-08-26T00:00:00"/>
    <s v="Reglement prestation Entretient bureau Mois d'Août 2022/Odile"/>
    <s v="Services"/>
    <s v="Office"/>
    <m/>
    <n v="75625"/>
    <n v="27374506"/>
    <s v="Caisse"/>
    <s v="Oui"/>
    <x v="1"/>
    <s v="PALF"/>
    <s v="CONGO"/>
    <m/>
    <m/>
    <m/>
  </r>
  <r>
    <d v="2022-08-26T00:00:00"/>
    <s v="Fonds reçu de Wildcat"/>
    <s v="Grant"/>
    <m/>
    <n v="6318119"/>
    <m/>
    <n v="33692625"/>
    <s v="BCI"/>
    <s v="Relevé"/>
    <x v="1"/>
    <m/>
    <s v="CONGO"/>
    <m/>
    <m/>
    <m/>
  </r>
  <r>
    <d v="2022-08-26T00:00:00"/>
    <s v="Fonds reçu de ECF"/>
    <s v="Grant"/>
    <m/>
    <n v="6318118"/>
    <m/>
    <n v="40010743"/>
    <s v="BCI"/>
    <s v="Relevé"/>
    <x v="3"/>
    <m/>
    <s v="CONGO"/>
    <m/>
    <m/>
    <m/>
  </r>
  <r>
    <d v="2022-08-26T00:00:00"/>
    <s v="P29 - CONGO Paiement 4 nuitées du 22 au 26-08-2022 à Pointe Noire"/>
    <s v="Travel Subsistence"/>
    <s v="Investigation"/>
    <m/>
    <n v="60000"/>
    <n v="33632625"/>
    <s v="P29"/>
    <s v="Oui"/>
    <x v="1"/>
    <s v="RALFF"/>
    <s v="CONGO"/>
    <s v="RALFF-CO3746"/>
    <s v="1.3.2"/>
    <m/>
  </r>
  <r>
    <d v="2022-08-26T00:00:00"/>
    <s v="Reçu caisse/Merveille"/>
    <s v="Versement"/>
    <m/>
    <n v="10000"/>
    <m/>
    <n v="33642625"/>
    <s v="Merveille"/>
    <m/>
    <x v="0"/>
    <m/>
    <m/>
    <m/>
    <m/>
    <m/>
  </r>
  <r>
    <d v="2022-08-26T00:00:00"/>
    <s v="Reçu caisse/I23C"/>
    <s v="Versement"/>
    <m/>
    <n v="64000"/>
    <m/>
    <n v="33706625"/>
    <s v="i23c"/>
    <m/>
    <x v="0"/>
    <m/>
    <m/>
    <m/>
    <m/>
    <m/>
  </r>
  <r>
    <d v="2022-08-27T00:00:00"/>
    <s v="Achat billet Pointe-Noire-Brazzaville / I23C"/>
    <s v="Transport"/>
    <s v="Investigation"/>
    <m/>
    <n v="15000"/>
    <n v="33691625"/>
    <s v="i23c"/>
    <s v="Oui"/>
    <x v="1"/>
    <s v="RALFF"/>
    <s v="CONGO"/>
    <s v="RALFF-CO3747"/>
    <s v="2.2"/>
    <m/>
  </r>
  <r>
    <d v="2022-08-27T00:00:00"/>
    <s v="Cumul frais de trust Bulding du mois d'Août 2022/I23C"/>
    <s v="Trust building"/>
    <s v="Investigation"/>
    <m/>
    <n v="28000"/>
    <n v="33663625"/>
    <s v="i23c"/>
    <s v="Decharge"/>
    <x v="1"/>
    <s v="PALF"/>
    <s v="CONGO"/>
    <m/>
    <m/>
    <m/>
  </r>
  <r>
    <d v="2022-08-27T00:00:00"/>
    <s v="Cumul Frais de Trust Bulding du Mois d'Août 2022/P29"/>
    <s v="Trust building"/>
    <s v="Investigation"/>
    <m/>
    <n v="37000"/>
    <n v="33626625"/>
    <s v="P29"/>
    <s v="Decharge"/>
    <x v="1"/>
    <s v="PALF"/>
    <s v="CONGO"/>
    <m/>
    <m/>
    <m/>
  </r>
  <r>
    <d v="2022-08-28T00:00:00"/>
    <s v="I23C - CONGO Paiement 4 nuitées du 24 au 28 Août 2022 à Pointe Noire"/>
    <s v="Travel Subsistence"/>
    <s v="Investigation"/>
    <m/>
    <n v="60000"/>
    <n v="33566625"/>
    <s v="i23c"/>
    <s v="Oui"/>
    <x v="1"/>
    <s v="RALFF"/>
    <s v="CONGO"/>
    <s v="RALFF-CO3748"/>
    <s v="1.3.2"/>
    <m/>
  </r>
  <r>
    <d v="2022-08-28T00:00:00"/>
    <s v="Cumul frais de transport local du mois d'Août 2022/I23C"/>
    <s v="Transport"/>
    <s v="Investigation"/>
    <m/>
    <n v="83000"/>
    <n v="33483625"/>
    <s v="i23c"/>
    <s v="Decharge"/>
    <x v="1"/>
    <s v="RALFF"/>
    <s v="CONGO"/>
    <s v="RALFF-CO3749"/>
    <s v="2.2"/>
    <m/>
  </r>
  <r>
    <d v="2022-08-28T00:00:00"/>
    <s v="P29 - CONGO Paiement 2 nuitées du 26 au 28-08-2022 à dolisie"/>
    <s v="Travel Subsistence"/>
    <s v="Investigation"/>
    <m/>
    <n v="30000"/>
    <n v="33453625"/>
    <s v="P29"/>
    <s v="Oui"/>
    <x v="1"/>
    <s v="RALFF"/>
    <s v="CONGO"/>
    <s v="RALFF-CO3750"/>
    <s v="1.3.2"/>
    <m/>
  </r>
  <r>
    <d v="2022-08-28T00:00:00"/>
    <s v="Achat billet dolisie-Brazzaville/P29"/>
    <s v="Transport"/>
    <s v="Investigation"/>
    <m/>
    <n v="10000"/>
    <n v="33443625"/>
    <s v="P29"/>
    <s v="Oui"/>
    <x v="1"/>
    <s v="RALFF"/>
    <s v="CONGO"/>
    <s v="RALFF-CO3751"/>
    <s v="2.2"/>
    <m/>
  </r>
  <r>
    <d v="2022-08-28T00:00:00"/>
    <s v="Cumul Frais de Transport Local du Mois d'Août 2022/P29"/>
    <s v="Transport"/>
    <s v="Investigation"/>
    <m/>
    <n v="84800"/>
    <n v="33358825"/>
    <s v="P29"/>
    <s v="Decharge"/>
    <x v="1"/>
    <s v="RALFF"/>
    <s v="CONGO"/>
    <s v="RALFF-CO3752"/>
    <s v="2.2"/>
    <m/>
  </r>
  <r>
    <d v="2022-08-29T00:00:00"/>
    <s v="Frais de Test covid Tiffany/retour au CONGO"/>
    <s v="Travel Expense"/>
    <s v="Management"/>
    <m/>
    <n v="24651"/>
    <n v="33334174"/>
    <s v="Tiffany"/>
    <s v="Oui"/>
    <x v="1"/>
    <s v="PALF"/>
    <s v="CONGO"/>
    <m/>
    <m/>
    <m/>
  </r>
  <r>
    <d v="2022-08-30T00:00:00"/>
    <s v="Reglement frais d' internet mois de Septembre 2022/Canal Box"/>
    <s v="Internet"/>
    <s v="Office"/>
    <m/>
    <n v="45050"/>
    <n v="33289124"/>
    <s v="Caisse"/>
    <s v="Oui"/>
    <x v="1"/>
    <s v="RALFF"/>
    <s v="CONGO"/>
    <s v="RALFF-CO3753"/>
    <s v="4.5"/>
    <m/>
  </r>
  <r>
    <d v="2022-08-30T00:00:00"/>
    <s v="P29"/>
    <s v="Versement"/>
    <m/>
    <m/>
    <n v="15000"/>
    <n v="33274124"/>
    <s v="Caisse"/>
    <m/>
    <x v="0"/>
    <m/>
    <m/>
    <m/>
    <m/>
    <m/>
  </r>
  <r>
    <d v="2022-08-30T00:00:00"/>
    <s v="Recu de caisse/P29"/>
    <s v="Versement"/>
    <m/>
    <n v="15000"/>
    <m/>
    <n v="33289124"/>
    <s v="P29"/>
    <m/>
    <x v="0"/>
    <m/>
    <m/>
    <m/>
    <m/>
    <m/>
  </r>
  <r>
    <d v="2022-08-31T00:00:00"/>
    <s v="Cumul frais de Transport Local mois de Août  2022/Hurielle MFOULOU"/>
    <s v="Transport"/>
    <s v="Legal"/>
    <m/>
    <n v="21500"/>
    <n v="33267624"/>
    <s v="Hurielle"/>
    <s v="Decharge"/>
    <x v="1"/>
    <s v="RALFF"/>
    <s v="CONGO"/>
    <s v="RALFF-CO3754"/>
    <s v="2.2"/>
    <m/>
  </r>
  <r>
    <d v="2022-08-31T00:00:00"/>
    <s v="I23c"/>
    <s v="Versement"/>
    <m/>
    <n v="1550"/>
    <m/>
    <n v="33269174"/>
    <s v="Caisse"/>
    <m/>
    <x v="0"/>
    <m/>
    <m/>
    <m/>
    <m/>
    <m/>
  </r>
  <r>
    <d v="2022-08-31T00:00:00"/>
    <s v="Entretretien général Jardin, Bureau PALF Mois d'Août 2022"/>
    <s v="Services"/>
    <s v="Office"/>
    <m/>
    <n v="20000"/>
    <n v="33249174"/>
    <s v="Caisse"/>
    <s v="Oui"/>
    <x v="1"/>
    <s v="PALF"/>
    <s v="CONGO"/>
    <m/>
    <m/>
    <m/>
  </r>
  <r>
    <d v="2022-08-31T00:00:00"/>
    <s v="Reglement Facture Gardiennage Mois d'Aout 2022/3654496"/>
    <s v="Services"/>
    <s v="Office"/>
    <m/>
    <n v="260000"/>
    <n v="32989174"/>
    <s v="BCI"/>
    <n v="3654496"/>
    <x v="1"/>
    <s v="PALF"/>
    <s v="CONGO"/>
    <m/>
    <m/>
    <m/>
  </r>
  <r>
    <d v="2022-08-31T00:00:00"/>
    <s v="Cumul frais de transport local mois de Août 2022 /Tiffany GOBERT"/>
    <s v="Transport"/>
    <s v="Management"/>
    <m/>
    <n v="2000"/>
    <n v="32987174"/>
    <s v="Tiffany"/>
    <s v="Decharge"/>
    <x v="1"/>
    <s v="RALFF"/>
    <s v="CONGO"/>
    <s v="RALFF-CO3755"/>
    <s v="2.2"/>
    <m/>
  </r>
  <r>
    <d v="2022-08-31T00:00:00"/>
    <s v="Cumul frais de transport local mois d'août 2022/Merveille"/>
    <s v="Transport"/>
    <s v="Management"/>
    <m/>
    <n v="19000"/>
    <n v="32968174"/>
    <s v="Merveille"/>
    <s v="Decharge"/>
    <x v="1"/>
    <s v="RALFF"/>
    <s v="CONGO"/>
    <s v="RALFF-CO3756"/>
    <s v="2.2"/>
    <m/>
  </r>
  <r>
    <d v="2022-08-31T00:00:00"/>
    <s v="Retour Caisse/I23C"/>
    <s v="Versement"/>
    <m/>
    <m/>
    <n v="1550"/>
    <n v="32966624"/>
    <s v="i23c"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  <r>
    <m/>
    <m/>
    <m/>
    <m/>
    <m/>
    <m/>
    <m/>
    <m/>
    <m/>
    <x v="0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6">
  <r>
    <d v="2022-08-01T00:00:00"/>
    <s v="Solde au 01/08/2022"/>
    <m/>
    <m/>
    <m/>
    <m/>
    <n v="23525884"/>
    <m/>
    <m/>
    <x v="0"/>
    <x v="0"/>
    <m/>
    <m/>
    <m/>
    <m/>
  </r>
  <r>
    <d v="2022-08-01T00:00:00"/>
    <s v="BCI-37107255251/56"/>
    <s v="Versement"/>
    <m/>
    <n v="600000"/>
    <m/>
    <n v="24125884"/>
    <s v="Caisse"/>
    <m/>
    <x v="0"/>
    <x v="0"/>
    <m/>
    <m/>
    <m/>
    <m/>
  </r>
  <r>
    <d v="2022-08-01T00:00:00"/>
    <s v="Crépin"/>
    <s v="Versement"/>
    <m/>
    <m/>
    <n v="291250"/>
    <n v="23834634"/>
    <s v="Caisse"/>
    <m/>
    <x v="0"/>
    <x v="0"/>
    <m/>
    <m/>
    <m/>
    <m/>
  </r>
  <r>
    <d v="2022-08-01T00:00:00"/>
    <s v="Frais de transfert d'argent à Crépin"/>
    <s v="Transfer fees"/>
    <s v="Office"/>
    <m/>
    <n v="9790"/>
    <n v="23824844"/>
    <s v="Caisse"/>
    <s v="Oui"/>
    <x v="1"/>
    <x v="1"/>
    <s v="CONGO"/>
    <s v="RALFF-CO3655"/>
    <s v="5.6"/>
    <m/>
  </r>
  <r>
    <d v="2022-08-01T00:00:00"/>
    <s v="Reglement prestation Entretient bureau Mois de Juillet  2022/Odile"/>
    <s v="Services"/>
    <s v="Office"/>
    <m/>
    <n v="75625"/>
    <n v="23749219"/>
    <s v="Caisse"/>
    <s v="Oui"/>
    <x v="1"/>
    <x v="2"/>
    <s v="CONGO"/>
    <m/>
    <m/>
    <m/>
  </r>
  <r>
    <d v="2022-08-01T00:00:00"/>
    <s v="Hurielle/Retour Caisse"/>
    <s v="Versement"/>
    <m/>
    <n v="30000"/>
    <m/>
    <n v="23779219"/>
    <s v="Caisse"/>
    <m/>
    <x v="0"/>
    <x v="0"/>
    <m/>
    <m/>
    <m/>
    <m/>
  </r>
  <r>
    <d v="2022-08-01T00:00:00"/>
    <s v="P29/Retour Caisse /Av sur Salaire"/>
    <s v="Versement"/>
    <m/>
    <n v="50000"/>
    <m/>
    <n v="23829219"/>
    <s v="Caisse"/>
    <m/>
    <x v="0"/>
    <x v="0"/>
    <m/>
    <m/>
    <m/>
    <m/>
  </r>
  <r>
    <d v="2022-08-01T00:00:00"/>
    <s v="Achat credit  teléphonique MTN/PALF/Prémière partie Août 2022/Management"/>
    <s v="Telephone"/>
    <s v="Management "/>
    <m/>
    <n v="22000"/>
    <n v="23807219"/>
    <s v="Caisse"/>
    <s v="Oui"/>
    <x v="1"/>
    <x v="1"/>
    <s v="CONGO"/>
    <s v="RALFF-CO3656"/>
    <s v="4.6"/>
    <m/>
  </r>
  <r>
    <d v="2022-08-01T00:00:00"/>
    <s v="Achat credit  teléphonique MTN/PALF/Prémière partie Août 2022/Legal"/>
    <s v="Telephone"/>
    <s v="Legal"/>
    <m/>
    <n v="32000"/>
    <n v="23775219"/>
    <s v="Caisse"/>
    <s v="Oui"/>
    <x v="1"/>
    <x v="1"/>
    <s v="CONGO"/>
    <s v="RALFF-CO3657"/>
    <s v="4.6"/>
    <m/>
  </r>
  <r>
    <d v="2022-08-01T00:00:00"/>
    <s v="Achat credit  teléphonique MTN/PALF/Prémière partie Août 2022/Investigation"/>
    <s v="Telephone"/>
    <s v="Investigation"/>
    <m/>
    <n v="20000"/>
    <n v="23755219"/>
    <s v="Caisse"/>
    <s v="Oui"/>
    <x v="1"/>
    <x v="1"/>
    <s v="CONGO"/>
    <s v="RALFF-CO3658"/>
    <s v="4.6"/>
    <m/>
  </r>
  <r>
    <d v="2022-08-01T00:00:00"/>
    <s v="Achat credit  teléphonique Airtel/PALF/Prémière partie Aout 2022/Management"/>
    <s v="Telephone"/>
    <s v="Management "/>
    <m/>
    <n v="10000"/>
    <n v="23745219"/>
    <s v="Caisse"/>
    <s v="Oui"/>
    <x v="1"/>
    <x v="1"/>
    <s v="CONGO"/>
    <s v="RALFF-CO3659"/>
    <s v="4.6"/>
    <m/>
  </r>
  <r>
    <d v="2022-08-01T00:00:00"/>
    <s v="Achat credit  teléphonique Airtel/PALF/Prémière partie Aout 2022/Legal"/>
    <s v="Telephone"/>
    <s v="Legal"/>
    <m/>
    <n v="10000"/>
    <n v="23735219"/>
    <s v="Caisse"/>
    <s v="Oui"/>
    <x v="1"/>
    <x v="1"/>
    <s v="CONGO"/>
    <s v="RALFF-CO3660"/>
    <s v="4.6"/>
    <m/>
  </r>
  <r>
    <d v="2022-08-01T00:00:00"/>
    <s v="Achat credit  teléphonique Airtel/PALF/Prémière partie Août 2022/Investigation"/>
    <s v="Telephone"/>
    <s v="Investigation"/>
    <m/>
    <n v="32000"/>
    <n v="23703219"/>
    <s v="Caisse"/>
    <s v="Oui"/>
    <x v="1"/>
    <x v="1"/>
    <s v="CONGO"/>
    <s v="RALFF-CO3661"/>
    <s v="4.6"/>
    <m/>
  </r>
  <r>
    <d v="2022-08-01T00:00:00"/>
    <s v="P29"/>
    <s v="Versement"/>
    <m/>
    <m/>
    <n v="25000"/>
    <n v="23678219"/>
    <s v="Caisse"/>
    <m/>
    <x v="0"/>
    <x v="0"/>
    <m/>
    <m/>
    <m/>
    <m/>
  </r>
  <r>
    <d v="2022-08-01T00:00:00"/>
    <s v="Retrait especes/appro caisse/bord n°3667230"/>
    <s v="Versement"/>
    <m/>
    <m/>
    <n v="600000"/>
    <n v="23078219"/>
    <s v="BCI-Sous Compte"/>
    <n v="3667230"/>
    <x v="0"/>
    <x v="0"/>
    <m/>
    <m/>
    <m/>
    <m/>
  </r>
  <r>
    <d v="2022-08-01T00:00:00"/>
    <s v="Paiement salaire mois de Juillet 2022/Crepin IBOUILI IBOUILI"/>
    <s v="Personnel"/>
    <s v="Legal"/>
    <m/>
    <n v="357982"/>
    <n v="22720237"/>
    <s v="BCI-Sous Compte"/>
    <n v="3667213"/>
    <x v="2"/>
    <x v="1"/>
    <s v="CONGO"/>
    <s v="RALFF-CO3662"/>
    <s v="1.1.1.7"/>
    <m/>
  </r>
  <r>
    <d v="2022-08-01T00:00:00"/>
    <s v="Paiement salaire mois de Juillet 2022/Grace MOLENDE"/>
    <s v="Personnel"/>
    <s v="Management"/>
    <m/>
    <n v="350000"/>
    <n v="22370237"/>
    <s v="BCI-Sous Compte"/>
    <n v="3667214"/>
    <x v="2"/>
    <x v="1"/>
    <s v="CONGO"/>
    <s v="RALFF-CO3663"/>
    <s v="1.1.2.1"/>
    <m/>
  </r>
  <r>
    <d v="2022-08-01T00:00:00"/>
    <s v="Paiement salaire mois de Juillet 2022/Hurielle MFOULOU"/>
    <s v="Personnel"/>
    <s v="Legal"/>
    <m/>
    <n v="200000"/>
    <n v="22170237"/>
    <s v="BCI-Sous Compte"/>
    <n v="3667215"/>
    <x v="2"/>
    <x v="1"/>
    <s v="CONGO"/>
    <s v="RALFF-CO3664"/>
    <s v="1.1.1.7"/>
    <m/>
  </r>
  <r>
    <d v="2022-08-01T00:00:00"/>
    <s v="Paiement salaire mois de Juillet 2022/Merveille MAHANGA"/>
    <s v="Personnel"/>
    <s v="Management"/>
    <m/>
    <n v="300000"/>
    <n v="21870237"/>
    <s v="BCI-Sous Compte"/>
    <n v="3667216"/>
    <x v="2"/>
    <x v="1"/>
    <s v="CONGO"/>
    <s v="RALFF-CO3665"/>
    <s v="1.1.2.1"/>
    <m/>
  </r>
  <r>
    <d v="2022-08-01T00:00:00"/>
    <s v="Paiement congés et  salaire mois de Juillet 2022/Evariste LELOUSSI"/>
    <s v="Personnel"/>
    <s v="Media"/>
    <m/>
    <n v="344901"/>
    <n v="21525336"/>
    <s v="BCI-Sous Compte"/>
    <n v="3667217"/>
    <x v="2"/>
    <x v="1"/>
    <s v="CONGO"/>
    <s v="RALFF-CO3666"/>
    <s v="1.1.1.4"/>
    <m/>
  </r>
  <r>
    <d v="2022-08-01T00:00:00"/>
    <s v="Reglement facture honoraire du mois de Juillet 2022/P29/chq n°3667218"/>
    <s v="Personnel"/>
    <s v="Investigation"/>
    <m/>
    <n v="225000"/>
    <n v="21300336"/>
    <s v="BCI-Sous Compte"/>
    <n v="3667218"/>
    <x v="2"/>
    <x v="1"/>
    <s v="CONGO"/>
    <s v="RALFF-CO3667"/>
    <s v="1.1.1.9"/>
    <m/>
  </r>
  <r>
    <d v="2022-08-01T00:00:00"/>
    <s v="Reglement facture honoraire du mois de Juillet 2022/I23C/chq n°366719"/>
    <s v="Personnel"/>
    <s v="Investigation"/>
    <m/>
    <n v="450000"/>
    <n v="20850336"/>
    <s v="BCI-Sous Compte"/>
    <n v="3667219"/>
    <x v="2"/>
    <x v="1"/>
    <s v="CONGO"/>
    <s v="RALFF-CO3668"/>
    <s v="1.1.1.9"/>
    <m/>
  </r>
  <r>
    <d v="2022-08-01T00:00:00"/>
    <s v="Frais bancaire compte 56"/>
    <s v="bank fees"/>
    <s v="Office"/>
    <m/>
    <n v="17364"/>
    <n v="20832972"/>
    <s v="BCI-Sous Compte"/>
    <s v="Relevé"/>
    <x v="2"/>
    <x v="1"/>
    <s v="CONGO"/>
    <s v="RALFF-CO3669"/>
    <s v="5.6"/>
    <m/>
  </r>
  <r>
    <d v="2022-08-01T00:00:00"/>
    <s v="Reçu de caisse/Crépin"/>
    <s v="Versement"/>
    <m/>
    <n v="291250"/>
    <m/>
    <n v="21124222"/>
    <s v="Crépin"/>
    <m/>
    <x v="0"/>
    <x v="0"/>
    <m/>
    <m/>
    <m/>
    <m/>
  </r>
  <r>
    <d v="2022-08-01T00:00:00"/>
    <s v="Frais achat Fournitures de la procédure (Rames + Chemises cartonnées)"/>
    <s v="Office Materials"/>
    <s v="Legal"/>
    <m/>
    <n v="5000"/>
    <n v="21119222"/>
    <s v="Crépin"/>
    <s v="Oui"/>
    <x v="1"/>
    <x v="2"/>
    <s v="CONGO"/>
    <m/>
    <m/>
    <m/>
  </r>
  <r>
    <d v="2022-08-01T00:00:00"/>
    <s v="Frais impression des photos au labo pour la planche photographique"/>
    <s v="Office Materials"/>
    <s v="Legal"/>
    <m/>
    <n v="3200"/>
    <n v="21116022"/>
    <s v="Crépin"/>
    <s v="Oui"/>
    <x v="1"/>
    <x v="2"/>
    <s v="CONGO"/>
    <m/>
    <m/>
    <m/>
  </r>
  <r>
    <d v="2022-08-01T00:00:00"/>
    <s v="Frais impression de la procédure"/>
    <s v="Office Materials"/>
    <s v="Legal"/>
    <m/>
    <n v="6000"/>
    <n v="21110022"/>
    <s v="Crépin"/>
    <s v="Oui"/>
    <x v="1"/>
    <x v="2"/>
    <s v="CONGO"/>
    <m/>
    <m/>
    <m/>
  </r>
  <r>
    <d v="2022-08-01T00:00:00"/>
    <s v="Frais de carburant pour la mission de Mossendjo"/>
    <s v="Transport"/>
    <s v="Operation"/>
    <m/>
    <n v="71250"/>
    <n v="21038772"/>
    <s v="Crépin"/>
    <s v="Oui"/>
    <x v="1"/>
    <x v="2"/>
    <s v="CONGO"/>
    <m/>
    <m/>
    <m/>
  </r>
  <r>
    <d v="2022-08-01T00:00:00"/>
    <s v="Achat raffraichissement opération"/>
    <s v="Travel Subsistence"/>
    <s v="Operation"/>
    <m/>
    <n v="9250"/>
    <n v="21029522"/>
    <s v="Crépin"/>
    <s v="Oui"/>
    <x v="1"/>
    <x v="2"/>
    <s v="CONGO"/>
    <m/>
    <m/>
    <m/>
  </r>
  <r>
    <d v="2022-08-01T00:00:00"/>
    <s v="Retour caisse/Hurielle"/>
    <s v="Versement"/>
    <m/>
    <m/>
    <n v="30000"/>
    <n v="20999522"/>
    <s v="Hurielle"/>
    <m/>
    <x v="0"/>
    <x v="0"/>
    <m/>
    <m/>
    <m/>
    <m/>
  </r>
  <r>
    <d v="2022-08-01T00:00:00"/>
    <s v="Retour  caisse/P29 - Solde Avance sur Salaire"/>
    <s v="Versement"/>
    <m/>
    <m/>
    <n v="50000"/>
    <n v="20949522"/>
    <s v="P29"/>
    <m/>
    <x v="0"/>
    <x v="0"/>
    <m/>
    <m/>
    <m/>
    <m/>
  </r>
  <r>
    <d v="2022-08-01T00:00:00"/>
    <s v="Recu de caisse/P29"/>
    <s v="Versement"/>
    <m/>
    <n v="25000"/>
    <m/>
    <n v="20974522"/>
    <s v="P29"/>
    <m/>
    <x v="0"/>
    <x v="0"/>
    <m/>
    <m/>
    <m/>
    <m/>
  </r>
  <r>
    <d v="2022-08-02T00:00:00"/>
    <s v="Bonus mois de Juillet 2022/Hurielle"/>
    <s v="Bonus"/>
    <s v="Legal"/>
    <m/>
    <n v="15000"/>
    <n v="20959522"/>
    <s v="Caisse"/>
    <s v="Decharge"/>
    <x v="1"/>
    <x v="2"/>
    <s v="CONGO"/>
    <m/>
    <m/>
    <m/>
  </r>
  <r>
    <d v="2022-08-02T00:00:00"/>
    <s v="Frais reparation de la roue"/>
    <s v="Transport"/>
    <s v="Operation"/>
    <m/>
    <n v="2500"/>
    <n v="20957022"/>
    <s v="Crépin"/>
    <s v="Oui"/>
    <x v="1"/>
    <x v="2"/>
    <s v="CONGO"/>
    <m/>
    <m/>
    <m/>
  </r>
  <r>
    <d v="2022-08-02T00:00:00"/>
    <s v="Alimentation de 5 gendarmes et 03 agents EF pendant la mission sur Mossendjo"/>
    <s v="Travel Subsistence"/>
    <s v="Operation"/>
    <m/>
    <n v="21500"/>
    <n v="20935522"/>
    <s v="Crépin"/>
    <s v="Oui"/>
    <x v="1"/>
    <x v="2"/>
    <s v="CONGO"/>
    <m/>
    <m/>
    <m/>
  </r>
  <r>
    <d v="2022-08-02T00:00:00"/>
    <s v="Bonus de 5 gendarmes après le deférement à Mossendjo"/>
    <s v="Bonus"/>
    <s v="Operation"/>
    <m/>
    <n v="50000"/>
    <n v="20885522"/>
    <s v="Crépin"/>
    <s v="Oui"/>
    <x v="1"/>
    <x v="2"/>
    <s v="CONGO"/>
    <m/>
    <m/>
    <m/>
  </r>
  <r>
    <d v="2022-08-02T00:00:00"/>
    <s v="Bonus de 03 agents EF après la mission sur Mossendjo"/>
    <s v="Bonus"/>
    <s v="Operation"/>
    <m/>
    <n v="30000"/>
    <n v="20855522"/>
    <s v="Crépin"/>
    <s v="Oui"/>
    <x v="1"/>
    <x v="2"/>
    <s v="CONGO"/>
    <m/>
    <m/>
    <m/>
  </r>
  <r>
    <d v="2022-08-03T00:00:00"/>
    <s v="Crépin"/>
    <s v="Versement"/>
    <m/>
    <m/>
    <n v="28000"/>
    <n v="20827522"/>
    <s v="Caisse"/>
    <m/>
    <x v="0"/>
    <x v="0"/>
    <m/>
    <m/>
    <m/>
    <m/>
  </r>
  <r>
    <d v="2022-08-03T00:00:00"/>
    <s v="Frais de transfert d'argent à Crépin"/>
    <s v="Transfer fees"/>
    <s v="Office"/>
    <m/>
    <n v="840"/>
    <n v="20826682"/>
    <s v="Caisse"/>
    <s v="Oui"/>
    <x v="2"/>
    <x v="1"/>
    <s v="CONGO"/>
    <s v="RALFF-CO3670"/>
    <s v="5.6"/>
    <m/>
  </r>
  <r>
    <d v="2022-08-03T00:00:00"/>
    <s v="P29"/>
    <s v="Versement"/>
    <m/>
    <m/>
    <n v="93000"/>
    <n v="20733682"/>
    <s v="Caisse"/>
    <m/>
    <x v="0"/>
    <x v="0"/>
    <m/>
    <m/>
    <m/>
    <m/>
  </r>
  <r>
    <d v="2022-08-03T00:00:00"/>
    <s v="I23C"/>
    <s v="Versement"/>
    <m/>
    <m/>
    <n v="83000"/>
    <n v="20650682"/>
    <s v="Caisse"/>
    <m/>
    <x v="0"/>
    <x v="0"/>
    <m/>
    <m/>
    <m/>
    <m/>
  </r>
  <r>
    <d v="2022-08-03T00:00:00"/>
    <s v="Reçu de caisse/Crépin"/>
    <s v="Versement"/>
    <m/>
    <n v="28000"/>
    <m/>
    <n v="20678682"/>
    <s v="Crépin"/>
    <m/>
    <x v="0"/>
    <x v="0"/>
    <m/>
    <m/>
    <m/>
    <m/>
  </r>
  <r>
    <d v="2022-08-03T00:00:00"/>
    <s v="Achat billet Brazzaville-Dolisie / I23C"/>
    <s v="Transport"/>
    <s v="Investigation"/>
    <m/>
    <n v="10000"/>
    <n v="20668682"/>
    <s v="i23c"/>
    <s v="Oui"/>
    <x v="2"/>
    <x v="1"/>
    <s v="CONGO"/>
    <s v="RALFF-CO3671"/>
    <s v="2.2"/>
    <m/>
  </r>
  <r>
    <d v="2022-08-03T00:00:00"/>
    <s v="Reçu caisse/I23C"/>
    <s v="Versement"/>
    <m/>
    <n v="83000"/>
    <m/>
    <n v="20751682"/>
    <s v="i23c"/>
    <m/>
    <x v="0"/>
    <x v="0"/>
    <m/>
    <m/>
    <m/>
    <m/>
  </r>
  <r>
    <d v="2022-08-03T00:00:00"/>
    <s v="Recu de caisse/P29"/>
    <s v="Versement"/>
    <m/>
    <n v="93000"/>
    <m/>
    <n v="20844682"/>
    <s v="P29"/>
    <m/>
    <x v="0"/>
    <x v="0"/>
    <m/>
    <m/>
    <m/>
    <m/>
  </r>
  <r>
    <d v="2022-08-03T00:00:00"/>
    <s v="Achat billet  brazzaville- dolisie/P29"/>
    <s v="Transport"/>
    <s v="Investigation"/>
    <m/>
    <n v="10000"/>
    <n v="20834682"/>
    <s v="P29"/>
    <s v="Oui"/>
    <x v="2"/>
    <x v="1"/>
    <s v="CONGO"/>
    <s v="RALFF-CO3672"/>
    <s v="2.2"/>
    <m/>
  </r>
  <r>
    <d v="2022-08-04T00:00:00"/>
    <s v="BCI-37107255231/56"/>
    <s v="Versement"/>
    <m/>
    <n v="2000000"/>
    <m/>
    <n v="22834682"/>
    <s v="Caisse"/>
    <m/>
    <x v="0"/>
    <x v="0"/>
    <m/>
    <m/>
    <m/>
    <m/>
  </r>
  <r>
    <d v="2022-08-04T00:00:00"/>
    <s v="Achat Billet Dolisie-Brazzaville/Crepin IBOUILI"/>
    <s v="Transport"/>
    <s v="Management"/>
    <m/>
    <n v="10000"/>
    <n v="22824682"/>
    <s v="Crépin"/>
    <s v="Oui"/>
    <x v="2"/>
    <x v="1"/>
    <s v="CONGO"/>
    <s v="RALFF-CO3673"/>
    <s v="2.2"/>
    <m/>
  </r>
  <r>
    <d v="2022-08-04T00:00:00"/>
    <s v="CREPIN IBOUILI - CONGO Frais d'Hotel 04 Nuitées du 31/07/ au 04/08/2022 à Dolisie"/>
    <s v="Travel Subsistence"/>
    <s v="Management"/>
    <m/>
    <n v="60000"/>
    <n v="22764682"/>
    <s v="Crépin"/>
    <s v="Oui"/>
    <x v="2"/>
    <x v="1"/>
    <s v="CONGO"/>
    <s v="RALFF-CO3674"/>
    <s v="1.3.2"/>
    <m/>
  </r>
  <r>
    <d v="2022-08-04T00:00:00"/>
    <s v="I23C - CONGO Food allowance mission Dolisie du 4 au 6 août 2022"/>
    <s v="Travel Subsistence"/>
    <s v="Investigation"/>
    <m/>
    <n v="20000"/>
    <n v="22744682"/>
    <s v="i23c"/>
    <s v="Decharge"/>
    <x v="2"/>
    <x v="1"/>
    <s v="CONGO"/>
    <s v="RALFF-CO3675"/>
    <s v="1.3.2"/>
    <m/>
  </r>
  <r>
    <d v="2022-08-04T00:00:00"/>
    <s v="P29 - CONGO Food allowance mission du 04 au 06-08-2022 "/>
    <s v="Travel Subsistence"/>
    <s v="Investigation"/>
    <m/>
    <n v="20000"/>
    <n v="22724682"/>
    <s v="P29"/>
    <s v="Decharge"/>
    <x v="2"/>
    <x v="1"/>
    <s v="CONGO"/>
    <s v="RALFF-CO3676"/>
    <s v="1.3.2"/>
    <m/>
  </r>
  <r>
    <d v="2022-08-05T00:00:00"/>
    <s v="Merveille"/>
    <s v="Versement"/>
    <m/>
    <m/>
    <n v="10000"/>
    <n v="22714682"/>
    <s v="Caisse"/>
    <m/>
    <x v="0"/>
    <x v="0"/>
    <m/>
    <m/>
    <m/>
    <m/>
  </r>
  <r>
    <d v="2022-08-05T00:00:00"/>
    <s v="Reglement Facture Gardiennage Mois de Juillet 2022"/>
    <s v="Services"/>
    <s v="Office"/>
    <m/>
    <n v="260000"/>
    <n v="22454682"/>
    <s v="Caisse"/>
    <s v="Oui"/>
    <x v="1"/>
    <x v="2"/>
    <s v="CONGO"/>
    <m/>
    <m/>
    <m/>
  </r>
  <r>
    <d v="2022-08-05T00:00:00"/>
    <s v="Bonus mois de Juillet 2022/Crepin"/>
    <s v="Bonus"/>
    <s v="Legal"/>
    <m/>
    <n v="50000"/>
    <n v="22404682"/>
    <s v="Caisse"/>
    <s v="Decharge"/>
    <x v="1"/>
    <x v="2"/>
    <s v="CONGO"/>
    <m/>
    <m/>
    <m/>
  </r>
  <r>
    <d v="2022-08-05T00:00:00"/>
    <s v="Hurielle"/>
    <s v="Versement"/>
    <m/>
    <m/>
    <n v="260000"/>
    <n v="22144682"/>
    <s v="Caisse"/>
    <m/>
    <x v="0"/>
    <x v="0"/>
    <m/>
    <m/>
    <m/>
    <m/>
  </r>
  <r>
    <d v="2022-08-05T00:00:00"/>
    <s v="Grace"/>
    <s v="Versement"/>
    <m/>
    <m/>
    <n v="5000"/>
    <n v="22139682"/>
    <s v="Caisse"/>
    <m/>
    <x v="0"/>
    <x v="0"/>
    <m/>
    <m/>
    <m/>
    <m/>
  </r>
  <r>
    <d v="2022-08-05T00:00:00"/>
    <s v="Retrait especes/appro caisse/bord n°3667231"/>
    <s v="Versement"/>
    <m/>
    <m/>
    <n v="2000000"/>
    <n v="20139682"/>
    <s v="BCI-Sous Compte"/>
    <n v="3667231"/>
    <x v="0"/>
    <x v="0"/>
    <m/>
    <m/>
    <m/>
    <m/>
  </r>
  <r>
    <d v="2022-08-05T00:00:00"/>
    <s v="Reçu Caisse/Grace"/>
    <s v="Versement"/>
    <m/>
    <n v="5000"/>
    <m/>
    <n v="20144682"/>
    <s v="Grace"/>
    <m/>
    <x v="0"/>
    <x v="0"/>
    <m/>
    <m/>
    <m/>
    <m/>
  </r>
  <r>
    <d v="2022-08-05T00:00:00"/>
    <s v="Reçu caisse/Merveille"/>
    <s v="Versement"/>
    <m/>
    <n v="10000"/>
    <m/>
    <n v="20154682"/>
    <s v="Merveille"/>
    <m/>
    <x v="0"/>
    <x v="0"/>
    <m/>
    <m/>
    <m/>
    <m/>
  </r>
  <r>
    <d v="2022-08-05T00:00:00"/>
    <s v="Reçu caisse/Hurielle"/>
    <s v="Versement"/>
    <m/>
    <n v="260000"/>
    <m/>
    <n v="20414682"/>
    <s v="Hurielle"/>
    <m/>
    <x v="0"/>
    <x v="0"/>
    <m/>
    <m/>
    <m/>
    <m/>
  </r>
  <r>
    <d v="2022-08-05T00:00:00"/>
    <s v="Achat billet  dolisie-mila mila/P29"/>
    <s v="Transport"/>
    <s v="Investigation"/>
    <m/>
    <n v="5000"/>
    <n v="20409682"/>
    <s v="P29"/>
    <s v="Oui"/>
    <x v="2"/>
    <x v="1"/>
    <s v="CONGO"/>
    <s v="RALFF-CO3677"/>
    <s v="2.2"/>
    <m/>
  </r>
  <r>
    <d v="2022-08-05T00:00:00"/>
    <s v="Achat billet  mila mila-dolisie/P29"/>
    <s v="Transport"/>
    <s v="Investigation"/>
    <m/>
    <n v="5000"/>
    <n v="20404682"/>
    <s v="P29"/>
    <s v="Oui"/>
    <x v="2"/>
    <x v="1"/>
    <s v="CONGO"/>
    <s v="RALFF-CO3678"/>
    <s v="2.2"/>
    <m/>
  </r>
  <r>
    <d v="2022-08-06T00:00:00"/>
    <s v="Achat 03 Ordinateurs Portables + Accessoire (02 Housses)/PALF"/>
    <s v="Equipement"/>
    <s v="Office"/>
    <m/>
    <n v="898222"/>
    <n v="19506460"/>
    <s v="Tiffany"/>
    <s v="Oui"/>
    <x v="2"/>
    <x v="1"/>
    <s v="CONGO"/>
    <s v="RALFF-CO3679"/>
    <s v="3.2"/>
    <m/>
  </r>
  <r>
    <d v="2022-08-06T00:00:00"/>
    <s v="I23C - CONGO Paiement 2 nuitées du 4 au 6 Août 2022 à Dolisie"/>
    <s v="Travel Subsistence"/>
    <s v="Investigation"/>
    <m/>
    <n v="30000"/>
    <n v="19476460"/>
    <s v="i23c"/>
    <s v="Oui"/>
    <x v="2"/>
    <x v="1"/>
    <s v="CONGO"/>
    <s v="RALFF-CO3680"/>
    <s v="1.3.2"/>
    <m/>
  </r>
  <r>
    <d v="2022-08-06T00:00:00"/>
    <s v="Achat billet Dolisie-Brazzaville  / I23C"/>
    <s v="Transport"/>
    <s v="Investigation"/>
    <m/>
    <n v="10000"/>
    <n v="19466460"/>
    <s v="i23c"/>
    <s v="Oui"/>
    <x v="2"/>
    <x v="1"/>
    <s v="CONGO"/>
    <s v="RALFF-CO3681"/>
    <s v="2.2"/>
    <m/>
  </r>
  <r>
    <d v="2022-08-06T00:00:00"/>
    <s v="Achat billet  dolisie-Brazzaville/P29"/>
    <s v="Transport"/>
    <s v="Investigation"/>
    <m/>
    <n v="10000"/>
    <n v="19456460"/>
    <s v="P29"/>
    <s v="Oui"/>
    <x v="2"/>
    <x v="1"/>
    <s v="CONGO"/>
    <s v="RALFF-CO3682"/>
    <s v="2.2"/>
    <m/>
  </r>
  <r>
    <d v="2022-08-06T00:00:00"/>
    <s v="P29 - CONGO Paiement 2 nuitées du 04 au 06-08-2022 à dolisie"/>
    <s v="Travel Subsistence"/>
    <s v="Investigation"/>
    <m/>
    <n v="30000"/>
    <n v="19426460"/>
    <s v="P29"/>
    <s v="Oui"/>
    <x v="2"/>
    <x v="1"/>
    <s v="CONGO"/>
    <s v="RALFF-CO3683"/>
    <s v="1.3.2"/>
    <m/>
  </r>
  <r>
    <d v="2022-08-07T00:00:00"/>
    <s v="Achat billet aller Brazzaville -Dolisie/HURIELLE"/>
    <s v="Transport"/>
    <s v="Legal"/>
    <m/>
    <n v="10000"/>
    <n v="19416460"/>
    <s v="Hurielle"/>
    <s v="Oui"/>
    <x v="2"/>
    <x v="1"/>
    <s v="CONGO"/>
    <s v="RALFF-CO3684"/>
    <s v="2.2"/>
    <m/>
  </r>
  <r>
    <d v="2022-08-07T00:00:00"/>
    <s v="HURIELLE - CONGO Food Allowance du 07 au 12 Août 2022"/>
    <s v="Travel Subsistence"/>
    <s v="Legal"/>
    <m/>
    <n v="50000"/>
    <n v="19366460"/>
    <s v="Hurielle"/>
    <s v="Decharge"/>
    <x v="2"/>
    <x v="1"/>
    <s v="CONGO"/>
    <s v="RALFF-CO3685"/>
    <s v="1.3.2"/>
    <m/>
  </r>
  <r>
    <d v="2022-08-08T00:00:00"/>
    <s v="Achat credit teléphonique MTN/CCU/Danielle"/>
    <s v="Telephone"/>
    <s v="CCU"/>
    <m/>
    <n v="10000"/>
    <n v="19356460"/>
    <s v="Caisse"/>
    <s v="Oui"/>
    <x v="1"/>
    <x v="1"/>
    <s v="CONGO"/>
    <s v="RALFF-CO3686"/>
    <s v="4.6"/>
    <m/>
  </r>
  <r>
    <d v="2022-08-08T00:00:00"/>
    <s v="I23C"/>
    <s v="Versement"/>
    <m/>
    <m/>
    <n v="100000"/>
    <n v="19256460"/>
    <s v="Caisse"/>
    <m/>
    <x v="0"/>
    <x v="0"/>
    <m/>
    <m/>
    <m/>
    <m/>
  </r>
  <r>
    <d v="2022-08-08T00:00:00"/>
    <s v="P29"/>
    <s v="Versement"/>
    <m/>
    <m/>
    <n v="100000"/>
    <n v="19156460"/>
    <s v="Caisse"/>
    <m/>
    <x v="0"/>
    <x v="0"/>
    <m/>
    <m/>
    <m/>
    <m/>
  </r>
  <r>
    <d v="2022-08-08T00:00:00"/>
    <s v="I23C"/>
    <s v="Versement"/>
    <m/>
    <m/>
    <n v="20000"/>
    <n v="19136460"/>
    <s v="Caisse"/>
    <m/>
    <x v="0"/>
    <x v="0"/>
    <m/>
    <m/>
    <m/>
    <m/>
  </r>
  <r>
    <d v="2022-08-08T00:00:00"/>
    <s v="P29"/>
    <s v="Versement"/>
    <m/>
    <m/>
    <n v="10000"/>
    <n v="19126460"/>
    <s v="Caisse"/>
    <m/>
    <x v="0"/>
    <x v="0"/>
    <m/>
    <m/>
    <m/>
    <m/>
  </r>
  <r>
    <d v="2022-08-08T00:00:00"/>
    <s v="Frais bancaire compte 34"/>
    <s v="bank fees"/>
    <s v="Office"/>
    <m/>
    <n v="26008"/>
    <n v="19100452"/>
    <s v="BCI"/>
    <s v="Relevé"/>
    <x v="1"/>
    <x v="2"/>
    <s v="CONGO"/>
    <m/>
    <m/>
    <m/>
  </r>
  <r>
    <d v="2022-08-08T00:00:00"/>
    <s v="HURIELLE - CONGO Frais d'hotel (01 nuitée) à dolisie du 07 au  08/08/2022"/>
    <s v="Travel Subsistence"/>
    <s v="Legal"/>
    <m/>
    <n v="15000"/>
    <n v="19085452"/>
    <s v="Hurielle"/>
    <s v="Oui"/>
    <x v="1"/>
    <x v="1"/>
    <s v="CONGO"/>
    <s v="RALFF-CO3687"/>
    <s v="1.3.2"/>
    <m/>
  </r>
  <r>
    <d v="2022-08-08T00:00:00"/>
    <s v="Achat billet aller Dolisie - Mossendjo/HURIELLE"/>
    <s v="Transport"/>
    <s v="Legal"/>
    <m/>
    <n v="5000"/>
    <n v="19080452"/>
    <s v="Hurielle"/>
    <s v="Oui"/>
    <x v="1"/>
    <x v="1"/>
    <s v="CONGO"/>
    <s v="RALFF-CO3688"/>
    <s v="2.2"/>
    <m/>
  </r>
  <r>
    <d v="2022-08-08T00:00:00"/>
    <s v="Reçu caisse/I23C"/>
    <s v="Versement"/>
    <m/>
    <n v="20000"/>
    <m/>
    <n v="19100452"/>
    <s v="i23c"/>
    <m/>
    <x v="0"/>
    <x v="0"/>
    <m/>
    <m/>
    <m/>
    <m/>
  </r>
  <r>
    <d v="2022-08-08T00:00:00"/>
    <s v="Reçu caisse/I23C"/>
    <s v="Versement"/>
    <m/>
    <n v="100000"/>
    <m/>
    <n v="19200452"/>
    <s v="i23c"/>
    <m/>
    <x v="0"/>
    <x v="0"/>
    <m/>
    <m/>
    <m/>
    <m/>
  </r>
  <r>
    <d v="2022-08-08T00:00:00"/>
    <s v="Achat billet Brazzaville-Ngo/ I23C"/>
    <s v="Transport"/>
    <s v="Investigation"/>
    <m/>
    <n v="6000"/>
    <n v="19194452"/>
    <s v="i23c"/>
    <s v="Oui"/>
    <x v="1"/>
    <x v="1"/>
    <s v="CONGO"/>
    <s v="RALFF-CO3689"/>
    <s v="2.2"/>
    <m/>
  </r>
  <r>
    <d v="2022-08-08T00:00:00"/>
    <s v="Recu de caisse/P29"/>
    <s v="Versement"/>
    <m/>
    <n v="100000"/>
    <m/>
    <n v="19294452"/>
    <s v="P29"/>
    <m/>
    <x v="0"/>
    <x v="0"/>
    <m/>
    <m/>
    <m/>
    <m/>
  </r>
  <r>
    <d v="2022-08-08T00:00:00"/>
    <s v="Recu de caisse/P29"/>
    <s v="Versement"/>
    <m/>
    <n v="10000"/>
    <m/>
    <n v="19304452"/>
    <s v="P29"/>
    <m/>
    <x v="0"/>
    <x v="0"/>
    <m/>
    <m/>
    <m/>
    <m/>
  </r>
  <r>
    <d v="2022-08-08T00:00:00"/>
    <s v="Achat billet brazzaville-oyo/P29"/>
    <s v="Transport"/>
    <s v="Investigation"/>
    <m/>
    <n v="7000"/>
    <n v="19297452"/>
    <s v="P29"/>
    <s v="Oui"/>
    <x v="1"/>
    <x v="1"/>
    <s v="CONGO"/>
    <s v="RALFF-CO3690"/>
    <s v="2.2"/>
    <m/>
  </r>
  <r>
    <d v="2022-08-09T00:00:00"/>
    <s v="Grace/avance sur salaire"/>
    <s v="Versement"/>
    <m/>
    <m/>
    <n v="100000"/>
    <n v="19197452"/>
    <s v="Caisse"/>
    <m/>
    <x v="0"/>
    <x v="0"/>
    <m/>
    <m/>
    <m/>
    <m/>
  </r>
  <r>
    <d v="2022-08-09T00:00:00"/>
    <s v="Fonds reçu de Wildcat"/>
    <s v="Grant"/>
    <m/>
    <n v="12302243"/>
    <m/>
    <n v="31499695"/>
    <s v="BCI"/>
    <s v="Relevé"/>
    <x v="1"/>
    <x v="0"/>
    <s v="CONGO"/>
    <m/>
    <m/>
    <m/>
  </r>
  <r>
    <d v="2022-08-09T00:00:00"/>
    <s v="Reçu caisse/Grace - Avance sur Salaire"/>
    <s v="Versement"/>
    <m/>
    <n v="100000"/>
    <m/>
    <n v="31599695"/>
    <s v="Grace"/>
    <m/>
    <x v="0"/>
    <x v="0"/>
    <m/>
    <m/>
    <m/>
    <m/>
  </r>
  <r>
    <d v="2022-08-09T00:00:00"/>
    <s v="Achat sandales du prévenue"/>
    <s v="Jail visit"/>
    <s v="Legal"/>
    <m/>
    <n v="1000"/>
    <n v="31598695"/>
    <s v="Hurielle"/>
    <s v="Oui"/>
    <x v="1"/>
    <x v="2"/>
    <s v="CONGO"/>
    <m/>
    <m/>
    <m/>
  </r>
  <r>
    <d v="2022-08-09T00:00:00"/>
    <s v="Achat médicament d'urgence de Christine (la prevenue)"/>
    <s v="Jail visit"/>
    <s v="Legal"/>
    <m/>
    <n v="1550"/>
    <n v="31597145"/>
    <s v="Hurielle"/>
    <s v="Oui"/>
    <x v="1"/>
    <x v="2"/>
    <s v="CONGO"/>
    <m/>
    <m/>
    <m/>
  </r>
  <r>
    <d v="2022-08-09T00:00:00"/>
    <s v="Consultation médicale du prévenu Christine et frais des examens"/>
    <s v="Jail visit"/>
    <s v="Legal"/>
    <m/>
    <n v="10000"/>
    <n v="31587145"/>
    <s v="Hurielle"/>
    <s v="Oui"/>
    <x v="1"/>
    <x v="2"/>
    <s v="CONGO"/>
    <m/>
    <m/>
    <m/>
  </r>
  <r>
    <d v="2022-08-09T00:00:00"/>
    <s v="Achat carnet de soin de Christine (la prevenue)"/>
    <s v="Jail visit"/>
    <s v="Legal"/>
    <m/>
    <n v="150"/>
    <n v="31586995"/>
    <s v="Hurielle"/>
    <s v="Oui"/>
    <x v="1"/>
    <x v="2"/>
    <s v="CONGO"/>
    <m/>
    <m/>
    <m/>
  </r>
  <r>
    <d v="2022-08-09T00:00:00"/>
    <s v="I23C - CONGO Food allowance mission du 9 au 14 août 2022"/>
    <s v="Travel Subsistence"/>
    <s v="Investigation"/>
    <m/>
    <n v="50000"/>
    <n v="31536995"/>
    <s v="i23c"/>
    <s v="Decharge"/>
    <x v="1"/>
    <x v="1"/>
    <s v="CONGO"/>
    <s v="RALFF-CO3691"/>
    <s v="1.3.2"/>
    <m/>
  </r>
  <r>
    <d v="2022-08-09T00:00:00"/>
    <s v="Taxi Ngo-Djambla /I23C"/>
    <s v="Transport"/>
    <s v="Investigation"/>
    <m/>
    <n v="4000"/>
    <n v="31532995"/>
    <s v="i23c"/>
    <s v="Oui"/>
    <x v="1"/>
    <x v="1"/>
    <s v="CONGO"/>
    <s v="RALFF-CO3692"/>
    <s v="2.2"/>
    <m/>
  </r>
  <r>
    <d v="2022-08-09T00:00:00"/>
    <s v="P29 - CONGO Food allowance mission du 09 au 14-08-2022 "/>
    <s v="Travel Subsistence"/>
    <s v="Investigation"/>
    <m/>
    <n v="50000"/>
    <n v="31482995"/>
    <s v="P29"/>
    <s v="Decharge"/>
    <x v="1"/>
    <x v="1"/>
    <s v="CONGO"/>
    <s v="RALFF-CO3693"/>
    <s v="1.3.2"/>
    <m/>
  </r>
  <r>
    <d v="2022-08-10T00:00:00"/>
    <s v="Reçu de caisse (avance sur salaire)/Crépin"/>
    <s v="Versement"/>
    <m/>
    <n v="40000"/>
    <m/>
    <n v="31522995"/>
    <s v="Crépin"/>
    <m/>
    <x v="0"/>
    <x v="0"/>
    <m/>
    <m/>
    <m/>
    <m/>
  </r>
  <r>
    <d v="2022-08-10T00:00:00"/>
    <s v="Crépin"/>
    <s v="Versement"/>
    <m/>
    <m/>
    <n v="40000"/>
    <n v="31482995"/>
    <s v="Caisse"/>
    <m/>
    <x v="0"/>
    <x v="0"/>
    <m/>
    <m/>
    <m/>
    <m/>
  </r>
  <r>
    <d v="2022-08-10T00:00:00"/>
    <s v="Achat ampoule et serviette/Bureau PALF"/>
    <s v="Office Materials"/>
    <s v="Office"/>
    <m/>
    <n v="16000"/>
    <n v="31466995"/>
    <s v="Caisse"/>
    <s v="Oui"/>
    <x v="1"/>
    <x v="1"/>
    <s v="CONGO"/>
    <s v="RALFF-CO3694"/>
    <s v="4.3"/>
    <m/>
  </r>
  <r>
    <d v="2022-08-10T00:00:00"/>
    <s v="P29"/>
    <s v="Versement"/>
    <m/>
    <m/>
    <n v="84000"/>
    <n v="31382995"/>
    <s v="Caisse"/>
    <m/>
    <x v="0"/>
    <x v="0"/>
    <m/>
    <m/>
    <m/>
    <m/>
  </r>
  <r>
    <d v="2022-08-10T00:00:00"/>
    <s v="I23C"/>
    <s v="Versement"/>
    <m/>
    <m/>
    <n v="81000"/>
    <n v="31301995"/>
    <s v="Caisse"/>
    <m/>
    <x v="0"/>
    <x v="0"/>
    <m/>
    <m/>
    <m/>
    <m/>
  </r>
  <r>
    <d v="2022-08-10T00:00:00"/>
    <s v="Frais de transfert d'argent à P29 et I23c"/>
    <s v="Transfer fees"/>
    <s v="Office"/>
    <m/>
    <n v="4950"/>
    <n v="31297045"/>
    <s v="Caisse"/>
    <s v="Oui"/>
    <x v="1"/>
    <x v="1"/>
    <s v="CONGO"/>
    <s v="RALFF-CO3695"/>
    <s v="5.6"/>
    <m/>
  </r>
  <r>
    <d v="2022-08-10T00:00:00"/>
    <s v="Reglement facture d'eau (LCDE) période Juillet - Août 2022/Bureau PALF"/>
    <s v="Rent &amp; Utilities"/>
    <s v="Office"/>
    <m/>
    <n v="10448"/>
    <n v="31291547"/>
    <s v="Caisse"/>
    <s v="Oui"/>
    <x v="2"/>
    <x v="1"/>
    <s v="CONGO"/>
    <s v="RALFF-CO3696"/>
    <s v="4.4"/>
    <m/>
  </r>
  <r>
    <d v="2022-08-10T00:00:00"/>
    <s v="Cumul taxes sur Reglement facture d'eau (LCDE) période Juillet - Août 2022/Bureau PALF"/>
    <s v="Rent &amp; Utilities"/>
    <s v="Office"/>
    <m/>
    <n v="2302"/>
    <n v="31294743"/>
    <s v="Caisse"/>
    <s v="Oui"/>
    <x v="1"/>
    <x v="2"/>
    <s v="CONGO"/>
    <m/>
    <m/>
    <m/>
  </r>
  <r>
    <d v="2022-08-10T00:00:00"/>
    <s v="Achat fourniture de bureau/stylo,agrafe,sous chemise,chemise cartonnée,cole et enveloppe"/>
    <s v="Office Materials"/>
    <s v="Office"/>
    <m/>
    <n v="29000"/>
    <n v="31265743"/>
    <s v="Caisse"/>
    <s v="Oui"/>
    <x v="1"/>
    <x v="1"/>
    <s v="CONGO"/>
    <s v="RALFF-CO3697"/>
    <s v="4.3"/>
    <m/>
  </r>
  <r>
    <d v="2022-08-10T00:00:00"/>
    <s v="Reglèment loyer mois de Juillet 2022"/>
    <s v="Rent &amp; Utilities"/>
    <s v="Office"/>
    <m/>
    <n v="500000"/>
    <n v="30765743"/>
    <s v="BCI-Sous Compte"/>
    <n v="3667218"/>
    <x v="2"/>
    <x v="1"/>
    <s v="CONGO"/>
    <s v="RALFF-CO3698"/>
    <s v="4.2"/>
    <m/>
  </r>
  <r>
    <d v="2022-08-10T00:00:00"/>
    <s v="Cumul Frais de Transport Local du Mois de Août 2022/GRACE MOLENDE"/>
    <s v="Transport"/>
    <s v="Management"/>
    <m/>
    <n v="7000"/>
    <n v="30758743"/>
    <s v="Grace"/>
    <s v="Decharge"/>
    <x v="1"/>
    <x v="1"/>
    <s v="CONGO"/>
    <s v="RALFF-CO3699"/>
    <s v="2.2"/>
    <m/>
  </r>
  <r>
    <d v="2022-08-10T00:00:00"/>
    <s v="Achat médicaments de Christine(la prevenue)"/>
    <s v="Jail visit"/>
    <s v="Legal"/>
    <m/>
    <n v="13600"/>
    <n v="30745143"/>
    <s v="Hurielle"/>
    <s v="Oui"/>
    <x v="1"/>
    <x v="2"/>
    <s v="CONGO"/>
    <m/>
    <m/>
    <m/>
  </r>
  <r>
    <d v="2022-08-10T00:00:00"/>
    <s v="I23C - CONGO Paiement 1 nuit du 10 au 11 août 2022 à Djambala "/>
    <s v="Travel Subsistence"/>
    <s v="Investigation"/>
    <m/>
    <n v="15000"/>
    <n v="30730143"/>
    <s v="i23c"/>
    <s v="Oui"/>
    <x v="1"/>
    <x v="1"/>
    <s v="CONGO"/>
    <s v="RALFF-CO3700"/>
    <s v="1.3.2"/>
    <m/>
  </r>
  <r>
    <d v="2022-08-10T00:00:00"/>
    <s v="Taxi Djambala-Lékana / I23C"/>
    <s v="Transport"/>
    <s v="Investigation"/>
    <m/>
    <n v="4000"/>
    <n v="30726143"/>
    <s v="i23c"/>
    <s v="Oui"/>
    <x v="1"/>
    <x v="1"/>
    <s v="CONGO"/>
    <s v="RALFF-CO3701"/>
    <s v="2.2"/>
    <m/>
  </r>
  <r>
    <d v="2022-08-10T00:00:00"/>
    <s v="Reçu caisse/I23C"/>
    <s v="Versement"/>
    <m/>
    <n v="81000"/>
    <m/>
    <n v="30807143"/>
    <s v="i23c"/>
    <m/>
    <x v="0"/>
    <x v="0"/>
    <m/>
    <m/>
    <m/>
    <m/>
  </r>
  <r>
    <d v="2022-08-10T00:00:00"/>
    <s v="Recu de caisse/P29"/>
    <s v="Versement"/>
    <m/>
    <n v="84000"/>
    <m/>
    <n v="30891143"/>
    <s v="P29"/>
    <m/>
    <x v="0"/>
    <x v="0"/>
    <m/>
    <m/>
    <m/>
    <m/>
  </r>
  <r>
    <d v="2022-08-11T00:00:00"/>
    <s v="Achat billet de retour Mossendjo-Dolisie/HURIELLE"/>
    <s v="Transport"/>
    <s v="Legal"/>
    <m/>
    <n v="5000"/>
    <n v="30886143"/>
    <s v="Hurielle"/>
    <s v="Oui"/>
    <x v="1"/>
    <x v="1"/>
    <s v="CONGO"/>
    <s v="RALFF-CO3702"/>
    <s v="2.2"/>
    <m/>
  </r>
  <r>
    <d v="2022-08-11T00:00:00"/>
    <s v="HURIELLE - CONGO Frais d'hotel (03 nuitée) du 08 au 11 Août 2022 à Mossendjo"/>
    <s v="Travel Subsistence"/>
    <s v="Legal"/>
    <m/>
    <n v="45000"/>
    <n v="30841143"/>
    <s v="Hurielle"/>
    <s v="Oui"/>
    <x v="1"/>
    <x v="1"/>
    <s v="CONGO"/>
    <s v="RALFF-CO3703"/>
    <s v="1.3.2"/>
    <m/>
  </r>
  <r>
    <d v="2022-08-11T00:00:00"/>
    <s v="Achat billet de retour Dolisie-Brazzaville/HURIELLE"/>
    <s v="Transport"/>
    <s v="Legal"/>
    <m/>
    <n v="10000"/>
    <n v="30831143"/>
    <s v="Hurielle"/>
    <s v="Oui"/>
    <x v="1"/>
    <x v="1"/>
    <s v="CONGO"/>
    <s v="RALFF-CO3704"/>
    <s v="2.2"/>
    <m/>
  </r>
  <r>
    <d v="2022-08-12T00:00:00"/>
    <s v="Achat 03 Bonbones d'eau minerale/Bureau PALF"/>
    <s v="Office Materials"/>
    <s v="Office"/>
    <m/>
    <n v="13500"/>
    <n v="30817643"/>
    <s v="Caisse"/>
    <s v="Oui"/>
    <x v="1"/>
    <x v="1"/>
    <s v="CONGO"/>
    <s v="RALFF-CO3705"/>
    <s v="4.3"/>
    <m/>
  </r>
  <r>
    <d v="2022-08-12T00:00:00"/>
    <s v="Reglement loyer mois d'Août 2022"/>
    <s v="Rent &amp; Utilities"/>
    <s v="Office"/>
    <m/>
    <n v="500000"/>
    <n v="30317643"/>
    <s v="BCI-Sous Compte"/>
    <n v="3667226"/>
    <x v="2"/>
    <x v="1"/>
    <s v="CONGO"/>
    <s v="RALFF-CO3706"/>
    <s v="4.2"/>
    <m/>
  </r>
  <r>
    <d v="2022-08-12T00:00:00"/>
    <s v="HURIELLE - CONGO Frais d'hotel (01 nuitée) du 11 au 12 Août 2022 à Dolisie"/>
    <s v="Travel Subsistence"/>
    <s v="Legal"/>
    <m/>
    <n v="15000"/>
    <n v="30302643"/>
    <s v="Hurielle"/>
    <s v="Oui"/>
    <x v="1"/>
    <x v="1"/>
    <s v="CONGO"/>
    <s v="RALFF-CO3707"/>
    <s v="1.3.2"/>
    <m/>
  </r>
  <r>
    <d v="2022-08-12T00:00:00"/>
    <s v="I23C - CONGO Paiement 2 nuitées du 10 au 12 août 2022 à Lékana"/>
    <s v="Travel Subsistence"/>
    <s v="Investigation"/>
    <m/>
    <n v="30000"/>
    <n v="30272643"/>
    <s v="i23c"/>
    <s v="Oui"/>
    <x v="1"/>
    <x v="1"/>
    <s v="CONGO"/>
    <s v="RALFF-CO3708"/>
    <s v="1.3.2"/>
    <m/>
  </r>
  <r>
    <d v="2022-08-12T00:00:00"/>
    <s v="Taxi Lékana-Djambala / I23C"/>
    <s v="Transport"/>
    <s v="Investigation"/>
    <m/>
    <n v="4000"/>
    <n v="30268643"/>
    <s v="i23c"/>
    <s v="Oui"/>
    <x v="1"/>
    <x v="1"/>
    <s v="CONGO"/>
    <s v="RALFF-CO3709"/>
    <s v="2.2"/>
    <m/>
  </r>
  <r>
    <d v="2022-08-12T00:00:00"/>
    <s v="Taxi Djambla-Ngo / I23C"/>
    <s v="Transport"/>
    <s v="Investigation"/>
    <m/>
    <n v="4000"/>
    <n v="30264643"/>
    <s v="i23c"/>
    <s v="Oui"/>
    <x v="1"/>
    <x v="1"/>
    <s v="CONGO"/>
    <s v="RALFF-CO3710"/>
    <s v="2.2"/>
    <m/>
  </r>
  <r>
    <d v="2022-08-12T00:00:00"/>
    <s v="P29 - CONGO Paiement 3 nuitées du 09 au 12-08-2022 à oyo"/>
    <s v="Travel Subsistence"/>
    <s v="Investigation"/>
    <m/>
    <n v="45000"/>
    <n v="30219643"/>
    <s v="P29"/>
    <s v="Oui"/>
    <x v="1"/>
    <x v="1"/>
    <s v="CONGO"/>
    <s v="RALFF-CO3711"/>
    <s v="1.3.2"/>
    <m/>
  </r>
  <r>
    <d v="2022-08-12T00:00:00"/>
    <s v="Achat billet oyo-makoua/P29"/>
    <s v="Transport"/>
    <s v="Investigation"/>
    <m/>
    <n v="8000"/>
    <n v="30211643"/>
    <s v="P29"/>
    <s v="Oui"/>
    <x v="1"/>
    <x v="1"/>
    <s v="CONGO"/>
    <s v="RALFF-CO3712"/>
    <s v="2.2"/>
    <m/>
  </r>
  <r>
    <d v="2022-08-13T00:00:00"/>
    <s v="Achat billet makoua- Brazzaville/P29"/>
    <s v="Transport"/>
    <s v="Investigation"/>
    <m/>
    <n v="12000"/>
    <n v="30199643"/>
    <s v="P29"/>
    <s v="Oui"/>
    <x v="1"/>
    <x v="1"/>
    <s v="CONGO"/>
    <s v="RALFF-CO3713"/>
    <s v="2.2"/>
    <m/>
  </r>
  <r>
    <d v="2022-08-14T00:00:00"/>
    <s v="I23C - CONGO Paiement 2 nuitées du 12 au 14 août 2022 à Ngo"/>
    <s v="Travel Subsistence"/>
    <s v="Investigation"/>
    <m/>
    <n v="30000"/>
    <n v="30169643"/>
    <s v="i23c"/>
    <s v="Oui"/>
    <x v="1"/>
    <x v="1"/>
    <s v="CONGO"/>
    <s v="RALFF-CO3714"/>
    <s v="1.3.2"/>
    <m/>
  </r>
  <r>
    <d v="2022-08-14T00:00:00"/>
    <s v="Taxi Ngo-Brazzaville / I23C"/>
    <s v="Transport"/>
    <s v="Investigation"/>
    <m/>
    <n v="6000"/>
    <n v="30163643"/>
    <s v="i23c"/>
    <s v="Oui"/>
    <x v="1"/>
    <x v="1"/>
    <s v="CONGO"/>
    <s v="RALFF-CO3715"/>
    <s v="2.2"/>
    <m/>
  </r>
  <r>
    <d v="2022-08-14T00:00:00"/>
    <s v="P29 - CONGO Paiement 3 nuitées du 12 au 14-08-2022 à makoua"/>
    <s v="Travel Subsistence"/>
    <s v="Investigation"/>
    <m/>
    <n v="30000"/>
    <n v="30133643"/>
    <s v="P29"/>
    <s v="Oui"/>
    <x v="1"/>
    <x v="1"/>
    <s v="CONGO"/>
    <s v="RALFF-CO3716"/>
    <s v="1.3.2"/>
    <m/>
  </r>
  <r>
    <d v="2022-08-16T00:00:00"/>
    <s v="Recu de caisse/P29"/>
    <s v="Versement"/>
    <m/>
    <n v="10000"/>
    <m/>
    <n v="30143643"/>
    <s v="P29"/>
    <m/>
    <x v="0"/>
    <x v="0"/>
    <m/>
    <m/>
    <m/>
    <m/>
  </r>
  <r>
    <d v="2022-08-16T00:00:00"/>
    <s v="Hurielle/Retour Caisse"/>
    <s v="Versement"/>
    <m/>
    <n v="58000"/>
    <m/>
    <n v="30201643"/>
    <s v="Caisse"/>
    <m/>
    <x v="0"/>
    <x v="0"/>
    <m/>
    <m/>
    <m/>
    <m/>
  </r>
  <r>
    <d v="2022-08-16T00:00:00"/>
    <s v="Crépin"/>
    <s v="Versement"/>
    <m/>
    <m/>
    <n v="241000"/>
    <n v="29960643"/>
    <s v="Caisse"/>
    <m/>
    <x v="0"/>
    <x v="0"/>
    <m/>
    <m/>
    <m/>
    <m/>
  </r>
  <r>
    <d v="2022-08-16T00:00:00"/>
    <s v="Frais de mission maitre Marie Hélène à oyo du 17 au 20/08/2022"/>
    <s v="Lawyer fees"/>
    <s v="Legal"/>
    <m/>
    <n v="97000"/>
    <n v="29863643"/>
    <s v="Caisse"/>
    <s v="Oui"/>
    <x v="1"/>
    <x v="1"/>
    <s v="CONGO"/>
    <s v="RALFF-CO3717"/>
    <s v="5.2.2"/>
    <m/>
  </r>
  <r>
    <d v="2022-08-16T00:00:00"/>
    <s v="Achat credit  teléphonique MTN/PALF/Deuxième partie Août 2022/Management"/>
    <s v="Telephone"/>
    <s v="Management "/>
    <m/>
    <n v="10000"/>
    <n v="29853643"/>
    <s v="Caisse"/>
    <s v="Oui"/>
    <x v="1"/>
    <x v="1"/>
    <s v="CONGO"/>
    <s v="RALFF-CO3718"/>
    <s v="4.6"/>
    <m/>
  </r>
  <r>
    <d v="2022-08-16T00:00:00"/>
    <s v="Achat credit  teléphonique MTN/PALF/Deuxième partie Août 2022/Legal"/>
    <s v="Telephone"/>
    <s v="Legal"/>
    <m/>
    <n v="15000"/>
    <n v="29838643"/>
    <s v="Caisse"/>
    <s v="Oui"/>
    <x v="1"/>
    <x v="1"/>
    <s v="CONGO"/>
    <s v="RALFF-CO3719"/>
    <s v="4.6"/>
    <m/>
  </r>
  <r>
    <d v="2022-08-16T00:00:00"/>
    <s v="Achat credit  teléphonique MTN/PALF/Deuxième partie Août 2022/Investigation"/>
    <s v="Telephone"/>
    <s v="Investigation"/>
    <m/>
    <n v="20000"/>
    <n v="29818643"/>
    <s v="Caisse"/>
    <s v="Oui"/>
    <x v="1"/>
    <x v="1"/>
    <s v="CONGO"/>
    <s v="RALFF-CO3720"/>
    <s v="4.6"/>
    <m/>
  </r>
  <r>
    <d v="2022-08-16T00:00:00"/>
    <s v="Achat credit  teléphonique Airtel/PALF/Deuxième partie Aout 2022/Management"/>
    <s v="Telephone"/>
    <s v="Management "/>
    <m/>
    <n v="10000"/>
    <n v="29808643"/>
    <s v="Caisse"/>
    <s v="Oui"/>
    <x v="1"/>
    <x v="1"/>
    <s v="CONGO"/>
    <s v="RALFF-CO3721"/>
    <s v="4.6"/>
    <m/>
  </r>
  <r>
    <d v="2022-08-16T00:00:00"/>
    <s v="Achat credit  teléphonique Airtel/PALF/Deuxième partie Aout 2022/Legal"/>
    <s v="Telephone"/>
    <s v="Legal"/>
    <m/>
    <n v="5000"/>
    <n v="29803643"/>
    <s v="Caisse"/>
    <s v="Oui"/>
    <x v="1"/>
    <x v="1"/>
    <s v="CONGO"/>
    <s v="RALFF-CO3722"/>
    <s v="4.6"/>
    <m/>
  </r>
  <r>
    <d v="2022-08-16T00:00:00"/>
    <s v="Achat credit  teléphonique Airtel/PALF/Deuxième partie Août 2022/Investigation"/>
    <s v="Telephone"/>
    <s v="Investigation"/>
    <m/>
    <n v="10000"/>
    <n v="29793643"/>
    <s v="Caisse"/>
    <s v="Oui"/>
    <x v="1"/>
    <x v="1"/>
    <s v="CONGO"/>
    <s v="RALFF-CO3723"/>
    <s v="4.6"/>
    <m/>
  </r>
  <r>
    <d v="2022-08-16T00:00:00"/>
    <s v="P29"/>
    <s v="Versement"/>
    <m/>
    <m/>
    <n v="10000"/>
    <n v="29783643"/>
    <s v="Caisse"/>
    <m/>
    <x v="0"/>
    <x v="0"/>
    <m/>
    <m/>
    <m/>
    <m/>
  </r>
  <r>
    <d v="2022-08-16T00:00:00"/>
    <s v="I23C"/>
    <s v="Versement"/>
    <m/>
    <m/>
    <n v="15000"/>
    <n v="29768643"/>
    <s v="Caisse"/>
    <m/>
    <x v="0"/>
    <x v="0"/>
    <m/>
    <m/>
    <m/>
    <m/>
  </r>
  <r>
    <d v="2022-08-16T00:00:00"/>
    <s v="I23C/Retour caisse (150$)"/>
    <s v="Versement"/>
    <m/>
    <n v="100000"/>
    <m/>
    <n v="29868643"/>
    <s v="Caisse"/>
    <m/>
    <x v="0"/>
    <x v="0"/>
    <m/>
    <m/>
    <m/>
    <m/>
  </r>
  <r>
    <d v="2022-08-16T00:00:00"/>
    <s v="Reçu de caisse/Crépin"/>
    <s v="Versement"/>
    <m/>
    <n v="241000"/>
    <m/>
    <n v="30109643"/>
    <s v="Crépin"/>
    <m/>
    <x v="0"/>
    <x v="0"/>
    <m/>
    <m/>
    <m/>
    <m/>
  </r>
  <r>
    <d v="2022-08-16T00:00:00"/>
    <s v="Achat billet Brazzaville-Oyo/Crepin IBOUILI"/>
    <s v="Transport"/>
    <s v="Management"/>
    <m/>
    <n v="7000"/>
    <n v="30102643"/>
    <s v="Crépin"/>
    <s v="Oui"/>
    <x v="1"/>
    <x v="1"/>
    <s v="CONGO"/>
    <s v="RALFF-CO3724"/>
    <s v="2.2"/>
    <m/>
  </r>
  <r>
    <d v="2022-08-16T00:00:00"/>
    <s v="Retour caisse/Hurielle"/>
    <s v="Versement"/>
    <m/>
    <m/>
    <n v="58000"/>
    <n v="30044643"/>
    <s v="Hurielle"/>
    <m/>
    <x v="0"/>
    <x v="0"/>
    <m/>
    <m/>
    <m/>
    <m/>
  </r>
  <r>
    <d v="2022-08-16T00:00:00"/>
    <s v="Retour Caisse de 150$ (100000)/I23C"/>
    <s v="Versement"/>
    <m/>
    <m/>
    <n v="100000"/>
    <n v="29944643"/>
    <s v="i23c"/>
    <m/>
    <x v="0"/>
    <x v="0"/>
    <m/>
    <m/>
    <m/>
    <m/>
  </r>
  <r>
    <d v="2022-08-16T00:00:00"/>
    <s v="Reçu caisse/I23C"/>
    <s v="Versement"/>
    <m/>
    <n v="15000"/>
    <m/>
    <n v="29959643"/>
    <s v="i23c"/>
    <m/>
    <x v="0"/>
    <x v="0"/>
    <m/>
    <m/>
    <m/>
    <m/>
  </r>
  <r>
    <d v="2022-08-17T00:00:00"/>
    <s v="P29"/>
    <s v="Versement"/>
    <m/>
    <m/>
    <n v="10000"/>
    <n v="29949643"/>
    <s v="Caisse"/>
    <m/>
    <x v="0"/>
    <x v="0"/>
    <m/>
    <m/>
    <m/>
    <m/>
  </r>
  <r>
    <d v="2022-08-17T00:00:00"/>
    <s v="Entretien groupe electrogène et charge batterie"/>
    <s v="Rent &amp; Utilities"/>
    <s v="Office"/>
    <m/>
    <n v="5000"/>
    <n v="29944643"/>
    <s v="Caisse"/>
    <s v="Oui"/>
    <x v="1"/>
    <x v="2"/>
    <s v="CONGO"/>
    <m/>
    <m/>
    <m/>
  </r>
  <r>
    <d v="2022-08-17T00:00:00"/>
    <s v="CREPIN IBOUILI - CONGO Food-Allowance du 17 au 20/08/2022 à Oyo"/>
    <s v="Travel Subsistence"/>
    <s v="Management"/>
    <m/>
    <n v="30000"/>
    <n v="29914643"/>
    <s v="Crépin"/>
    <s v="Oui"/>
    <x v="1"/>
    <x v="1"/>
    <s v="CONGO"/>
    <s v="RALFF-CO3725"/>
    <s v="1.3.2"/>
    <m/>
  </r>
  <r>
    <d v="2022-08-17T00:00:00"/>
    <s v="Recu de caisse/P29"/>
    <s v="Versement"/>
    <m/>
    <n v="10000"/>
    <m/>
    <n v="29924643"/>
    <s v="P29"/>
    <m/>
    <x v="0"/>
    <x v="0"/>
    <m/>
    <m/>
    <m/>
    <m/>
  </r>
  <r>
    <d v="2022-08-18T00:00:00"/>
    <s v="P29"/>
    <s v="Versement"/>
    <m/>
    <m/>
    <n v="13000"/>
    <n v="29911643"/>
    <s v="Caisse"/>
    <m/>
    <x v="0"/>
    <x v="0"/>
    <m/>
    <m/>
    <m/>
    <m/>
  </r>
  <r>
    <d v="2022-08-18T00:00:00"/>
    <s v="I23C"/>
    <s v="Versement"/>
    <m/>
    <m/>
    <n v="25000"/>
    <n v="29886643"/>
    <s v="Caisse"/>
    <m/>
    <x v="0"/>
    <x v="0"/>
    <m/>
    <m/>
    <m/>
    <m/>
  </r>
  <r>
    <d v="2022-08-18T00:00:00"/>
    <s v="Reçu caisse/I23C"/>
    <s v="Versement"/>
    <m/>
    <n v="25000"/>
    <m/>
    <n v="29911643"/>
    <s v="i23c"/>
    <m/>
    <x v="0"/>
    <x v="0"/>
    <m/>
    <m/>
    <m/>
    <m/>
  </r>
  <r>
    <d v="2022-08-18T00:00:00"/>
    <s v="Recu de caisse/P29"/>
    <s v="Versement"/>
    <m/>
    <n v="13000"/>
    <m/>
    <n v="29924643"/>
    <s v="P29"/>
    <m/>
    <x v="0"/>
    <x v="0"/>
    <m/>
    <m/>
    <m/>
    <m/>
  </r>
  <r>
    <d v="2022-08-19T00:00:00"/>
    <s v="Hurielle"/>
    <s v="Versement"/>
    <m/>
    <m/>
    <n v="6000"/>
    <n v="29918643"/>
    <s v="Caisse"/>
    <m/>
    <x v="0"/>
    <x v="0"/>
    <m/>
    <m/>
    <m/>
    <m/>
  </r>
  <r>
    <d v="2022-08-19T00:00:00"/>
    <s v="P29"/>
    <s v="Versement"/>
    <m/>
    <m/>
    <n v="110000"/>
    <n v="29808643"/>
    <s v="Caisse"/>
    <m/>
    <x v="0"/>
    <x v="0"/>
    <m/>
    <m/>
    <m/>
    <m/>
  </r>
  <r>
    <d v="2022-08-19T00:00:00"/>
    <s v="Frais achat médocs de KAMBA André"/>
    <s v="Jail visit"/>
    <s v="Legal"/>
    <m/>
    <n v="7000"/>
    <n v="29801643"/>
    <s v="Crépin"/>
    <s v="Oui"/>
    <x v="1"/>
    <x v="2"/>
    <s v="CONGO"/>
    <m/>
    <m/>
    <m/>
  </r>
  <r>
    <d v="2022-08-19T00:00:00"/>
    <s v="Achat Billet Oyo-Brazzaville/Crepin IBOUILI"/>
    <s v="Transport"/>
    <s v="Management"/>
    <m/>
    <n v="7000"/>
    <n v="29794643"/>
    <s v="Crépin"/>
    <s v="Oui"/>
    <x v="1"/>
    <x v="1"/>
    <s v="CONGO"/>
    <s v="RALFF-CO3726"/>
    <s v="2.2"/>
    <m/>
  </r>
  <r>
    <d v="2022-08-19T00:00:00"/>
    <s v="Cumul frais de Jail visits du mois de Août 2022/Crépin"/>
    <s v="Jail visit"/>
    <s v="Legal"/>
    <m/>
    <n v="34000"/>
    <n v="29760643"/>
    <s v="Crépin"/>
    <s v="Decharge"/>
    <x v="1"/>
    <x v="2"/>
    <s v="CONGO"/>
    <m/>
    <m/>
    <m/>
  </r>
  <r>
    <d v="2022-08-19T00:00:00"/>
    <s v="Cumul frais de Jail Visits du mois de Aout 2022/Hurielle MFOULOU"/>
    <s v="Jail visit"/>
    <s v="Legal"/>
    <m/>
    <n v="11000"/>
    <n v="29749643"/>
    <s v="Hurielle"/>
    <s v="Decharge"/>
    <x v="1"/>
    <x v="2"/>
    <s v="CONGO"/>
    <m/>
    <m/>
    <m/>
  </r>
  <r>
    <d v="2022-08-19T00:00:00"/>
    <s v="Reçu caisse/Hurielle"/>
    <s v="Versement"/>
    <m/>
    <n v="6000"/>
    <m/>
    <n v="29755643"/>
    <s v="Hurielle"/>
    <m/>
    <x v="0"/>
    <x v="0"/>
    <m/>
    <m/>
    <m/>
    <m/>
  </r>
  <r>
    <d v="2022-08-19T00:00:00"/>
    <s v="Taxi Brazzaville-Kinkala / I23C"/>
    <s v="Transport"/>
    <s v="Investigation"/>
    <m/>
    <n v="4000"/>
    <n v="29751643"/>
    <s v="i23c"/>
    <s v="Oui"/>
    <x v="1"/>
    <x v="1"/>
    <s v="CONGO"/>
    <s v="RALFF-CO3727"/>
    <s v="2.2"/>
    <m/>
  </r>
  <r>
    <d v="2022-08-19T00:00:00"/>
    <s v="Taxi Kinkala-Boko / I23C"/>
    <s v="Transport"/>
    <s v="Investigation"/>
    <m/>
    <n v="6000"/>
    <n v="29745643"/>
    <s v="i23c"/>
    <s v="Oui"/>
    <x v="1"/>
    <x v="1"/>
    <s v="CONGO"/>
    <s v="RALFF-CO3728"/>
    <s v="2.2"/>
    <m/>
  </r>
  <r>
    <d v="2022-08-19T00:00:00"/>
    <s v="Taxi Boko-Kinkala (départ pour Kinkala) / I23C"/>
    <s v="Transport"/>
    <s v="Investigation"/>
    <m/>
    <n v="6000"/>
    <n v="29739643"/>
    <s v="i23c"/>
    <s v="Oui"/>
    <x v="1"/>
    <x v="1"/>
    <s v="CONGO"/>
    <s v="RALFF-CO3729"/>
    <s v="2.2"/>
    <m/>
  </r>
  <r>
    <d v="2022-08-19T00:00:00"/>
    <s v="Taxi Kinkala- Brazzaville (départ pour Brazzaville) / I23C"/>
    <s v="Transport"/>
    <s v="Investigation"/>
    <m/>
    <n v="4000"/>
    <n v="29735643"/>
    <s v="i23c"/>
    <s v="Oui"/>
    <x v="1"/>
    <x v="1"/>
    <s v="CONGO"/>
    <s v="RALFF-CO3730"/>
    <s v="2.2"/>
    <m/>
  </r>
  <r>
    <d v="2022-08-19T00:00:00"/>
    <s v="Recu de caisse/P29"/>
    <s v="Versement"/>
    <m/>
    <n v="110000"/>
    <m/>
    <n v="29845643"/>
    <s v="P29"/>
    <m/>
    <x v="0"/>
    <x v="0"/>
    <m/>
    <m/>
    <m/>
    <m/>
  </r>
  <r>
    <d v="2022-08-20T00:00:00"/>
    <s v="CREPIN IBOUILI - CONGO Frais d'Hotel 03 Nuitées du 17 au 20/08/2022 à Oyo"/>
    <s v="Travel Subsistence"/>
    <s v="Management"/>
    <m/>
    <n v="45000"/>
    <n v="29800643"/>
    <s v="Crépin"/>
    <s v="Oui"/>
    <x v="1"/>
    <x v="1"/>
    <s v="CONGO"/>
    <s v="RALFF-CO3731"/>
    <s v="1.3.2"/>
    <m/>
  </r>
  <r>
    <d v="2022-08-20T00:00:00"/>
    <s v="Achat billet Brazzaville -Pointe Noire /P29"/>
    <s v="Transport"/>
    <s v="Investigation"/>
    <m/>
    <n v="15000"/>
    <n v="29785643"/>
    <s v="P29"/>
    <s v="Oui"/>
    <x v="1"/>
    <x v="1"/>
    <s v="CONGO"/>
    <s v="RALFF-CO3732"/>
    <s v="2.2"/>
    <m/>
  </r>
  <r>
    <d v="2022-08-22T00:00:00"/>
    <s v="recharge batterie et transport techniciens"/>
    <s v="Rent &amp; Utilities"/>
    <s v="Office"/>
    <m/>
    <n v="3000"/>
    <n v="29782643"/>
    <s v="Caisse"/>
    <s v="Oui"/>
    <x v="1"/>
    <x v="2"/>
    <s v="CONGO"/>
    <m/>
    <m/>
    <m/>
  </r>
  <r>
    <d v="2022-08-22T00:00:00"/>
    <s v="I23C"/>
    <s v="Versement"/>
    <m/>
    <m/>
    <n v="13000"/>
    <n v="29769643"/>
    <s v="Caisse"/>
    <m/>
    <x v="0"/>
    <x v="0"/>
    <m/>
    <m/>
    <m/>
    <m/>
  </r>
  <r>
    <d v="2022-08-22T00:00:00"/>
    <s v="Crépin/Retour caisse"/>
    <s v="Versement"/>
    <m/>
    <n v="60000"/>
    <m/>
    <n v="29829643"/>
    <s v="Caisse"/>
    <m/>
    <x v="0"/>
    <x v="0"/>
    <m/>
    <m/>
    <m/>
    <m/>
  </r>
  <r>
    <d v="2022-08-22T00:00:00"/>
    <s v="I23C"/>
    <s v="Versement"/>
    <m/>
    <m/>
    <n v="15000"/>
    <n v="29814643"/>
    <s v="Caisse"/>
    <m/>
    <x v="0"/>
    <x v="0"/>
    <m/>
    <m/>
    <m/>
    <m/>
  </r>
  <r>
    <d v="2022-08-22T00:00:00"/>
    <s v="Achat billet Brazzaville-Pointe Noire / I23C"/>
    <s v="Transport"/>
    <s v="Investigation"/>
    <m/>
    <n v="15000"/>
    <n v="29799643"/>
    <s v="i23c"/>
    <s v="Oui"/>
    <x v="1"/>
    <x v="1"/>
    <s v="CONGO"/>
    <s v="RALFF-CO3733"/>
    <s v="2.2"/>
    <m/>
  </r>
  <r>
    <d v="2022-08-22T00:00:00"/>
    <s v="I23C"/>
    <s v="Versement"/>
    <m/>
    <m/>
    <n v="90000"/>
    <n v="29709643"/>
    <s v="Caisse"/>
    <m/>
    <x v="0"/>
    <x v="0"/>
    <m/>
    <m/>
    <m/>
    <m/>
  </r>
  <r>
    <d v="2022-08-22T00:00:00"/>
    <s v="BCI-3654491-34"/>
    <s v="Versement"/>
    <m/>
    <n v="1000000"/>
    <m/>
    <n v="30709643"/>
    <s v="Caisse"/>
    <m/>
    <x v="0"/>
    <x v="0"/>
    <m/>
    <m/>
    <m/>
    <m/>
  </r>
  <r>
    <d v="2022-08-22T00:00:00"/>
    <s v="Retrait especes/appro caisse/bord n°3654491"/>
    <s v="Versement"/>
    <m/>
    <m/>
    <n v="1000000"/>
    <n v="29709643"/>
    <s v="BCI"/>
    <n v="3654491"/>
    <x v="0"/>
    <x v="0"/>
    <m/>
    <m/>
    <m/>
    <m/>
  </r>
  <r>
    <d v="2022-08-22T00:00:00"/>
    <s v="Retour caisse/Crépin"/>
    <s v="Versement"/>
    <m/>
    <m/>
    <n v="60000"/>
    <n v="29649643"/>
    <s v="Crépin"/>
    <m/>
    <x v="0"/>
    <x v="0"/>
    <m/>
    <m/>
    <m/>
    <m/>
  </r>
  <r>
    <d v="2022-08-22T00:00:00"/>
    <s v="Reçu caisse/I23C"/>
    <s v="Versement"/>
    <m/>
    <n v="15000"/>
    <m/>
    <n v="29664643"/>
    <s v="i23c"/>
    <m/>
    <x v="0"/>
    <x v="0"/>
    <m/>
    <m/>
    <m/>
    <m/>
  </r>
  <r>
    <d v="2022-08-22T00:00:00"/>
    <s v="Reçu caisse/I23C"/>
    <s v="Versement"/>
    <m/>
    <n v="13000"/>
    <m/>
    <n v="29677643"/>
    <s v="i23c"/>
    <m/>
    <x v="0"/>
    <x v="0"/>
    <m/>
    <m/>
    <m/>
    <m/>
  </r>
  <r>
    <d v="2022-08-22T00:00:00"/>
    <s v="Reçu caisse/I23C"/>
    <s v="Versement"/>
    <m/>
    <n v="90000"/>
    <m/>
    <n v="29767643"/>
    <s v="i23c"/>
    <m/>
    <x v="0"/>
    <x v="0"/>
    <m/>
    <m/>
    <m/>
    <m/>
  </r>
  <r>
    <d v="2022-08-22T00:00:00"/>
    <s v="P29 - CONGO Food allowance mission du 22 au 28-08-2022 "/>
    <s v="Travel Subsistence"/>
    <s v="Investigation"/>
    <m/>
    <n v="60000"/>
    <n v="29707643"/>
    <s v="P29"/>
    <s v="Decharge"/>
    <x v="1"/>
    <x v="1"/>
    <s v="CONGO"/>
    <s v="RALFF-CO3734"/>
    <s v="1.3.2"/>
    <m/>
  </r>
  <r>
    <d v="2022-08-23T00:00:00"/>
    <s v="Cumul frais Transport Local du mois de Août 2022/Crépin"/>
    <s v="Transport"/>
    <s v="Management"/>
    <m/>
    <n v="23000"/>
    <n v="29684643"/>
    <s v="Crépin"/>
    <s v="Decharge"/>
    <x v="1"/>
    <x v="1"/>
    <s v="CONGO"/>
    <s v="RALFF-CO3735"/>
    <s v="2.2"/>
    <m/>
  </r>
  <r>
    <d v="2022-08-24T00:00:00"/>
    <s v="Frais de transfert charden farell à P29"/>
    <s v="Transfer fees"/>
    <s v="Office"/>
    <m/>
    <n v="3240"/>
    <n v="29681403"/>
    <s v="Caisse"/>
    <s v="Oui"/>
    <x v="1"/>
    <x v="1"/>
    <s v="CONGO"/>
    <s v="RALFF-CO3736"/>
    <s v="5.6"/>
    <m/>
  </r>
  <r>
    <d v="2022-08-24T00:00:00"/>
    <s v="P29"/>
    <s v="Versement"/>
    <m/>
    <m/>
    <n v="108000"/>
    <n v="29573403"/>
    <s v="Caisse"/>
    <m/>
    <x v="0"/>
    <x v="0"/>
    <m/>
    <m/>
    <m/>
    <m/>
  </r>
  <r>
    <d v="2022-08-24T00:00:00"/>
    <s v="I23C - CONGO Food allowance mission Pointe Noire du 24 au 28 Août 2022"/>
    <s v="Travel Subsistence"/>
    <s v="Investigation"/>
    <m/>
    <n v="40000"/>
    <n v="29533403"/>
    <s v="i23c"/>
    <s v="Decharge"/>
    <x v="1"/>
    <x v="1"/>
    <s v="CONGO"/>
    <s v="RALFF-CO3737"/>
    <s v="1.3.2"/>
    <m/>
  </r>
  <r>
    <d v="2022-08-24T00:00:00"/>
    <s v="Recu de caisse/P29"/>
    <s v="Versement"/>
    <m/>
    <n v="108000"/>
    <m/>
    <n v="29641403"/>
    <s v="P29"/>
    <m/>
    <x v="0"/>
    <x v="0"/>
    <m/>
    <m/>
    <m/>
    <m/>
  </r>
  <r>
    <d v="2022-08-25T00:00:00"/>
    <s v="Collation pour départ  Danielle MBUI"/>
    <s v="Personnel "/>
    <s v="Team Bulding"/>
    <m/>
    <n v="50000"/>
    <n v="29591403"/>
    <s v="Caisse"/>
    <s v="Oui"/>
    <x v="1"/>
    <x v="2"/>
    <s v="CONGO"/>
    <m/>
    <m/>
    <m/>
  </r>
  <r>
    <d v="2022-08-25T00:00:00"/>
    <s v="Crepin"/>
    <s v="Versement"/>
    <m/>
    <n v="47000"/>
    <m/>
    <n v="29638403"/>
    <s v="Caisse"/>
    <m/>
    <x v="0"/>
    <x v="0"/>
    <m/>
    <m/>
    <m/>
    <m/>
  </r>
  <r>
    <d v="2022-08-25T00:00:00"/>
    <s v="Paiement salaire mois d'Août 2022/Crepin IBOUILI IBOUILI"/>
    <s v="Personnel"/>
    <s v="Legal"/>
    <m/>
    <n v="357982"/>
    <n v="29280421"/>
    <s v="BCI-Sous Compte"/>
    <n v="3667222"/>
    <x v="1"/>
    <x v="1"/>
    <s v="CONGO"/>
    <s v="RALFF-CO3738"/>
    <s v="1.1.1.7"/>
    <m/>
  </r>
  <r>
    <d v="2022-08-25T00:00:00"/>
    <s v="Paiement salaire mois d'Août 2022/Hurielle MFOULOU"/>
    <s v="Personnel"/>
    <s v="Legal"/>
    <m/>
    <n v="200000"/>
    <n v="29080421"/>
    <s v="BCI-Sous Compte"/>
    <n v="3667223"/>
    <x v="2"/>
    <x v="1"/>
    <s v="CONGO"/>
    <s v="RALFF-CO3739"/>
    <s v="1.1.1.7"/>
    <m/>
  </r>
  <r>
    <d v="2022-08-25T00:00:00"/>
    <s v="Paiement salaire mois d'Août 2022/Grace MOLENDE"/>
    <s v="Personnel"/>
    <s v="Management"/>
    <m/>
    <n v="350000"/>
    <n v="28730421"/>
    <s v="BCI-Sous Compte"/>
    <n v="3667224"/>
    <x v="2"/>
    <x v="1"/>
    <s v="CONGO"/>
    <s v="RALFF-CO3740"/>
    <s v="1.1.2.1"/>
    <m/>
  </r>
  <r>
    <d v="2022-08-25T00:00:00"/>
    <s v="Paiement salaire mois d'Aout 2022/Merveille MAHANGA"/>
    <s v="Personnel"/>
    <s v="Management"/>
    <m/>
    <n v="300000"/>
    <n v="28430421"/>
    <s v="BCI-Sous Compte"/>
    <n v="3667225"/>
    <x v="2"/>
    <x v="1"/>
    <s v="CONGO"/>
    <s v="RALFF-CO3741"/>
    <s v="1.1.2.1"/>
    <m/>
  </r>
  <r>
    <d v="2022-08-25T00:00:00"/>
    <s v="Achat Appareil photo + Accessoire (Batterie, carte mémoire et Sac )/PALF"/>
    <s v="Equipement"/>
    <s v="Office"/>
    <m/>
    <n v="554257"/>
    <n v="27876164"/>
    <s v="Tiffany"/>
    <s v="Oui"/>
    <x v="2"/>
    <x v="1"/>
    <s v="CONGO"/>
    <s v="RALFF-CO3742"/>
    <s v="3.2"/>
    <m/>
  </r>
  <r>
    <d v="2022-08-25T00:00:00"/>
    <s v="Achat 04 Disque dure Exterme WD Elements + 04 Pochette pour disque dure/PALF"/>
    <s v="Equipement"/>
    <s v="Office"/>
    <m/>
    <n v="298113"/>
    <n v="27578051"/>
    <s v="Tiffany"/>
    <s v="Oui"/>
    <x v="1"/>
    <x v="1"/>
    <s v="CONGO"/>
    <s v="RALFF-CO3743"/>
    <s v="3.2"/>
    <m/>
  </r>
  <r>
    <d v="2022-08-25T00:00:00"/>
    <s v="Retour caisse/Crépin"/>
    <s v="Versement"/>
    <m/>
    <m/>
    <n v="47000"/>
    <n v="27531051"/>
    <s v="Crépin"/>
    <m/>
    <x v="0"/>
    <x v="0"/>
    <m/>
    <m/>
    <m/>
    <m/>
  </r>
  <r>
    <d v="2022-08-26T00:00:00"/>
    <s v="Achat billet Pointe Noire-dolisie/P29"/>
    <s v="Transport"/>
    <s v="Investigation"/>
    <m/>
    <n v="5000"/>
    <n v="27526051"/>
    <s v="P29"/>
    <s v="Oui"/>
    <x v="1"/>
    <x v="1"/>
    <s v="CONGO"/>
    <s v="RALFF-CO3744"/>
    <s v="2.2"/>
    <m/>
  </r>
  <r>
    <d v="2022-08-26T00:00:00"/>
    <s v="Frais de transfert charden farell à I23c"/>
    <s v="Transfer fees"/>
    <s v="Office"/>
    <m/>
    <n v="1920"/>
    <n v="27524131"/>
    <s v="Caisse"/>
    <s v="Oui"/>
    <x v="1"/>
    <x v="1"/>
    <s v="CONGO"/>
    <s v="RALFF-CO3745"/>
    <s v="5.6"/>
    <m/>
  </r>
  <r>
    <d v="2022-08-26T00:00:00"/>
    <s v="Merveille"/>
    <s v="Versement"/>
    <m/>
    <m/>
    <n v="10000"/>
    <n v="27514131"/>
    <s v="Caisse"/>
    <m/>
    <x v="0"/>
    <x v="0"/>
    <m/>
    <m/>
    <m/>
    <m/>
  </r>
  <r>
    <d v="2022-08-26T00:00:00"/>
    <s v="I23C"/>
    <s v="Versement"/>
    <m/>
    <m/>
    <n v="64000"/>
    <n v="27450131"/>
    <s v="Caisse"/>
    <m/>
    <x v="0"/>
    <x v="0"/>
    <m/>
    <m/>
    <m/>
    <m/>
  </r>
  <r>
    <d v="2022-08-26T00:00:00"/>
    <s v="Reglement prestation Entretient bureau Mois d'Août 2022/Odile"/>
    <s v="Services"/>
    <s v="Office"/>
    <m/>
    <n v="75625"/>
    <n v="27374506"/>
    <s v="Caisse"/>
    <s v="Oui"/>
    <x v="1"/>
    <x v="2"/>
    <s v="CONGO"/>
    <m/>
    <m/>
    <m/>
  </r>
  <r>
    <d v="2022-08-26T00:00:00"/>
    <s v="Fonds reçu de Wildcat"/>
    <s v="Grant"/>
    <m/>
    <n v="6318119"/>
    <m/>
    <n v="33692625"/>
    <s v="BCI"/>
    <s v="Relevé"/>
    <x v="1"/>
    <x v="0"/>
    <s v="CONGO"/>
    <m/>
    <m/>
    <m/>
  </r>
  <r>
    <d v="2022-08-26T00:00:00"/>
    <s v="Fonds reçu de ECF"/>
    <s v="Grant"/>
    <m/>
    <n v="6318118"/>
    <m/>
    <n v="40010743"/>
    <s v="BCI"/>
    <s v="Relevé"/>
    <x v="3"/>
    <x v="0"/>
    <s v="CONGO"/>
    <m/>
    <m/>
    <m/>
  </r>
  <r>
    <d v="2022-08-26T00:00:00"/>
    <s v="P29 - CONGO Paiement 4 nuitées du 22 au 26-08-2022 à Pointe Noire"/>
    <s v="Travel Subsistence"/>
    <s v="Investigation"/>
    <m/>
    <n v="60000"/>
    <n v="33632625"/>
    <s v="P29"/>
    <s v="Oui"/>
    <x v="1"/>
    <x v="1"/>
    <s v="CONGO"/>
    <s v="RALFF-CO3746"/>
    <s v="1.3.2"/>
    <m/>
  </r>
  <r>
    <d v="2022-08-26T00:00:00"/>
    <s v="Reçu caisse/Merveille"/>
    <s v="Versement"/>
    <m/>
    <n v="10000"/>
    <m/>
    <n v="33642625"/>
    <s v="Merveille"/>
    <m/>
    <x v="0"/>
    <x v="0"/>
    <m/>
    <m/>
    <m/>
    <m/>
  </r>
  <r>
    <d v="2022-08-26T00:00:00"/>
    <s v="Reçu caisse/I23C"/>
    <s v="Versement"/>
    <m/>
    <n v="64000"/>
    <m/>
    <n v="33706625"/>
    <s v="i23c"/>
    <m/>
    <x v="0"/>
    <x v="0"/>
    <m/>
    <m/>
    <m/>
    <m/>
  </r>
  <r>
    <d v="2022-08-27T00:00:00"/>
    <s v="Achat billet Pointe-Noire-Brazzaville / I23C"/>
    <s v="Transport"/>
    <s v="Investigation"/>
    <m/>
    <n v="15000"/>
    <n v="33691625"/>
    <s v="i23c"/>
    <s v="Oui"/>
    <x v="1"/>
    <x v="1"/>
    <s v="CONGO"/>
    <s v="RALFF-CO3747"/>
    <s v="2.2"/>
    <m/>
  </r>
  <r>
    <d v="2022-08-27T00:00:00"/>
    <s v="Cumul frais de trust Bulding du mois d'Août 2022/I23C"/>
    <s v="Trust building"/>
    <s v="Investigation"/>
    <m/>
    <n v="28000"/>
    <n v="33663625"/>
    <s v="i23c"/>
    <s v="Decharge"/>
    <x v="1"/>
    <x v="2"/>
    <s v="CONGO"/>
    <m/>
    <m/>
    <m/>
  </r>
  <r>
    <d v="2022-08-27T00:00:00"/>
    <s v="Cumul Frais de Trust Bulding du Mois d'Août 2022/P29"/>
    <s v="Trust building"/>
    <s v="Investigation"/>
    <m/>
    <n v="37000"/>
    <n v="33626625"/>
    <s v="P29"/>
    <s v="Decharge"/>
    <x v="1"/>
    <x v="2"/>
    <s v="CONGO"/>
    <m/>
    <m/>
    <m/>
  </r>
  <r>
    <d v="2022-08-28T00:00:00"/>
    <s v="I23C - CONGO Paiement 4 nuitées du 24 au 28 Août 2022 à Pointe Noire"/>
    <s v="Travel Subsistence"/>
    <s v="Investigation"/>
    <m/>
    <n v="60000"/>
    <n v="33566625"/>
    <s v="i23c"/>
    <s v="Oui"/>
    <x v="1"/>
    <x v="1"/>
    <s v="CONGO"/>
    <s v="RALFF-CO3748"/>
    <s v="1.3.2"/>
    <m/>
  </r>
  <r>
    <d v="2022-08-28T00:00:00"/>
    <s v="Cumul frais de transport local du mois d'Août 2022/I23C"/>
    <s v="Transport"/>
    <s v="Investigation"/>
    <m/>
    <n v="83000"/>
    <n v="33483625"/>
    <s v="i23c"/>
    <s v="Decharge"/>
    <x v="1"/>
    <x v="1"/>
    <s v="CONGO"/>
    <s v="RALFF-CO3749"/>
    <s v="2.2"/>
    <m/>
  </r>
  <r>
    <d v="2022-08-28T00:00:00"/>
    <s v="P29 - CONGO Paiement 2 nuitées du 26 au 28-08-2022 à dolisie"/>
    <s v="Travel Subsistence"/>
    <s v="Investigation"/>
    <m/>
    <n v="30000"/>
    <n v="33453625"/>
    <s v="P29"/>
    <s v="Oui"/>
    <x v="1"/>
    <x v="1"/>
    <s v="CONGO"/>
    <s v="RALFF-CO3750"/>
    <s v="1.3.2"/>
    <m/>
  </r>
  <r>
    <d v="2022-08-28T00:00:00"/>
    <s v="Achat billet dolisie-Brazzaville/P29"/>
    <s v="Transport"/>
    <s v="Investigation"/>
    <m/>
    <n v="10000"/>
    <n v="33443625"/>
    <s v="P29"/>
    <s v="Oui"/>
    <x v="1"/>
    <x v="1"/>
    <s v="CONGO"/>
    <s v="RALFF-CO3751"/>
    <s v="2.2"/>
    <m/>
  </r>
  <r>
    <d v="2022-08-28T00:00:00"/>
    <s v="Cumul Frais de Transport Local du Mois d'Août 2022/P29"/>
    <s v="Transport"/>
    <s v="Investigation"/>
    <m/>
    <n v="84800"/>
    <n v="33358825"/>
    <s v="P29"/>
    <s v="Decharge"/>
    <x v="1"/>
    <x v="1"/>
    <s v="CONGO"/>
    <s v="RALFF-CO3752"/>
    <s v="2.2"/>
    <m/>
  </r>
  <r>
    <d v="2022-08-29T00:00:00"/>
    <s v="Frais de Test covid Tiffany/retour au CONGO"/>
    <s v="Travel Expense"/>
    <s v="Management"/>
    <m/>
    <n v="24651"/>
    <n v="33334174"/>
    <s v="Tiffany"/>
    <s v="Oui"/>
    <x v="1"/>
    <x v="2"/>
    <s v="CONGO"/>
    <m/>
    <m/>
    <m/>
  </r>
  <r>
    <d v="2022-08-30T00:00:00"/>
    <s v="Reglement frais d' internet mois de Septembre 2022/Canal Box"/>
    <s v="Internet"/>
    <s v="Office"/>
    <m/>
    <n v="45050"/>
    <n v="33289124"/>
    <s v="Caisse"/>
    <s v="Oui"/>
    <x v="1"/>
    <x v="1"/>
    <s v="CONGO"/>
    <s v="RALFF-CO3753"/>
    <s v="4.5"/>
    <m/>
  </r>
  <r>
    <d v="2022-08-30T00:00:00"/>
    <s v="P29"/>
    <s v="Versement"/>
    <m/>
    <m/>
    <n v="15000"/>
    <n v="33274124"/>
    <s v="Caisse"/>
    <m/>
    <x v="0"/>
    <x v="0"/>
    <m/>
    <m/>
    <m/>
    <m/>
  </r>
  <r>
    <d v="2022-08-30T00:00:00"/>
    <s v="Recu de caisse/P29"/>
    <s v="Versement"/>
    <m/>
    <n v="15000"/>
    <m/>
    <n v="33289124"/>
    <s v="P29"/>
    <m/>
    <x v="0"/>
    <x v="0"/>
    <m/>
    <m/>
    <m/>
    <m/>
  </r>
  <r>
    <d v="2022-08-31T00:00:00"/>
    <s v="Cumul frais de Transport Local mois de Août  2022/Hurielle MFOULOU"/>
    <s v="Transport"/>
    <s v="Legal"/>
    <m/>
    <n v="21500"/>
    <n v="33267624"/>
    <s v="Hurielle"/>
    <s v="Decharge"/>
    <x v="1"/>
    <x v="1"/>
    <s v="CONGO"/>
    <s v="RALFF-CO3754"/>
    <s v="2.2"/>
    <m/>
  </r>
  <r>
    <d v="2022-08-31T00:00:00"/>
    <s v="I23c"/>
    <s v="Versement"/>
    <m/>
    <n v="1550"/>
    <m/>
    <n v="33269174"/>
    <s v="Caisse"/>
    <m/>
    <x v="0"/>
    <x v="0"/>
    <m/>
    <m/>
    <m/>
    <m/>
  </r>
  <r>
    <d v="2022-08-31T00:00:00"/>
    <s v="Entretretien général Jardin, Bureau PALF Mois d'Août 2022"/>
    <s v="Services"/>
    <s v="Office"/>
    <m/>
    <n v="20000"/>
    <n v="33249174"/>
    <s v="Caisse"/>
    <s v="Oui"/>
    <x v="1"/>
    <x v="2"/>
    <s v="CONGO"/>
    <m/>
    <m/>
    <m/>
  </r>
  <r>
    <d v="2022-08-31T00:00:00"/>
    <s v="Reglement Facture Gardiennage Mois d'Aout 2022/3654496"/>
    <s v="Services"/>
    <s v="Office"/>
    <m/>
    <n v="260000"/>
    <n v="32989174"/>
    <s v="BCI"/>
    <n v="3654496"/>
    <x v="1"/>
    <x v="2"/>
    <s v="CONGO"/>
    <m/>
    <m/>
    <m/>
  </r>
  <r>
    <d v="2022-08-31T00:00:00"/>
    <s v="Cumul frais de transport local mois de Août 2022 /Tiffany GOBERT"/>
    <s v="Transport"/>
    <s v="Management"/>
    <m/>
    <n v="2000"/>
    <n v="32987174"/>
    <s v="Tiffany"/>
    <s v="Decharge"/>
    <x v="1"/>
    <x v="1"/>
    <s v="CONGO"/>
    <s v="RALFF-CO3755"/>
    <s v="2.2"/>
    <m/>
  </r>
  <r>
    <d v="2022-08-31T00:00:00"/>
    <s v="Cumul frais de transport local mois d'août 2022/Merveille"/>
    <s v="Transport"/>
    <s v="Management"/>
    <m/>
    <n v="19000"/>
    <n v="32968174"/>
    <s v="Merveille"/>
    <s v="Decharge"/>
    <x v="1"/>
    <x v="1"/>
    <s v="CONGO"/>
    <s v="RALFF-CO3756"/>
    <s v="2.2"/>
    <m/>
  </r>
  <r>
    <d v="2022-08-31T00:00:00"/>
    <s v="Retour Caisse/I23C"/>
    <s v="Versement"/>
    <m/>
    <m/>
    <n v="1550"/>
    <n v="32966624"/>
    <s v="i23c"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0">
  <r>
    <d v="2022-08-01T00:00:00"/>
    <s v="Solde au 01/08/2022"/>
    <x v="0"/>
    <m/>
    <m/>
    <m/>
    <n v="23525884"/>
    <x v="0"/>
    <m/>
    <m/>
    <m/>
    <m/>
    <m/>
    <m/>
    <m/>
  </r>
  <r>
    <d v="2022-08-01T00:00:00"/>
    <s v="BCI-37107255251/56"/>
    <x v="1"/>
    <m/>
    <n v="600000"/>
    <m/>
    <n v="24125884"/>
    <x v="1"/>
    <m/>
    <m/>
    <m/>
    <m/>
    <m/>
    <m/>
    <m/>
  </r>
  <r>
    <d v="2022-08-01T00:00:00"/>
    <s v="Crépin"/>
    <x v="1"/>
    <m/>
    <m/>
    <n v="291250"/>
    <n v="23834634"/>
    <x v="1"/>
    <m/>
    <m/>
    <m/>
    <m/>
    <m/>
    <m/>
    <m/>
  </r>
  <r>
    <d v="2022-08-01T00:00:00"/>
    <s v="Frais de transfert d'argent à Crépin"/>
    <x v="2"/>
    <s v="Office"/>
    <m/>
    <n v="9790"/>
    <n v="23824844"/>
    <x v="1"/>
    <s v="Oui"/>
    <s v="Wildcat"/>
    <s v="RALFF"/>
    <s v="CONGO"/>
    <s v="RALFF-CO3655"/>
    <s v="5.6"/>
    <m/>
  </r>
  <r>
    <d v="2022-08-01T00:00:00"/>
    <s v="Reglement prestation Entretient bureau Mois de Juillet  2022/Odile"/>
    <x v="3"/>
    <s v="Office"/>
    <m/>
    <n v="75625"/>
    <n v="23749219"/>
    <x v="1"/>
    <s v="Oui"/>
    <s v="Wildcat"/>
    <s v="PALF"/>
    <s v="CONGO"/>
    <m/>
    <m/>
    <m/>
  </r>
  <r>
    <d v="2022-08-01T00:00:00"/>
    <s v="Hurielle/Retour Caisse"/>
    <x v="1"/>
    <m/>
    <n v="30000"/>
    <m/>
    <n v="23779219"/>
    <x v="1"/>
    <m/>
    <m/>
    <m/>
    <m/>
    <m/>
    <m/>
    <m/>
  </r>
  <r>
    <d v="2022-08-01T00:00:00"/>
    <s v="P29/Retour Caisse /Av sur Salaire"/>
    <x v="1"/>
    <m/>
    <n v="50000"/>
    <m/>
    <n v="23829219"/>
    <x v="1"/>
    <m/>
    <m/>
    <m/>
    <m/>
    <m/>
    <m/>
    <m/>
  </r>
  <r>
    <d v="2022-08-01T00:00:00"/>
    <s v="Achat credit  teléphonique MTN/PALF/Prémière partie Août 2022/Management"/>
    <x v="4"/>
    <s v="Management "/>
    <m/>
    <n v="22000"/>
    <n v="23807219"/>
    <x v="1"/>
    <s v="Oui"/>
    <s v="Wildcat"/>
    <s v="RALFF"/>
    <s v="CONGO"/>
    <s v="RALFF-CO3656"/>
    <s v="4.6"/>
    <m/>
  </r>
  <r>
    <d v="2022-08-01T00:00:00"/>
    <s v="Achat credit  teléphonique MTN/PALF/Prémière partie Août 2022/Legal"/>
    <x v="4"/>
    <s v="Legal"/>
    <m/>
    <n v="32000"/>
    <n v="23775219"/>
    <x v="1"/>
    <s v="Oui"/>
    <s v="Wildcat"/>
    <s v="RALFF"/>
    <s v="CONGO"/>
    <s v="RALFF-CO3657"/>
    <s v="4.6"/>
    <m/>
  </r>
  <r>
    <d v="2022-08-01T00:00:00"/>
    <s v="Achat credit  teléphonique MTN/PALF/Prémière partie Août 2022/Investigation"/>
    <x v="4"/>
    <s v="Investigation"/>
    <m/>
    <n v="20000"/>
    <n v="23755219"/>
    <x v="1"/>
    <s v="Oui"/>
    <s v="Wildcat"/>
    <s v="RALFF"/>
    <s v="CONGO"/>
    <s v="RALFF-CO3658"/>
    <s v="4.6"/>
    <m/>
  </r>
  <r>
    <d v="2022-08-01T00:00:00"/>
    <s v="Achat credit  teléphonique Airtel/PALF/Prémière partie Aout 2022/Management"/>
    <x v="4"/>
    <s v="Management "/>
    <m/>
    <n v="10000"/>
    <n v="23745219"/>
    <x v="1"/>
    <s v="Oui"/>
    <s v="Wildcat"/>
    <s v="RALFF"/>
    <s v="CONGO"/>
    <s v="RALFF-CO3659"/>
    <s v="4.6"/>
    <m/>
  </r>
  <r>
    <d v="2022-08-01T00:00:00"/>
    <s v="Achat credit  teléphonique Airtel/PALF/Prémière partie Aout 2022/Legal"/>
    <x v="4"/>
    <s v="Legal"/>
    <m/>
    <n v="10000"/>
    <n v="23735219"/>
    <x v="1"/>
    <s v="Oui"/>
    <s v="Wildcat"/>
    <s v="RALFF"/>
    <s v="CONGO"/>
    <s v="RALFF-CO3660"/>
    <s v="4.6"/>
    <m/>
  </r>
  <r>
    <d v="2022-08-01T00:00:00"/>
    <s v="Achat credit  teléphonique Airtel/PALF/Prémière partie Août 2022/Investigation"/>
    <x v="4"/>
    <s v="Investigation"/>
    <m/>
    <n v="32000"/>
    <n v="23703219"/>
    <x v="1"/>
    <s v="Oui"/>
    <s v="Wildcat"/>
    <s v="RALFF"/>
    <s v="CONGO"/>
    <s v="RALFF-CO3661"/>
    <s v="4.6"/>
    <m/>
  </r>
  <r>
    <d v="2022-08-01T00:00:00"/>
    <s v="P29"/>
    <x v="1"/>
    <m/>
    <m/>
    <n v="25000"/>
    <n v="23678219"/>
    <x v="1"/>
    <m/>
    <m/>
    <m/>
    <m/>
    <m/>
    <m/>
    <m/>
  </r>
  <r>
    <d v="2022-08-01T00:00:00"/>
    <s v="Retrait especes/appro caisse/bord n°3667230"/>
    <x v="1"/>
    <m/>
    <m/>
    <n v="600000"/>
    <n v="23078219"/>
    <x v="2"/>
    <n v="3667230"/>
    <m/>
    <m/>
    <m/>
    <m/>
    <m/>
    <m/>
  </r>
  <r>
    <d v="2022-08-01T00:00:00"/>
    <s v="Paiement salaire mois de Juillet 2022/Crepin IBOUILI IBOUILI"/>
    <x v="5"/>
    <s v="Legal"/>
    <m/>
    <n v="357982"/>
    <n v="22720237"/>
    <x v="2"/>
    <n v="3667213"/>
    <s v="UE"/>
    <s v="RALFF"/>
    <s v="CONGO"/>
    <s v="RALFF-CO3662"/>
    <s v="1.1.1.7"/>
    <m/>
  </r>
  <r>
    <d v="2022-08-01T00:00:00"/>
    <s v="Paiement salaire mois de Juillet 2022/Grace MOLENDE"/>
    <x v="5"/>
    <s v="Management"/>
    <m/>
    <n v="350000"/>
    <n v="22370237"/>
    <x v="2"/>
    <n v="3667214"/>
    <s v="UE"/>
    <s v="RALFF"/>
    <s v="CONGO"/>
    <s v="RALFF-CO3663"/>
    <s v="1.1.2.1"/>
    <m/>
  </r>
  <r>
    <d v="2022-08-01T00:00:00"/>
    <s v="Paiement salaire mois de Juillet 2022/Hurielle MFOULOU"/>
    <x v="5"/>
    <s v="Legal"/>
    <m/>
    <n v="200000"/>
    <n v="22170237"/>
    <x v="2"/>
    <n v="3667215"/>
    <s v="UE"/>
    <s v="RALFF"/>
    <s v="CONGO"/>
    <s v="RALFF-CO3664"/>
    <s v="1.1.1.7"/>
    <m/>
  </r>
  <r>
    <d v="2022-08-01T00:00:00"/>
    <s v="Paiement salaire mois de Juillet 2022/Merveille MAHANGA"/>
    <x v="5"/>
    <s v="Management"/>
    <m/>
    <n v="300000"/>
    <n v="21870237"/>
    <x v="2"/>
    <n v="3667216"/>
    <s v="UE"/>
    <s v="RALFF"/>
    <s v="CONGO"/>
    <s v="RALFF-CO3665"/>
    <s v="1.1.2.1"/>
    <m/>
  </r>
  <r>
    <d v="2022-08-01T00:00:00"/>
    <s v="Paiement congés et  salaire mois de Juillet 2022/Evariste LELOUSSI"/>
    <x v="5"/>
    <s v="Media"/>
    <m/>
    <n v="344901"/>
    <n v="21525336"/>
    <x v="2"/>
    <n v="3667217"/>
    <s v="UE"/>
    <s v="RALFF"/>
    <s v="CONGO"/>
    <s v="RALFF-CO3666"/>
    <s v="1.1.1.4"/>
    <m/>
  </r>
  <r>
    <d v="2022-08-01T00:00:00"/>
    <s v="Reglement facture honoraire du mois de Juillet 2022/P29/chq n°3667218"/>
    <x v="5"/>
    <s v="Investigation"/>
    <m/>
    <n v="225000"/>
    <n v="21300336"/>
    <x v="2"/>
    <n v="3667218"/>
    <s v="UE"/>
    <s v="RALFF"/>
    <s v="CONGO"/>
    <s v="RALFF-CO3667"/>
    <s v="1.1.1.9"/>
    <m/>
  </r>
  <r>
    <d v="2022-08-01T00:00:00"/>
    <s v="Reglement facture honoraire du mois de Juillet 2022/I23C/chq n°366719"/>
    <x v="5"/>
    <s v="Investigation"/>
    <m/>
    <n v="450000"/>
    <n v="20850336"/>
    <x v="2"/>
    <n v="3667219"/>
    <s v="UE"/>
    <s v="RALFF"/>
    <s v="CONGO"/>
    <s v="RALFF-CO3668"/>
    <s v="1.1.1.9"/>
    <m/>
  </r>
  <r>
    <d v="2022-08-01T00:00:00"/>
    <s v="Frais bancaire compte 56"/>
    <x v="6"/>
    <s v="Office"/>
    <m/>
    <n v="17364"/>
    <n v="20832972"/>
    <x v="2"/>
    <s v="Relevé"/>
    <s v="UE"/>
    <s v="RALFF"/>
    <s v="CONGO"/>
    <s v="RALFF-CO3669"/>
    <s v="5.6"/>
    <m/>
  </r>
  <r>
    <d v="2022-08-01T00:00:00"/>
    <s v="Reçu de caisse/Crépin"/>
    <x v="1"/>
    <m/>
    <n v="291250"/>
    <m/>
    <n v="21124222"/>
    <x v="3"/>
    <m/>
    <m/>
    <m/>
    <m/>
    <m/>
    <m/>
    <m/>
  </r>
  <r>
    <d v="2022-08-01T00:00:00"/>
    <s v="Frais achat Fournitures de la procédure (Rames + Chemises cartonnées)"/>
    <x v="7"/>
    <s v="Legal"/>
    <m/>
    <n v="5000"/>
    <n v="21119222"/>
    <x v="3"/>
    <s v="Oui"/>
    <s v="Wildcat"/>
    <s v="PALF"/>
    <s v="CONGO"/>
    <m/>
    <m/>
    <m/>
  </r>
  <r>
    <d v="2022-08-01T00:00:00"/>
    <s v="Frais impression des photos au labo pour la planche photographique"/>
    <x v="7"/>
    <s v="Legal"/>
    <m/>
    <n v="3200"/>
    <n v="21116022"/>
    <x v="3"/>
    <s v="Oui"/>
    <s v="Wildcat"/>
    <s v="PALF"/>
    <s v="CONGO"/>
    <m/>
    <m/>
    <m/>
  </r>
  <r>
    <d v="2022-08-01T00:00:00"/>
    <s v="Frais impression de la procédure"/>
    <x v="7"/>
    <s v="Legal"/>
    <m/>
    <n v="6000"/>
    <n v="21110022"/>
    <x v="3"/>
    <s v="Oui"/>
    <s v="Wildcat"/>
    <s v="PALF"/>
    <s v="CONGO"/>
    <m/>
    <m/>
    <m/>
  </r>
  <r>
    <d v="2022-08-01T00:00:00"/>
    <s v="Frais de carburant pour la mission de Mossendjo"/>
    <x v="8"/>
    <s v="Operation"/>
    <m/>
    <n v="71250"/>
    <n v="21038772"/>
    <x v="3"/>
    <s v="Oui"/>
    <s v="Wildcat"/>
    <s v="PALF"/>
    <s v="CONGO"/>
    <m/>
    <m/>
    <m/>
  </r>
  <r>
    <d v="2022-08-01T00:00:00"/>
    <s v="Achat raffraichissement opération"/>
    <x v="9"/>
    <s v="Operation"/>
    <m/>
    <n v="9250"/>
    <n v="21029522"/>
    <x v="3"/>
    <s v="Oui"/>
    <s v="Wildcat"/>
    <s v="PALF"/>
    <s v="CONGO"/>
    <m/>
    <m/>
    <m/>
  </r>
  <r>
    <d v="2022-08-01T00:00:00"/>
    <s v="Retour caisse/Hurielle"/>
    <x v="1"/>
    <m/>
    <m/>
    <n v="30000"/>
    <n v="20999522"/>
    <x v="4"/>
    <m/>
    <m/>
    <m/>
    <m/>
    <m/>
    <m/>
    <m/>
  </r>
  <r>
    <d v="2022-08-01T00:00:00"/>
    <s v="Retour  caisse/P29 - Solde Avance sur Salaire"/>
    <x v="1"/>
    <m/>
    <m/>
    <n v="50000"/>
    <n v="20949522"/>
    <x v="5"/>
    <m/>
    <m/>
    <m/>
    <m/>
    <m/>
    <m/>
    <m/>
  </r>
  <r>
    <d v="2022-08-01T00:00:00"/>
    <s v="Recu de caisse/P29"/>
    <x v="1"/>
    <m/>
    <n v="25000"/>
    <m/>
    <n v="20974522"/>
    <x v="5"/>
    <m/>
    <m/>
    <m/>
    <m/>
    <m/>
    <m/>
    <m/>
  </r>
  <r>
    <d v="2022-08-02T00:00:00"/>
    <s v="Bonus mois de Juillet 2022/Hurielle"/>
    <x v="10"/>
    <s v="Legal"/>
    <m/>
    <n v="15000"/>
    <n v="20959522"/>
    <x v="1"/>
    <s v="Decharge"/>
    <s v="Wildcat"/>
    <s v="PALF"/>
    <s v="CONGO"/>
    <m/>
    <m/>
    <m/>
  </r>
  <r>
    <d v="2022-08-02T00:00:00"/>
    <s v="Frais reparation de la roue"/>
    <x v="8"/>
    <s v="Operation"/>
    <m/>
    <n v="2500"/>
    <n v="20957022"/>
    <x v="3"/>
    <s v="Oui"/>
    <s v="Wildcat"/>
    <s v="PALF"/>
    <s v="CONGO"/>
    <m/>
    <m/>
    <m/>
  </r>
  <r>
    <d v="2022-08-02T00:00:00"/>
    <s v="Alimentation de 5 gendarmes et 03 agents EF pendant la mission sur Mossendjo"/>
    <x v="9"/>
    <s v="Operation"/>
    <m/>
    <n v="21500"/>
    <n v="20935522"/>
    <x v="3"/>
    <s v="Oui"/>
    <s v="Wildcat"/>
    <s v="PALF"/>
    <s v="CONGO"/>
    <m/>
    <m/>
    <m/>
  </r>
  <r>
    <d v="2022-08-02T00:00:00"/>
    <s v="Bonus de 5 gendarmes après le deférement à Mossendjo"/>
    <x v="10"/>
    <s v="Operation"/>
    <m/>
    <n v="50000"/>
    <n v="20885522"/>
    <x v="3"/>
    <s v="Oui"/>
    <s v="Wildcat"/>
    <s v="PALF"/>
    <s v="CONGO"/>
    <m/>
    <m/>
    <m/>
  </r>
  <r>
    <d v="2022-08-02T00:00:00"/>
    <s v="Bonus de 03 agents EF après la mission sur Mossendjo"/>
    <x v="10"/>
    <s v="Operation"/>
    <m/>
    <n v="30000"/>
    <n v="20855522"/>
    <x v="3"/>
    <s v="Oui"/>
    <s v="Wildcat"/>
    <s v="PALF"/>
    <s v="CONGO"/>
    <m/>
    <m/>
    <m/>
  </r>
  <r>
    <d v="2022-08-03T00:00:00"/>
    <s v="Crépin"/>
    <x v="1"/>
    <m/>
    <m/>
    <n v="28000"/>
    <n v="20827522"/>
    <x v="1"/>
    <m/>
    <m/>
    <m/>
    <m/>
    <m/>
    <m/>
    <m/>
  </r>
  <r>
    <d v="2022-08-03T00:00:00"/>
    <s v="Frais de transfert d'argent à Crépin"/>
    <x v="2"/>
    <s v="Office"/>
    <m/>
    <n v="840"/>
    <n v="20826682"/>
    <x v="1"/>
    <s v="Oui"/>
    <s v="UE"/>
    <s v="RALFF"/>
    <s v="CONGO"/>
    <s v="RALFF-CO3670"/>
    <s v="5.6"/>
    <m/>
  </r>
  <r>
    <d v="2022-08-03T00:00:00"/>
    <s v="P29"/>
    <x v="1"/>
    <m/>
    <m/>
    <n v="93000"/>
    <n v="20733682"/>
    <x v="1"/>
    <m/>
    <m/>
    <m/>
    <m/>
    <m/>
    <m/>
    <m/>
  </r>
  <r>
    <d v="2022-08-03T00:00:00"/>
    <s v="I23C"/>
    <x v="1"/>
    <m/>
    <m/>
    <n v="83000"/>
    <n v="20650682"/>
    <x v="1"/>
    <m/>
    <m/>
    <m/>
    <m/>
    <m/>
    <m/>
    <m/>
  </r>
  <r>
    <d v="2022-08-03T00:00:00"/>
    <s v="Reçu de caisse/Crépin"/>
    <x v="1"/>
    <m/>
    <n v="28000"/>
    <m/>
    <n v="20678682"/>
    <x v="3"/>
    <m/>
    <m/>
    <m/>
    <m/>
    <m/>
    <m/>
    <m/>
  </r>
  <r>
    <d v="2022-08-03T00:00:00"/>
    <s v="Achat billet Brazzaville-Dolisie / I23C"/>
    <x v="8"/>
    <s v="Investigation"/>
    <m/>
    <n v="10000"/>
    <n v="20668682"/>
    <x v="6"/>
    <s v="Oui"/>
    <s v="UE"/>
    <s v="RALFF"/>
    <s v="CONGO"/>
    <s v="RALFF-CO3671"/>
    <s v="2.2"/>
    <m/>
  </r>
  <r>
    <d v="2022-08-03T00:00:00"/>
    <s v="Reçu caisse/I23C"/>
    <x v="1"/>
    <m/>
    <n v="83000"/>
    <m/>
    <n v="20751682"/>
    <x v="6"/>
    <m/>
    <m/>
    <m/>
    <m/>
    <m/>
    <m/>
    <m/>
  </r>
  <r>
    <d v="2022-08-03T00:00:00"/>
    <s v="Recu de caisse/P29"/>
    <x v="1"/>
    <m/>
    <n v="93000"/>
    <m/>
    <n v="20844682"/>
    <x v="5"/>
    <m/>
    <m/>
    <m/>
    <m/>
    <m/>
    <m/>
    <m/>
  </r>
  <r>
    <d v="2022-08-03T00:00:00"/>
    <s v="Achat billet  brazzaville- dolisie/P29"/>
    <x v="8"/>
    <s v="Investigation"/>
    <m/>
    <n v="10000"/>
    <n v="20834682"/>
    <x v="5"/>
    <s v="Oui"/>
    <s v="UE"/>
    <s v="RALFF"/>
    <s v="CONGO"/>
    <s v="RALFF-CO3672"/>
    <s v="2.2"/>
    <m/>
  </r>
  <r>
    <d v="2022-08-04T00:00:00"/>
    <s v="BCI-37107255231/56"/>
    <x v="1"/>
    <m/>
    <n v="2000000"/>
    <m/>
    <n v="22834682"/>
    <x v="1"/>
    <m/>
    <m/>
    <m/>
    <m/>
    <m/>
    <m/>
    <m/>
  </r>
  <r>
    <d v="2022-08-04T00:00:00"/>
    <s v="Achat Billet Dolisie-Brazzaville/Crepin IBOUILI"/>
    <x v="8"/>
    <s v="Management"/>
    <m/>
    <n v="10000"/>
    <n v="22824682"/>
    <x v="3"/>
    <s v="Oui"/>
    <s v="UE"/>
    <s v="RALFF"/>
    <s v="CONGO"/>
    <s v="RALFF-CO3673"/>
    <s v="2.2"/>
    <m/>
  </r>
  <r>
    <d v="2022-08-04T00:00:00"/>
    <s v="CREPIN IBOUILI - CONGO Frais d'Hotel 04 Nuitées du 31/07/ au 04/08/2022 à Dolisie"/>
    <x v="9"/>
    <s v="Management"/>
    <m/>
    <n v="60000"/>
    <n v="22764682"/>
    <x v="3"/>
    <s v="Oui"/>
    <s v="UE"/>
    <s v="RALFF"/>
    <s v="CONGO"/>
    <s v="RALFF-CO3674"/>
    <s v="1.3.2"/>
    <m/>
  </r>
  <r>
    <d v="2022-08-04T00:00:00"/>
    <s v="I23C - CONGO Food allowance mission Dolisie du 4 au 6 août 2022"/>
    <x v="9"/>
    <s v="Investigation"/>
    <m/>
    <n v="20000"/>
    <n v="22744682"/>
    <x v="6"/>
    <s v="Decharge"/>
    <s v="UE"/>
    <s v="RALFF"/>
    <s v="CONGO"/>
    <s v="RALFF-CO3675"/>
    <s v="1.3.2"/>
    <m/>
  </r>
  <r>
    <d v="2022-08-04T00:00:00"/>
    <s v="P29 - CONGO Food allowance mission du 04 au 06-08-2022 "/>
    <x v="9"/>
    <s v="Investigation"/>
    <m/>
    <n v="20000"/>
    <n v="22724682"/>
    <x v="5"/>
    <s v="Decharge"/>
    <s v="UE"/>
    <s v="RALFF"/>
    <s v="CONGO"/>
    <s v="RALFF-CO3676"/>
    <s v="1.3.2"/>
    <m/>
  </r>
  <r>
    <d v="2022-08-05T00:00:00"/>
    <s v="Merveille"/>
    <x v="1"/>
    <m/>
    <m/>
    <n v="10000"/>
    <n v="22714682"/>
    <x v="1"/>
    <m/>
    <m/>
    <m/>
    <m/>
    <m/>
    <m/>
    <m/>
  </r>
  <r>
    <d v="2022-08-05T00:00:00"/>
    <s v="Reglement Facture Gardiennage Mois de Juillet 2022"/>
    <x v="3"/>
    <s v="Office"/>
    <m/>
    <n v="260000"/>
    <n v="22454682"/>
    <x v="1"/>
    <s v="Oui"/>
    <s v="Wildcat"/>
    <s v="PALF"/>
    <s v="CONGO"/>
    <m/>
    <m/>
    <m/>
  </r>
  <r>
    <d v="2022-08-05T00:00:00"/>
    <s v="Bonus mois de Juillet 2022/Crepin"/>
    <x v="10"/>
    <s v="Legal"/>
    <m/>
    <n v="50000"/>
    <n v="22404682"/>
    <x v="1"/>
    <s v="Decharge"/>
    <s v="Wildcat"/>
    <s v="PALF"/>
    <s v="CONGO"/>
    <m/>
    <m/>
    <m/>
  </r>
  <r>
    <d v="2022-08-05T00:00:00"/>
    <s v="Hurielle"/>
    <x v="1"/>
    <m/>
    <m/>
    <n v="260000"/>
    <n v="22144682"/>
    <x v="1"/>
    <m/>
    <m/>
    <m/>
    <m/>
    <m/>
    <m/>
    <m/>
  </r>
  <r>
    <d v="2022-08-05T00:00:00"/>
    <s v="Grace"/>
    <x v="1"/>
    <m/>
    <m/>
    <n v="5000"/>
    <n v="22139682"/>
    <x v="1"/>
    <m/>
    <m/>
    <m/>
    <m/>
    <m/>
    <m/>
    <m/>
  </r>
  <r>
    <d v="2022-08-05T00:00:00"/>
    <s v="Retrait especes/appro caisse/bord n°3667231"/>
    <x v="1"/>
    <m/>
    <m/>
    <n v="2000000"/>
    <n v="20139682"/>
    <x v="2"/>
    <n v="3667231"/>
    <m/>
    <m/>
    <m/>
    <m/>
    <m/>
    <m/>
  </r>
  <r>
    <d v="2022-08-05T00:00:00"/>
    <s v="Reçu Caisse/Grace"/>
    <x v="1"/>
    <m/>
    <n v="5000"/>
    <m/>
    <n v="20144682"/>
    <x v="7"/>
    <m/>
    <m/>
    <m/>
    <m/>
    <m/>
    <m/>
    <m/>
  </r>
  <r>
    <d v="2022-08-05T00:00:00"/>
    <s v="Reçu caisse/Merveille"/>
    <x v="1"/>
    <m/>
    <n v="10000"/>
    <m/>
    <n v="20154682"/>
    <x v="8"/>
    <m/>
    <m/>
    <m/>
    <m/>
    <m/>
    <m/>
    <m/>
  </r>
  <r>
    <d v="2022-08-05T00:00:00"/>
    <s v="Reçu caisse/Hurielle"/>
    <x v="1"/>
    <m/>
    <n v="260000"/>
    <m/>
    <n v="20414682"/>
    <x v="4"/>
    <m/>
    <m/>
    <m/>
    <m/>
    <m/>
    <m/>
    <m/>
  </r>
  <r>
    <d v="2022-08-05T00:00:00"/>
    <s v="Achat billet  dolisie-mila mila/P29"/>
    <x v="8"/>
    <s v="Investigation"/>
    <m/>
    <n v="5000"/>
    <n v="20409682"/>
    <x v="5"/>
    <s v="Oui"/>
    <s v="UE"/>
    <s v="RALFF"/>
    <s v="CONGO"/>
    <s v="RALFF-CO3677"/>
    <s v="2.2"/>
    <m/>
  </r>
  <r>
    <d v="2022-08-05T00:00:00"/>
    <s v="Achat billet  mila mila-dolisie/P29"/>
    <x v="8"/>
    <s v="Investigation"/>
    <m/>
    <n v="5000"/>
    <n v="20404682"/>
    <x v="5"/>
    <s v="Oui"/>
    <s v="UE"/>
    <s v="RALFF"/>
    <s v="CONGO"/>
    <s v="RALFF-CO3678"/>
    <s v="2.2"/>
    <m/>
  </r>
  <r>
    <d v="2022-08-06T00:00:00"/>
    <s v="Achat 03 Ordinateurs Portables + Accessoire (02 Housses)/PALF"/>
    <x v="11"/>
    <s v="Office"/>
    <m/>
    <n v="898222"/>
    <n v="19506460"/>
    <x v="9"/>
    <s v="Oui"/>
    <s v="UE"/>
    <s v="RALFF"/>
    <s v="CONGO"/>
    <s v="RALFF-CO3679"/>
    <s v="3.2"/>
    <m/>
  </r>
  <r>
    <d v="2022-08-06T00:00:00"/>
    <s v="I23C - CONGO Paiement 2 nuitées du 4 au 6 Août 2022 à Dolisie"/>
    <x v="9"/>
    <s v="Investigation"/>
    <m/>
    <n v="30000"/>
    <n v="19476460"/>
    <x v="6"/>
    <s v="Oui"/>
    <s v="UE"/>
    <s v="RALFF"/>
    <s v="CONGO"/>
    <s v="RALFF-CO3680"/>
    <s v="1.3.2"/>
    <m/>
  </r>
  <r>
    <d v="2022-08-06T00:00:00"/>
    <s v="Achat billet Dolisie-Brazzaville  / I23C"/>
    <x v="8"/>
    <s v="Investigation"/>
    <m/>
    <n v="10000"/>
    <n v="19466460"/>
    <x v="6"/>
    <s v="Oui"/>
    <s v="UE"/>
    <s v="RALFF"/>
    <s v="CONGO"/>
    <s v="RALFF-CO3681"/>
    <s v="2.2"/>
    <m/>
  </r>
  <r>
    <d v="2022-08-06T00:00:00"/>
    <s v="Achat billet  dolisie-Brazzaville/P29"/>
    <x v="8"/>
    <s v="Investigation"/>
    <m/>
    <n v="10000"/>
    <n v="19456460"/>
    <x v="5"/>
    <s v="Oui"/>
    <s v="UE"/>
    <s v="RALFF"/>
    <s v="CONGO"/>
    <s v="RALFF-CO3682"/>
    <s v="2.2"/>
    <m/>
  </r>
  <r>
    <d v="2022-08-06T00:00:00"/>
    <s v="P29 - CONGO Paiement 2 nuitées du 04 au 06-08-2022 à dolisie"/>
    <x v="9"/>
    <s v="Investigation"/>
    <m/>
    <n v="30000"/>
    <n v="19426460"/>
    <x v="5"/>
    <s v="Oui"/>
    <s v="UE"/>
    <s v="RALFF"/>
    <s v="CONGO"/>
    <s v="RALFF-CO3683"/>
    <s v="1.3.2"/>
    <m/>
  </r>
  <r>
    <d v="2022-08-07T00:00:00"/>
    <s v="Achat billet aller Brazzaville -Dolisie/HURIELLE"/>
    <x v="8"/>
    <s v="Legal"/>
    <m/>
    <n v="10000"/>
    <n v="19416460"/>
    <x v="4"/>
    <s v="Oui"/>
    <s v="UE"/>
    <s v="RALFF"/>
    <s v="CONGO"/>
    <s v="RALFF-CO3684"/>
    <s v="2.2"/>
    <m/>
  </r>
  <r>
    <d v="2022-08-07T00:00:00"/>
    <s v="HURIELLE - CONGO Food Allowance du 07 au 12 Août 2022"/>
    <x v="9"/>
    <s v="Legal"/>
    <m/>
    <n v="50000"/>
    <n v="19366460"/>
    <x v="4"/>
    <s v="Decharge"/>
    <s v="UE"/>
    <s v="RALFF"/>
    <s v="CONGO"/>
    <s v="RALFF-CO3685"/>
    <s v="1.3.2"/>
    <m/>
  </r>
  <r>
    <d v="2022-08-08T00:00:00"/>
    <s v="Achat credit teléphonique MTN/CCU/Danielle"/>
    <x v="4"/>
    <s v="CCU"/>
    <m/>
    <n v="10000"/>
    <n v="19356460"/>
    <x v="1"/>
    <s v="Oui"/>
    <s v="Wildcat"/>
    <s v="RALFF"/>
    <s v="CONGO"/>
    <s v="RALFF-CO3686"/>
    <s v="4.6"/>
    <m/>
  </r>
  <r>
    <d v="2022-08-08T00:00:00"/>
    <s v="I23C"/>
    <x v="1"/>
    <m/>
    <m/>
    <n v="100000"/>
    <n v="19256460"/>
    <x v="1"/>
    <m/>
    <m/>
    <m/>
    <m/>
    <m/>
    <m/>
    <m/>
  </r>
  <r>
    <d v="2022-08-08T00:00:00"/>
    <s v="P29"/>
    <x v="1"/>
    <m/>
    <m/>
    <n v="100000"/>
    <n v="19156460"/>
    <x v="1"/>
    <m/>
    <m/>
    <m/>
    <m/>
    <m/>
    <m/>
    <m/>
  </r>
  <r>
    <d v="2022-08-08T00:00:00"/>
    <s v="I23C"/>
    <x v="1"/>
    <m/>
    <m/>
    <n v="20000"/>
    <n v="19136460"/>
    <x v="1"/>
    <m/>
    <m/>
    <m/>
    <m/>
    <m/>
    <m/>
    <m/>
  </r>
  <r>
    <d v="2022-08-08T00:00:00"/>
    <s v="P29"/>
    <x v="1"/>
    <m/>
    <m/>
    <n v="10000"/>
    <n v="19126460"/>
    <x v="1"/>
    <m/>
    <m/>
    <m/>
    <m/>
    <m/>
    <m/>
    <m/>
  </r>
  <r>
    <d v="2022-08-08T00:00:00"/>
    <s v="Frais bancaire compte 34"/>
    <x v="6"/>
    <s v="Office"/>
    <m/>
    <n v="26008"/>
    <n v="19100452"/>
    <x v="10"/>
    <s v="Relevé"/>
    <s v="Wildcat"/>
    <s v="PALF"/>
    <s v="CONGO"/>
    <m/>
    <m/>
    <m/>
  </r>
  <r>
    <d v="2022-08-08T00:00:00"/>
    <s v="HURIELLE - CONGO Frais d'hotel (01 nuitée) à dolisie du 07 au  08/08/2022"/>
    <x v="9"/>
    <s v="Legal"/>
    <m/>
    <n v="15000"/>
    <n v="19085452"/>
    <x v="4"/>
    <s v="Oui"/>
    <s v="Wildcat"/>
    <s v="RALFF"/>
    <s v="CONGO"/>
    <s v="RALFF-CO3687"/>
    <s v="1.3.2"/>
    <m/>
  </r>
  <r>
    <d v="2022-08-08T00:00:00"/>
    <s v="Achat billet aller Dolisie - Mossendjo/HURIELLE"/>
    <x v="8"/>
    <s v="Legal"/>
    <m/>
    <n v="5000"/>
    <n v="19080452"/>
    <x v="4"/>
    <s v="Oui"/>
    <s v="Wildcat"/>
    <s v="RALFF"/>
    <s v="CONGO"/>
    <s v="RALFF-CO3688"/>
    <s v="2.2"/>
    <m/>
  </r>
  <r>
    <d v="2022-08-08T00:00:00"/>
    <s v="Reçu caisse/I23C"/>
    <x v="1"/>
    <m/>
    <n v="20000"/>
    <m/>
    <n v="19100452"/>
    <x v="6"/>
    <m/>
    <m/>
    <m/>
    <m/>
    <m/>
    <m/>
    <m/>
  </r>
  <r>
    <d v="2022-08-08T00:00:00"/>
    <s v="Reçu caisse/I23C"/>
    <x v="1"/>
    <m/>
    <n v="100000"/>
    <m/>
    <n v="19200452"/>
    <x v="6"/>
    <m/>
    <m/>
    <m/>
    <m/>
    <m/>
    <m/>
    <m/>
  </r>
  <r>
    <d v="2022-08-08T00:00:00"/>
    <s v="Achat billet Brazzaville-Ngo/ I23C"/>
    <x v="8"/>
    <s v="Investigation"/>
    <m/>
    <n v="6000"/>
    <n v="19194452"/>
    <x v="6"/>
    <s v="Oui"/>
    <s v="Wildcat"/>
    <s v="RALFF"/>
    <s v="CONGO"/>
    <s v="RALFF-CO3689"/>
    <s v="2.2"/>
    <m/>
  </r>
  <r>
    <d v="2022-08-08T00:00:00"/>
    <s v="Recu de caisse/P29"/>
    <x v="1"/>
    <m/>
    <n v="100000"/>
    <m/>
    <n v="19294452"/>
    <x v="5"/>
    <m/>
    <m/>
    <m/>
    <m/>
    <m/>
    <m/>
    <m/>
  </r>
  <r>
    <d v="2022-08-08T00:00:00"/>
    <s v="Recu de caisse/P29"/>
    <x v="1"/>
    <m/>
    <n v="10000"/>
    <m/>
    <n v="19304452"/>
    <x v="5"/>
    <m/>
    <m/>
    <m/>
    <m/>
    <m/>
    <m/>
    <m/>
  </r>
  <r>
    <d v="2022-08-08T00:00:00"/>
    <s v="Achat billet brazzaville-oyo/P29"/>
    <x v="8"/>
    <s v="Investigation"/>
    <m/>
    <n v="7000"/>
    <n v="19297452"/>
    <x v="5"/>
    <s v="Oui"/>
    <s v="Wildcat"/>
    <s v="RALFF"/>
    <s v="CONGO"/>
    <s v="RALFF-CO3690"/>
    <s v="2.2"/>
    <m/>
  </r>
  <r>
    <d v="2022-08-09T00:00:00"/>
    <s v="Grace/avance sur salaire"/>
    <x v="1"/>
    <m/>
    <m/>
    <n v="100000"/>
    <n v="19197452"/>
    <x v="1"/>
    <m/>
    <m/>
    <m/>
    <m/>
    <m/>
    <m/>
    <m/>
  </r>
  <r>
    <d v="2022-08-09T00:00:00"/>
    <s v="Fonds reçu de Wildcat"/>
    <x v="12"/>
    <m/>
    <n v="12302243"/>
    <m/>
    <n v="31499695"/>
    <x v="10"/>
    <s v="Relevé"/>
    <s v="Wildcat"/>
    <m/>
    <s v="CONGO"/>
    <m/>
    <m/>
    <m/>
  </r>
  <r>
    <d v="2022-08-09T00:00:00"/>
    <s v="Reçu caisse/Grace - Avance sur Salaire"/>
    <x v="1"/>
    <m/>
    <n v="100000"/>
    <m/>
    <n v="31599695"/>
    <x v="7"/>
    <m/>
    <m/>
    <m/>
    <m/>
    <m/>
    <m/>
    <m/>
  </r>
  <r>
    <d v="2022-08-09T00:00:00"/>
    <s v="Achat sandales du prévenue"/>
    <x v="13"/>
    <s v="Legal"/>
    <m/>
    <n v="1000"/>
    <n v="31598695"/>
    <x v="4"/>
    <s v="Oui"/>
    <s v="Wildcat"/>
    <s v="PALF"/>
    <s v="CONGO"/>
    <m/>
    <m/>
    <m/>
  </r>
  <r>
    <d v="2022-08-09T00:00:00"/>
    <s v="Achat médicament d'urgence de Christine (la prevenue)"/>
    <x v="13"/>
    <s v="Legal"/>
    <m/>
    <n v="1550"/>
    <n v="31597145"/>
    <x v="4"/>
    <s v="Oui"/>
    <s v="Wildcat"/>
    <s v="PALF"/>
    <s v="CONGO"/>
    <m/>
    <m/>
    <m/>
  </r>
  <r>
    <d v="2022-08-09T00:00:00"/>
    <s v="Consultation médicale du prévenu Christine et frais des examens"/>
    <x v="13"/>
    <s v="Legal"/>
    <m/>
    <n v="10000"/>
    <n v="31587145"/>
    <x v="4"/>
    <s v="Oui"/>
    <s v="Wildcat"/>
    <s v="PALF"/>
    <s v="CONGO"/>
    <m/>
    <m/>
    <m/>
  </r>
  <r>
    <d v="2022-08-09T00:00:00"/>
    <s v="Achat carnet de soin de Christine (la prevenue)"/>
    <x v="13"/>
    <s v="Legal"/>
    <m/>
    <n v="150"/>
    <n v="31586995"/>
    <x v="4"/>
    <s v="Oui"/>
    <s v="Wildcat"/>
    <s v="PALF"/>
    <s v="CONGO"/>
    <m/>
    <m/>
    <m/>
  </r>
  <r>
    <d v="2022-08-09T00:00:00"/>
    <s v="I23C - CONGO Food allowance mission du 9 au 14 août 2022"/>
    <x v="9"/>
    <s v="Investigation"/>
    <m/>
    <n v="50000"/>
    <n v="31536995"/>
    <x v="6"/>
    <s v="Decharge"/>
    <s v="Wildcat"/>
    <s v="RALFF"/>
    <s v="CONGO"/>
    <s v="RALFF-CO3691"/>
    <s v="1.3.2"/>
    <m/>
  </r>
  <r>
    <d v="2022-08-09T00:00:00"/>
    <s v="Taxi Ngo-Djambla /I23C"/>
    <x v="8"/>
    <s v="Investigation"/>
    <m/>
    <n v="4000"/>
    <n v="31532995"/>
    <x v="6"/>
    <s v="Oui"/>
    <s v="Wildcat"/>
    <s v="RALFF"/>
    <s v="CONGO"/>
    <s v="RALFF-CO3692"/>
    <s v="2.2"/>
    <m/>
  </r>
  <r>
    <d v="2022-08-09T00:00:00"/>
    <s v="P29 - CONGO Food allowance mission du 09 au 14-08-2022 "/>
    <x v="9"/>
    <s v="Investigation"/>
    <m/>
    <n v="50000"/>
    <n v="31482995"/>
    <x v="5"/>
    <s v="Decharge"/>
    <s v="Wildcat"/>
    <s v="RALFF"/>
    <s v="CONGO"/>
    <s v="RALFF-CO3693"/>
    <s v="1.3.2"/>
    <m/>
  </r>
  <r>
    <d v="2022-08-10T00:00:00"/>
    <s v="Reçu de caisse (avance sur salaire)/Crépin"/>
    <x v="1"/>
    <m/>
    <n v="40000"/>
    <m/>
    <n v="31522995"/>
    <x v="3"/>
    <m/>
    <m/>
    <m/>
    <m/>
    <m/>
    <m/>
    <m/>
  </r>
  <r>
    <d v="2022-08-10T00:00:00"/>
    <s v="Crépin"/>
    <x v="1"/>
    <m/>
    <m/>
    <n v="40000"/>
    <n v="31482995"/>
    <x v="1"/>
    <m/>
    <m/>
    <m/>
    <m/>
    <m/>
    <m/>
    <m/>
  </r>
  <r>
    <d v="2022-08-10T00:00:00"/>
    <s v="Achat ampoule et serviette/Bureau PALF"/>
    <x v="7"/>
    <s v="Office"/>
    <m/>
    <n v="16000"/>
    <n v="31466995"/>
    <x v="1"/>
    <s v="Oui"/>
    <s v="Wildcat"/>
    <s v="RALFF"/>
    <s v="CONGO"/>
    <s v="RALFF-CO3694"/>
    <s v="4.3"/>
    <m/>
  </r>
  <r>
    <d v="2022-08-10T00:00:00"/>
    <s v="P29"/>
    <x v="1"/>
    <m/>
    <m/>
    <n v="84000"/>
    <n v="31382995"/>
    <x v="1"/>
    <m/>
    <m/>
    <m/>
    <m/>
    <m/>
    <m/>
    <m/>
  </r>
  <r>
    <d v="2022-08-10T00:00:00"/>
    <s v="I23C"/>
    <x v="1"/>
    <m/>
    <m/>
    <n v="81000"/>
    <n v="31301995"/>
    <x v="1"/>
    <m/>
    <m/>
    <m/>
    <m/>
    <m/>
    <m/>
    <m/>
  </r>
  <r>
    <d v="2022-08-10T00:00:00"/>
    <s v="Frais de transfert d'argent à P29 et I23c"/>
    <x v="2"/>
    <s v="Office"/>
    <m/>
    <n v="4950"/>
    <n v="31297045"/>
    <x v="1"/>
    <s v="Oui"/>
    <s v="Wildcat"/>
    <s v="RALFF"/>
    <s v="CONGO"/>
    <s v="RALFF-CO3695"/>
    <s v="5.6"/>
    <m/>
  </r>
  <r>
    <d v="2022-08-10T00:00:00"/>
    <s v="Reglement facture d'eau (LCDE) période Juillet - Août 2022/Bureau PALF"/>
    <x v="14"/>
    <s v="Office"/>
    <m/>
    <n v="10448"/>
    <n v="31291547"/>
    <x v="1"/>
    <s v="Oui"/>
    <s v="UE"/>
    <s v="RALFF"/>
    <s v="CONGO"/>
    <s v="RALFF-CO3696"/>
    <s v="4.4"/>
    <m/>
  </r>
  <r>
    <d v="2022-08-10T00:00:00"/>
    <s v="Cumul taxes sur Reglement facture d'eau (LCDE) période Juillet - Août 2022/Bureau PALF"/>
    <x v="14"/>
    <s v="Office"/>
    <m/>
    <n v="2302"/>
    <n v="31294743"/>
    <x v="1"/>
    <s v="Oui"/>
    <s v="Wildcat"/>
    <s v="PALF"/>
    <s v="CONGO"/>
    <m/>
    <m/>
    <m/>
  </r>
  <r>
    <d v="2022-08-10T00:00:00"/>
    <s v="Achat fourniture de bureau/stylo,agrafe,sous chemise,chemise cartonnée,cole et enveloppe"/>
    <x v="7"/>
    <s v="Office"/>
    <m/>
    <n v="29000"/>
    <n v="31265743"/>
    <x v="1"/>
    <s v="Oui"/>
    <s v="Wildcat"/>
    <s v="RALFF"/>
    <s v="CONGO"/>
    <s v="RALFF-CO3697"/>
    <s v="4.3"/>
    <m/>
  </r>
  <r>
    <d v="2022-08-10T00:00:00"/>
    <s v="Reglèment loyer mois de Juillet 2022"/>
    <x v="14"/>
    <s v="Office"/>
    <m/>
    <n v="500000"/>
    <n v="30765743"/>
    <x v="2"/>
    <n v="3667218"/>
    <s v="UE"/>
    <s v="RALFF"/>
    <s v="CONGO"/>
    <s v="RALFF-CO3698"/>
    <s v="4.2"/>
    <m/>
  </r>
  <r>
    <d v="2022-08-10T00:00:00"/>
    <s v="Cumul Frais de Transport Local du Mois de Août 2022/GRACE MOLENDE"/>
    <x v="8"/>
    <s v="Management"/>
    <m/>
    <n v="7000"/>
    <n v="30758743"/>
    <x v="7"/>
    <s v="Decharge"/>
    <s v="Wildcat"/>
    <s v="RALFF"/>
    <s v="CONGO"/>
    <s v="RALFF-CO3699"/>
    <s v="2.2"/>
    <m/>
  </r>
  <r>
    <d v="2022-08-10T00:00:00"/>
    <s v="Achat médicaments de Christine(la prevenue)"/>
    <x v="13"/>
    <s v="Legal"/>
    <m/>
    <n v="13600"/>
    <n v="30745143"/>
    <x v="4"/>
    <s v="Oui"/>
    <s v="Wildcat"/>
    <s v="PALF"/>
    <s v="CONGO"/>
    <m/>
    <m/>
    <m/>
  </r>
  <r>
    <d v="2022-08-10T00:00:00"/>
    <s v="I23C - CONGO Paiement 1 nuit du 10 au 11 août 2022 à Djambala "/>
    <x v="9"/>
    <s v="Investigation"/>
    <m/>
    <n v="15000"/>
    <n v="30730143"/>
    <x v="6"/>
    <s v="Oui"/>
    <s v="Wildcat"/>
    <s v="RALFF"/>
    <s v="CONGO"/>
    <s v="RALFF-CO3700"/>
    <s v="1.3.2"/>
    <m/>
  </r>
  <r>
    <d v="2022-08-10T00:00:00"/>
    <s v="Taxi Djambala-Lékana / I23C"/>
    <x v="8"/>
    <s v="Investigation"/>
    <m/>
    <n v="4000"/>
    <n v="30726143"/>
    <x v="6"/>
    <s v="Oui"/>
    <s v="Wildcat"/>
    <s v="RALFF"/>
    <s v="CONGO"/>
    <s v="RALFF-CO3701"/>
    <s v="2.2"/>
    <m/>
  </r>
  <r>
    <d v="2022-08-10T00:00:00"/>
    <s v="Reçu caisse/I23C"/>
    <x v="1"/>
    <m/>
    <n v="81000"/>
    <m/>
    <n v="30807143"/>
    <x v="6"/>
    <m/>
    <m/>
    <m/>
    <m/>
    <m/>
    <m/>
    <m/>
  </r>
  <r>
    <d v="2022-08-10T00:00:00"/>
    <s v="Recu de caisse/P29"/>
    <x v="1"/>
    <m/>
    <n v="84000"/>
    <m/>
    <n v="30891143"/>
    <x v="5"/>
    <m/>
    <m/>
    <m/>
    <m/>
    <m/>
    <m/>
    <m/>
  </r>
  <r>
    <d v="2022-08-11T00:00:00"/>
    <s v="Achat billet de retour Mossendjo-Dolisie/HURIELLE"/>
    <x v="8"/>
    <s v="Legal"/>
    <m/>
    <n v="5000"/>
    <n v="30886143"/>
    <x v="4"/>
    <s v="Oui"/>
    <s v="Wildcat"/>
    <s v="RALFF"/>
    <s v="CONGO"/>
    <s v="RALFF-CO3702"/>
    <s v="2.2"/>
    <m/>
  </r>
  <r>
    <d v="2022-08-11T00:00:00"/>
    <s v="HURIELLE - CONGO Frais d'hotel (03 nuitée) du 08 au 11 Août 2022 à Mossendjo"/>
    <x v="9"/>
    <s v="Legal"/>
    <m/>
    <n v="45000"/>
    <n v="30841143"/>
    <x v="4"/>
    <s v="Oui"/>
    <s v="Wildcat"/>
    <s v="RALFF"/>
    <s v="CONGO"/>
    <s v="RALFF-CO3703"/>
    <s v="1.3.2"/>
    <m/>
  </r>
  <r>
    <d v="2022-08-11T00:00:00"/>
    <s v="Achat billet de retour Dolisie-Brazzaville/HURIELLE"/>
    <x v="8"/>
    <s v="Legal"/>
    <m/>
    <n v="10000"/>
    <n v="30831143"/>
    <x v="4"/>
    <s v="Oui"/>
    <s v="Wildcat"/>
    <s v="RALFF"/>
    <s v="CONGO"/>
    <s v="RALFF-CO3704"/>
    <s v="2.2"/>
    <m/>
  </r>
  <r>
    <d v="2022-08-12T00:00:00"/>
    <s v="Achat 03 Bonbones d'eau minerale/Bureau PALF"/>
    <x v="7"/>
    <s v="Office"/>
    <m/>
    <n v="13500"/>
    <n v="30817643"/>
    <x v="1"/>
    <s v="Oui"/>
    <s v="Wildcat"/>
    <s v="RALFF"/>
    <s v="CONGO"/>
    <s v="RALFF-CO3705"/>
    <s v="4.3"/>
    <m/>
  </r>
  <r>
    <d v="2022-08-12T00:00:00"/>
    <s v="Reglement loyer mois d'Août 2022"/>
    <x v="14"/>
    <s v="Office"/>
    <m/>
    <n v="500000"/>
    <n v="30317643"/>
    <x v="2"/>
    <n v="3667226"/>
    <s v="UE"/>
    <s v="RALFF"/>
    <s v="CONGO"/>
    <s v="RALFF-CO3706"/>
    <s v="4.2"/>
    <m/>
  </r>
  <r>
    <d v="2022-08-12T00:00:00"/>
    <s v="HURIELLE - CONGO Frais d'hotel (01 nuitée) du 11 au 12 Août 2022 à Dolisie"/>
    <x v="9"/>
    <s v="Legal"/>
    <m/>
    <n v="15000"/>
    <n v="30302643"/>
    <x v="4"/>
    <s v="Oui"/>
    <s v="Wildcat"/>
    <s v="RALFF"/>
    <s v="CONGO"/>
    <s v="RALFF-CO3707"/>
    <s v="1.3.2"/>
    <m/>
  </r>
  <r>
    <d v="2022-08-12T00:00:00"/>
    <s v="I23C - CONGO Paiement 2 nuitées du 10 au 12 août 2022 à Lékana"/>
    <x v="9"/>
    <s v="Investigation"/>
    <m/>
    <n v="30000"/>
    <n v="30272643"/>
    <x v="6"/>
    <s v="Oui"/>
    <s v="Wildcat"/>
    <s v="RALFF"/>
    <s v="CONGO"/>
    <s v="RALFF-CO3708"/>
    <s v="1.3.2"/>
    <m/>
  </r>
  <r>
    <d v="2022-08-12T00:00:00"/>
    <s v="Taxi Lékana-Djambala / I23C"/>
    <x v="8"/>
    <s v="Investigation"/>
    <m/>
    <n v="4000"/>
    <n v="30268643"/>
    <x v="6"/>
    <s v="Oui"/>
    <s v="Wildcat"/>
    <s v="RALFF"/>
    <s v="CONGO"/>
    <s v="RALFF-CO3709"/>
    <s v="2.2"/>
    <m/>
  </r>
  <r>
    <d v="2022-08-12T00:00:00"/>
    <s v="Taxi Djambla-Ngo / I23C"/>
    <x v="8"/>
    <s v="Investigation"/>
    <m/>
    <n v="4000"/>
    <n v="30264643"/>
    <x v="6"/>
    <s v="Oui"/>
    <s v="Wildcat"/>
    <s v="RALFF"/>
    <s v="CONGO"/>
    <s v="RALFF-CO3710"/>
    <s v="2.2"/>
    <m/>
  </r>
  <r>
    <d v="2022-08-12T00:00:00"/>
    <s v="P29 - CONGO Paiement 3 nuitées du 09 au 12-08-2022 à oyo"/>
    <x v="9"/>
    <s v="Investigation"/>
    <m/>
    <n v="45000"/>
    <n v="30219643"/>
    <x v="5"/>
    <s v="Oui"/>
    <s v="Wildcat"/>
    <s v="RALFF"/>
    <s v="CONGO"/>
    <s v="RALFF-CO3711"/>
    <s v="1.3.2"/>
    <m/>
  </r>
  <r>
    <d v="2022-08-12T00:00:00"/>
    <s v="Achat billet oyo-makoua/P29"/>
    <x v="8"/>
    <s v="Investigation"/>
    <m/>
    <n v="8000"/>
    <n v="30211643"/>
    <x v="5"/>
    <s v="Oui"/>
    <s v="Wildcat"/>
    <s v="RALFF"/>
    <s v="CONGO"/>
    <s v="RALFF-CO3712"/>
    <s v="2.2"/>
    <m/>
  </r>
  <r>
    <d v="2022-08-13T00:00:00"/>
    <s v="Achat billet makoua- Brazzaville/P29"/>
    <x v="8"/>
    <s v="Investigation"/>
    <m/>
    <n v="12000"/>
    <n v="30199643"/>
    <x v="5"/>
    <s v="Oui"/>
    <s v="Wildcat"/>
    <s v="RALFF"/>
    <s v="CONGO"/>
    <s v="RALFF-CO3713"/>
    <s v="2.2"/>
    <m/>
  </r>
  <r>
    <d v="2022-08-14T00:00:00"/>
    <s v="I23C - CONGO Paiement 2 nuitées du 12 au 14 août 2022 à Ngo"/>
    <x v="9"/>
    <s v="Investigation"/>
    <m/>
    <n v="30000"/>
    <n v="30169643"/>
    <x v="6"/>
    <s v="Oui"/>
    <s v="Wildcat"/>
    <s v="RALFF"/>
    <s v="CONGO"/>
    <s v="RALFF-CO3714"/>
    <s v="1.3.2"/>
    <m/>
  </r>
  <r>
    <d v="2022-08-14T00:00:00"/>
    <s v="Taxi Ngo-Brazzaville / I23C"/>
    <x v="8"/>
    <s v="Investigation"/>
    <m/>
    <n v="6000"/>
    <n v="30163643"/>
    <x v="6"/>
    <s v="Oui"/>
    <s v="Wildcat"/>
    <s v="RALFF"/>
    <s v="CONGO"/>
    <s v="RALFF-CO3715"/>
    <s v="2.2"/>
    <m/>
  </r>
  <r>
    <d v="2022-08-14T00:00:00"/>
    <s v="P29 - CONGO Paiement 3 nuitées du 12 au 14-08-2022 à makoua"/>
    <x v="9"/>
    <s v="Investigation"/>
    <m/>
    <n v="30000"/>
    <n v="30133643"/>
    <x v="5"/>
    <s v="Oui"/>
    <s v="Wildcat"/>
    <s v="RALFF"/>
    <s v="CONGO"/>
    <s v="RALFF-CO3716"/>
    <s v="1.3.2"/>
    <m/>
  </r>
  <r>
    <d v="2022-08-16T00:00:00"/>
    <s v="Recu de caisse/P29"/>
    <x v="1"/>
    <m/>
    <n v="10000"/>
    <m/>
    <n v="30143643"/>
    <x v="5"/>
    <m/>
    <m/>
    <m/>
    <m/>
    <m/>
    <m/>
    <m/>
  </r>
  <r>
    <d v="2022-08-16T00:00:00"/>
    <s v="Hurielle/Retour Caisse"/>
    <x v="1"/>
    <m/>
    <n v="58000"/>
    <m/>
    <n v="30201643"/>
    <x v="1"/>
    <m/>
    <m/>
    <m/>
    <m/>
    <m/>
    <m/>
    <m/>
  </r>
  <r>
    <d v="2022-08-16T00:00:00"/>
    <s v="Crépin"/>
    <x v="1"/>
    <m/>
    <m/>
    <n v="241000"/>
    <n v="29960643"/>
    <x v="1"/>
    <m/>
    <m/>
    <m/>
    <m/>
    <m/>
    <m/>
    <m/>
  </r>
  <r>
    <d v="2022-08-16T00:00:00"/>
    <s v="Frais de mission maitre Marie Hélène à oyo du 17 au 20/08/2022"/>
    <x v="15"/>
    <s v="Legal"/>
    <m/>
    <n v="97000"/>
    <n v="29863643"/>
    <x v="1"/>
    <s v="Oui"/>
    <s v="Wildcat"/>
    <s v="RALFF"/>
    <s v="CONGO"/>
    <s v="RALFF-CO3717"/>
    <s v="5.2.2"/>
    <m/>
  </r>
  <r>
    <d v="2022-08-16T00:00:00"/>
    <s v="Achat credit  teléphonique MTN/PALF/Deuxième partie Août 2022/Management"/>
    <x v="4"/>
    <s v="Management "/>
    <m/>
    <n v="10000"/>
    <n v="29853643"/>
    <x v="1"/>
    <s v="Oui"/>
    <s v="Wildcat"/>
    <s v="RALFF"/>
    <s v="CONGO"/>
    <s v="RALFF-CO3718"/>
    <s v="4.6"/>
    <m/>
  </r>
  <r>
    <d v="2022-08-16T00:00:00"/>
    <s v="Achat credit  teléphonique MTN/PALF/Deuxième partie Août 2022/Legal"/>
    <x v="4"/>
    <s v="Legal"/>
    <m/>
    <n v="15000"/>
    <n v="29838643"/>
    <x v="1"/>
    <s v="Oui"/>
    <s v="Wildcat"/>
    <s v="RALFF"/>
    <s v="CONGO"/>
    <s v="RALFF-CO3719"/>
    <s v="4.6"/>
    <m/>
  </r>
  <r>
    <d v="2022-08-16T00:00:00"/>
    <s v="Achat credit  teléphonique MTN/PALF/Deuxième partie Août 2022/Investigation"/>
    <x v="4"/>
    <s v="Investigation"/>
    <m/>
    <n v="20000"/>
    <n v="29818643"/>
    <x v="1"/>
    <s v="Oui"/>
    <s v="Wildcat"/>
    <s v="RALFF"/>
    <s v="CONGO"/>
    <s v="RALFF-CO3720"/>
    <s v="4.6"/>
    <m/>
  </r>
  <r>
    <d v="2022-08-16T00:00:00"/>
    <s v="Achat credit  teléphonique Airtel/PALF/Deuxième partie Aout 2022/Management"/>
    <x v="4"/>
    <s v="Management "/>
    <m/>
    <n v="10000"/>
    <n v="29808643"/>
    <x v="1"/>
    <s v="Oui"/>
    <s v="Wildcat"/>
    <s v="RALFF"/>
    <s v="CONGO"/>
    <s v="RALFF-CO3721"/>
    <s v="4.6"/>
    <m/>
  </r>
  <r>
    <d v="2022-08-16T00:00:00"/>
    <s v="Achat credit  teléphonique Airtel/PALF/Deuxième partie Aout 2022/Legal"/>
    <x v="4"/>
    <s v="Legal"/>
    <m/>
    <n v="5000"/>
    <n v="29803643"/>
    <x v="1"/>
    <s v="Oui"/>
    <s v="Wildcat"/>
    <s v="RALFF"/>
    <s v="CONGO"/>
    <s v="RALFF-CO3722"/>
    <s v="4.6"/>
    <m/>
  </r>
  <r>
    <d v="2022-08-16T00:00:00"/>
    <s v="Achat credit  teléphonique Airtel/PALF/Deuxième partie Août 2022/Investigation"/>
    <x v="4"/>
    <s v="Investigation"/>
    <m/>
    <n v="10000"/>
    <n v="29793643"/>
    <x v="1"/>
    <s v="Oui"/>
    <s v="Wildcat"/>
    <s v="RALFF"/>
    <s v="CONGO"/>
    <s v="RALFF-CO3723"/>
    <s v="4.6"/>
    <m/>
  </r>
  <r>
    <d v="2022-08-16T00:00:00"/>
    <s v="P29"/>
    <x v="1"/>
    <m/>
    <m/>
    <n v="10000"/>
    <n v="29783643"/>
    <x v="1"/>
    <m/>
    <m/>
    <m/>
    <m/>
    <m/>
    <m/>
    <m/>
  </r>
  <r>
    <d v="2022-08-16T00:00:00"/>
    <s v="I23C"/>
    <x v="1"/>
    <m/>
    <m/>
    <n v="15000"/>
    <n v="29768643"/>
    <x v="1"/>
    <m/>
    <m/>
    <m/>
    <m/>
    <m/>
    <m/>
    <m/>
  </r>
  <r>
    <d v="2022-08-16T00:00:00"/>
    <s v="I23C/Retour caisse (150$)"/>
    <x v="1"/>
    <m/>
    <n v="100000"/>
    <m/>
    <n v="29868643"/>
    <x v="1"/>
    <m/>
    <m/>
    <m/>
    <m/>
    <m/>
    <m/>
    <m/>
  </r>
  <r>
    <d v="2022-08-16T00:00:00"/>
    <s v="Reçu de caisse/Crépin"/>
    <x v="1"/>
    <m/>
    <n v="241000"/>
    <m/>
    <n v="30109643"/>
    <x v="3"/>
    <m/>
    <m/>
    <m/>
    <m/>
    <m/>
    <m/>
    <m/>
  </r>
  <r>
    <d v="2022-08-16T00:00:00"/>
    <s v="Achat billet Brazzaville-Oyo/Crepin IBOUILI"/>
    <x v="8"/>
    <s v="Management"/>
    <m/>
    <n v="7000"/>
    <n v="30102643"/>
    <x v="3"/>
    <s v="Oui"/>
    <s v="Wildcat"/>
    <s v="RALFF"/>
    <s v="CONGO"/>
    <s v="RALFF-CO3724"/>
    <s v="2.2"/>
    <m/>
  </r>
  <r>
    <d v="2022-08-16T00:00:00"/>
    <s v="Retour caisse/Hurielle"/>
    <x v="1"/>
    <m/>
    <m/>
    <n v="58000"/>
    <n v="30044643"/>
    <x v="4"/>
    <m/>
    <m/>
    <m/>
    <m/>
    <m/>
    <m/>
    <m/>
  </r>
  <r>
    <d v="2022-08-16T00:00:00"/>
    <s v="Retour Caisse de 150$ (100000)/I23C"/>
    <x v="1"/>
    <m/>
    <m/>
    <n v="100000"/>
    <n v="29944643"/>
    <x v="6"/>
    <m/>
    <m/>
    <m/>
    <m/>
    <m/>
    <m/>
    <m/>
  </r>
  <r>
    <d v="2022-08-16T00:00:00"/>
    <s v="Reçu caisse/I23C"/>
    <x v="1"/>
    <m/>
    <n v="15000"/>
    <m/>
    <n v="29959643"/>
    <x v="6"/>
    <m/>
    <m/>
    <m/>
    <m/>
    <m/>
    <m/>
    <m/>
  </r>
  <r>
    <d v="2022-08-17T00:00:00"/>
    <s v="P29"/>
    <x v="1"/>
    <m/>
    <m/>
    <n v="10000"/>
    <n v="29949643"/>
    <x v="1"/>
    <m/>
    <m/>
    <m/>
    <m/>
    <m/>
    <m/>
    <m/>
  </r>
  <r>
    <d v="2022-08-17T00:00:00"/>
    <s v="Entretien groupe electrogène et charge batterie"/>
    <x v="14"/>
    <s v="Office"/>
    <m/>
    <n v="5000"/>
    <n v="29944643"/>
    <x v="1"/>
    <s v="Oui"/>
    <s v="Wildcat"/>
    <s v="PALF"/>
    <s v="CONGO"/>
    <m/>
    <m/>
    <m/>
  </r>
  <r>
    <d v="2022-08-17T00:00:00"/>
    <s v="CREPIN IBOUILI - CONGO Food-Allowance du 17 au 20/08/2022 à Oyo"/>
    <x v="9"/>
    <s v="Management"/>
    <m/>
    <n v="30000"/>
    <n v="29914643"/>
    <x v="3"/>
    <s v="Oui"/>
    <s v="Wildcat"/>
    <s v="RALFF"/>
    <s v="CONGO"/>
    <s v="RALFF-CO3725"/>
    <s v="1.3.2"/>
    <m/>
  </r>
  <r>
    <d v="2022-08-17T00:00:00"/>
    <s v="Recu de caisse/P29"/>
    <x v="1"/>
    <m/>
    <n v="10000"/>
    <m/>
    <n v="29924643"/>
    <x v="5"/>
    <m/>
    <m/>
    <m/>
    <m/>
    <m/>
    <m/>
    <m/>
  </r>
  <r>
    <d v="2022-08-18T00:00:00"/>
    <s v="P29"/>
    <x v="1"/>
    <m/>
    <m/>
    <n v="13000"/>
    <n v="29911643"/>
    <x v="1"/>
    <m/>
    <m/>
    <m/>
    <m/>
    <m/>
    <m/>
    <m/>
  </r>
  <r>
    <d v="2022-08-18T00:00:00"/>
    <s v="I23C"/>
    <x v="1"/>
    <m/>
    <m/>
    <n v="25000"/>
    <n v="29886643"/>
    <x v="1"/>
    <m/>
    <m/>
    <m/>
    <m/>
    <m/>
    <m/>
    <m/>
  </r>
  <r>
    <d v="2022-08-18T00:00:00"/>
    <s v="Reçu caisse/I23C"/>
    <x v="1"/>
    <m/>
    <n v="25000"/>
    <m/>
    <n v="29911643"/>
    <x v="6"/>
    <m/>
    <m/>
    <m/>
    <m/>
    <m/>
    <m/>
    <m/>
  </r>
  <r>
    <d v="2022-08-18T00:00:00"/>
    <s v="Recu de caisse/P29"/>
    <x v="1"/>
    <m/>
    <n v="13000"/>
    <m/>
    <n v="29924643"/>
    <x v="5"/>
    <m/>
    <m/>
    <m/>
    <m/>
    <m/>
    <m/>
    <m/>
  </r>
  <r>
    <d v="2022-08-19T00:00:00"/>
    <s v="Hurielle"/>
    <x v="1"/>
    <m/>
    <m/>
    <n v="6000"/>
    <n v="29918643"/>
    <x v="1"/>
    <m/>
    <m/>
    <m/>
    <m/>
    <m/>
    <m/>
    <m/>
  </r>
  <r>
    <d v="2022-08-19T00:00:00"/>
    <s v="P29"/>
    <x v="1"/>
    <m/>
    <m/>
    <n v="110000"/>
    <n v="29808643"/>
    <x v="1"/>
    <m/>
    <m/>
    <m/>
    <m/>
    <m/>
    <m/>
    <m/>
  </r>
  <r>
    <d v="2022-08-19T00:00:00"/>
    <s v="Frais achat médocs de KAMBA André"/>
    <x v="13"/>
    <s v="Legal"/>
    <m/>
    <n v="7000"/>
    <n v="29801643"/>
    <x v="3"/>
    <s v="Oui"/>
    <s v="Wildcat"/>
    <s v="PALF"/>
    <s v="CONGO"/>
    <m/>
    <m/>
    <m/>
  </r>
  <r>
    <d v="2022-08-19T00:00:00"/>
    <s v="Achat Billet Oyo-Brazzaville/Crepin IBOUILI"/>
    <x v="8"/>
    <s v="Management"/>
    <m/>
    <n v="7000"/>
    <n v="29794643"/>
    <x v="3"/>
    <s v="Oui"/>
    <s v="Wildcat"/>
    <s v="RALFF"/>
    <s v="CONGO"/>
    <s v="RALFF-CO3726"/>
    <s v="2.2"/>
    <m/>
  </r>
  <r>
    <d v="2022-08-19T00:00:00"/>
    <s v="Cumul frais de Jail visits du mois de Août 2022/Crépin"/>
    <x v="13"/>
    <s v="Legal"/>
    <m/>
    <n v="34000"/>
    <n v="29760643"/>
    <x v="3"/>
    <s v="Decharge"/>
    <s v="Wildcat"/>
    <s v="PALF"/>
    <s v="CONGO"/>
    <m/>
    <m/>
    <m/>
  </r>
  <r>
    <d v="2022-08-19T00:00:00"/>
    <s v="Cumul frais de Jail Visits du mois de Aout 2022/Hurielle MFOULOU"/>
    <x v="13"/>
    <s v="Legal"/>
    <m/>
    <n v="11000"/>
    <n v="29749643"/>
    <x v="4"/>
    <s v="Decharge"/>
    <s v="Wildcat"/>
    <s v="PALF"/>
    <s v="CONGO"/>
    <m/>
    <m/>
    <m/>
  </r>
  <r>
    <d v="2022-08-19T00:00:00"/>
    <s v="Reçu caisse/Hurielle"/>
    <x v="1"/>
    <m/>
    <n v="6000"/>
    <m/>
    <n v="29755643"/>
    <x v="4"/>
    <m/>
    <m/>
    <m/>
    <m/>
    <m/>
    <m/>
    <m/>
  </r>
  <r>
    <d v="2022-08-19T00:00:00"/>
    <s v="Taxi Brazzaville-Kinkala / I23C"/>
    <x v="8"/>
    <s v="Investigation"/>
    <m/>
    <n v="4000"/>
    <n v="29751643"/>
    <x v="6"/>
    <s v="Oui"/>
    <s v="Wildcat"/>
    <s v="RALFF"/>
    <s v="CONGO"/>
    <s v="RALFF-CO3727"/>
    <s v="2.2"/>
    <m/>
  </r>
  <r>
    <d v="2022-08-19T00:00:00"/>
    <s v="Taxi Kinkala-Boko / I23C"/>
    <x v="8"/>
    <s v="Investigation"/>
    <m/>
    <n v="6000"/>
    <n v="29745643"/>
    <x v="6"/>
    <s v="Oui"/>
    <s v="Wildcat"/>
    <s v="RALFF"/>
    <s v="CONGO"/>
    <s v="RALFF-CO3728"/>
    <s v="2.2"/>
    <m/>
  </r>
  <r>
    <d v="2022-08-19T00:00:00"/>
    <s v="Taxi Boko-Kinkala (départ pour Kinkala) / I23C"/>
    <x v="8"/>
    <s v="Investigation"/>
    <m/>
    <n v="6000"/>
    <n v="29739643"/>
    <x v="6"/>
    <s v="Oui"/>
    <s v="Wildcat"/>
    <s v="RALFF"/>
    <s v="CONGO"/>
    <s v="RALFF-CO3729"/>
    <s v="2.2"/>
    <m/>
  </r>
  <r>
    <d v="2022-08-19T00:00:00"/>
    <s v="Taxi Kinkala- Brazzaville (départ pour Brazzaville) / I23C"/>
    <x v="8"/>
    <s v="Investigation"/>
    <m/>
    <n v="4000"/>
    <n v="29735643"/>
    <x v="6"/>
    <s v="Oui"/>
    <s v="Wildcat"/>
    <s v="RALFF"/>
    <s v="CONGO"/>
    <s v="RALFF-CO3730"/>
    <s v="2.2"/>
    <m/>
  </r>
  <r>
    <d v="2022-08-19T00:00:00"/>
    <s v="Recu de caisse/P29"/>
    <x v="1"/>
    <m/>
    <n v="110000"/>
    <m/>
    <n v="29845643"/>
    <x v="5"/>
    <m/>
    <m/>
    <m/>
    <m/>
    <m/>
    <m/>
    <m/>
  </r>
  <r>
    <d v="2022-08-20T00:00:00"/>
    <s v="CREPIN IBOUILI - CONGO Frais d'Hotel 03 Nuitées du 17 au 20/08/2022 à Oyo"/>
    <x v="9"/>
    <s v="Management"/>
    <m/>
    <n v="45000"/>
    <n v="29800643"/>
    <x v="3"/>
    <s v="Oui"/>
    <s v="Wildcat"/>
    <s v="RALFF"/>
    <s v="CONGO"/>
    <s v="RALFF-CO3731"/>
    <s v="1.3.2"/>
    <m/>
  </r>
  <r>
    <d v="2022-08-20T00:00:00"/>
    <s v="Achat billet Brazzaville -Pointe Noire /P29"/>
    <x v="8"/>
    <s v="Investigation"/>
    <m/>
    <n v="15000"/>
    <n v="29785643"/>
    <x v="5"/>
    <s v="Oui"/>
    <s v="Wildcat"/>
    <s v="RALFF"/>
    <s v="CONGO"/>
    <s v="RALFF-CO3732"/>
    <s v="2.2"/>
    <m/>
  </r>
  <r>
    <d v="2022-08-22T00:00:00"/>
    <s v="recharge batterie et transport techniciens"/>
    <x v="14"/>
    <s v="Office"/>
    <m/>
    <n v="3000"/>
    <n v="29782643"/>
    <x v="1"/>
    <s v="Oui"/>
    <s v="Wildcat"/>
    <s v="PALF"/>
    <s v="CONGO"/>
    <m/>
    <m/>
    <m/>
  </r>
  <r>
    <d v="2022-08-22T00:00:00"/>
    <s v="I23C"/>
    <x v="1"/>
    <m/>
    <m/>
    <n v="13000"/>
    <n v="29769643"/>
    <x v="1"/>
    <m/>
    <m/>
    <m/>
    <m/>
    <m/>
    <m/>
    <m/>
  </r>
  <r>
    <d v="2022-08-22T00:00:00"/>
    <s v="Crépin/Retour caisse"/>
    <x v="1"/>
    <m/>
    <n v="60000"/>
    <m/>
    <n v="29829643"/>
    <x v="1"/>
    <m/>
    <m/>
    <m/>
    <m/>
    <m/>
    <m/>
    <m/>
  </r>
  <r>
    <d v="2022-08-22T00:00:00"/>
    <s v="I23C"/>
    <x v="1"/>
    <m/>
    <m/>
    <n v="15000"/>
    <n v="29814643"/>
    <x v="1"/>
    <m/>
    <m/>
    <m/>
    <m/>
    <m/>
    <m/>
    <m/>
  </r>
  <r>
    <d v="2022-08-22T00:00:00"/>
    <s v="Achat billet Brazzaville-Pointe Noire / I23C"/>
    <x v="8"/>
    <s v="Investigation"/>
    <m/>
    <n v="15000"/>
    <n v="29799643"/>
    <x v="6"/>
    <s v="Oui"/>
    <s v="Wildcat"/>
    <s v="RALFF"/>
    <s v="CONGO"/>
    <s v="RALFF-CO3733"/>
    <s v="2.2"/>
    <m/>
  </r>
  <r>
    <d v="2022-08-22T00:00:00"/>
    <s v="I23C"/>
    <x v="1"/>
    <m/>
    <m/>
    <n v="90000"/>
    <n v="29709643"/>
    <x v="1"/>
    <m/>
    <m/>
    <m/>
    <m/>
    <m/>
    <m/>
    <m/>
  </r>
  <r>
    <d v="2022-08-22T00:00:00"/>
    <s v="BCI-3654491-34"/>
    <x v="1"/>
    <m/>
    <n v="1000000"/>
    <m/>
    <n v="30709643"/>
    <x v="1"/>
    <m/>
    <m/>
    <m/>
    <m/>
    <m/>
    <m/>
    <m/>
  </r>
  <r>
    <d v="2022-08-22T00:00:00"/>
    <s v="Retrait especes/appro caisse/bord n°3654491"/>
    <x v="1"/>
    <m/>
    <m/>
    <n v="1000000"/>
    <n v="29709643"/>
    <x v="10"/>
    <n v="3654491"/>
    <m/>
    <m/>
    <m/>
    <m/>
    <m/>
    <m/>
  </r>
  <r>
    <d v="2022-08-22T00:00:00"/>
    <s v="Retour caisse/Crépin"/>
    <x v="1"/>
    <m/>
    <m/>
    <n v="60000"/>
    <n v="29649643"/>
    <x v="3"/>
    <m/>
    <m/>
    <m/>
    <m/>
    <m/>
    <m/>
    <m/>
  </r>
  <r>
    <d v="2022-08-22T00:00:00"/>
    <s v="Reçu caisse/I23C"/>
    <x v="1"/>
    <m/>
    <n v="15000"/>
    <m/>
    <n v="29664643"/>
    <x v="6"/>
    <m/>
    <m/>
    <m/>
    <m/>
    <m/>
    <m/>
    <m/>
  </r>
  <r>
    <d v="2022-08-22T00:00:00"/>
    <s v="Reçu caisse/I23C"/>
    <x v="1"/>
    <m/>
    <n v="13000"/>
    <m/>
    <n v="29677643"/>
    <x v="6"/>
    <m/>
    <m/>
    <m/>
    <m/>
    <m/>
    <m/>
    <m/>
  </r>
  <r>
    <d v="2022-08-22T00:00:00"/>
    <s v="Reçu caisse/I23C"/>
    <x v="1"/>
    <m/>
    <n v="90000"/>
    <m/>
    <n v="29767643"/>
    <x v="6"/>
    <m/>
    <m/>
    <m/>
    <m/>
    <m/>
    <m/>
    <m/>
  </r>
  <r>
    <d v="2022-08-22T00:00:00"/>
    <s v="P29 - CONGO Food allowance mission du 22 au 28-08-2022 "/>
    <x v="9"/>
    <s v="Investigation"/>
    <m/>
    <n v="60000"/>
    <n v="29707643"/>
    <x v="5"/>
    <s v="Decharge"/>
    <s v="Wildcat"/>
    <s v="RALFF"/>
    <s v="CONGO"/>
    <s v="RALFF-CO3734"/>
    <s v="1.3.2"/>
    <m/>
  </r>
  <r>
    <d v="2022-08-23T00:00:00"/>
    <s v="Cumul frais Transport Local du mois de Août 2022/Crépin"/>
    <x v="8"/>
    <s v="Management"/>
    <m/>
    <n v="23000"/>
    <n v="29684643"/>
    <x v="3"/>
    <s v="Decharge"/>
    <s v="Wildcat"/>
    <s v="RALFF"/>
    <s v="CONGO"/>
    <s v="RALFF-CO3735"/>
    <s v="2.2"/>
    <m/>
  </r>
  <r>
    <d v="2022-08-24T00:00:00"/>
    <s v="Frais de transfert charden farell à P29"/>
    <x v="2"/>
    <s v="Office"/>
    <m/>
    <n v="3240"/>
    <n v="29681403"/>
    <x v="1"/>
    <s v="Oui"/>
    <s v="Wildcat"/>
    <s v="RALFF"/>
    <s v="CONGO"/>
    <s v="RALFF-CO3736"/>
    <s v="5.6"/>
    <m/>
  </r>
  <r>
    <d v="2022-08-24T00:00:00"/>
    <s v="P29"/>
    <x v="1"/>
    <m/>
    <m/>
    <n v="108000"/>
    <n v="29573403"/>
    <x v="1"/>
    <m/>
    <m/>
    <m/>
    <m/>
    <m/>
    <m/>
    <m/>
  </r>
  <r>
    <d v="2022-08-24T00:00:00"/>
    <s v="I23C - CONGO Food allowance mission Pointe Noire du 24 au 28 Août 2022"/>
    <x v="9"/>
    <s v="Investigation"/>
    <m/>
    <n v="40000"/>
    <n v="29533403"/>
    <x v="6"/>
    <s v="Decharge"/>
    <s v="Wildcat"/>
    <s v="RALFF"/>
    <s v="CONGO"/>
    <s v="RALFF-CO3737"/>
    <s v="1.3.2"/>
    <m/>
  </r>
  <r>
    <d v="2022-08-24T00:00:00"/>
    <s v="Recu de caisse/P29"/>
    <x v="1"/>
    <m/>
    <n v="108000"/>
    <m/>
    <n v="29641403"/>
    <x v="5"/>
    <m/>
    <m/>
    <m/>
    <m/>
    <m/>
    <m/>
    <m/>
  </r>
  <r>
    <d v="2022-08-25T00:00:00"/>
    <s v="Collation pour départ  Danielle MBUI"/>
    <x v="16"/>
    <s v="Team Bulding"/>
    <m/>
    <n v="50000"/>
    <n v="29591403"/>
    <x v="1"/>
    <s v="Oui"/>
    <s v="Wildcat"/>
    <s v="PALF"/>
    <s v="CONGO"/>
    <m/>
    <m/>
    <m/>
  </r>
  <r>
    <d v="2022-08-25T00:00:00"/>
    <s v="Crepin"/>
    <x v="1"/>
    <m/>
    <n v="47000"/>
    <m/>
    <n v="29638403"/>
    <x v="1"/>
    <m/>
    <m/>
    <m/>
    <m/>
    <m/>
    <m/>
    <m/>
  </r>
  <r>
    <d v="2022-08-25T00:00:00"/>
    <s v="Paiement salaire mois d'Août 2022/Crepin IBOUILI IBOUILI"/>
    <x v="5"/>
    <s v="Legal"/>
    <m/>
    <n v="357982"/>
    <n v="29280421"/>
    <x v="2"/>
    <n v="3667222"/>
    <s v="Wildcat"/>
    <s v="RALFF"/>
    <s v="CONGO"/>
    <s v="RALFF-CO3738"/>
    <s v="1.1.1.7"/>
    <m/>
  </r>
  <r>
    <d v="2022-08-25T00:00:00"/>
    <s v="Paiement salaire mois d'Août 2022/Hurielle MFOULOU"/>
    <x v="5"/>
    <s v="Legal"/>
    <m/>
    <n v="200000"/>
    <n v="29080421"/>
    <x v="2"/>
    <n v="3667223"/>
    <s v="UE"/>
    <s v="RALFF"/>
    <s v="CONGO"/>
    <s v="RALFF-CO3739"/>
    <s v="1.1.1.7"/>
    <m/>
  </r>
  <r>
    <d v="2022-08-25T00:00:00"/>
    <s v="Paiement salaire mois d'Août 2022/Grace MOLENDE"/>
    <x v="5"/>
    <s v="Management"/>
    <m/>
    <n v="350000"/>
    <n v="28730421"/>
    <x v="2"/>
    <n v="3667224"/>
    <s v="UE"/>
    <s v="RALFF"/>
    <s v="CONGO"/>
    <s v="RALFF-CO3740"/>
    <s v="1.1.2.1"/>
    <m/>
  </r>
  <r>
    <d v="2022-08-25T00:00:00"/>
    <s v="Paiement salaire mois d'Aout 2022/Merveille MAHANGA"/>
    <x v="5"/>
    <s v="Management"/>
    <m/>
    <n v="300000"/>
    <n v="28430421"/>
    <x v="2"/>
    <n v="3667225"/>
    <s v="UE"/>
    <s v="RALFF"/>
    <s v="CONGO"/>
    <s v="RALFF-CO3741"/>
    <s v="1.1.2.1"/>
    <m/>
  </r>
  <r>
    <d v="2022-08-25T00:00:00"/>
    <s v="Achat Appareil photo + Accessoire (Batterie, carte mémoire et Sac )/PALF"/>
    <x v="11"/>
    <s v="Office"/>
    <m/>
    <n v="554257"/>
    <n v="27876164"/>
    <x v="9"/>
    <s v="Oui"/>
    <s v="UE"/>
    <s v="RALFF"/>
    <s v="CONGO"/>
    <s v="RALFF-CO3742"/>
    <s v="3.2"/>
    <m/>
  </r>
  <r>
    <d v="2022-08-25T00:00:00"/>
    <s v="Achat 04 Disque dure Exterme WD Elements + 04 Pochette pour disque dure/PALF"/>
    <x v="11"/>
    <s v="Office"/>
    <m/>
    <n v="298113"/>
    <n v="27578051"/>
    <x v="9"/>
    <s v="Oui"/>
    <s v="Wildcat"/>
    <s v="RALFF"/>
    <s v="CONGO"/>
    <s v="RALFF-CO3743"/>
    <s v="3.2"/>
    <m/>
  </r>
  <r>
    <d v="2022-08-25T00:00:00"/>
    <s v="Retour caisse/Crépin"/>
    <x v="1"/>
    <m/>
    <m/>
    <n v="47000"/>
    <n v="27531051"/>
    <x v="3"/>
    <m/>
    <m/>
    <m/>
    <m/>
    <m/>
    <m/>
    <m/>
  </r>
  <r>
    <d v="2022-08-26T00:00:00"/>
    <s v="Achat billet Pointe Noire-dolisie/P29"/>
    <x v="8"/>
    <s v="Investigation"/>
    <m/>
    <n v="5000"/>
    <n v="27526051"/>
    <x v="5"/>
    <s v="Oui"/>
    <s v="Wildcat"/>
    <s v="RALFF"/>
    <s v="CONGO"/>
    <s v="RALFF-CO3744"/>
    <s v="2.2"/>
    <m/>
  </r>
  <r>
    <d v="2022-08-26T00:00:00"/>
    <s v="Frais de transfert charden farell à I23c"/>
    <x v="2"/>
    <s v="Office"/>
    <m/>
    <n v="1920"/>
    <n v="27524131"/>
    <x v="1"/>
    <s v="Oui"/>
    <s v="Wildcat"/>
    <s v="RALFF"/>
    <s v="CONGO"/>
    <s v="RALFF-CO3745"/>
    <s v="5.6"/>
    <m/>
  </r>
  <r>
    <d v="2022-08-26T00:00:00"/>
    <s v="Merveille"/>
    <x v="1"/>
    <m/>
    <m/>
    <n v="10000"/>
    <n v="27514131"/>
    <x v="1"/>
    <m/>
    <m/>
    <m/>
    <m/>
    <m/>
    <m/>
    <m/>
  </r>
  <r>
    <d v="2022-08-26T00:00:00"/>
    <s v="I23C"/>
    <x v="1"/>
    <m/>
    <m/>
    <n v="64000"/>
    <n v="27450131"/>
    <x v="1"/>
    <m/>
    <m/>
    <m/>
    <m/>
    <m/>
    <m/>
    <m/>
  </r>
  <r>
    <d v="2022-08-26T00:00:00"/>
    <s v="Reglement prestation Entretient bureau Mois d'Août 2022/Odile"/>
    <x v="3"/>
    <s v="Office"/>
    <m/>
    <n v="75625"/>
    <n v="27374506"/>
    <x v="1"/>
    <s v="Oui"/>
    <s v="Wildcat"/>
    <s v="PALF"/>
    <s v="CONGO"/>
    <m/>
    <m/>
    <m/>
  </r>
  <r>
    <d v="2022-08-26T00:00:00"/>
    <s v="Fonds reçu de Wildcat"/>
    <x v="12"/>
    <m/>
    <n v="6318119"/>
    <m/>
    <n v="33692625"/>
    <x v="10"/>
    <s v="Relevé"/>
    <s v="Wildcat"/>
    <m/>
    <s v="CONGO"/>
    <m/>
    <m/>
    <m/>
  </r>
  <r>
    <d v="2022-08-26T00:00:00"/>
    <s v="Fonds reçu de ECF"/>
    <x v="12"/>
    <m/>
    <n v="6318118"/>
    <m/>
    <n v="40010743"/>
    <x v="10"/>
    <s v="Relevé"/>
    <s v="ECF"/>
    <m/>
    <s v="CONGO"/>
    <m/>
    <m/>
    <m/>
  </r>
  <r>
    <d v="2022-08-26T00:00:00"/>
    <s v="P29 - CONGO Paiement 4 nuitées du 22 au 26-08-2022 à Pointe Noire"/>
    <x v="9"/>
    <s v="Investigation"/>
    <m/>
    <n v="60000"/>
    <n v="33632625"/>
    <x v="5"/>
    <s v="Oui"/>
    <s v="Wildcat"/>
    <s v="RALFF"/>
    <s v="CONGO"/>
    <s v="RALFF-CO3746"/>
    <s v="1.3.2"/>
    <m/>
  </r>
  <r>
    <d v="2022-08-26T00:00:00"/>
    <s v="Reçu caisse/Merveille"/>
    <x v="1"/>
    <m/>
    <n v="10000"/>
    <m/>
    <n v="33642625"/>
    <x v="8"/>
    <m/>
    <m/>
    <m/>
    <m/>
    <m/>
    <m/>
    <m/>
  </r>
  <r>
    <d v="2022-08-26T00:00:00"/>
    <s v="Reçu caisse/I23C"/>
    <x v="1"/>
    <m/>
    <n v="64000"/>
    <m/>
    <n v="33706625"/>
    <x v="6"/>
    <m/>
    <m/>
    <m/>
    <m/>
    <m/>
    <m/>
    <m/>
  </r>
  <r>
    <d v="2022-08-27T00:00:00"/>
    <s v="Achat billet Pointe-Noire-Brazzaville / I23C"/>
    <x v="8"/>
    <s v="Investigation"/>
    <m/>
    <n v="15000"/>
    <n v="33691625"/>
    <x v="6"/>
    <s v="Oui"/>
    <s v="Wildcat"/>
    <s v="RALFF"/>
    <s v="CONGO"/>
    <s v="RALFF-CO3747"/>
    <s v="2.2"/>
    <m/>
  </r>
  <r>
    <d v="2022-08-27T00:00:00"/>
    <s v="Cumul frais de trust Bulding du mois d'Août 2022/I23C"/>
    <x v="17"/>
    <s v="Investigation"/>
    <m/>
    <n v="28000"/>
    <n v="33663625"/>
    <x v="6"/>
    <s v="Decharge"/>
    <s v="Wildcat"/>
    <s v="PALF"/>
    <s v="CONGO"/>
    <m/>
    <m/>
    <m/>
  </r>
  <r>
    <d v="2022-08-27T00:00:00"/>
    <s v="Cumul Frais de Trust Bulding du Mois d'Août 2022/P29"/>
    <x v="17"/>
    <s v="Investigation"/>
    <m/>
    <n v="37000"/>
    <n v="33626625"/>
    <x v="5"/>
    <s v="Decharge"/>
    <s v="Wildcat"/>
    <s v="PALF"/>
    <s v="CONGO"/>
    <m/>
    <m/>
    <m/>
  </r>
  <r>
    <d v="2022-08-28T00:00:00"/>
    <s v="I23C - CONGO Paiement 4 nuitées du 24 au 28 Août 2022 à Pointe Noire"/>
    <x v="9"/>
    <s v="Investigation"/>
    <m/>
    <n v="60000"/>
    <n v="33566625"/>
    <x v="6"/>
    <s v="Oui"/>
    <s v="Wildcat"/>
    <s v="RALFF"/>
    <s v="CONGO"/>
    <s v="RALFF-CO3748"/>
    <s v="1.3.2"/>
    <m/>
  </r>
  <r>
    <d v="2022-08-28T00:00:00"/>
    <s v="Cumul frais de transport local du mois d'Août 2022/I23C"/>
    <x v="8"/>
    <s v="Investigation"/>
    <m/>
    <n v="83000"/>
    <n v="33483625"/>
    <x v="6"/>
    <s v="Decharge"/>
    <s v="Wildcat"/>
    <s v="RALFF"/>
    <s v="CONGO"/>
    <s v="RALFF-CO3749"/>
    <s v="2.2"/>
    <m/>
  </r>
  <r>
    <d v="2022-08-28T00:00:00"/>
    <s v="P29 - CONGO Paiement 2 nuitées du 26 au 28-08-2022 à dolisie"/>
    <x v="9"/>
    <s v="Investigation"/>
    <m/>
    <n v="30000"/>
    <n v="33453625"/>
    <x v="5"/>
    <s v="Oui"/>
    <s v="Wildcat"/>
    <s v="RALFF"/>
    <s v="CONGO"/>
    <s v="RALFF-CO3750"/>
    <s v="1.3.2"/>
    <m/>
  </r>
  <r>
    <d v="2022-08-28T00:00:00"/>
    <s v="Achat billet dolisie-Brazzaville/P29"/>
    <x v="8"/>
    <s v="Investigation"/>
    <m/>
    <n v="10000"/>
    <n v="33443625"/>
    <x v="5"/>
    <s v="Oui"/>
    <s v="Wildcat"/>
    <s v="RALFF"/>
    <s v="CONGO"/>
    <s v="RALFF-CO3751"/>
    <s v="2.2"/>
    <m/>
  </r>
  <r>
    <d v="2022-08-28T00:00:00"/>
    <s v="Cumul Frais de Transport Local du Mois d'Août 2022/P29"/>
    <x v="8"/>
    <s v="Investigation"/>
    <m/>
    <n v="84800"/>
    <n v="33358825"/>
    <x v="5"/>
    <s v="Decharge"/>
    <s v="Wildcat"/>
    <s v="RALFF"/>
    <s v="CONGO"/>
    <s v="RALFF-CO3752"/>
    <s v="2.2"/>
    <m/>
  </r>
  <r>
    <d v="2022-08-29T00:00:00"/>
    <s v="Frais de Test covid Tiffany/retour au CONGO"/>
    <x v="18"/>
    <s v="Management"/>
    <m/>
    <n v="24651"/>
    <n v="33334174"/>
    <x v="9"/>
    <s v="Oui"/>
    <s v="Wildcat"/>
    <s v="PALF"/>
    <s v="CONGO"/>
    <m/>
    <m/>
    <m/>
  </r>
  <r>
    <d v="2022-08-30T00:00:00"/>
    <s v="Reglement frais d' internet mois de Septembre 2022/Canal Box"/>
    <x v="19"/>
    <s v="Office"/>
    <m/>
    <n v="45050"/>
    <n v="33289124"/>
    <x v="1"/>
    <s v="Oui"/>
    <s v="Wildcat"/>
    <s v="RALFF"/>
    <s v="CONGO"/>
    <s v="RALFF-CO3753"/>
    <s v="4.5"/>
    <m/>
  </r>
  <r>
    <d v="2022-08-30T00:00:00"/>
    <s v="P29"/>
    <x v="1"/>
    <m/>
    <m/>
    <n v="15000"/>
    <n v="33274124"/>
    <x v="1"/>
    <m/>
    <m/>
    <m/>
    <m/>
    <m/>
    <m/>
    <m/>
  </r>
  <r>
    <d v="2022-08-30T00:00:00"/>
    <s v="Recu de caisse/P29"/>
    <x v="1"/>
    <m/>
    <n v="15000"/>
    <m/>
    <n v="33289124"/>
    <x v="5"/>
    <m/>
    <m/>
    <m/>
    <m/>
    <m/>
    <m/>
    <m/>
  </r>
  <r>
    <d v="2022-08-31T00:00:00"/>
    <s v="Cumul frais de Transport Local mois de Août  2022/Hurielle MFOULOU"/>
    <x v="8"/>
    <s v="Legal"/>
    <m/>
    <n v="21500"/>
    <n v="33267624"/>
    <x v="4"/>
    <s v="Decharge"/>
    <s v="Wildcat"/>
    <s v="RALFF"/>
    <s v="CONGO"/>
    <s v="RALFF-CO3754"/>
    <s v="2.2"/>
    <m/>
  </r>
  <r>
    <d v="2022-08-31T00:00:00"/>
    <s v="I23c"/>
    <x v="1"/>
    <m/>
    <n v="1550"/>
    <m/>
    <n v="33269174"/>
    <x v="1"/>
    <m/>
    <m/>
    <m/>
    <m/>
    <m/>
    <m/>
    <m/>
  </r>
  <r>
    <d v="2022-08-31T00:00:00"/>
    <s v="Entretretien général Jardin, Bureau PALF Mois d'Août 2022"/>
    <x v="3"/>
    <s v="Office"/>
    <m/>
    <n v="20000"/>
    <n v="33249174"/>
    <x v="1"/>
    <s v="Oui"/>
    <s v="Wildcat"/>
    <s v="PALF"/>
    <s v="CONGO"/>
    <m/>
    <m/>
    <m/>
  </r>
  <r>
    <d v="2022-08-31T00:00:00"/>
    <s v="Reglement Facture Gardiennage Mois d'Aout 2022/3654496"/>
    <x v="3"/>
    <s v="Office"/>
    <m/>
    <n v="260000"/>
    <n v="32989174"/>
    <x v="10"/>
    <n v="3654496"/>
    <s v="Wildcat"/>
    <s v="PALF"/>
    <s v="CONGO"/>
    <m/>
    <m/>
    <m/>
  </r>
  <r>
    <d v="2022-08-31T00:00:00"/>
    <s v="Cumul frais de transport local mois de Août 2022 /Tiffany GOBERT"/>
    <x v="8"/>
    <s v="Management"/>
    <m/>
    <n v="2000"/>
    <n v="32987174"/>
    <x v="9"/>
    <s v="Decharge"/>
    <s v="Wildcat"/>
    <s v="RALFF"/>
    <s v="CONGO"/>
    <s v="RALFF-CO3755"/>
    <s v="2.2"/>
    <m/>
  </r>
  <r>
    <d v="2022-08-31T00:00:00"/>
    <s v="Cumul frais de transport local mois d'août 2022/Merveille"/>
    <x v="8"/>
    <s v="Management"/>
    <m/>
    <n v="19000"/>
    <n v="32968174"/>
    <x v="8"/>
    <s v="Decharge"/>
    <s v="Wildcat"/>
    <s v="RALFF"/>
    <s v="CONGO"/>
    <s v="RALFF-CO3756"/>
    <s v="2.2"/>
    <m/>
  </r>
  <r>
    <d v="2022-08-31T00:00:00"/>
    <s v="Retour Caisse/I23C"/>
    <x v="1"/>
    <m/>
    <m/>
    <n v="1550"/>
    <n v="32966624"/>
    <x v="6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eau croisé dynamique4" cacheId="15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3:D17" firstHeaderRow="1" firstDataRow="2" firstDataCol="1"/>
  <pivotFields count="15">
    <pivotField numFmtId="170"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Col" showAll="0">
      <items count="6">
        <item x="2"/>
        <item x="1"/>
        <item x="0"/>
        <item m="1" x="4"/>
        <item x="3"/>
        <item t="default"/>
      </items>
    </pivotField>
    <pivotField axis="axisRow" showAll="0">
      <items count="5">
        <item x="2"/>
        <item x="1"/>
        <item h="1" x="0"/>
        <item h="1" m="1" x="3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Somme de Spent" fld="5" baseField="0" baseItem="0"/>
  </dataFields>
  <formats count="1">
    <format dxfId="0">
      <pivotArea collapsedLevelsAreSubtotals="1" fieldPosition="0">
        <references count="2">
          <reference field="9" count="1" selected="0">
            <x v="1"/>
          </reference>
          <reference field="10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152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15">
    <pivotField numFmtId="170"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Row" showAll="0">
      <items count="6">
        <item x="2"/>
        <item x="1"/>
        <item h="1" x="0"/>
        <item h="1" m="1" x="4"/>
        <item x="3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4">
    <i>
      <x/>
    </i>
    <i>
      <x v="1"/>
    </i>
    <i>
      <x v="4"/>
    </i>
    <i t="grand">
      <x/>
    </i>
  </rowItems>
  <colItems count="1">
    <i/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" cacheId="154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O16" firstHeaderRow="1" firstDataRow="3" firstDataCol="1"/>
  <pivotFields count="15">
    <pivotField numFmtId="171" showAll="0"/>
    <pivotField showAll="0"/>
    <pivotField axis="axisCol" showAll="0">
      <items count="21">
        <item x="6"/>
        <item x="10"/>
        <item x="11"/>
        <item x="12"/>
        <item x="19"/>
        <item x="13"/>
        <item x="15"/>
        <item x="7"/>
        <item x="5"/>
        <item x="16"/>
        <item x="14"/>
        <item x="3"/>
        <item x="4"/>
        <item x="2"/>
        <item x="8"/>
        <item x="18"/>
        <item x="9"/>
        <item x="17"/>
        <item x="1"/>
        <item x="0"/>
        <item t="default"/>
      </items>
    </pivotField>
    <pivotField showAll="0"/>
    <pivotField dataField="1" showAll="0"/>
    <pivotField dataField="1" showAll="0"/>
    <pivotField numFmtId="165" showAll="0"/>
    <pivotField axis="axisRow" showAll="0">
      <items count="12">
        <item x="10"/>
        <item x="2"/>
        <item x="1"/>
        <item x="3"/>
        <item x="7"/>
        <item x="4"/>
        <item x="6"/>
        <item x="8"/>
        <item x="5"/>
        <item x="9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2">
    <field x="2"/>
    <field x="-2"/>
  </colFields>
  <colItems count="4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>
      <x v="18"/>
      <x/>
    </i>
    <i r="1" i="1">
      <x v="1"/>
    </i>
    <i t="grand">
      <x/>
    </i>
    <i t="grand" i="1">
      <x/>
    </i>
  </colItems>
  <dataFields count="2">
    <dataField name="Somme de Spent" fld="5" baseField="0" baseItem="0"/>
    <dataField name="Somme de Received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Q880"/>
  <sheetViews>
    <sheetView zoomScale="73" zoomScaleNormal="73" workbookViewId="0">
      <pane xSplit="1" topLeftCell="E1" activePane="topRight" state="frozen"/>
      <selection pane="topRight" activeCell="A12" sqref="A12:XFD12"/>
    </sheetView>
  </sheetViews>
  <sheetFormatPr baseColWidth="10" defaultColWidth="11.42578125" defaultRowHeight="15"/>
  <cols>
    <col min="1" max="1" width="43.140625" style="5" customWidth="1"/>
    <col min="2" max="2" width="25.7109375" style="5" customWidth="1"/>
    <col min="3" max="3" width="28.28515625" style="5" customWidth="1"/>
    <col min="4" max="4" width="29.42578125" style="5" customWidth="1"/>
    <col min="5" max="5" width="19.5703125" style="5" customWidth="1"/>
    <col min="6" max="6" width="21" style="5" customWidth="1"/>
    <col min="7" max="7" width="36.28515625" style="5" customWidth="1"/>
    <col min="8" max="8" width="20.5703125" style="5" customWidth="1"/>
    <col min="9" max="9" width="19.7109375" style="5" customWidth="1"/>
    <col min="10" max="10" width="16.7109375" style="5" customWidth="1"/>
    <col min="11" max="11" width="18.7109375" style="5" customWidth="1"/>
    <col min="12" max="12" width="16" style="48" customWidth="1"/>
    <col min="13" max="13" width="18.7109375" style="48" customWidth="1"/>
    <col min="14" max="14" width="14.140625" style="48" customWidth="1"/>
    <col min="15" max="15" width="14.85546875" style="48" customWidth="1"/>
    <col min="16" max="16" width="11.42578125" style="5"/>
    <col min="17" max="17" width="2.85546875" style="212" customWidth="1"/>
    <col min="18" max="16384" width="11.42578125" style="5"/>
  </cols>
  <sheetData>
    <row r="3" spans="1:17" ht="15.75">
      <c r="A3" s="6" t="s">
        <v>36</v>
      </c>
      <c r="B3" s="6" t="s">
        <v>1</v>
      </c>
      <c r="C3" s="6">
        <v>44774</v>
      </c>
      <c r="D3" s="7" t="s">
        <v>37</v>
      </c>
      <c r="E3" s="7" t="s">
        <v>38</v>
      </c>
      <c r="F3" s="7" t="s">
        <v>39</v>
      </c>
      <c r="G3" s="7" t="s">
        <v>40</v>
      </c>
      <c r="H3" s="6">
        <v>44804</v>
      </c>
      <c r="I3" s="7" t="s">
        <v>41</v>
      </c>
      <c r="K3" s="47"/>
      <c r="L3" s="47" t="s">
        <v>42</v>
      </c>
      <c r="M3" s="47" t="s">
        <v>43</v>
      </c>
      <c r="N3" s="47" t="s">
        <v>44</v>
      </c>
      <c r="O3" s="47" t="s">
        <v>45</v>
      </c>
      <c r="Q3" s="5"/>
    </row>
    <row r="4" spans="1:17" ht="16.5">
      <c r="A4" s="60" t="str">
        <f>K4</f>
        <v>BCI</v>
      </c>
      <c r="B4" s="61" t="s">
        <v>46</v>
      </c>
      <c r="C4" s="63">
        <v>168348</v>
      </c>
      <c r="D4" s="63">
        <f>+L4</f>
        <v>0</v>
      </c>
      <c r="E4" s="63">
        <f>+N4</f>
        <v>286008</v>
      </c>
      <c r="F4" s="63">
        <f>+M4</f>
        <v>1000000</v>
      </c>
      <c r="G4" s="63">
        <f t="shared" ref="G4:G14" si="0">+O4</f>
        <v>24938480</v>
      </c>
      <c r="H4" s="63">
        <v>23820820</v>
      </c>
      <c r="I4" s="63">
        <f>+C4+D4-E4-F4+G4</f>
        <v>23820820</v>
      </c>
      <c r="J4" s="9">
        <f>I4-H4</f>
        <v>0</v>
      </c>
      <c r="K4" s="47" t="s">
        <v>24</v>
      </c>
      <c r="L4" s="49">
        <v>0</v>
      </c>
      <c r="M4" s="49">
        <v>1000000</v>
      </c>
      <c r="N4" s="49">
        <v>286008</v>
      </c>
      <c r="O4" s="49">
        <v>24938480</v>
      </c>
      <c r="Q4" s="5"/>
    </row>
    <row r="5" spans="1:17" ht="16.5">
      <c r="A5" s="60" t="str">
        <f t="shared" ref="A5:A16" si="1">K5</f>
        <v>BCI-Sous Compte</v>
      </c>
      <c r="B5" s="61" t="s">
        <v>46</v>
      </c>
      <c r="C5" s="63">
        <v>21477810</v>
      </c>
      <c r="D5" s="63">
        <f t="shared" ref="D5:D16" si="2">+L5</f>
        <v>0</v>
      </c>
      <c r="E5" s="63">
        <f t="shared" ref="E5:E16" si="3">+N5</f>
        <v>4453229</v>
      </c>
      <c r="F5" s="63">
        <f t="shared" ref="F5:F16" si="4">+M5</f>
        <v>2600000</v>
      </c>
      <c r="G5" s="63">
        <f t="shared" si="0"/>
        <v>0</v>
      </c>
      <c r="H5" s="63">
        <v>14424581</v>
      </c>
      <c r="I5" s="63">
        <f>+C5+D5-E5-F5+G5</f>
        <v>14424581</v>
      </c>
      <c r="J5" s="9">
        <f t="shared" ref="J5:J11" si="5">I5-H5</f>
        <v>0</v>
      </c>
      <c r="K5" s="47" t="s">
        <v>157</v>
      </c>
      <c r="L5" s="48">
        <v>0</v>
      </c>
      <c r="M5" s="49">
        <v>2600000</v>
      </c>
      <c r="N5" s="49">
        <v>4453229</v>
      </c>
      <c r="O5" s="49">
        <v>0</v>
      </c>
      <c r="Q5" s="5"/>
    </row>
    <row r="6" spans="1:17" ht="16.5">
      <c r="A6" s="60" t="str">
        <f t="shared" si="1"/>
        <v>Caisse</v>
      </c>
      <c r="B6" s="61" t="s">
        <v>25</v>
      </c>
      <c r="C6" s="63">
        <v>103032</v>
      </c>
      <c r="D6" s="63">
        <f t="shared" si="2"/>
        <v>3946550</v>
      </c>
      <c r="E6" s="63">
        <f t="shared" si="3"/>
        <v>994290</v>
      </c>
      <c r="F6" s="63">
        <f t="shared" si="4"/>
        <v>2075250</v>
      </c>
      <c r="G6" s="63">
        <f t="shared" si="0"/>
        <v>0</v>
      </c>
      <c r="H6" s="63">
        <v>980042</v>
      </c>
      <c r="I6" s="63">
        <f>+C6+D6-E6-F6+G6</f>
        <v>980042</v>
      </c>
      <c r="J6" s="108">
        <f t="shared" si="5"/>
        <v>0</v>
      </c>
      <c r="K6" s="47" t="s">
        <v>25</v>
      </c>
      <c r="L6" s="49">
        <v>3946550</v>
      </c>
      <c r="M6" s="49">
        <v>2075250</v>
      </c>
      <c r="N6" s="49">
        <v>994290</v>
      </c>
      <c r="O6" s="49">
        <v>0</v>
      </c>
      <c r="Q6" s="5"/>
    </row>
    <row r="7" spans="1:17" ht="16.5">
      <c r="A7" s="60" t="str">
        <f t="shared" si="1"/>
        <v>Crépin</v>
      </c>
      <c r="B7" s="61" t="s">
        <v>163</v>
      </c>
      <c r="C7" s="63">
        <v>-5640</v>
      </c>
      <c r="D7" s="63">
        <f t="shared" si="2"/>
        <v>600250</v>
      </c>
      <c r="E7" s="63">
        <f t="shared" si="3"/>
        <v>421700</v>
      </c>
      <c r="F7" s="63">
        <f t="shared" si="4"/>
        <v>107000</v>
      </c>
      <c r="G7" s="63">
        <f t="shared" si="0"/>
        <v>0</v>
      </c>
      <c r="H7" s="63">
        <v>65910</v>
      </c>
      <c r="I7" s="63">
        <f>+C7+D7-E7-F7+G7</f>
        <v>65910</v>
      </c>
      <c r="J7" s="9">
        <f t="shared" si="5"/>
        <v>0</v>
      </c>
      <c r="K7" s="47" t="s">
        <v>47</v>
      </c>
      <c r="L7" s="49">
        <v>600250</v>
      </c>
      <c r="M7" s="49">
        <v>107000</v>
      </c>
      <c r="N7" s="49">
        <v>421700</v>
      </c>
      <c r="O7" s="49">
        <v>0</v>
      </c>
      <c r="Q7" s="5"/>
    </row>
    <row r="8" spans="1:17" ht="16.5">
      <c r="A8" s="60" t="str">
        <f t="shared" si="1"/>
        <v>Evariste</v>
      </c>
      <c r="B8" s="61" t="s">
        <v>164</v>
      </c>
      <c r="C8" s="63">
        <v>4795</v>
      </c>
      <c r="D8" s="63">
        <f t="shared" si="2"/>
        <v>0</v>
      </c>
      <c r="E8" s="63">
        <f t="shared" si="3"/>
        <v>0</v>
      </c>
      <c r="F8" s="63">
        <f t="shared" si="4"/>
        <v>0</v>
      </c>
      <c r="G8" s="63">
        <f t="shared" si="0"/>
        <v>0</v>
      </c>
      <c r="H8" s="63">
        <v>4795</v>
      </c>
      <c r="I8" s="63">
        <f t="shared" ref="I8" si="6">+C8+D8-E8-F8+G8</f>
        <v>4795</v>
      </c>
      <c r="J8" s="9">
        <f t="shared" si="5"/>
        <v>0</v>
      </c>
      <c r="K8" s="47" t="s">
        <v>31</v>
      </c>
      <c r="L8" s="49">
        <v>0</v>
      </c>
      <c r="M8" s="49">
        <v>0</v>
      </c>
      <c r="N8" s="49">
        <v>0</v>
      </c>
      <c r="O8" s="49">
        <v>0</v>
      </c>
      <c r="Q8" s="5"/>
    </row>
    <row r="9" spans="1:17" ht="16.5">
      <c r="A9" s="60" t="str">
        <f t="shared" si="1"/>
        <v>I55S</v>
      </c>
      <c r="B9" s="124" t="s">
        <v>4</v>
      </c>
      <c r="C9" s="126">
        <v>233614</v>
      </c>
      <c r="D9" s="126">
        <f t="shared" si="2"/>
        <v>0</v>
      </c>
      <c r="E9" s="126">
        <f t="shared" si="3"/>
        <v>0</v>
      </c>
      <c r="F9" s="126">
        <f t="shared" si="4"/>
        <v>0</v>
      </c>
      <c r="G9" s="126">
        <f t="shared" si="0"/>
        <v>0</v>
      </c>
      <c r="H9" s="126">
        <v>233614</v>
      </c>
      <c r="I9" s="126">
        <f>+C9+D9-E9-F9+G9</f>
        <v>233614</v>
      </c>
      <c r="J9" s="9">
        <f t="shared" si="5"/>
        <v>0</v>
      </c>
      <c r="K9" s="47" t="s">
        <v>84</v>
      </c>
      <c r="L9" s="49">
        <v>0</v>
      </c>
      <c r="M9" s="49">
        <v>0</v>
      </c>
      <c r="N9" s="49">
        <v>0</v>
      </c>
      <c r="O9" s="49">
        <v>0</v>
      </c>
      <c r="Q9" s="5"/>
    </row>
    <row r="10" spans="1:17" ht="16.5">
      <c r="A10" s="60" t="str">
        <f t="shared" si="1"/>
        <v>I73X</v>
      </c>
      <c r="B10" s="124" t="s">
        <v>4</v>
      </c>
      <c r="C10" s="126">
        <v>249769</v>
      </c>
      <c r="D10" s="126">
        <f t="shared" si="2"/>
        <v>0</v>
      </c>
      <c r="E10" s="126">
        <f t="shared" si="3"/>
        <v>0</v>
      </c>
      <c r="F10" s="126">
        <f t="shared" si="4"/>
        <v>0</v>
      </c>
      <c r="G10" s="126">
        <f t="shared" si="0"/>
        <v>0</v>
      </c>
      <c r="H10" s="126">
        <v>249769</v>
      </c>
      <c r="I10" s="126">
        <f t="shared" ref="I10:I13" si="7">+C10+D10-E10-F10+G10</f>
        <v>249769</v>
      </c>
      <c r="J10" s="9">
        <f t="shared" si="5"/>
        <v>0</v>
      </c>
      <c r="K10" s="47" t="s">
        <v>83</v>
      </c>
      <c r="L10" s="49">
        <v>0</v>
      </c>
      <c r="M10" s="49">
        <v>0</v>
      </c>
      <c r="N10" s="49">
        <v>0</v>
      </c>
      <c r="O10" s="49">
        <v>0</v>
      </c>
      <c r="Q10" s="5"/>
    </row>
    <row r="11" spans="1:17" ht="16.5">
      <c r="A11" s="60" t="str">
        <f t="shared" si="1"/>
        <v>Grace</v>
      </c>
      <c r="B11" s="104" t="s">
        <v>2</v>
      </c>
      <c r="C11" s="63">
        <v>18815</v>
      </c>
      <c r="D11" s="63">
        <f t="shared" si="2"/>
        <v>105000</v>
      </c>
      <c r="E11" s="63">
        <f t="shared" si="3"/>
        <v>7000</v>
      </c>
      <c r="F11" s="63">
        <f t="shared" si="4"/>
        <v>0</v>
      </c>
      <c r="G11" s="63">
        <f t="shared" si="0"/>
        <v>0</v>
      </c>
      <c r="H11" s="63">
        <v>116815</v>
      </c>
      <c r="I11" s="63">
        <f t="shared" si="7"/>
        <v>116815</v>
      </c>
      <c r="J11" s="9">
        <f t="shared" si="5"/>
        <v>0</v>
      </c>
      <c r="K11" s="47" t="s">
        <v>151</v>
      </c>
      <c r="L11" s="49">
        <v>105000</v>
      </c>
      <c r="M11" s="49">
        <v>0</v>
      </c>
      <c r="N11" s="49">
        <v>7000</v>
      </c>
      <c r="O11" s="49">
        <v>0</v>
      </c>
      <c r="Q11" s="5"/>
    </row>
    <row r="12" spans="1:17" s="411" customFormat="1" ht="15.75">
      <c r="A12" s="405" t="str">
        <f t="shared" si="1"/>
        <v>Hurielle</v>
      </c>
      <c r="B12" s="406" t="s">
        <v>163</v>
      </c>
      <c r="C12" s="407">
        <v>36500</v>
      </c>
      <c r="D12" s="407">
        <f t="shared" si="2"/>
        <v>266000</v>
      </c>
      <c r="E12" s="407">
        <f t="shared" si="3"/>
        <v>213800</v>
      </c>
      <c r="F12" s="407">
        <f t="shared" si="4"/>
        <v>88000</v>
      </c>
      <c r="G12" s="407">
        <f t="shared" si="0"/>
        <v>0</v>
      </c>
      <c r="H12" s="407">
        <v>700</v>
      </c>
      <c r="I12" s="407">
        <f t="shared" si="7"/>
        <v>700</v>
      </c>
      <c r="J12" s="408">
        <f>I12-H12</f>
        <v>0</v>
      </c>
      <c r="K12" s="409" t="s">
        <v>207</v>
      </c>
      <c r="L12" s="410">
        <v>266000</v>
      </c>
      <c r="M12" s="410">
        <v>88000</v>
      </c>
      <c r="N12" s="410">
        <v>213800</v>
      </c>
      <c r="O12" s="410">
        <v>0</v>
      </c>
    </row>
    <row r="13" spans="1:17" ht="16.5">
      <c r="A13" s="60" t="str">
        <f t="shared" si="1"/>
        <v>I23C</v>
      </c>
      <c r="B13" s="249" t="s">
        <v>4</v>
      </c>
      <c r="C13" s="63">
        <v>79550</v>
      </c>
      <c r="D13" s="63">
        <f t="shared" si="2"/>
        <v>506000</v>
      </c>
      <c r="E13" s="63">
        <f t="shared" si="3"/>
        <v>484000</v>
      </c>
      <c r="F13" s="63">
        <f t="shared" si="4"/>
        <v>101550</v>
      </c>
      <c r="G13" s="63">
        <f t="shared" si="0"/>
        <v>0</v>
      </c>
      <c r="H13" s="63">
        <v>0</v>
      </c>
      <c r="I13" s="63">
        <f t="shared" si="7"/>
        <v>0</v>
      </c>
      <c r="J13" s="9">
        <f t="shared" ref="J13:J14" si="8">I13-H13</f>
        <v>0</v>
      </c>
      <c r="K13" s="47" t="s">
        <v>30</v>
      </c>
      <c r="L13" s="49">
        <v>506000</v>
      </c>
      <c r="M13" s="49">
        <v>101550</v>
      </c>
      <c r="N13" s="49">
        <v>484000</v>
      </c>
      <c r="O13" s="49">
        <v>0</v>
      </c>
      <c r="Q13" s="5"/>
    </row>
    <row r="14" spans="1:17" ht="16.5">
      <c r="A14" s="60" t="str">
        <f t="shared" si="1"/>
        <v>Merveille</v>
      </c>
      <c r="B14" s="248" t="s">
        <v>2</v>
      </c>
      <c r="C14" s="63">
        <v>5900</v>
      </c>
      <c r="D14" s="63">
        <f t="shared" si="2"/>
        <v>20000</v>
      </c>
      <c r="E14" s="63">
        <f t="shared" si="3"/>
        <v>19000</v>
      </c>
      <c r="F14" s="63">
        <f t="shared" si="4"/>
        <v>0</v>
      </c>
      <c r="G14" s="63">
        <f t="shared" si="0"/>
        <v>0</v>
      </c>
      <c r="H14" s="63">
        <v>6900</v>
      </c>
      <c r="I14" s="63">
        <f>+C14+D14-E14-F14+G14</f>
        <v>6900</v>
      </c>
      <c r="J14" s="9">
        <f t="shared" si="8"/>
        <v>0</v>
      </c>
      <c r="K14" s="47" t="s">
        <v>93</v>
      </c>
      <c r="L14" s="49">
        <v>20000</v>
      </c>
      <c r="M14" s="49">
        <v>0</v>
      </c>
      <c r="N14" s="49">
        <v>19000</v>
      </c>
      <c r="O14" s="49">
        <v>0</v>
      </c>
      <c r="Q14" s="5"/>
    </row>
    <row r="15" spans="1:17" ht="16.5">
      <c r="A15" s="60" t="str">
        <f t="shared" si="1"/>
        <v>P29</v>
      </c>
      <c r="B15" s="248" t="s">
        <v>4</v>
      </c>
      <c r="C15" s="63">
        <v>29850</v>
      </c>
      <c r="D15" s="63">
        <f t="shared" si="2"/>
        <v>578000</v>
      </c>
      <c r="E15" s="63">
        <f t="shared" si="3"/>
        <v>533800</v>
      </c>
      <c r="F15" s="63">
        <f t="shared" si="4"/>
        <v>50000</v>
      </c>
      <c r="G15" s="63">
        <f>+O15</f>
        <v>0</v>
      </c>
      <c r="H15" s="63">
        <v>24050</v>
      </c>
      <c r="I15" s="63">
        <f>+C15+D15-E15-F15+G15</f>
        <v>24050</v>
      </c>
      <c r="J15" s="9">
        <f>I15-H15</f>
        <v>0</v>
      </c>
      <c r="K15" s="47" t="s">
        <v>29</v>
      </c>
      <c r="L15" s="49">
        <v>578000</v>
      </c>
      <c r="M15" s="49">
        <v>50000</v>
      </c>
      <c r="N15" s="49">
        <v>533800</v>
      </c>
      <c r="O15" s="49">
        <v>0</v>
      </c>
      <c r="Q15" s="5"/>
    </row>
    <row r="16" spans="1:17" ht="16.5">
      <c r="A16" s="60" t="str">
        <f t="shared" si="1"/>
        <v>Tiffany</v>
      </c>
      <c r="B16" s="61" t="s">
        <v>2</v>
      </c>
      <c r="C16" s="63">
        <v>1123541</v>
      </c>
      <c r="D16" s="63">
        <f t="shared" si="2"/>
        <v>0</v>
      </c>
      <c r="E16" s="63">
        <f t="shared" si="3"/>
        <v>1777243</v>
      </c>
      <c r="F16" s="63">
        <f t="shared" si="4"/>
        <v>0</v>
      </c>
      <c r="G16" s="63">
        <f t="shared" ref="G16" si="9">+O16</f>
        <v>0</v>
      </c>
      <c r="H16" s="63">
        <v>-653702</v>
      </c>
      <c r="I16" s="63">
        <f t="shared" ref="I16" si="10">+C16+D16-E16-F16+G16</f>
        <v>-653702</v>
      </c>
      <c r="J16" s="9">
        <f t="shared" ref="J16" si="11">I16-H16</f>
        <v>0</v>
      </c>
      <c r="K16" s="47" t="s">
        <v>113</v>
      </c>
      <c r="L16" s="49">
        <v>0</v>
      </c>
      <c r="M16" s="49">
        <v>0</v>
      </c>
      <c r="N16" s="49">
        <v>1777243</v>
      </c>
      <c r="O16" s="49">
        <v>0</v>
      </c>
      <c r="Q16" s="5"/>
    </row>
    <row r="17" spans="1:17" ht="16.5">
      <c r="A17" s="10" t="s">
        <v>50</v>
      </c>
      <c r="B17" s="11"/>
      <c r="C17" s="12">
        <f t="shared" ref="C17:I17" si="12">SUM(C4:C16)</f>
        <v>23525884</v>
      </c>
      <c r="D17" s="59">
        <f t="shared" si="12"/>
        <v>6021800</v>
      </c>
      <c r="E17" s="59">
        <f t="shared" si="12"/>
        <v>9190070</v>
      </c>
      <c r="F17" s="59">
        <f t="shared" si="12"/>
        <v>6021800</v>
      </c>
      <c r="G17" s="59">
        <f t="shared" si="12"/>
        <v>24938480</v>
      </c>
      <c r="H17" s="59">
        <f t="shared" si="12"/>
        <v>39274294</v>
      </c>
      <c r="I17" s="59">
        <f t="shared" si="12"/>
        <v>39274294</v>
      </c>
      <c r="J17" s="9">
        <f>I17-H17</f>
        <v>0</v>
      </c>
      <c r="K17" s="3"/>
      <c r="L17" s="49">
        <f>+SUM(L4:L16)</f>
        <v>6021800</v>
      </c>
      <c r="M17" s="49">
        <f>+SUM(M4:M16)</f>
        <v>6021800</v>
      </c>
      <c r="N17" s="49">
        <f>+SUM(N4:N16)</f>
        <v>9190070</v>
      </c>
      <c r="O17" s="49">
        <f>+SUM(O4:O16)</f>
        <v>24938480</v>
      </c>
      <c r="Q17" s="5"/>
    </row>
    <row r="18" spans="1:17" ht="16.5">
      <c r="A18" s="10"/>
      <c r="B18" s="11"/>
      <c r="C18" s="12"/>
      <c r="D18" s="13"/>
      <c r="E18" s="12"/>
      <c r="F18" s="13"/>
      <c r="G18" s="12"/>
      <c r="H18" s="12"/>
      <c r="I18" s="143" t="b">
        <f>I17=D20</f>
        <v>1</v>
      </c>
      <c r="L18" s="5"/>
      <c r="M18" s="5"/>
      <c r="N18" s="5"/>
      <c r="O18" s="5"/>
      <c r="Q18" s="5"/>
    </row>
    <row r="19" spans="1:17" ht="16.5">
      <c r="A19" s="10" t="s">
        <v>245</v>
      </c>
      <c r="B19" s="11" t="s">
        <v>246</v>
      </c>
      <c r="C19" s="12" t="s">
        <v>247</v>
      </c>
      <c r="D19" s="12" t="s">
        <v>248</v>
      </c>
      <c r="E19" s="12" t="s">
        <v>51</v>
      </c>
      <c r="F19" s="12"/>
      <c r="G19" s="12">
        <f>+D17-F17</f>
        <v>0</v>
      </c>
      <c r="H19" s="12"/>
      <c r="I19" s="12"/>
      <c r="Q19" s="5"/>
    </row>
    <row r="20" spans="1:17" ht="16.5">
      <c r="A20" s="14">
        <f>C17</f>
        <v>23525884</v>
      </c>
      <c r="B20" s="15">
        <f>G17</f>
        <v>24938480</v>
      </c>
      <c r="C20" s="12">
        <f>E17</f>
        <v>9190070</v>
      </c>
      <c r="D20" s="12">
        <f>A20+B20-C20</f>
        <v>39274294</v>
      </c>
      <c r="E20" s="13">
        <f>I17-D20</f>
        <v>0</v>
      </c>
      <c r="F20" s="12"/>
      <c r="G20" s="12"/>
      <c r="H20" s="12"/>
      <c r="I20" s="12"/>
      <c r="Q20" s="5"/>
    </row>
    <row r="21" spans="1:17" ht="16.5">
      <c r="A21" s="14"/>
      <c r="B21" s="15"/>
      <c r="C21" s="12"/>
      <c r="D21" s="12"/>
      <c r="E21" s="13"/>
      <c r="F21" s="12"/>
      <c r="G21" s="12"/>
      <c r="H21" s="12"/>
      <c r="I21" s="12"/>
      <c r="Q21" s="5"/>
    </row>
    <row r="22" spans="1:17">
      <c r="A22" s="16" t="s">
        <v>52</v>
      </c>
      <c r="B22" s="16"/>
      <c r="C22" s="16"/>
      <c r="D22" s="17"/>
      <c r="E22" s="17"/>
      <c r="F22" s="17"/>
      <c r="G22" s="17"/>
      <c r="H22" s="17"/>
      <c r="I22" s="17"/>
      <c r="Q22" s="5"/>
    </row>
    <row r="23" spans="1:17">
      <c r="A23" s="18" t="s">
        <v>250</v>
      </c>
      <c r="B23" s="18"/>
      <c r="C23" s="18"/>
      <c r="D23" s="18"/>
      <c r="E23" s="18"/>
      <c r="F23" s="18"/>
      <c r="G23" s="18"/>
      <c r="H23" s="18"/>
      <c r="I23" s="18"/>
      <c r="J23" s="18"/>
      <c r="Q23" s="5"/>
    </row>
    <row r="24" spans="1:17">
      <c r="A24" s="19"/>
      <c r="B24" s="20"/>
      <c r="C24" s="21"/>
      <c r="D24" s="21"/>
      <c r="E24" s="21"/>
      <c r="F24" s="21"/>
      <c r="G24" s="21"/>
      <c r="H24" s="20"/>
      <c r="I24" s="20"/>
      <c r="Q24" s="5"/>
    </row>
    <row r="25" spans="1:17">
      <c r="A25" s="313" t="s">
        <v>53</v>
      </c>
      <c r="B25" s="315" t="s">
        <v>54</v>
      </c>
      <c r="C25" s="317" t="s">
        <v>251</v>
      </c>
      <c r="D25" s="319" t="s">
        <v>55</v>
      </c>
      <c r="E25" s="320"/>
      <c r="F25" s="320"/>
      <c r="G25" s="321"/>
      <c r="H25" s="322" t="s">
        <v>56</v>
      </c>
      <c r="I25" s="309" t="s">
        <v>57</v>
      </c>
      <c r="J25" s="20"/>
      <c r="Q25" s="5"/>
    </row>
    <row r="26" spans="1:17" ht="28.5" customHeight="1">
      <c r="A26" s="314"/>
      <c r="B26" s="316"/>
      <c r="C26" s="318"/>
      <c r="D26" s="22" t="s">
        <v>24</v>
      </c>
      <c r="E26" s="22" t="s">
        <v>25</v>
      </c>
      <c r="F26" s="318" t="s">
        <v>123</v>
      </c>
      <c r="G26" s="22" t="s">
        <v>58</v>
      </c>
      <c r="H26" s="323"/>
      <c r="I26" s="310"/>
      <c r="J26" s="311" t="s">
        <v>252</v>
      </c>
      <c r="K26" s="155"/>
      <c r="Q26" s="5"/>
    </row>
    <row r="27" spans="1:17">
      <c r="A27" s="24"/>
      <c r="B27" s="25" t="s">
        <v>59</v>
      </c>
      <c r="C27" s="26"/>
      <c r="D27" s="26"/>
      <c r="E27" s="26"/>
      <c r="F27" s="26"/>
      <c r="G27" s="26"/>
      <c r="H27" s="26"/>
      <c r="I27" s="27"/>
      <c r="J27" s="312"/>
      <c r="K27" s="155"/>
      <c r="Q27" s="5"/>
    </row>
    <row r="28" spans="1:17">
      <c r="A28" s="130" t="s">
        <v>147</v>
      </c>
      <c r="B28" s="135" t="s">
        <v>47</v>
      </c>
      <c r="C28" s="33">
        <f t="shared" ref="C28:C37" si="13">+C7</f>
        <v>-5640</v>
      </c>
      <c r="D28" s="32"/>
      <c r="E28" s="33">
        <f t="shared" ref="E28:E37" si="14">+D7</f>
        <v>600250</v>
      </c>
      <c r="F28" s="33"/>
      <c r="G28" s="33"/>
      <c r="H28" s="57">
        <f t="shared" ref="H28:H37" si="15">+F7</f>
        <v>107000</v>
      </c>
      <c r="I28" s="33">
        <f t="shared" ref="I28:I37" si="16">+E7</f>
        <v>421700</v>
      </c>
      <c r="J28" s="31">
        <f t="shared" ref="J28:J29" si="17">+SUM(C28:G28)-(H28+I28)</f>
        <v>65910</v>
      </c>
      <c r="K28" s="156" t="b">
        <f t="shared" ref="K28:K37" si="18">J28=I7</f>
        <v>1</v>
      </c>
      <c r="Q28" s="5"/>
    </row>
    <row r="29" spans="1:17">
      <c r="A29" s="130" t="str">
        <f>+A28</f>
        <v>AOUT</v>
      </c>
      <c r="B29" s="135" t="s">
        <v>31</v>
      </c>
      <c r="C29" s="33">
        <f t="shared" si="13"/>
        <v>4795</v>
      </c>
      <c r="D29" s="32"/>
      <c r="E29" s="33">
        <f t="shared" si="14"/>
        <v>0</v>
      </c>
      <c r="F29" s="33"/>
      <c r="G29" s="33"/>
      <c r="H29" s="57">
        <f t="shared" si="15"/>
        <v>0</v>
      </c>
      <c r="I29" s="33">
        <f t="shared" si="16"/>
        <v>0</v>
      </c>
      <c r="J29" s="107">
        <f t="shared" si="17"/>
        <v>4795</v>
      </c>
      <c r="K29" s="156" t="b">
        <f t="shared" si="18"/>
        <v>1</v>
      </c>
      <c r="Q29" s="5"/>
    </row>
    <row r="30" spans="1:17">
      <c r="A30" s="130" t="str">
        <f t="shared" ref="A30:A34" si="19">+A29</f>
        <v>AOUT</v>
      </c>
      <c r="B30" s="137" t="s">
        <v>84</v>
      </c>
      <c r="C30" s="128">
        <f t="shared" si="13"/>
        <v>233614</v>
      </c>
      <c r="D30" s="131"/>
      <c r="E30" s="128">
        <f t="shared" si="14"/>
        <v>0</v>
      </c>
      <c r="F30" s="146"/>
      <c r="G30" s="146"/>
      <c r="H30" s="180">
        <f t="shared" si="15"/>
        <v>0</v>
      </c>
      <c r="I30" s="128">
        <f t="shared" si="16"/>
        <v>0</v>
      </c>
      <c r="J30" s="129">
        <f>+SUM(C30:G30)-(H30+I30)</f>
        <v>233614</v>
      </c>
      <c r="K30" s="156" t="b">
        <f t="shared" si="18"/>
        <v>1</v>
      </c>
      <c r="Q30" s="5"/>
    </row>
    <row r="31" spans="1:17">
      <c r="A31" s="130" t="str">
        <f t="shared" si="19"/>
        <v>AOUT</v>
      </c>
      <c r="B31" s="137" t="s">
        <v>83</v>
      </c>
      <c r="C31" s="128">
        <f t="shared" si="13"/>
        <v>249769</v>
      </c>
      <c r="D31" s="131"/>
      <c r="E31" s="128">
        <f t="shared" si="14"/>
        <v>0</v>
      </c>
      <c r="F31" s="146"/>
      <c r="G31" s="146"/>
      <c r="H31" s="180">
        <f t="shared" si="15"/>
        <v>0</v>
      </c>
      <c r="I31" s="128">
        <f t="shared" si="16"/>
        <v>0</v>
      </c>
      <c r="J31" s="129">
        <f t="shared" ref="J31:J37" si="20">+SUM(C31:G31)-(H31+I31)</f>
        <v>249769</v>
      </c>
      <c r="K31" s="156" t="b">
        <f t="shared" si="18"/>
        <v>1</v>
      </c>
      <c r="Q31" s="5"/>
    </row>
    <row r="32" spans="1:17">
      <c r="A32" s="130" t="str">
        <f t="shared" si="19"/>
        <v>AOUT</v>
      </c>
      <c r="B32" s="135" t="s">
        <v>151</v>
      </c>
      <c r="C32" s="33">
        <f t="shared" si="13"/>
        <v>18815</v>
      </c>
      <c r="D32" s="32"/>
      <c r="E32" s="33">
        <f t="shared" si="14"/>
        <v>105000</v>
      </c>
      <c r="F32" s="33"/>
      <c r="G32" s="110"/>
      <c r="H32" s="57">
        <f t="shared" si="15"/>
        <v>0</v>
      </c>
      <c r="I32" s="33">
        <f t="shared" si="16"/>
        <v>7000</v>
      </c>
      <c r="J32" s="31">
        <f t="shared" si="20"/>
        <v>116815</v>
      </c>
      <c r="K32" s="156" t="b">
        <f t="shared" si="18"/>
        <v>1</v>
      </c>
      <c r="Q32" s="5"/>
    </row>
    <row r="33" spans="1:17">
      <c r="A33" s="130" t="str">
        <f t="shared" si="19"/>
        <v>AOUT</v>
      </c>
      <c r="B33" s="135" t="s">
        <v>207</v>
      </c>
      <c r="C33" s="33">
        <f t="shared" si="13"/>
        <v>36500</v>
      </c>
      <c r="D33" s="32"/>
      <c r="E33" s="33">
        <f t="shared" si="14"/>
        <v>266000</v>
      </c>
      <c r="F33" s="33"/>
      <c r="G33" s="110"/>
      <c r="H33" s="57">
        <f t="shared" si="15"/>
        <v>88000</v>
      </c>
      <c r="I33" s="33">
        <f t="shared" si="16"/>
        <v>213800</v>
      </c>
      <c r="J33" s="31">
        <f t="shared" si="20"/>
        <v>700</v>
      </c>
      <c r="K33" s="156" t="b">
        <f t="shared" si="18"/>
        <v>1</v>
      </c>
      <c r="Q33" s="5"/>
    </row>
    <row r="34" spans="1:17">
      <c r="A34" s="130" t="str">
        <f t="shared" si="19"/>
        <v>AOUT</v>
      </c>
      <c r="B34" s="135" t="s">
        <v>30</v>
      </c>
      <c r="C34" s="33">
        <f t="shared" si="13"/>
        <v>79550</v>
      </c>
      <c r="D34" s="32"/>
      <c r="E34" s="33">
        <f t="shared" si="14"/>
        <v>506000</v>
      </c>
      <c r="F34" s="33"/>
      <c r="G34" s="110"/>
      <c r="H34" s="57">
        <f t="shared" si="15"/>
        <v>101550</v>
      </c>
      <c r="I34" s="33">
        <f t="shared" si="16"/>
        <v>484000</v>
      </c>
      <c r="J34" s="31">
        <f t="shared" si="20"/>
        <v>0</v>
      </c>
      <c r="K34" s="156" t="b">
        <f t="shared" si="18"/>
        <v>1</v>
      </c>
      <c r="Q34" s="5"/>
    </row>
    <row r="35" spans="1:17">
      <c r="A35" s="130" t="str">
        <f>+A33</f>
        <v>AOUT</v>
      </c>
      <c r="B35" s="135" t="s">
        <v>93</v>
      </c>
      <c r="C35" s="33">
        <f t="shared" si="13"/>
        <v>5900</v>
      </c>
      <c r="D35" s="32"/>
      <c r="E35" s="33">
        <f t="shared" si="14"/>
        <v>20000</v>
      </c>
      <c r="F35" s="33"/>
      <c r="G35" s="110"/>
      <c r="H35" s="57">
        <f t="shared" si="15"/>
        <v>0</v>
      </c>
      <c r="I35" s="33">
        <f t="shared" si="16"/>
        <v>19000</v>
      </c>
      <c r="J35" s="31">
        <f t="shared" si="20"/>
        <v>6900</v>
      </c>
      <c r="K35" s="156" t="b">
        <f t="shared" si="18"/>
        <v>1</v>
      </c>
      <c r="Q35" s="5"/>
    </row>
    <row r="36" spans="1:17">
      <c r="A36" s="130" t="str">
        <f>+A34</f>
        <v>AOUT</v>
      </c>
      <c r="B36" s="135" t="s">
        <v>29</v>
      </c>
      <c r="C36" s="33">
        <f t="shared" si="13"/>
        <v>29850</v>
      </c>
      <c r="D36" s="32"/>
      <c r="E36" s="33">
        <f t="shared" si="14"/>
        <v>578000</v>
      </c>
      <c r="F36" s="33"/>
      <c r="G36" s="110"/>
      <c r="H36" s="57">
        <f t="shared" si="15"/>
        <v>50000</v>
      </c>
      <c r="I36" s="33">
        <f t="shared" si="16"/>
        <v>533800</v>
      </c>
      <c r="J36" s="31">
        <f t="shared" si="20"/>
        <v>24050</v>
      </c>
      <c r="K36" s="156" t="b">
        <f t="shared" si="18"/>
        <v>1</v>
      </c>
      <c r="Q36" s="5"/>
    </row>
    <row r="37" spans="1:17">
      <c r="A37" s="130" t="str">
        <f>+A35</f>
        <v>AOUT</v>
      </c>
      <c r="B37" s="136" t="s">
        <v>113</v>
      </c>
      <c r="C37" s="33">
        <f t="shared" si="13"/>
        <v>1123541</v>
      </c>
      <c r="D37" s="127"/>
      <c r="E37" s="33">
        <f t="shared" si="14"/>
        <v>0</v>
      </c>
      <c r="F37" s="53"/>
      <c r="G37" s="147"/>
      <c r="H37" s="57">
        <f t="shared" si="15"/>
        <v>0</v>
      </c>
      <c r="I37" s="33">
        <f t="shared" si="16"/>
        <v>1777243</v>
      </c>
      <c r="J37" s="31">
        <f t="shared" si="20"/>
        <v>-653702</v>
      </c>
      <c r="K37" s="156" t="b">
        <f t="shared" si="18"/>
        <v>1</v>
      </c>
      <c r="Q37" s="5"/>
    </row>
    <row r="38" spans="1:17">
      <c r="A38" s="35" t="s">
        <v>60</v>
      </c>
      <c r="B38" s="36"/>
      <c r="C38" s="36"/>
      <c r="D38" s="36"/>
      <c r="E38" s="36"/>
      <c r="F38" s="36"/>
      <c r="G38" s="36"/>
      <c r="H38" s="36"/>
      <c r="I38" s="36"/>
      <c r="J38" s="37"/>
      <c r="K38" s="155"/>
      <c r="Q38" s="5"/>
    </row>
    <row r="39" spans="1:17">
      <c r="A39" s="130" t="str">
        <f>A37</f>
        <v>AOUT</v>
      </c>
      <c r="B39" s="38" t="s">
        <v>61</v>
      </c>
      <c r="C39" s="39">
        <f>+C6</f>
        <v>103032</v>
      </c>
      <c r="D39" s="51"/>
      <c r="E39" s="51">
        <f>D6</f>
        <v>3946550</v>
      </c>
      <c r="F39" s="51"/>
      <c r="G39" s="133"/>
      <c r="H39" s="53">
        <f>+F6</f>
        <v>2075250</v>
      </c>
      <c r="I39" s="134">
        <f>+E6</f>
        <v>994290</v>
      </c>
      <c r="J39" s="46">
        <f>+SUM(C39:G39)-(H39+I39)</f>
        <v>980042</v>
      </c>
      <c r="K39" s="156" t="b">
        <f>J39=I6</f>
        <v>1</v>
      </c>
      <c r="Q39" s="5"/>
    </row>
    <row r="40" spans="1:17">
      <c r="A40" s="44" t="s">
        <v>62</v>
      </c>
      <c r="B40" s="25"/>
      <c r="C40" s="36"/>
      <c r="D40" s="25"/>
      <c r="E40" s="25"/>
      <c r="F40" s="25"/>
      <c r="G40" s="25"/>
      <c r="H40" s="25"/>
      <c r="I40" s="25"/>
      <c r="J40" s="37"/>
      <c r="K40" s="155"/>
      <c r="Q40" s="5"/>
    </row>
    <row r="41" spans="1:17">
      <c r="A41" s="130" t="str">
        <f>+A39</f>
        <v>AOUT</v>
      </c>
      <c r="B41" s="38" t="s">
        <v>166</v>
      </c>
      <c r="C41" s="133">
        <f>+C4</f>
        <v>168348</v>
      </c>
      <c r="D41" s="140">
        <f>+G4</f>
        <v>24938480</v>
      </c>
      <c r="E41" s="51"/>
      <c r="F41" s="51"/>
      <c r="G41" s="51"/>
      <c r="H41" s="53">
        <f>+F4</f>
        <v>1000000</v>
      </c>
      <c r="I41" s="55">
        <f>+E4</f>
        <v>286008</v>
      </c>
      <c r="J41" s="46">
        <f>+SUM(C41:G41)-(H41+I41)</f>
        <v>23820820</v>
      </c>
      <c r="K41" s="156" t="b">
        <f>+J41=I4</f>
        <v>1</v>
      </c>
      <c r="Q41" s="5"/>
    </row>
    <row r="42" spans="1:17">
      <c r="A42" s="130" t="str">
        <f t="shared" ref="A42" si="21">+A41</f>
        <v>AOUT</v>
      </c>
      <c r="B42" s="38" t="s">
        <v>64</v>
      </c>
      <c r="C42" s="133">
        <f>+C5</f>
        <v>21477810</v>
      </c>
      <c r="D42" s="51">
        <f>+G5</f>
        <v>0</v>
      </c>
      <c r="E42" s="50"/>
      <c r="F42" s="50"/>
      <c r="G42" s="50"/>
      <c r="H42" s="33">
        <f>+F5</f>
        <v>2600000</v>
      </c>
      <c r="I42" s="52">
        <f>+E5</f>
        <v>4453229</v>
      </c>
      <c r="J42" s="46">
        <f>SUM(C42:G42)-(H42+I42)</f>
        <v>14424581</v>
      </c>
      <c r="K42" s="156" t="b">
        <f>+J42=I5</f>
        <v>1</v>
      </c>
      <c r="Q42" s="5"/>
    </row>
    <row r="43" spans="1:17" ht="15.75">
      <c r="C43" s="151">
        <f>SUM(C28:C42)</f>
        <v>23525884</v>
      </c>
      <c r="I43" s="149">
        <f>SUM(I28:I42)</f>
        <v>9190070</v>
      </c>
      <c r="J43" s="111">
        <f>+SUM(J28:J42)</f>
        <v>39274294</v>
      </c>
      <c r="K43" s="5" t="b">
        <f>J43=I17</f>
        <v>1</v>
      </c>
      <c r="Q43" s="5"/>
    </row>
    <row r="44" spans="1:17" ht="15.75">
      <c r="A44" s="207"/>
      <c r="B44" s="207"/>
      <c r="C44" s="208"/>
      <c r="D44" s="207"/>
      <c r="E44" s="207"/>
      <c r="F44" s="207"/>
      <c r="G44" s="207"/>
      <c r="H44" s="207"/>
      <c r="I44" s="209"/>
      <c r="J44" s="210"/>
      <c r="K44" s="207"/>
      <c r="L44" s="211"/>
      <c r="M44" s="211"/>
      <c r="N44" s="211"/>
      <c r="O44" s="211"/>
      <c r="P44" s="207"/>
      <c r="Q44" s="5"/>
    </row>
    <row r="46" spans="1:17" ht="15.75">
      <c r="A46" s="6" t="s">
        <v>36</v>
      </c>
      <c r="B46" s="6" t="s">
        <v>1</v>
      </c>
      <c r="C46" s="6">
        <v>44743</v>
      </c>
      <c r="D46" s="7" t="s">
        <v>37</v>
      </c>
      <c r="E46" s="7" t="s">
        <v>38</v>
      </c>
      <c r="F46" s="7" t="s">
        <v>39</v>
      </c>
      <c r="G46" s="7" t="s">
        <v>40</v>
      </c>
      <c r="H46" s="6">
        <v>44773</v>
      </c>
      <c r="I46" s="7" t="s">
        <v>41</v>
      </c>
      <c r="K46" s="47"/>
      <c r="L46" s="47" t="s">
        <v>42</v>
      </c>
      <c r="M46" s="47" t="s">
        <v>43</v>
      </c>
      <c r="N46" s="47" t="s">
        <v>44</v>
      </c>
      <c r="O46" s="47" t="s">
        <v>45</v>
      </c>
      <c r="Q46" s="5"/>
    </row>
    <row r="47" spans="1:17" ht="16.5">
      <c r="A47" s="60" t="str">
        <f>K47</f>
        <v>BCI</v>
      </c>
      <c r="B47" s="61" t="s">
        <v>46</v>
      </c>
      <c r="C47" s="63">
        <v>4291693</v>
      </c>
      <c r="D47" s="63">
        <f>+L47</f>
        <v>0</v>
      </c>
      <c r="E47" s="63">
        <f>+N47</f>
        <v>23345</v>
      </c>
      <c r="F47" s="63">
        <f>+M47</f>
        <v>4100000</v>
      </c>
      <c r="G47" s="63">
        <f t="shared" ref="G47:G57" si="22">+O47</f>
        <v>0</v>
      </c>
      <c r="H47" s="63">
        <v>168348</v>
      </c>
      <c r="I47" s="63">
        <f>+C47+D47-E47-F47+G47</f>
        <v>168348</v>
      </c>
      <c r="J47" s="9">
        <f>I47-H47</f>
        <v>0</v>
      </c>
      <c r="K47" s="47" t="s">
        <v>24</v>
      </c>
      <c r="L47" s="49">
        <v>0</v>
      </c>
      <c r="M47" s="49">
        <v>4100000</v>
      </c>
      <c r="N47" s="49">
        <v>23345</v>
      </c>
      <c r="O47" s="49">
        <v>0</v>
      </c>
      <c r="Q47" s="5"/>
    </row>
    <row r="48" spans="1:17" ht="16.5">
      <c r="A48" s="60" t="str">
        <f t="shared" ref="A48:A60" si="23">K48</f>
        <v>BCI-Sous Compte</v>
      </c>
      <c r="B48" s="61" t="s">
        <v>46</v>
      </c>
      <c r="C48" s="63">
        <v>4852627</v>
      </c>
      <c r="D48" s="63">
        <f t="shared" ref="D48:D51" si="24">+L48</f>
        <v>0</v>
      </c>
      <c r="E48" s="63">
        <f t="shared" ref="E48:E60" si="25">+N48</f>
        <v>3777704</v>
      </c>
      <c r="F48" s="63">
        <f t="shared" ref="F48:F60" si="26">+M48</f>
        <v>0</v>
      </c>
      <c r="G48" s="63">
        <f t="shared" si="22"/>
        <v>20402887</v>
      </c>
      <c r="H48" s="63">
        <v>21477810</v>
      </c>
      <c r="I48" s="63">
        <f>+C48+D48-E48-F48+G48</f>
        <v>21477810</v>
      </c>
      <c r="J48" s="9">
        <f t="shared" ref="J48:J54" si="27">I48-H48</f>
        <v>0</v>
      </c>
      <c r="K48" s="47" t="s">
        <v>157</v>
      </c>
      <c r="L48" s="48">
        <v>0</v>
      </c>
      <c r="M48" s="49">
        <v>0</v>
      </c>
      <c r="N48" s="49">
        <v>3777704</v>
      </c>
      <c r="O48" s="49">
        <v>20402887</v>
      </c>
      <c r="Q48" s="5"/>
    </row>
    <row r="49" spans="1:17" ht="16.5">
      <c r="A49" s="60" t="str">
        <f t="shared" si="23"/>
        <v>Caisse</v>
      </c>
      <c r="B49" s="61" t="s">
        <v>25</v>
      </c>
      <c r="C49" s="63">
        <v>1696326</v>
      </c>
      <c r="D49" s="63">
        <f t="shared" si="24"/>
        <v>4430000</v>
      </c>
      <c r="E49" s="63">
        <f t="shared" si="25"/>
        <v>1453294</v>
      </c>
      <c r="F49" s="63">
        <f t="shared" si="26"/>
        <v>4570000</v>
      </c>
      <c r="G49" s="63">
        <f t="shared" si="22"/>
        <v>0</v>
      </c>
      <c r="H49" s="63">
        <v>103032</v>
      </c>
      <c r="I49" s="63">
        <f>+C49+D49-E49-F49+G49</f>
        <v>103032</v>
      </c>
      <c r="J49" s="108">
        <f t="shared" si="27"/>
        <v>0</v>
      </c>
      <c r="K49" s="47" t="s">
        <v>25</v>
      </c>
      <c r="L49" s="49">
        <v>4430000</v>
      </c>
      <c r="M49" s="49">
        <v>4570000</v>
      </c>
      <c r="N49" s="49">
        <v>1453294</v>
      </c>
      <c r="O49" s="49">
        <v>0</v>
      </c>
      <c r="Q49" s="5"/>
    </row>
    <row r="50" spans="1:17" ht="16.5">
      <c r="A50" s="60" t="str">
        <f t="shared" si="23"/>
        <v>Crépin</v>
      </c>
      <c r="B50" s="61" t="s">
        <v>163</v>
      </c>
      <c r="C50" s="63">
        <v>9800</v>
      </c>
      <c r="D50" s="63">
        <f t="shared" si="24"/>
        <v>1043000</v>
      </c>
      <c r="E50" s="63">
        <f t="shared" si="25"/>
        <v>975940</v>
      </c>
      <c r="F50" s="63">
        <f t="shared" si="26"/>
        <v>82500</v>
      </c>
      <c r="G50" s="63">
        <f t="shared" si="22"/>
        <v>0</v>
      </c>
      <c r="H50" s="63">
        <v>-5640</v>
      </c>
      <c r="I50" s="63">
        <f>+C50+D50-E50-F50+G50</f>
        <v>-5640</v>
      </c>
      <c r="J50" s="9">
        <f t="shared" si="27"/>
        <v>0</v>
      </c>
      <c r="K50" s="47" t="s">
        <v>47</v>
      </c>
      <c r="L50" s="49">
        <v>1043000</v>
      </c>
      <c r="M50" s="49">
        <v>82500</v>
      </c>
      <c r="N50" s="49">
        <v>975940</v>
      </c>
      <c r="O50" s="49">
        <v>0</v>
      </c>
      <c r="Q50" s="5"/>
    </row>
    <row r="51" spans="1:17" ht="16.5">
      <c r="A51" s="60" t="str">
        <f t="shared" si="23"/>
        <v>Evariste</v>
      </c>
      <c r="B51" s="61" t="s">
        <v>164</v>
      </c>
      <c r="C51" s="63">
        <v>2295</v>
      </c>
      <c r="D51" s="63">
        <f t="shared" si="24"/>
        <v>242500</v>
      </c>
      <c r="E51" s="63">
        <f t="shared" si="25"/>
        <v>240000</v>
      </c>
      <c r="F51" s="63">
        <f t="shared" si="26"/>
        <v>0</v>
      </c>
      <c r="G51" s="63">
        <f t="shared" si="22"/>
        <v>0</v>
      </c>
      <c r="H51" s="63">
        <v>4795</v>
      </c>
      <c r="I51" s="63">
        <f t="shared" ref="I51" si="28">+C51+D51-E51-F51+G51</f>
        <v>4795</v>
      </c>
      <c r="J51" s="9">
        <f t="shared" si="27"/>
        <v>0</v>
      </c>
      <c r="K51" s="47" t="s">
        <v>31</v>
      </c>
      <c r="L51" s="49">
        <v>242500</v>
      </c>
      <c r="M51" s="49">
        <v>0</v>
      </c>
      <c r="N51" s="49">
        <v>240000</v>
      </c>
      <c r="O51" s="49">
        <v>0</v>
      </c>
      <c r="Q51" s="5"/>
    </row>
    <row r="52" spans="1:17" ht="16.5">
      <c r="A52" s="60" t="str">
        <f t="shared" si="23"/>
        <v>I55S</v>
      </c>
      <c r="B52" s="124" t="s">
        <v>4</v>
      </c>
      <c r="C52" s="126">
        <v>233614</v>
      </c>
      <c r="D52" s="126">
        <f t="shared" ref="D52:D60" si="29">+L52</f>
        <v>0</v>
      </c>
      <c r="E52" s="126">
        <f t="shared" si="25"/>
        <v>0</v>
      </c>
      <c r="F52" s="126">
        <f t="shared" si="26"/>
        <v>0</v>
      </c>
      <c r="G52" s="126">
        <f t="shared" si="22"/>
        <v>0</v>
      </c>
      <c r="H52" s="126">
        <v>233614</v>
      </c>
      <c r="I52" s="126">
        <f>+C52+D52-E52-F52+G52</f>
        <v>233614</v>
      </c>
      <c r="J52" s="9">
        <f t="shared" si="27"/>
        <v>0</v>
      </c>
      <c r="K52" s="47" t="s">
        <v>84</v>
      </c>
      <c r="L52" s="49">
        <v>0</v>
      </c>
      <c r="M52" s="49">
        <v>0</v>
      </c>
      <c r="N52" s="49">
        <v>0</v>
      </c>
      <c r="O52" s="49">
        <v>0</v>
      </c>
      <c r="Q52" s="5"/>
    </row>
    <row r="53" spans="1:17" ht="16.5">
      <c r="A53" s="60" t="str">
        <f t="shared" si="23"/>
        <v>I73X</v>
      </c>
      <c r="B53" s="124" t="s">
        <v>4</v>
      </c>
      <c r="C53" s="126">
        <v>249769</v>
      </c>
      <c r="D53" s="126">
        <f t="shared" si="29"/>
        <v>0</v>
      </c>
      <c r="E53" s="126">
        <f t="shared" si="25"/>
        <v>0</v>
      </c>
      <c r="F53" s="126">
        <f t="shared" si="26"/>
        <v>0</v>
      </c>
      <c r="G53" s="126">
        <f t="shared" si="22"/>
        <v>0</v>
      </c>
      <c r="H53" s="126">
        <v>249769</v>
      </c>
      <c r="I53" s="126">
        <f t="shared" ref="I53:I56" si="30">+C53+D53-E53-F53+G53</f>
        <v>249769</v>
      </c>
      <c r="J53" s="9">
        <f t="shared" si="27"/>
        <v>0</v>
      </c>
      <c r="K53" s="47" t="s">
        <v>83</v>
      </c>
      <c r="L53" s="49">
        <v>0</v>
      </c>
      <c r="M53" s="49">
        <v>0</v>
      </c>
      <c r="N53" s="49">
        <v>0</v>
      </c>
      <c r="O53" s="49">
        <v>0</v>
      </c>
      <c r="Q53" s="5"/>
    </row>
    <row r="54" spans="1:17" ht="16.5">
      <c r="A54" s="60" t="str">
        <f t="shared" si="23"/>
        <v>Grace</v>
      </c>
      <c r="B54" s="104" t="s">
        <v>2</v>
      </c>
      <c r="C54" s="63">
        <v>28600</v>
      </c>
      <c r="D54" s="63">
        <f t="shared" si="29"/>
        <v>389000</v>
      </c>
      <c r="E54" s="63">
        <f t="shared" si="25"/>
        <v>87785</v>
      </c>
      <c r="F54" s="63">
        <f t="shared" si="26"/>
        <v>311000</v>
      </c>
      <c r="G54" s="63">
        <f t="shared" si="22"/>
        <v>0</v>
      </c>
      <c r="H54" s="63">
        <v>18815</v>
      </c>
      <c r="I54" s="63">
        <f t="shared" si="30"/>
        <v>18815</v>
      </c>
      <c r="J54" s="9">
        <f t="shared" si="27"/>
        <v>0</v>
      </c>
      <c r="K54" s="47" t="s">
        <v>151</v>
      </c>
      <c r="L54" s="49">
        <v>389000</v>
      </c>
      <c r="M54" s="49">
        <v>311000</v>
      </c>
      <c r="N54" s="49">
        <v>87785</v>
      </c>
      <c r="O54" s="49">
        <v>0</v>
      </c>
      <c r="Q54" s="5"/>
    </row>
    <row r="55" spans="1:17" ht="16.5">
      <c r="A55" s="60" t="str">
        <f t="shared" si="23"/>
        <v>Hurielle</v>
      </c>
      <c r="B55" s="248" t="s">
        <v>163</v>
      </c>
      <c r="C55" s="63">
        <v>18000</v>
      </c>
      <c r="D55" s="63">
        <f t="shared" si="29"/>
        <v>354000</v>
      </c>
      <c r="E55" s="63">
        <f t="shared" si="25"/>
        <v>335500</v>
      </c>
      <c r="F55" s="63">
        <f t="shared" si="26"/>
        <v>0</v>
      </c>
      <c r="G55" s="63">
        <f t="shared" si="22"/>
        <v>0</v>
      </c>
      <c r="H55" s="63">
        <v>36500</v>
      </c>
      <c r="I55" s="63">
        <f t="shared" si="30"/>
        <v>36500</v>
      </c>
      <c r="J55" s="9">
        <f>I55-H55</f>
        <v>0</v>
      </c>
      <c r="K55" s="47" t="s">
        <v>207</v>
      </c>
      <c r="L55" s="49">
        <v>354000</v>
      </c>
      <c r="M55" s="49">
        <v>0</v>
      </c>
      <c r="N55" s="49">
        <v>335500</v>
      </c>
      <c r="O55" s="49">
        <v>0</v>
      </c>
      <c r="Q55" s="5"/>
    </row>
    <row r="56" spans="1:17" ht="16.5">
      <c r="A56" s="60" t="str">
        <f t="shared" si="23"/>
        <v>I23C</v>
      </c>
      <c r="B56" s="249" t="s">
        <v>4</v>
      </c>
      <c r="C56" s="63">
        <v>262050</v>
      </c>
      <c r="D56" s="63">
        <f t="shared" si="29"/>
        <v>602000</v>
      </c>
      <c r="E56" s="63">
        <f t="shared" si="25"/>
        <v>784500</v>
      </c>
      <c r="F56" s="63">
        <f t="shared" si="26"/>
        <v>0</v>
      </c>
      <c r="G56" s="63">
        <f t="shared" si="22"/>
        <v>0</v>
      </c>
      <c r="H56" s="63">
        <v>79550</v>
      </c>
      <c r="I56" s="63">
        <f t="shared" si="30"/>
        <v>79550</v>
      </c>
      <c r="J56" s="9">
        <f t="shared" ref="J56:J57" si="31">I56-H56</f>
        <v>0</v>
      </c>
      <c r="K56" s="47" t="s">
        <v>30</v>
      </c>
      <c r="L56" s="49">
        <v>602000</v>
      </c>
      <c r="M56" s="49">
        <v>0</v>
      </c>
      <c r="N56" s="49">
        <v>784500</v>
      </c>
      <c r="O56" s="49">
        <v>0</v>
      </c>
      <c r="Q56" s="5"/>
    </row>
    <row r="57" spans="1:17" ht="16.5">
      <c r="A57" s="60" t="str">
        <f t="shared" si="23"/>
        <v>Merveille</v>
      </c>
      <c r="B57" s="248" t="s">
        <v>2</v>
      </c>
      <c r="C57" s="63">
        <v>11900</v>
      </c>
      <c r="D57" s="63">
        <f t="shared" si="29"/>
        <v>96000</v>
      </c>
      <c r="E57" s="63">
        <f t="shared" si="25"/>
        <v>72000</v>
      </c>
      <c r="F57" s="63">
        <f t="shared" si="26"/>
        <v>30000</v>
      </c>
      <c r="G57" s="63">
        <f t="shared" si="22"/>
        <v>0</v>
      </c>
      <c r="H57" s="63">
        <v>5900</v>
      </c>
      <c r="I57" s="63">
        <f>+C57+D57-E57-F57+G57</f>
        <v>5900</v>
      </c>
      <c r="J57" s="9">
        <f t="shared" si="31"/>
        <v>0</v>
      </c>
      <c r="K57" s="47" t="s">
        <v>93</v>
      </c>
      <c r="L57" s="49">
        <v>96000</v>
      </c>
      <c r="M57" s="49">
        <v>30000</v>
      </c>
      <c r="N57" s="49">
        <v>72000</v>
      </c>
      <c r="O57" s="49">
        <v>0</v>
      </c>
      <c r="Q57" s="5"/>
    </row>
    <row r="58" spans="1:17" ht="16.5">
      <c r="A58" s="60" t="str">
        <f t="shared" si="23"/>
        <v>P29</v>
      </c>
      <c r="B58" s="248" t="s">
        <v>4</v>
      </c>
      <c r="C58" s="63">
        <v>221050</v>
      </c>
      <c r="D58" s="63">
        <f t="shared" si="29"/>
        <v>608500</v>
      </c>
      <c r="E58" s="63">
        <f t="shared" si="25"/>
        <v>799700</v>
      </c>
      <c r="F58" s="63">
        <f t="shared" si="26"/>
        <v>0</v>
      </c>
      <c r="G58" s="63">
        <f>+O58</f>
        <v>0</v>
      </c>
      <c r="H58" s="63">
        <v>29850</v>
      </c>
      <c r="I58" s="63">
        <f>+C58+D58-E58-F58+G58</f>
        <v>29850</v>
      </c>
      <c r="J58" s="9">
        <f>I58-H58</f>
        <v>0</v>
      </c>
      <c r="K58" s="47" t="s">
        <v>29</v>
      </c>
      <c r="L58" s="49">
        <v>608500</v>
      </c>
      <c r="M58" s="49">
        <v>0</v>
      </c>
      <c r="N58" s="49">
        <v>799700</v>
      </c>
      <c r="O58" s="49">
        <v>0</v>
      </c>
      <c r="Q58" s="5"/>
    </row>
    <row r="59" spans="1:17" ht="16.5">
      <c r="A59" s="60" t="str">
        <f t="shared" si="23"/>
        <v>Tiffany</v>
      </c>
      <c r="B59" s="61" t="s">
        <v>2</v>
      </c>
      <c r="C59" s="63">
        <v>-3959</v>
      </c>
      <c r="D59" s="63">
        <f t="shared" si="29"/>
        <v>1340000</v>
      </c>
      <c r="E59" s="63">
        <f t="shared" si="25"/>
        <v>12500</v>
      </c>
      <c r="F59" s="63">
        <f t="shared" si="26"/>
        <v>200000</v>
      </c>
      <c r="G59" s="63">
        <f t="shared" ref="G59:G60" si="32">+O59</f>
        <v>0</v>
      </c>
      <c r="H59" s="63">
        <v>1123541</v>
      </c>
      <c r="I59" s="63">
        <f t="shared" ref="I59" si="33">+C59+D59-E59-F59+G59</f>
        <v>1123541</v>
      </c>
      <c r="J59" s="9">
        <f t="shared" ref="J59" si="34">I59-H59</f>
        <v>0</v>
      </c>
      <c r="K59" s="47" t="s">
        <v>113</v>
      </c>
      <c r="L59" s="49">
        <v>1340000</v>
      </c>
      <c r="M59" s="49">
        <v>200000</v>
      </c>
      <c r="N59" s="49">
        <v>12500</v>
      </c>
      <c r="O59" s="49">
        <v>0</v>
      </c>
      <c r="Q59" s="5"/>
    </row>
    <row r="60" spans="1:17" ht="16.5">
      <c r="A60" s="60" t="str">
        <f t="shared" si="23"/>
        <v>Yan</v>
      </c>
      <c r="B60" s="61" t="s">
        <v>163</v>
      </c>
      <c r="C60" s="63">
        <v>95000</v>
      </c>
      <c r="D60" s="63">
        <f t="shared" si="29"/>
        <v>248500</v>
      </c>
      <c r="E60" s="63">
        <f t="shared" si="25"/>
        <v>283500</v>
      </c>
      <c r="F60" s="63">
        <f t="shared" si="26"/>
        <v>60000</v>
      </c>
      <c r="G60" s="63">
        <f t="shared" si="32"/>
        <v>0</v>
      </c>
      <c r="H60" s="63">
        <v>0</v>
      </c>
      <c r="I60" s="63">
        <f>+C60+D60-E60-F60+G60</f>
        <v>0</v>
      </c>
      <c r="J60" s="9">
        <f>I60-H60</f>
        <v>0</v>
      </c>
      <c r="K60" s="47" t="s">
        <v>223</v>
      </c>
      <c r="L60" s="49">
        <v>248500</v>
      </c>
      <c r="M60" s="49">
        <v>60000</v>
      </c>
      <c r="N60" s="49">
        <v>283500</v>
      </c>
      <c r="O60" s="49">
        <v>0</v>
      </c>
      <c r="Q60" s="5"/>
    </row>
    <row r="61" spans="1:17" ht="16.5">
      <c r="A61" s="10" t="s">
        <v>50</v>
      </c>
      <c r="B61" s="11"/>
      <c r="C61" s="12">
        <f t="shared" ref="C61:I61" si="35">SUM(C47:C60)</f>
        <v>11968765</v>
      </c>
      <c r="D61" s="59">
        <f t="shared" si="35"/>
        <v>9353500</v>
      </c>
      <c r="E61" s="59">
        <f t="shared" si="35"/>
        <v>8845768</v>
      </c>
      <c r="F61" s="59">
        <f t="shared" si="35"/>
        <v>9353500</v>
      </c>
      <c r="G61" s="59">
        <f t="shared" si="35"/>
        <v>20402887</v>
      </c>
      <c r="H61" s="59">
        <f t="shared" si="35"/>
        <v>23525884</v>
      </c>
      <c r="I61" s="59">
        <f t="shared" si="35"/>
        <v>23525884</v>
      </c>
      <c r="J61" s="9">
        <f>I61-H61</f>
        <v>0</v>
      </c>
      <c r="K61" s="3"/>
      <c r="L61" s="49">
        <f>+SUM(L47:L60)</f>
        <v>9353500</v>
      </c>
      <c r="M61" s="49">
        <f>+SUM(M47:M60)</f>
        <v>9353500</v>
      </c>
      <c r="N61" s="49">
        <f>+SUM(N47:N60)</f>
        <v>8845768</v>
      </c>
      <c r="O61" s="49">
        <f>+SUM(O47:O59)</f>
        <v>20402887</v>
      </c>
      <c r="Q61" s="5"/>
    </row>
    <row r="62" spans="1:17" ht="16.5">
      <c r="A62" s="10"/>
      <c r="B62" s="11"/>
      <c r="C62" s="12"/>
      <c r="D62" s="13"/>
      <c r="E62" s="12"/>
      <c r="F62" s="13"/>
      <c r="G62" s="12"/>
      <c r="H62" s="12"/>
      <c r="I62" s="143" t="b">
        <f>I61=D64</f>
        <v>1</v>
      </c>
      <c r="L62" s="5"/>
      <c r="M62" s="5"/>
      <c r="N62" s="5"/>
      <c r="O62" s="5"/>
      <c r="Q62" s="5"/>
    </row>
    <row r="63" spans="1:17" ht="16.5">
      <c r="A63" s="10" t="s">
        <v>241</v>
      </c>
      <c r="B63" s="11" t="s">
        <v>249</v>
      </c>
      <c r="C63" s="12" t="s">
        <v>242</v>
      </c>
      <c r="D63" s="12" t="s">
        <v>243</v>
      </c>
      <c r="E63" s="12" t="s">
        <v>51</v>
      </c>
      <c r="F63" s="12"/>
      <c r="G63" s="12">
        <f>+D61-F61</f>
        <v>0</v>
      </c>
      <c r="H63" s="12"/>
      <c r="I63" s="12"/>
      <c r="Q63" s="5"/>
    </row>
    <row r="64" spans="1:17" ht="16.5">
      <c r="A64" s="14">
        <f>C61</f>
        <v>11968765</v>
      </c>
      <c r="B64" s="15">
        <f>G61</f>
        <v>20402887</v>
      </c>
      <c r="C64" s="12">
        <f>E61</f>
        <v>8845768</v>
      </c>
      <c r="D64" s="12">
        <f>A64+B64-C64</f>
        <v>23525884</v>
      </c>
      <c r="E64" s="13">
        <f>I61-D64</f>
        <v>0</v>
      </c>
      <c r="F64" s="12"/>
      <c r="G64" s="12"/>
      <c r="H64" s="12"/>
      <c r="I64" s="12"/>
      <c r="Q64" s="5"/>
    </row>
    <row r="65" spans="1:17" ht="16.5">
      <c r="A65" s="14"/>
      <c r="B65" s="15"/>
      <c r="C65" s="12"/>
      <c r="D65" s="12"/>
      <c r="E65" s="13"/>
      <c r="F65" s="12"/>
      <c r="G65" s="12"/>
      <c r="H65" s="12"/>
      <c r="I65" s="12"/>
      <c r="Q65" s="5"/>
    </row>
    <row r="66" spans="1:17">
      <c r="A66" s="16" t="s">
        <v>52</v>
      </c>
      <c r="B66" s="16"/>
      <c r="C66" s="16"/>
      <c r="D66" s="17"/>
      <c r="E66" s="17"/>
      <c r="F66" s="17"/>
      <c r="G66" s="17"/>
      <c r="H66" s="17"/>
      <c r="I66" s="17"/>
      <c r="Q66" s="5"/>
    </row>
    <row r="67" spans="1:17">
      <c r="A67" s="18" t="s">
        <v>240</v>
      </c>
      <c r="B67" s="18"/>
      <c r="C67" s="18"/>
      <c r="D67" s="18"/>
      <c r="E67" s="18"/>
      <c r="F67" s="18"/>
      <c r="G67" s="18"/>
      <c r="H67" s="18"/>
      <c r="I67" s="18"/>
      <c r="J67" s="18"/>
      <c r="Q67" s="5"/>
    </row>
    <row r="68" spans="1:17">
      <c r="A68" s="19"/>
      <c r="B68" s="20"/>
      <c r="C68" s="21"/>
      <c r="D68" s="21"/>
      <c r="E68" s="21"/>
      <c r="F68" s="21"/>
      <c r="G68" s="21"/>
      <c r="H68" s="20"/>
      <c r="I68" s="20"/>
      <c r="Q68" s="5"/>
    </row>
    <row r="69" spans="1:17">
      <c r="A69" s="290" t="s">
        <v>53</v>
      </c>
      <c r="B69" s="292" t="s">
        <v>54</v>
      </c>
      <c r="C69" s="294" t="s">
        <v>238</v>
      </c>
      <c r="D69" s="296" t="s">
        <v>55</v>
      </c>
      <c r="E69" s="297"/>
      <c r="F69" s="297"/>
      <c r="G69" s="298"/>
      <c r="H69" s="299" t="s">
        <v>56</v>
      </c>
      <c r="I69" s="301" t="s">
        <v>57</v>
      </c>
      <c r="J69" s="20"/>
      <c r="Q69" s="5"/>
    </row>
    <row r="70" spans="1:17" ht="28.5" customHeight="1">
      <c r="A70" s="291"/>
      <c r="B70" s="293"/>
      <c r="C70" s="295"/>
      <c r="D70" s="22" t="s">
        <v>24</v>
      </c>
      <c r="E70" s="22" t="s">
        <v>25</v>
      </c>
      <c r="F70" s="295" t="s">
        <v>123</v>
      </c>
      <c r="G70" s="22" t="s">
        <v>58</v>
      </c>
      <c r="H70" s="300"/>
      <c r="I70" s="302"/>
      <c r="J70" s="303" t="s">
        <v>239</v>
      </c>
      <c r="K70" s="155"/>
      <c r="Q70" s="5"/>
    </row>
    <row r="71" spans="1:17">
      <c r="A71" s="24"/>
      <c r="B71" s="25" t="s">
        <v>59</v>
      </c>
      <c r="C71" s="26"/>
      <c r="D71" s="26"/>
      <c r="E71" s="26"/>
      <c r="F71" s="26"/>
      <c r="G71" s="26"/>
      <c r="H71" s="26"/>
      <c r="I71" s="27"/>
      <c r="J71" s="304"/>
      <c r="K71" s="155"/>
      <c r="Q71" s="5"/>
    </row>
    <row r="72" spans="1:17">
      <c r="A72" s="130" t="s">
        <v>72</v>
      </c>
      <c r="B72" s="135" t="s">
        <v>47</v>
      </c>
      <c r="C72" s="33">
        <f>+C50</f>
        <v>9800</v>
      </c>
      <c r="D72" s="32"/>
      <c r="E72" s="33">
        <f t="shared" ref="E72:E82" si="36">+D50</f>
        <v>1043000</v>
      </c>
      <c r="F72" s="33"/>
      <c r="G72" s="33"/>
      <c r="H72" s="57">
        <f t="shared" ref="H72:H82" si="37">+F50</f>
        <v>82500</v>
      </c>
      <c r="I72" s="33">
        <f t="shared" ref="I72:I82" si="38">+E50</f>
        <v>975940</v>
      </c>
      <c r="J72" s="31">
        <f t="shared" ref="J72:J73" si="39">+SUM(C72:G72)-(H72+I72)</f>
        <v>-5640</v>
      </c>
      <c r="K72" s="156" t="b">
        <f t="shared" ref="K72:K82" si="40">J72=I50</f>
        <v>1</v>
      </c>
      <c r="Q72" s="5"/>
    </row>
    <row r="73" spans="1:17">
      <c r="A73" s="130" t="str">
        <f>+A72</f>
        <v>JUILLET</v>
      </c>
      <c r="B73" s="135" t="s">
        <v>31</v>
      </c>
      <c r="C73" s="33">
        <f>+C51</f>
        <v>2295</v>
      </c>
      <c r="D73" s="32"/>
      <c r="E73" s="33">
        <f t="shared" si="36"/>
        <v>242500</v>
      </c>
      <c r="F73" s="33"/>
      <c r="G73" s="33"/>
      <c r="H73" s="57">
        <f t="shared" si="37"/>
        <v>0</v>
      </c>
      <c r="I73" s="33">
        <f t="shared" si="38"/>
        <v>240000</v>
      </c>
      <c r="J73" s="107">
        <f t="shared" si="39"/>
        <v>4795</v>
      </c>
      <c r="K73" s="156" t="b">
        <f t="shared" si="40"/>
        <v>1</v>
      </c>
      <c r="Q73" s="5"/>
    </row>
    <row r="74" spans="1:17">
      <c r="A74" s="130" t="str">
        <f t="shared" ref="A74:A78" si="41">+A73</f>
        <v>JUILLET</v>
      </c>
      <c r="B74" s="137" t="s">
        <v>84</v>
      </c>
      <c r="C74" s="128">
        <f>+C52</f>
        <v>233614</v>
      </c>
      <c r="D74" s="131"/>
      <c r="E74" s="128">
        <f t="shared" si="36"/>
        <v>0</v>
      </c>
      <c r="F74" s="146"/>
      <c r="G74" s="146"/>
      <c r="H74" s="180">
        <f t="shared" si="37"/>
        <v>0</v>
      </c>
      <c r="I74" s="128">
        <f t="shared" si="38"/>
        <v>0</v>
      </c>
      <c r="J74" s="129">
        <f>+SUM(C74:G74)-(H74+I74)</f>
        <v>233614</v>
      </c>
      <c r="K74" s="156" t="b">
        <f t="shared" si="40"/>
        <v>1</v>
      </c>
      <c r="Q74" s="5"/>
    </row>
    <row r="75" spans="1:17">
      <c r="A75" s="130" t="str">
        <f t="shared" si="41"/>
        <v>JUILLET</v>
      </c>
      <c r="B75" s="137" t="s">
        <v>83</v>
      </c>
      <c r="C75" s="128">
        <f>+C53</f>
        <v>249769</v>
      </c>
      <c r="D75" s="131"/>
      <c r="E75" s="128">
        <f t="shared" si="36"/>
        <v>0</v>
      </c>
      <c r="F75" s="146"/>
      <c r="G75" s="146"/>
      <c r="H75" s="180">
        <f t="shared" si="37"/>
        <v>0</v>
      </c>
      <c r="I75" s="128">
        <f t="shared" si="38"/>
        <v>0</v>
      </c>
      <c r="J75" s="129">
        <f t="shared" ref="J75:J82" si="42">+SUM(C75:G75)-(H75+I75)</f>
        <v>249769</v>
      </c>
      <c r="K75" s="156" t="b">
        <f t="shared" si="40"/>
        <v>1</v>
      </c>
      <c r="Q75" s="5"/>
    </row>
    <row r="76" spans="1:17">
      <c r="A76" s="130" t="str">
        <f t="shared" si="41"/>
        <v>JUILLET</v>
      </c>
      <c r="B76" s="135" t="s">
        <v>151</v>
      </c>
      <c r="C76" s="33">
        <f>+C54</f>
        <v>28600</v>
      </c>
      <c r="D76" s="32"/>
      <c r="E76" s="33">
        <f t="shared" si="36"/>
        <v>389000</v>
      </c>
      <c r="F76" s="33"/>
      <c r="G76" s="110"/>
      <c r="H76" s="57">
        <f t="shared" si="37"/>
        <v>311000</v>
      </c>
      <c r="I76" s="33">
        <f t="shared" si="38"/>
        <v>87785</v>
      </c>
      <c r="J76" s="31">
        <f t="shared" si="42"/>
        <v>18815</v>
      </c>
      <c r="K76" s="156" t="b">
        <f t="shared" si="40"/>
        <v>1</v>
      </c>
      <c r="Q76" s="5"/>
    </row>
    <row r="77" spans="1:17">
      <c r="A77" s="130" t="str">
        <f t="shared" si="41"/>
        <v>JUILLET</v>
      </c>
      <c r="B77" s="135" t="s">
        <v>207</v>
      </c>
      <c r="C77" s="33">
        <f t="shared" ref="C77:C82" si="43">+C55</f>
        <v>18000</v>
      </c>
      <c r="D77" s="32"/>
      <c r="E77" s="33">
        <f t="shared" si="36"/>
        <v>354000</v>
      </c>
      <c r="F77" s="33"/>
      <c r="G77" s="110"/>
      <c r="H77" s="57">
        <f t="shared" si="37"/>
        <v>0</v>
      </c>
      <c r="I77" s="33">
        <f t="shared" si="38"/>
        <v>335500</v>
      </c>
      <c r="J77" s="31">
        <f t="shared" si="42"/>
        <v>36500</v>
      </c>
      <c r="K77" s="156" t="b">
        <f t="shared" si="40"/>
        <v>1</v>
      </c>
      <c r="Q77" s="5"/>
    </row>
    <row r="78" spans="1:17">
      <c r="A78" s="130" t="str">
        <f t="shared" si="41"/>
        <v>JUILLET</v>
      </c>
      <c r="B78" s="135" t="s">
        <v>30</v>
      </c>
      <c r="C78" s="33">
        <f t="shared" si="43"/>
        <v>262050</v>
      </c>
      <c r="D78" s="32"/>
      <c r="E78" s="33">
        <f t="shared" si="36"/>
        <v>602000</v>
      </c>
      <c r="F78" s="33"/>
      <c r="G78" s="110"/>
      <c r="H78" s="57">
        <f t="shared" si="37"/>
        <v>0</v>
      </c>
      <c r="I78" s="33">
        <f t="shared" si="38"/>
        <v>784500</v>
      </c>
      <c r="J78" s="31">
        <f t="shared" si="42"/>
        <v>79550</v>
      </c>
      <c r="K78" s="156" t="b">
        <f t="shared" si="40"/>
        <v>1</v>
      </c>
      <c r="Q78" s="5"/>
    </row>
    <row r="79" spans="1:17">
      <c r="A79" s="130" t="str">
        <f>+A77</f>
        <v>JUILLET</v>
      </c>
      <c r="B79" s="135" t="s">
        <v>93</v>
      </c>
      <c r="C79" s="33">
        <f t="shared" si="43"/>
        <v>11900</v>
      </c>
      <c r="D79" s="32"/>
      <c r="E79" s="33">
        <f t="shared" si="36"/>
        <v>96000</v>
      </c>
      <c r="F79" s="33"/>
      <c r="G79" s="110"/>
      <c r="H79" s="57">
        <f t="shared" si="37"/>
        <v>30000</v>
      </c>
      <c r="I79" s="33">
        <f t="shared" si="38"/>
        <v>72000</v>
      </c>
      <c r="J79" s="31">
        <f t="shared" si="42"/>
        <v>5900</v>
      </c>
      <c r="K79" s="156" t="b">
        <f t="shared" si="40"/>
        <v>1</v>
      </c>
      <c r="Q79" s="5"/>
    </row>
    <row r="80" spans="1:17">
      <c r="A80" s="130" t="str">
        <f>+A78</f>
        <v>JUILLET</v>
      </c>
      <c r="B80" s="135" t="s">
        <v>29</v>
      </c>
      <c r="C80" s="33">
        <f t="shared" si="43"/>
        <v>221050</v>
      </c>
      <c r="D80" s="32"/>
      <c r="E80" s="33">
        <f t="shared" si="36"/>
        <v>608500</v>
      </c>
      <c r="F80" s="33"/>
      <c r="G80" s="110"/>
      <c r="H80" s="57">
        <f t="shared" si="37"/>
        <v>0</v>
      </c>
      <c r="I80" s="33">
        <f t="shared" si="38"/>
        <v>799700</v>
      </c>
      <c r="J80" s="31">
        <f t="shared" si="42"/>
        <v>29850</v>
      </c>
      <c r="K80" s="156" t="b">
        <f t="shared" si="40"/>
        <v>1</v>
      </c>
      <c r="Q80" s="5"/>
    </row>
    <row r="81" spans="1:17">
      <c r="A81" s="130" t="str">
        <f>+A79</f>
        <v>JUILLET</v>
      </c>
      <c r="B81" s="136" t="s">
        <v>113</v>
      </c>
      <c r="C81" s="33">
        <f t="shared" si="43"/>
        <v>-3959</v>
      </c>
      <c r="D81" s="127"/>
      <c r="E81" s="33">
        <f t="shared" si="36"/>
        <v>1340000</v>
      </c>
      <c r="F81" s="53"/>
      <c r="G81" s="147"/>
      <c r="H81" s="57">
        <f t="shared" si="37"/>
        <v>200000</v>
      </c>
      <c r="I81" s="33">
        <f t="shared" si="38"/>
        <v>12500</v>
      </c>
      <c r="J81" s="31">
        <f t="shared" si="42"/>
        <v>1123541</v>
      </c>
      <c r="K81" s="156" t="b">
        <f t="shared" si="40"/>
        <v>1</v>
      </c>
      <c r="Q81" s="5"/>
    </row>
    <row r="82" spans="1:17">
      <c r="A82" s="130" t="str">
        <f>+A80</f>
        <v>JUILLET</v>
      </c>
      <c r="B82" s="136" t="s">
        <v>223</v>
      </c>
      <c r="C82" s="33">
        <f t="shared" si="43"/>
        <v>95000</v>
      </c>
      <c r="D82" s="127"/>
      <c r="E82" s="33">
        <f t="shared" si="36"/>
        <v>248500</v>
      </c>
      <c r="F82" s="53"/>
      <c r="G82" s="147"/>
      <c r="H82" s="57">
        <f t="shared" si="37"/>
        <v>60000</v>
      </c>
      <c r="I82" s="33">
        <f t="shared" si="38"/>
        <v>283500</v>
      </c>
      <c r="J82" s="31">
        <f t="shared" si="42"/>
        <v>0</v>
      </c>
      <c r="K82" s="156" t="b">
        <f t="shared" si="40"/>
        <v>1</v>
      </c>
      <c r="Q82" s="5"/>
    </row>
    <row r="83" spans="1:17">
      <c r="A83" s="35" t="s">
        <v>60</v>
      </c>
      <c r="B83" s="36"/>
      <c r="C83" s="36"/>
      <c r="D83" s="36"/>
      <c r="E83" s="36"/>
      <c r="F83" s="36"/>
      <c r="G83" s="36"/>
      <c r="H83" s="36"/>
      <c r="I83" s="36"/>
      <c r="J83" s="37"/>
      <c r="K83" s="155"/>
      <c r="Q83" s="5"/>
    </row>
    <row r="84" spans="1:17">
      <c r="A84" s="130" t="str">
        <f>+A82</f>
        <v>JUILLET</v>
      </c>
      <c r="B84" s="38" t="s">
        <v>61</v>
      </c>
      <c r="C84" s="39">
        <f>+C49</f>
        <v>1696326</v>
      </c>
      <c r="D84" s="51"/>
      <c r="E84" s="51">
        <f>D49</f>
        <v>4430000</v>
      </c>
      <c r="F84" s="51"/>
      <c r="G84" s="133"/>
      <c r="H84" s="53">
        <f>+F49</f>
        <v>4570000</v>
      </c>
      <c r="I84" s="134">
        <f>+E49</f>
        <v>1453294</v>
      </c>
      <c r="J84" s="46">
        <f>+SUM(C84:G84)-(H84+I84)</f>
        <v>103032</v>
      </c>
      <c r="K84" s="156" t="b">
        <f>J84=I49</f>
        <v>1</v>
      </c>
      <c r="Q84" s="5"/>
    </row>
    <row r="85" spans="1:17">
      <c r="A85" s="44" t="s">
        <v>62</v>
      </c>
      <c r="B85" s="25"/>
      <c r="C85" s="36"/>
      <c r="D85" s="25"/>
      <c r="E85" s="25"/>
      <c r="F85" s="25"/>
      <c r="G85" s="25"/>
      <c r="H85" s="25"/>
      <c r="I85" s="25"/>
      <c r="J85" s="37"/>
      <c r="K85" s="155"/>
      <c r="Q85" s="5"/>
    </row>
    <row r="86" spans="1:17">
      <c r="A86" s="130" t="str">
        <f>+A84</f>
        <v>JUILLET</v>
      </c>
      <c r="B86" s="38" t="s">
        <v>166</v>
      </c>
      <c r="C86" s="133">
        <f>+C47</f>
        <v>4291693</v>
      </c>
      <c r="D86" s="140">
        <f>+G47</f>
        <v>0</v>
      </c>
      <c r="E86" s="51"/>
      <c r="F86" s="51"/>
      <c r="G86" s="51"/>
      <c r="H86" s="53">
        <f>+F47</f>
        <v>4100000</v>
      </c>
      <c r="I86" s="55">
        <f>+E47</f>
        <v>23345</v>
      </c>
      <c r="J86" s="46">
        <f>+SUM(C86:G86)-(H86+I86)</f>
        <v>168348</v>
      </c>
      <c r="K86" s="156" t="b">
        <f>+J86=I47</f>
        <v>1</v>
      </c>
      <c r="Q86" s="5"/>
    </row>
    <row r="87" spans="1:17">
      <c r="A87" s="130" t="str">
        <f t="shared" ref="A87" si="44">+A86</f>
        <v>JUILLET</v>
      </c>
      <c r="B87" s="38" t="s">
        <v>64</v>
      </c>
      <c r="C87" s="133">
        <f>+C48</f>
        <v>4852627</v>
      </c>
      <c r="D87" s="51">
        <f>+G48</f>
        <v>20402887</v>
      </c>
      <c r="E87" s="50"/>
      <c r="F87" s="50"/>
      <c r="G87" s="50"/>
      <c r="H87" s="33">
        <f>+F48</f>
        <v>0</v>
      </c>
      <c r="I87" s="52">
        <f>+E48</f>
        <v>3777704</v>
      </c>
      <c r="J87" s="46">
        <f>SUM(C87:G87)-(H87+I87)</f>
        <v>21477810</v>
      </c>
      <c r="K87" s="156" t="b">
        <f>+J87=I48</f>
        <v>1</v>
      </c>
      <c r="Q87" s="5"/>
    </row>
    <row r="88" spans="1:17" ht="15.75">
      <c r="C88" s="151">
        <f>SUM(C72:C87)</f>
        <v>11968765</v>
      </c>
      <c r="I88" s="149">
        <f>SUM(I72:I87)</f>
        <v>8845768</v>
      </c>
      <c r="J88" s="111">
        <f>+SUM(J72:J87)</f>
        <v>23525884</v>
      </c>
      <c r="K88" s="5" t="b">
        <f>J88=I61</f>
        <v>1</v>
      </c>
      <c r="Q88" s="5"/>
    </row>
    <row r="89" spans="1:17" ht="15.75">
      <c r="A89" s="207"/>
      <c r="B89" s="207"/>
      <c r="C89" s="208"/>
      <c r="D89" s="207"/>
      <c r="E89" s="207"/>
      <c r="F89" s="207"/>
      <c r="G89" s="207"/>
      <c r="H89" s="207"/>
      <c r="I89" s="209"/>
      <c r="J89" s="210"/>
      <c r="K89" s="207"/>
      <c r="L89" s="211"/>
      <c r="M89" s="211"/>
      <c r="N89" s="211"/>
      <c r="O89" s="211"/>
      <c r="P89" s="207"/>
      <c r="Q89" s="5"/>
    </row>
    <row r="92" spans="1:17" ht="15.75">
      <c r="A92" s="6" t="s">
        <v>36</v>
      </c>
      <c r="B92" s="6" t="s">
        <v>1</v>
      </c>
      <c r="C92" s="6">
        <v>44713</v>
      </c>
      <c r="D92" s="7" t="s">
        <v>37</v>
      </c>
      <c r="E92" s="7" t="s">
        <v>38</v>
      </c>
      <c r="F92" s="7" t="s">
        <v>39</v>
      </c>
      <c r="G92" s="7" t="s">
        <v>40</v>
      </c>
      <c r="H92" s="6">
        <v>44742</v>
      </c>
      <c r="I92" s="7" t="s">
        <v>41</v>
      </c>
      <c r="K92" s="47"/>
      <c r="L92" s="47" t="s">
        <v>42</v>
      </c>
      <c r="M92" s="47" t="s">
        <v>43</v>
      </c>
      <c r="N92" s="47" t="s">
        <v>44</v>
      </c>
      <c r="O92" s="47" t="s">
        <v>45</v>
      </c>
      <c r="Q92" s="5"/>
    </row>
    <row r="93" spans="1:17" ht="16.5">
      <c r="A93" s="60" t="str">
        <f>K93</f>
        <v>BCI</v>
      </c>
      <c r="B93" s="61" t="s">
        <v>46</v>
      </c>
      <c r="C93" s="63">
        <v>8575038</v>
      </c>
      <c r="D93" s="63">
        <f>+L93</f>
        <v>0</v>
      </c>
      <c r="E93" s="63">
        <f>+N93</f>
        <v>283345</v>
      </c>
      <c r="F93" s="63">
        <f>+M93</f>
        <v>4000000</v>
      </c>
      <c r="G93" s="63">
        <f t="shared" ref="G93:G103" si="45">+O93</f>
        <v>0</v>
      </c>
      <c r="H93" s="63">
        <v>4291693</v>
      </c>
      <c r="I93" s="63">
        <f>+C93+D93-E93-F93+G93</f>
        <v>4291693</v>
      </c>
      <c r="J93" s="9">
        <f>I93-H93</f>
        <v>0</v>
      </c>
      <c r="K93" s="47" t="s">
        <v>24</v>
      </c>
      <c r="L93" s="49">
        <v>0</v>
      </c>
      <c r="M93" s="49">
        <v>4000000</v>
      </c>
      <c r="N93" s="49">
        <v>283345</v>
      </c>
      <c r="O93" s="49">
        <v>0</v>
      </c>
      <c r="Q93" s="5"/>
    </row>
    <row r="94" spans="1:17" ht="16.5">
      <c r="A94" s="60" t="str">
        <f t="shared" ref="A94:A106" si="46">K94</f>
        <v>BCI-Sous Compte</v>
      </c>
      <c r="B94" s="61" t="s">
        <v>46</v>
      </c>
      <c r="C94" s="63">
        <v>12231533</v>
      </c>
      <c r="D94" s="63">
        <f t="shared" ref="D94:D106" si="47">+L94</f>
        <v>0</v>
      </c>
      <c r="E94" s="63">
        <f t="shared" ref="E94:E106" si="48">+N94</f>
        <v>5378906</v>
      </c>
      <c r="F94" s="63">
        <f t="shared" ref="F94:F106" si="49">+M94</f>
        <v>2000000</v>
      </c>
      <c r="G94" s="63">
        <f t="shared" si="45"/>
        <v>0</v>
      </c>
      <c r="H94" s="63">
        <v>4852627</v>
      </c>
      <c r="I94" s="63">
        <f>+C94+D94-E94-F94+G94</f>
        <v>4852627</v>
      </c>
      <c r="J94" s="9">
        <f t="shared" ref="J94:J100" si="50">I94-H94</f>
        <v>0</v>
      </c>
      <c r="K94" s="47" t="s">
        <v>157</v>
      </c>
      <c r="L94" s="49">
        <v>0</v>
      </c>
      <c r="M94" s="49">
        <v>2000000</v>
      </c>
      <c r="N94" s="49">
        <v>5378906</v>
      </c>
      <c r="O94" s="49">
        <v>0</v>
      </c>
      <c r="Q94" s="5"/>
    </row>
    <row r="95" spans="1:17" ht="16.5">
      <c r="A95" s="60" t="str">
        <f t="shared" si="46"/>
        <v>Caisse</v>
      </c>
      <c r="B95" s="61" t="s">
        <v>25</v>
      </c>
      <c r="C95" s="63">
        <v>1700406</v>
      </c>
      <c r="D95" s="63">
        <f t="shared" si="47"/>
        <v>6172450</v>
      </c>
      <c r="E95" s="63">
        <f t="shared" si="48"/>
        <v>2587130</v>
      </c>
      <c r="F95" s="63">
        <f t="shared" si="49"/>
        <v>3589400</v>
      </c>
      <c r="G95" s="63">
        <f t="shared" si="45"/>
        <v>0</v>
      </c>
      <c r="H95" s="63">
        <v>1696326</v>
      </c>
      <c r="I95" s="63">
        <f>+C95+D95-E95-F95+G95</f>
        <v>1696326</v>
      </c>
      <c r="J95" s="108">
        <f t="shared" si="50"/>
        <v>0</v>
      </c>
      <c r="K95" s="47" t="s">
        <v>25</v>
      </c>
      <c r="L95" s="49">
        <v>6172450</v>
      </c>
      <c r="M95" s="49">
        <v>3589400</v>
      </c>
      <c r="N95" s="49">
        <v>2587130</v>
      </c>
      <c r="O95" s="49">
        <v>0</v>
      </c>
      <c r="Q95" s="5"/>
    </row>
    <row r="96" spans="1:17" ht="16.5">
      <c r="A96" s="60" t="str">
        <f t="shared" si="46"/>
        <v>Crépin</v>
      </c>
      <c r="B96" s="61" t="s">
        <v>163</v>
      </c>
      <c r="C96" s="63">
        <v>15750</v>
      </c>
      <c r="D96" s="63">
        <f t="shared" si="47"/>
        <v>1223400</v>
      </c>
      <c r="E96" s="63">
        <f t="shared" si="48"/>
        <v>1184350</v>
      </c>
      <c r="F96" s="63">
        <f t="shared" si="49"/>
        <v>45000</v>
      </c>
      <c r="G96" s="63">
        <f t="shared" si="45"/>
        <v>0</v>
      </c>
      <c r="H96" s="63">
        <v>9800</v>
      </c>
      <c r="I96" s="63">
        <f>+C96+D96-E96-F96+G96</f>
        <v>9800</v>
      </c>
      <c r="J96" s="9">
        <f t="shared" si="50"/>
        <v>0</v>
      </c>
      <c r="K96" s="47" t="s">
        <v>47</v>
      </c>
      <c r="L96" s="49">
        <v>1223400</v>
      </c>
      <c r="M96" s="49">
        <v>45000</v>
      </c>
      <c r="N96" s="49">
        <v>1184350</v>
      </c>
      <c r="O96" s="49">
        <v>0</v>
      </c>
      <c r="Q96" s="5"/>
    </row>
    <row r="97" spans="1:17" ht="16.5">
      <c r="A97" s="60" t="str">
        <f t="shared" si="46"/>
        <v>Evariste</v>
      </c>
      <c r="B97" s="61" t="s">
        <v>164</v>
      </c>
      <c r="C97" s="63">
        <v>8795</v>
      </c>
      <c r="D97" s="63">
        <f t="shared" si="47"/>
        <v>248000</v>
      </c>
      <c r="E97" s="63">
        <f t="shared" si="48"/>
        <v>254500</v>
      </c>
      <c r="F97" s="63">
        <f t="shared" si="49"/>
        <v>0</v>
      </c>
      <c r="G97" s="63">
        <f t="shared" si="45"/>
        <v>0</v>
      </c>
      <c r="H97" s="63">
        <v>2295</v>
      </c>
      <c r="I97" s="63">
        <f t="shared" ref="I97" si="51">+C97+D97-E97-F97+G97</f>
        <v>2295</v>
      </c>
      <c r="J97" s="9">
        <f t="shared" si="50"/>
        <v>0</v>
      </c>
      <c r="K97" s="47" t="s">
        <v>31</v>
      </c>
      <c r="L97" s="49">
        <v>248000</v>
      </c>
      <c r="M97" s="49">
        <v>0</v>
      </c>
      <c r="N97" s="49">
        <v>254500</v>
      </c>
      <c r="O97" s="49">
        <v>0</v>
      </c>
      <c r="Q97" s="5"/>
    </row>
    <row r="98" spans="1:17" ht="16.5">
      <c r="A98" s="60" t="str">
        <f t="shared" si="46"/>
        <v>I55S</v>
      </c>
      <c r="B98" s="124" t="s">
        <v>4</v>
      </c>
      <c r="C98" s="126">
        <v>233614</v>
      </c>
      <c r="D98" s="126">
        <f t="shared" si="47"/>
        <v>0</v>
      </c>
      <c r="E98" s="126">
        <f t="shared" si="48"/>
        <v>0</v>
      </c>
      <c r="F98" s="126">
        <f t="shared" si="49"/>
        <v>0</v>
      </c>
      <c r="G98" s="126">
        <f t="shared" si="45"/>
        <v>0</v>
      </c>
      <c r="H98" s="126">
        <v>233614</v>
      </c>
      <c r="I98" s="126">
        <f>+C98+D98-E98-F98+G98</f>
        <v>233614</v>
      </c>
      <c r="J98" s="9">
        <f t="shared" si="50"/>
        <v>0</v>
      </c>
      <c r="K98" s="47" t="s">
        <v>84</v>
      </c>
      <c r="L98" s="49">
        <v>0</v>
      </c>
      <c r="M98" s="49">
        <v>0</v>
      </c>
      <c r="N98" s="49">
        <v>0</v>
      </c>
      <c r="O98" s="49">
        <v>0</v>
      </c>
      <c r="Q98" s="5"/>
    </row>
    <row r="99" spans="1:17" ht="16.5">
      <c r="A99" s="60" t="str">
        <f t="shared" si="46"/>
        <v>I73X</v>
      </c>
      <c r="B99" s="124" t="s">
        <v>4</v>
      </c>
      <c r="C99" s="126">
        <v>249769</v>
      </c>
      <c r="D99" s="126">
        <f t="shared" si="47"/>
        <v>0</v>
      </c>
      <c r="E99" s="126">
        <f t="shared" si="48"/>
        <v>0</v>
      </c>
      <c r="F99" s="126">
        <f t="shared" si="49"/>
        <v>0</v>
      </c>
      <c r="G99" s="126">
        <f t="shared" si="45"/>
        <v>0</v>
      </c>
      <c r="H99" s="126">
        <v>249769</v>
      </c>
      <c r="I99" s="126">
        <f t="shared" ref="I99:I102" si="52">+C99+D99-E99-F99+G99</f>
        <v>249769</v>
      </c>
      <c r="J99" s="9">
        <f t="shared" si="50"/>
        <v>0</v>
      </c>
      <c r="K99" s="47" t="s">
        <v>83</v>
      </c>
      <c r="L99" s="49">
        <v>0</v>
      </c>
      <c r="M99" s="49">
        <v>0</v>
      </c>
      <c r="N99" s="49">
        <v>0</v>
      </c>
      <c r="O99" s="49">
        <v>0</v>
      </c>
      <c r="Q99" s="5"/>
    </row>
    <row r="100" spans="1:17" ht="16.5">
      <c r="A100" s="60" t="str">
        <f t="shared" si="46"/>
        <v>Grace</v>
      </c>
      <c r="B100" s="104" t="s">
        <v>2</v>
      </c>
      <c r="C100" s="63">
        <v>14700</v>
      </c>
      <c r="D100" s="63">
        <f t="shared" si="47"/>
        <v>994000</v>
      </c>
      <c r="E100" s="63">
        <f t="shared" si="48"/>
        <v>220100</v>
      </c>
      <c r="F100" s="63">
        <f t="shared" si="49"/>
        <v>760000</v>
      </c>
      <c r="G100" s="63">
        <f t="shared" si="45"/>
        <v>0</v>
      </c>
      <c r="H100" s="63">
        <v>28600</v>
      </c>
      <c r="I100" s="63">
        <f t="shared" si="52"/>
        <v>28600</v>
      </c>
      <c r="J100" s="9">
        <f t="shared" si="50"/>
        <v>0</v>
      </c>
      <c r="K100" s="47" t="s">
        <v>151</v>
      </c>
      <c r="L100" s="49">
        <v>994000</v>
      </c>
      <c r="M100" s="49">
        <v>760000</v>
      </c>
      <c r="N100" s="49">
        <v>220100</v>
      </c>
      <c r="O100" s="49">
        <v>0</v>
      </c>
      <c r="Q100" s="5"/>
    </row>
    <row r="101" spans="1:17" ht="16.5">
      <c r="A101" s="60" t="str">
        <f t="shared" si="46"/>
        <v>Hurielle</v>
      </c>
      <c r="B101" s="248" t="s">
        <v>163</v>
      </c>
      <c r="C101" s="63">
        <v>46950</v>
      </c>
      <c r="D101" s="63">
        <f t="shared" si="47"/>
        <v>254000</v>
      </c>
      <c r="E101" s="63">
        <f t="shared" si="48"/>
        <v>245500</v>
      </c>
      <c r="F101" s="63">
        <f t="shared" si="49"/>
        <v>37450</v>
      </c>
      <c r="G101" s="63">
        <f t="shared" si="45"/>
        <v>0</v>
      </c>
      <c r="H101" s="63">
        <v>18000</v>
      </c>
      <c r="I101" s="63">
        <f t="shared" si="52"/>
        <v>18000</v>
      </c>
      <c r="J101" s="9">
        <f>I101-H101</f>
        <v>0</v>
      </c>
      <c r="K101" s="47" t="s">
        <v>207</v>
      </c>
      <c r="L101" s="49">
        <v>254000</v>
      </c>
      <c r="M101" s="49">
        <v>37450</v>
      </c>
      <c r="N101" s="49">
        <v>245500</v>
      </c>
      <c r="O101" s="49">
        <v>0</v>
      </c>
      <c r="Q101" s="5"/>
    </row>
    <row r="102" spans="1:17" ht="16.5">
      <c r="A102" s="60" t="str">
        <f t="shared" si="46"/>
        <v>I23C</v>
      </c>
      <c r="B102" s="249" t="s">
        <v>4</v>
      </c>
      <c r="C102" s="63">
        <v>112050</v>
      </c>
      <c r="D102" s="63">
        <f t="shared" si="47"/>
        <v>584000</v>
      </c>
      <c r="E102" s="63">
        <f t="shared" si="48"/>
        <v>434000</v>
      </c>
      <c r="F102" s="63">
        <f t="shared" si="49"/>
        <v>0</v>
      </c>
      <c r="G102" s="63">
        <f t="shared" si="45"/>
        <v>0</v>
      </c>
      <c r="H102" s="63">
        <v>262050</v>
      </c>
      <c r="I102" s="63">
        <f t="shared" si="52"/>
        <v>262050</v>
      </c>
      <c r="J102" s="9">
        <f t="shared" ref="J102:J103" si="53">I102-H102</f>
        <v>0</v>
      </c>
      <c r="K102" s="47" t="s">
        <v>30</v>
      </c>
      <c r="L102" s="49">
        <v>584000</v>
      </c>
      <c r="M102" s="49">
        <v>0</v>
      </c>
      <c r="N102" s="49">
        <v>434000</v>
      </c>
      <c r="O102" s="49">
        <v>0</v>
      </c>
      <c r="Q102" s="5"/>
    </row>
    <row r="103" spans="1:17" ht="16.5">
      <c r="A103" s="60" t="str">
        <f t="shared" si="46"/>
        <v>Merveille</v>
      </c>
      <c r="B103" s="248" t="s">
        <v>2</v>
      </c>
      <c r="C103" s="63">
        <v>2900</v>
      </c>
      <c r="D103" s="63">
        <f t="shared" si="47"/>
        <v>40000</v>
      </c>
      <c r="E103" s="63">
        <f t="shared" si="48"/>
        <v>31000</v>
      </c>
      <c r="F103" s="63">
        <f t="shared" si="49"/>
        <v>0</v>
      </c>
      <c r="G103" s="63">
        <f t="shared" si="45"/>
        <v>0</v>
      </c>
      <c r="H103" s="63">
        <v>11900</v>
      </c>
      <c r="I103" s="63">
        <f>+C103+D103-E103-F103+G103</f>
        <v>11900</v>
      </c>
      <c r="J103" s="9">
        <f t="shared" si="53"/>
        <v>0</v>
      </c>
      <c r="K103" s="47" t="s">
        <v>93</v>
      </c>
      <c r="L103" s="49">
        <v>40000</v>
      </c>
      <c r="M103" s="49">
        <v>0</v>
      </c>
      <c r="N103" s="49">
        <v>31000</v>
      </c>
      <c r="O103" s="49">
        <v>0</v>
      </c>
      <c r="Q103" s="5"/>
    </row>
    <row r="104" spans="1:17" ht="16.5">
      <c r="A104" s="60" t="str">
        <f t="shared" si="46"/>
        <v>P29</v>
      </c>
      <c r="B104" s="248" t="s">
        <v>4</v>
      </c>
      <c r="C104" s="63">
        <v>140700</v>
      </c>
      <c r="D104" s="63">
        <f t="shared" si="47"/>
        <v>638000</v>
      </c>
      <c r="E104" s="63">
        <f t="shared" si="48"/>
        <v>507650</v>
      </c>
      <c r="F104" s="63">
        <f t="shared" si="49"/>
        <v>50000</v>
      </c>
      <c r="G104" s="63">
        <f>+O104</f>
        <v>0</v>
      </c>
      <c r="H104" s="63">
        <v>221050</v>
      </c>
      <c r="I104" s="63">
        <f>+C104+D104-E104-F104+G104</f>
        <v>221050</v>
      </c>
      <c r="J104" s="9">
        <f>I104-H104</f>
        <v>0</v>
      </c>
      <c r="K104" s="47" t="s">
        <v>29</v>
      </c>
      <c r="L104" s="49">
        <v>638000</v>
      </c>
      <c r="M104" s="49">
        <v>50000</v>
      </c>
      <c r="N104" s="49">
        <v>507650</v>
      </c>
      <c r="O104" s="49">
        <v>0</v>
      </c>
      <c r="Q104" s="5"/>
    </row>
    <row r="105" spans="1:17" ht="16.5">
      <c r="A105" s="60" t="str">
        <f t="shared" si="46"/>
        <v>Tiffany</v>
      </c>
      <c r="B105" s="61" t="s">
        <v>2</v>
      </c>
      <c r="C105" s="63">
        <v>2241</v>
      </c>
      <c r="D105" s="63">
        <f t="shared" si="47"/>
        <v>0</v>
      </c>
      <c r="E105" s="63">
        <f t="shared" si="48"/>
        <v>6200</v>
      </c>
      <c r="F105" s="63">
        <f t="shared" si="49"/>
        <v>0</v>
      </c>
      <c r="G105" s="63">
        <f t="shared" ref="G105:G106" si="54">+O105</f>
        <v>0</v>
      </c>
      <c r="H105" s="63">
        <v>-3959</v>
      </c>
      <c r="I105" s="63">
        <f t="shared" ref="I105" si="55">+C105+D105-E105-F105+G105</f>
        <v>-3959</v>
      </c>
      <c r="J105" s="9">
        <f t="shared" ref="J105" si="56">I105-H105</f>
        <v>0</v>
      </c>
      <c r="K105" s="47" t="s">
        <v>113</v>
      </c>
      <c r="L105" s="49">
        <v>0</v>
      </c>
      <c r="M105" s="49">
        <v>0</v>
      </c>
      <c r="N105" s="49">
        <v>6200</v>
      </c>
      <c r="O105" s="49">
        <v>0</v>
      </c>
      <c r="Q105" s="5"/>
    </row>
    <row r="106" spans="1:17" ht="16.5">
      <c r="A106" s="60" t="str">
        <f t="shared" si="46"/>
        <v>Yan</v>
      </c>
      <c r="B106" s="61" t="s">
        <v>163</v>
      </c>
      <c r="C106" s="63">
        <v>10500</v>
      </c>
      <c r="D106" s="63">
        <f t="shared" si="47"/>
        <v>368000</v>
      </c>
      <c r="E106" s="63">
        <f t="shared" si="48"/>
        <v>243500</v>
      </c>
      <c r="F106" s="63">
        <f t="shared" si="49"/>
        <v>40000</v>
      </c>
      <c r="G106" s="63">
        <f t="shared" si="54"/>
        <v>0</v>
      </c>
      <c r="H106" s="63">
        <v>95000</v>
      </c>
      <c r="I106" s="63">
        <f>+C106+D106-E106-F106+G106</f>
        <v>95000</v>
      </c>
      <c r="J106" s="9">
        <f>I106-H106</f>
        <v>0</v>
      </c>
      <c r="K106" s="47" t="s">
        <v>223</v>
      </c>
      <c r="L106" s="49">
        <v>368000</v>
      </c>
      <c r="M106" s="49">
        <v>40000</v>
      </c>
      <c r="N106" s="49">
        <v>243500</v>
      </c>
      <c r="O106" s="49">
        <v>0</v>
      </c>
      <c r="Q106" s="5"/>
    </row>
    <row r="107" spans="1:17" ht="16.5">
      <c r="A107" s="10" t="s">
        <v>50</v>
      </c>
      <c r="B107" s="11"/>
      <c r="C107" s="12">
        <f t="shared" ref="C107:I107" si="57">SUM(C93:C106)</f>
        <v>23344946</v>
      </c>
      <c r="D107" s="59">
        <f t="shared" si="57"/>
        <v>10521850</v>
      </c>
      <c r="E107" s="59">
        <f t="shared" si="57"/>
        <v>11376181</v>
      </c>
      <c r="F107" s="59">
        <f t="shared" si="57"/>
        <v>10521850</v>
      </c>
      <c r="G107" s="59">
        <f t="shared" si="57"/>
        <v>0</v>
      </c>
      <c r="H107" s="59">
        <f t="shared" si="57"/>
        <v>11968765</v>
      </c>
      <c r="I107" s="59">
        <f t="shared" si="57"/>
        <v>11968765</v>
      </c>
      <c r="J107" s="9">
        <f>I107-H107</f>
        <v>0</v>
      </c>
      <c r="K107" s="3"/>
      <c r="L107" s="49">
        <f>+SUM(L93:L106)</f>
        <v>10521850</v>
      </c>
      <c r="M107" s="49">
        <f>+SUM(M93:M106)</f>
        <v>10521850</v>
      </c>
      <c r="N107" s="49">
        <f>+SUM(N93:N106)</f>
        <v>11376181</v>
      </c>
      <c r="O107" s="49">
        <f>+SUM(O93:O105)</f>
        <v>0</v>
      </c>
      <c r="Q107" s="5"/>
    </row>
    <row r="108" spans="1:17" ht="16.5">
      <c r="A108" s="10"/>
      <c r="B108" s="11"/>
      <c r="C108" s="12"/>
      <c r="D108" s="13"/>
      <c r="E108" s="12"/>
      <c r="F108" s="13"/>
      <c r="G108" s="12"/>
      <c r="H108" s="12"/>
      <c r="I108" s="143" t="b">
        <f>I107=D110</f>
        <v>1</v>
      </c>
      <c r="L108" s="5"/>
      <c r="M108" s="5"/>
      <c r="N108" s="5"/>
      <c r="O108" s="5"/>
      <c r="Q108" s="5"/>
    </row>
    <row r="109" spans="1:17" ht="16.5">
      <c r="A109" s="10" t="s">
        <v>230</v>
      </c>
      <c r="B109" s="11" t="s">
        <v>231</v>
      </c>
      <c r="C109" s="12" t="s">
        <v>232</v>
      </c>
      <c r="D109" s="12" t="s">
        <v>234</v>
      </c>
      <c r="E109" s="12" t="s">
        <v>51</v>
      </c>
      <c r="F109" s="12"/>
      <c r="G109" s="12">
        <f>+D107-F107</f>
        <v>0</v>
      </c>
      <c r="H109" s="12"/>
      <c r="I109" s="12"/>
      <c r="Q109" s="5"/>
    </row>
    <row r="110" spans="1:17" ht="16.5">
      <c r="A110" s="14">
        <f>C107</f>
        <v>23344946</v>
      </c>
      <c r="B110" s="15">
        <f>G107</f>
        <v>0</v>
      </c>
      <c r="C110" s="12">
        <f>E107</f>
        <v>11376181</v>
      </c>
      <c r="D110" s="12">
        <f>A110+B110-C110</f>
        <v>11968765</v>
      </c>
      <c r="E110" s="13">
        <f>I107-D110</f>
        <v>0</v>
      </c>
      <c r="F110" s="12"/>
      <c r="G110" s="12"/>
      <c r="H110" s="12"/>
      <c r="I110" s="12"/>
      <c r="Q110" s="5"/>
    </row>
    <row r="111" spans="1:17" ht="16.5">
      <c r="A111" s="14"/>
      <c r="B111" s="15"/>
      <c r="C111" s="12"/>
      <c r="D111" s="12"/>
      <c r="E111" s="13"/>
      <c r="F111" s="12"/>
      <c r="G111" s="12"/>
      <c r="H111" s="12"/>
      <c r="I111" s="12"/>
      <c r="Q111" s="5"/>
    </row>
    <row r="112" spans="1:17">
      <c r="A112" s="16" t="s">
        <v>52</v>
      </c>
      <c r="B112" s="16"/>
      <c r="C112" s="16"/>
      <c r="D112" s="17"/>
      <c r="E112" s="17"/>
      <c r="F112" s="17"/>
      <c r="G112" s="17"/>
      <c r="H112" s="17"/>
      <c r="I112" s="17"/>
      <c r="Q112" s="5"/>
    </row>
    <row r="113" spans="1:17">
      <c r="A113" s="18" t="s">
        <v>233</v>
      </c>
      <c r="B113" s="18"/>
      <c r="C113" s="18"/>
      <c r="D113" s="18"/>
      <c r="E113" s="18"/>
      <c r="F113" s="18"/>
      <c r="G113" s="18"/>
      <c r="H113" s="18"/>
      <c r="I113" s="18"/>
      <c r="J113" s="18"/>
      <c r="Q113" s="5"/>
    </row>
    <row r="114" spans="1:17">
      <c r="A114" s="19"/>
      <c r="B114" s="20"/>
      <c r="C114" s="21"/>
      <c r="D114" s="21"/>
      <c r="E114" s="21"/>
      <c r="F114" s="21"/>
      <c r="G114" s="21"/>
      <c r="H114" s="20"/>
      <c r="I114" s="20"/>
      <c r="Q114" s="5"/>
    </row>
    <row r="115" spans="1:17">
      <c r="A115" s="277" t="s">
        <v>53</v>
      </c>
      <c r="B115" s="279" t="s">
        <v>54</v>
      </c>
      <c r="C115" s="281" t="s">
        <v>235</v>
      </c>
      <c r="D115" s="283" t="s">
        <v>55</v>
      </c>
      <c r="E115" s="284"/>
      <c r="F115" s="284"/>
      <c r="G115" s="285"/>
      <c r="H115" s="286" t="s">
        <v>56</v>
      </c>
      <c r="I115" s="273" t="s">
        <v>57</v>
      </c>
      <c r="J115" s="20"/>
      <c r="Q115" s="5"/>
    </row>
    <row r="116" spans="1:17" ht="28.5" customHeight="1">
      <c r="A116" s="278"/>
      <c r="B116" s="280"/>
      <c r="C116" s="282"/>
      <c r="D116" s="22" t="s">
        <v>24</v>
      </c>
      <c r="E116" s="22" t="s">
        <v>25</v>
      </c>
      <c r="F116" s="282" t="s">
        <v>123</v>
      </c>
      <c r="G116" s="22" t="s">
        <v>58</v>
      </c>
      <c r="H116" s="287"/>
      <c r="I116" s="274"/>
      <c r="J116" s="275" t="s">
        <v>236</v>
      </c>
      <c r="K116" s="155"/>
      <c r="Q116" s="5"/>
    </row>
    <row r="117" spans="1:17">
      <c r="A117" s="24"/>
      <c r="B117" s="25" t="s">
        <v>59</v>
      </c>
      <c r="C117" s="26"/>
      <c r="D117" s="26"/>
      <c r="E117" s="26"/>
      <c r="F117" s="26"/>
      <c r="G117" s="26"/>
      <c r="H117" s="26"/>
      <c r="I117" s="27"/>
      <c r="J117" s="276"/>
      <c r="K117" s="155"/>
      <c r="Q117" s="5"/>
    </row>
    <row r="118" spans="1:17">
      <c r="A118" s="130" t="s">
        <v>143</v>
      </c>
      <c r="B118" s="135" t="s">
        <v>47</v>
      </c>
      <c r="C118" s="33">
        <f>+C96</f>
        <v>15750</v>
      </c>
      <c r="D118" s="32"/>
      <c r="E118" s="33">
        <f t="shared" ref="E118:E126" si="58">+D96</f>
        <v>1223400</v>
      </c>
      <c r="F118" s="33"/>
      <c r="G118" s="33"/>
      <c r="H118" s="57">
        <f t="shared" ref="H118:H126" si="59">+F96</f>
        <v>45000</v>
      </c>
      <c r="I118" s="33">
        <f t="shared" ref="I118:I126" si="60">+E96</f>
        <v>1184350</v>
      </c>
      <c r="J118" s="31">
        <f t="shared" ref="J118:J119" si="61">+SUM(C118:G118)-(H118+I118)</f>
        <v>9800</v>
      </c>
      <c r="K118" s="156" t="b">
        <f t="shared" ref="K118:K128" si="62">J118=I96</f>
        <v>1</v>
      </c>
      <c r="Q118" s="5"/>
    </row>
    <row r="119" spans="1:17">
      <c r="A119" s="130" t="str">
        <f>+A118</f>
        <v>JUIN</v>
      </c>
      <c r="B119" s="135" t="s">
        <v>31</v>
      </c>
      <c r="C119" s="33">
        <f>+C97</f>
        <v>8795</v>
      </c>
      <c r="D119" s="32"/>
      <c r="E119" s="33">
        <f t="shared" si="58"/>
        <v>248000</v>
      </c>
      <c r="F119" s="33"/>
      <c r="G119" s="33"/>
      <c r="H119" s="57">
        <f t="shared" si="59"/>
        <v>0</v>
      </c>
      <c r="I119" s="33">
        <f t="shared" si="60"/>
        <v>254500</v>
      </c>
      <c r="J119" s="107">
        <f t="shared" si="61"/>
        <v>2295</v>
      </c>
      <c r="K119" s="156" t="b">
        <f t="shared" si="62"/>
        <v>1</v>
      </c>
      <c r="Q119" s="5"/>
    </row>
    <row r="120" spans="1:17">
      <c r="A120" s="130" t="str">
        <f t="shared" ref="A120:A121" si="63">+A119</f>
        <v>JUIN</v>
      </c>
      <c r="B120" s="137" t="s">
        <v>84</v>
      </c>
      <c r="C120" s="128">
        <f>+C98</f>
        <v>233614</v>
      </c>
      <c r="D120" s="131"/>
      <c r="E120" s="128">
        <f t="shared" si="58"/>
        <v>0</v>
      </c>
      <c r="F120" s="146"/>
      <c r="G120" s="146"/>
      <c r="H120" s="180">
        <f t="shared" si="59"/>
        <v>0</v>
      </c>
      <c r="I120" s="128">
        <f t="shared" si="60"/>
        <v>0</v>
      </c>
      <c r="J120" s="129">
        <f>+SUM(C120:G120)-(H120+I120)</f>
        <v>233614</v>
      </c>
      <c r="K120" s="156" t="b">
        <f t="shared" si="62"/>
        <v>1</v>
      </c>
      <c r="Q120" s="5"/>
    </row>
    <row r="121" spans="1:17">
      <c r="A121" s="130" t="str">
        <f t="shared" si="63"/>
        <v>JUIN</v>
      </c>
      <c r="B121" s="137" t="s">
        <v>83</v>
      </c>
      <c r="C121" s="128">
        <f>+C99</f>
        <v>249769</v>
      </c>
      <c r="D121" s="131"/>
      <c r="E121" s="128">
        <f t="shared" si="58"/>
        <v>0</v>
      </c>
      <c r="F121" s="146"/>
      <c r="G121" s="146"/>
      <c r="H121" s="180">
        <f t="shared" si="59"/>
        <v>0</v>
      </c>
      <c r="I121" s="128">
        <f t="shared" si="60"/>
        <v>0</v>
      </c>
      <c r="J121" s="129">
        <f t="shared" ref="J121:J128" si="64">+SUM(C121:G121)-(H121+I121)</f>
        <v>249769</v>
      </c>
      <c r="K121" s="156" t="b">
        <f t="shared" si="62"/>
        <v>1</v>
      </c>
      <c r="Q121" s="5"/>
    </row>
    <row r="122" spans="1:17">
      <c r="A122" s="130" t="str">
        <f t="shared" ref="A122:A124" si="65">+A121</f>
        <v>JUIN</v>
      </c>
      <c r="B122" s="135" t="s">
        <v>151</v>
      </c>
      <c r="C122" s="33">
        <f>+C100</f>
        <v>14700</v>
      </c>
      <c r="D122" s="32"/>
      <c r="E122" s="33">
        <f t="shared" si="58"/>
        <v>994000</v>
      </c>
      <c r="F122" s="33"/>
      <c r="G122" s="110"/>
      <c r="H122" s="57">
        <f t="shared" si="59"/>
        <v>760000</v>
      </c>
      <c r="I122" s="33">
        <f t="shared" si="60"/>
        <v>220100</v>
      </c>
      <c r="J122" s="31">
        <f t="shared" si="64"/>
        <v>28600</v>
      </c>
      <c r="K122" s="156" t="b">
        <f t="shared" si="62"/>
        <v>1</v>
      </c>
      <c r="Q122" s="5"/>
    </row>
    <row r="123" spans="1:17">
      <c r="A123" s="130" t="str">
        <f t="shared" si="65"/>
        <v>JUIN</v>
      </c>
      <c r="B123" s="135" t="s">
        <v>207</v>
      </c>
      <c r="C123" s="33">
        <f t="shared" ref="C123:C126" si="66">+C101</f>
        <v>46950</v>
      </c>
      <c r="D123" s="32"/>
      <c r="E123" s="33">
        <f t="shared" si="58"/>
        <v>254000</v>
      </c>
      <c r="F123" s="33"/>
      <c r="G123" s="110"/>
      <c r="H123" s="57">
        <f t="shared" si="59"/>
        <v>37450</v>
      </c>
      <c r="I123" s="33">
        <f t="shared" si="60"/>
        <v>245500</v>
      </c>
      <c r="J123" s="31">
        <f t="shared" si="64"/>
        <v>18000</v>
      </c>
      <c r="K123" s="156" t="b">
        <f t="shared" si="62"/>
        <v>1</v>
      </c>
      <c r="Q123" s="5"/>
    </row>
    <row r="124" spans="1:17">
      <c r="A124" s="130" t="str">
        <f t="shared" si="65"/>
        <v>JUIN</v>
      </c>
      <c r="B124" s="135" t="s">
        <v>30</v>
      </c>
      <c r="C124" s="33">
        <f t="shared" si="66"/>
        <v>112050</v>
      </c>
      <c r="D124" s="32"/>
      <c r="E124" s="33">
        <f t="shared" si="58"/>
        <v>584000</v>
      </c>
      <c r="F124" s="33"/>
      <c r="G124" s="110"/>
      <c r="H124" s="57">
        <f t="shared" si="59"/>
        <v>0</v>
      </c>
      <c r="I124" s="33">
        <f t="shared" si="60"/>
        <v>434000</v>
      </c>
      <c r="J124" s="31">
        <f t="shared" si="64"/>
        <v>262050</v>
      </c>
      <c r="K124" s="156" t="b">
        <f t="shared" si="62"/>
        <v>1</v>
      </c>
      <c r="Q124" s="5"/>
    </row>
    <row r="125" spans="1:17">
      <c r="A125" s="130" t="str">
        <f>+A123</f>
        <v>JUIN</v>
      </c>
      <c r="B125" s="135" t="s">
        <v>93</v>
      </c>
      <c r="C125" s="33">
        <f t="shared" si="66"/>
        <v>2900</v>
      </c>
      <c r="D125" s="32"/>
      <c r="E125" s="33">
        <f t="shared" si="58"/>
        <v>40000</v>
      </c>
      <c r="F125" s="33"/>
      <c r="G125" s="110"/>
      <c r="H125" s="57">
        <f t="shared" si="59"/>
        <v>0</v>
      </c>
      <c r="I125" s="33">
        <f t="shared" si="60"/>
        <v>31000</v>
      </c>
      <c r="J125" s="31">
        <f t="shared" si="64"/>
        <v>11900</v>
      </c>
      <c r="K125" s="156" t="b">
        <f t="shared" si="62"/>
        <v>1</v>
      </c>
      <c r="Q125" s="5"/>
    </row>
    <row r="126" spans="1:17">
      <c r="A126" s="130" t="str">
        <f>+A124</f>
        <v>JUIN</v>
      </c>
      <c r="B126" s="135" t="s">
        <v>29</v>
      </c>
      <c r="C126" s="33">
        <f t="shared" si="66"/>
        <v>140700</v>
      </c>
      <c r="D126" s="32"/>
      <c r="E126" s="33">
        <f t="shared" si="58"/>
        <v>638000</v>
      </c>
      <c r="F126" s="33"/>
      <c r="G126" s="110"/>
      <c r="H126" s="57">
        <f t="shared" si="59"/>
        <v>50000</v>
      </c>
      <c r="I126" s="33">
        <f t="shared" si="60"/>
        <v>507650</v>
      </c>
      <c r="J126" s="31">
        <f t="shared" si="64"/>
        <v>221050</v>
      </c>
      <c r="K126" s="156" t="b">
        <f t="shared" si="62"/>
        <v>1</v>
      </c>
      <c r="Q126" s="5"/>
    </row>
    <row r="127" spans="1:17">
      <c r="A127" s="130" t="str">
        <f>+A125</f>
        <v>JUIN</v>
      </c>
      <c r="B127" s="136" t="s">
        <v>113</v>
      </c>
      <c r="C127" s="33">
        <f t="shared" ref="C127:C128" si="67">+C105</f>
        <v>2241</v>
      </c>
      <c r="D127" s="127"/>
      <c r="E127" s="33">
        <f t="shared" ref="E127:E128" si="68">+D105</f>
        <v>0</v>
      </c>
      <c r="F127" s="53"/>
      <c r="G127" s="147"/>
      <c r="H127" s="57">
        <f t="shared" ref="H127:H128" si="69">+F105</f>
        <v>0</v>
      </c>
      <c r="I127" s="33">
        <f t="shared" ref="I127:I128" si="70">+E105</f>
        <v>6200</v>
      </c>
      <c r="J127" s="31">
        <f t="shared" si="64"/>
        <v>-3959</v>
      </c>
      <c r="K127" s="156" t="b">
        <f t="shared" si="62"/>
        <v>1</v>
      </c>
      <c r="Q127" s="5"/>
    </row>
    <row r="128" spans="1:17">
      <c r="A128" s="130" t="str">
        <f>+A126</f>
        <v>JUIN</v>
      </c>
      <c r="B128" s="136" t="s">
        <v>223</v>
      </c>
      <c r="C128" s="33">
        <f t="shared" si="67"/>
        <v>10500</v>
      </c>
      <c r="D128" s="127"/>
      <c r="E128" s="33">
        <f t="shared" si="68"/>
        <v>368000</v>
      </c>
      <c r="F128" s="53"/>
      <c r="G128" s="147"/>
      <c r="H128" s="57">
        <f t="shared" si="69"/>
        <v>40000</v>
      </c>
      <c r="I128" s="33">
        <f t="shared" si="70"/>
        <v>243500</v>
      </c>
      <c r="J128" s="31">
        <f t="shared" si="64"/>
        <v>95000</v>
      </c>
      <c r="K128" s="156" t="b">
        <f t="shared" si="62"/>
        <v>1</v>
      </c>
      <c r="Q128" s="5"/>
    </row>
    <row r="129" spans="1:17">
      <c r="A129" s="35" t="s">
        <v>60</v>
      </c>
      <c r="B129" s="36"/>
      <c r="C129" s="36"/>
      <c r="D129" s="36"/>
      <c r="E129" s="36"/>
      <c r="F129" s="36"/>
      <c r="G129" s="36"/>
      <c r="H129" s="36"/>
      <c r="I129" s="36"/>
      <c r="J129" s="37"/>
      <c r="K129" s="155"/>
      <c r="Q129" s="5"/>
    </row>
    <row r="130" spans="1:17">
      <c r="A130" s="130" t="str">
        <f>+A128</f>
        <v>JUIN</v>
      </c>
      <c r="B130" s="38" t="s">
        <v>61</v>
      </c>
      <c r="C130" s="39">
        <f>+C95</f>
        <v>1700406</v>
      </c>
      <c r="D130" s="51"/>
      <c r="E130" s="51">
        <f>D95</f>
        <v>6172450</v>
      </c>
      <c r="F130" s="51"/>
      <c r="G130" s="133"/>
      <c r="H130" s="53">
        <f>+F95</f>
        <v>3589400</v>
      </c>
      <c r="I130" s="134">
        <f>+E95</f>
        <v>2587130</v>
      </c>
      <c r="J130" s="46">
        <f>+SUM(C130:G130)-(H130+I130)</f>
        <v>1696326</v>
      </c>
      <c r="K130" s="156" t="b">
        <f>J130=I95</f>
        <v>1</v>
      </c>
      <c r="Q130" s="5"/>
    </row>
    <row r="131" spans="1:17">
      <c r="A131" s="44" t="s">
        <v>62</v>
      </c>
      <c r="B131" s="25"/>
      <c r="C131" s="36"/>
      <c r="D131" s="25"/>
      <c r="E131" s="25"/>
      <c r="F131" s="25"/>
      <c r="G131" s="25"/>
      <c r="H131" s="25"/>
      <c r="I131" s="25"/>
      <c r="J131" s="37"/>
      <c r="K131" s="155"/>
      <c r="Q131" s="5"/>
    </row>
    <row r="132" spans="1:17">
      <c r="A132" s="130" t="str">
        <f>+A130</f>
        <v>JUIN</v>
      </c>
      <c r="B132" s="38" t="s">
        <v>166</v>
      </c>
      <c r="C132" s="133">
        <f>+C93</f>
        <v>8575038</v>
      </c>
      <c r="D132" s="140">
        <f>+G93</f>
        <v>0</v>
      </c>
      <c r="E132" s="51"/>
      <c r="F132" s="51"/>
      <c r="G132" s="51"/>
      <c r="H132" s="53">
        <f>+F93</f>
        <v>4000000</v>
      </c>
      <c r="I132" s="55">
        <f>+E93</f>
        <v>283345</v>
      </c>
      <c r="J132" s="46">
        <f>+SUM(C132:G132)-(H132+I132)</f>
        <v>4291693</v>
      </c>
      <c r="K132" s="156" t="b">
        <f>+J132=I93</f>
        <v>1</v>
      </c>
      <c r="Q132" s="5"/>
    </row>
    <row r="133" spans="1:17">
      <c r="A133" s="130" t="str">
        <f t="shared" ref="A133" si="71">+A132</f>
        <v>JUIN</v>
      </c>
      <c r="B133" s="38" t="s">
        <v>64</v>
      </c>
      <c r="C133" s="133">
        <f>+C94</f>
        <v>12231533</v>
      </c>
      <c r="D133" s="51">
        <f>+G94</f>
        <v>0</v>
      </c>
      <c r="E133" s="50"/>
      <c r="F133" s="50"/>
      <c r="G133" s="50"/>
      <c r="H133" s="33">
        <f>+F94</f>
        <v>2000000</v>
      </c>
      <c r="I133" s="52">
        <f>+E94</f>
        <v>5378906</v>
      </c>
      <c r="J133" s="46">
        <f>SUM(C133:G133)-(H133+I133)</f>
        <v>4852627</v>
      </c>
      <c r="K133" s="156" t="b">
        <f>+J133=I94</f>
        <v>1</v>
      </c>
      <c r="Q133" s="5"/>
    </row>
    <row r="134" spans="1:17" ht="15.75">
      <c r="C134" s="151">
        <f>SUM(C118:C133)</f>
        <v>23344946</v>
      </c>
      <c r="I134" s="149">
        <f>SUM(I118:I133)</f>
        <v>11376181</v>
      </c>
      <c r="J134" s="111">
        <f>+SUM(J118:J133)</f>
        <v>11968765</v>
      </c>
      <c r="K134" s="5" t="b">
        <f>J134=I107</f>
        <v>1</v>
      </c>
      <c r="Q134" s="5"/>
    </row>
    <row r="135" spans="1:17" ht="15.75">
      <c r="A135" s="207"/>
      <c r="B135" s="207"/>
      <c r="C135" s="208"/>
      <c r="D135" s="207"/>
      <c r="E135" s="207"/>
      <c r="F135" s="207"/>
      <c r="G135" s="207"/>
      <c r="H135" s="207"/>
      <c r="I135" s="209"/>
      <c r="J135" s="210"/>
      <c r="K135" s="207"/>
      <c r="L135" s="211"/>
      <c r="M135" s="211"/>
      <c r="N135" s="211"/>
      <c r="O135" s="211"/>
      <c r="P135" s="207"/>
      <c r="Q135" s="5"/>
    </row>
    <row r="137" spans="1:17" ht="15.75">
      <c r="A137" s="6" t="s">
        <v>36</v>
      </c>
      <c r="B137" s="6" t="s">
        <v>1</v>
      </c>
      <c r="C137" s="6">
        <v>44682</v>
      </c>
      <c r="D137" s="7" t="s">
        <v>37</v>
      </c>
      <c r="E137" s="7" t="s">
        <v>38</v>
      </c>
      <c r="F137" s="7" t="s">
        <v>39</v>
      </c>
      <c r="G137" s="7" t="s">
        <v>40</v>
      </c>
      <c r="H137" s="6">
        <v>44712</v>
      </c>
      <c r="I137" s="7" t="s">
        <v>41</v>
      </c>
      <c r="K137" s="47"/>
      <c r="L137" s="47" t="s">
        <v>42</v>
      </c>
      <c r="M137" s="47" t="s">
        <v>43</v>
      </c>
      <c r="N137" s="47" t="s">
        <v>44</v>
      </c>
      <c r="O137" s="47" t="s">
        <v>45</v>
      </c>
      <c r="Q137" s="5"/>
    </row>
    <row r="138" spans="1:17" ht="16.5">
      <c r="A138" s="60" t="str">
        <f>K138</f>
        <v>BCI</v>
      </c>
      <c r="B138" s="61" t="s">
        <v>46</v>
      </c>
      <c r="C138" s="63">
        <v>4154435</v>
      </c>
      <c r="D138" s="63">
        <f>+L138</f>
        <v>0</v>
      </c>
      <c r="E138" s="63">
        <f>+N138</f>
        <v>543345</v>
      </c>
      <c r="F138" s="63">
        <f>+M138</f>
        <v>7000000</v>
      </c>
      <c r="G138" s="63">
        <f t="shared" ref="G138:G149" si="72">+O138</f>
        <v>11963948</v>
      </c>
      <c r="H138" s="63">
        <v>8575038</v>
      </c>
      <c r="I138" s="63">
        <f>+C138+D138-E138-F138+G138</f>
        <v>8575038</v>
      </c>
      <c r="J138" s="9">
        <f>I138-H138</f>
        <v>0</v>
      </c>
      <c r="K138" s="47" t="s">
        <v>24</v>
      </c>
      <c r="L138" s="49">
        <v>0</v>
      </c>
      <c r="M138" s="49">
        <v>7000000</v>
      </c>
      <c r="N138" s="49">
        <v>543345</v>
      </c>
      <c r="O138" s="49">
        <v>11963948</v>
      </c>
      <c r="Q138" s="5"/>
    </row>
    <row r="139" spans="1:17" ht="16.5">
      <c r="A139" s="60" t="str">
        <f t="shared" ref="A139:A152" si="73">K139</f>
        <v>BCI-Sous Compte</v>
      </c>
      <c r="B139" s="61" t="s">
        <v>46</v>
      </c>
      <c r="C139" s="63">
        <v>16450956</v>
      </c>
      <c r="D139" s="63">
        <f t="shared" ref="D139:D152" si="74">+L139</f>
        <v>0</v>
      </c>
      <c r="E139" s="63">
        <f t="shared" ref="E139:E152" si="75">+N139</f>
        <v>4219423</v>
      </c>
      <c r="F139" s="63">
        <f t="shared" ref="F139:F152" si="76">+M139</f>
        <v>0</v>
      </c>
      <c r="G139" s="63">
        <f t="shared" si="72"/>
        <v>0</v>
      </c>
      <c r="H139" s="63">
        <v>12231533</v>
      </c>
      <c r="I139" s="63">
        <f>+C139+D139-E139-F139+G139</f>
        <v>12231533</v>
      </c>
      <c r="J139" s="9">
        <f t="shared" ref="J139:J146" si="77">I139-H139</f>
        <v>0</v>
      </c>
      <c r="K139" s="47" t="s">
        <v>157</v>
      </c>
      <c r="L139" s="49">
        <v>0</v>
      </c>
      <c r="M139" s="49">
        <v>0</v>
      </c>
      <c r="N139" s="49">
        <v>4219423</v>
      </c>
      <c r="O139" s="49">
        <v>0</v>
      </c>
      <c r="Q139" s="5"/>
    </row>
    <row r="140" spans="1:17" ht="16.5">
      <c r="A140" s="60" t="str">
        <f t="shared" si="73"/>
        <v>Caisse</v>
      </c>
      <c r="B140" s="61" t="s">
        <v>25</v>
      </c>
      <c r="C140" s="63">
        <v>963113</v>
      </c>
      <c r="D140" s="63">
        <f t="shared" si="74"/>
        <v>7684335</v>
      </c>
      <c r="E140" s="63">
        <f t="shared" si="75"/>
        <v>2033042</v>
      </c>
      <c r="F140" s="63">
        <f t="shared" si="76"/>
        <v>4914000</v>
      </c>
      <c r="G140" s="63">
        <f t="shared" si="72"/>
        <v>0</v>
      </c>
      <c r="H140" s="63">
        <v>1700406</v>
      </c>
      <c r="I140" s="63">
        <f>+C140+D140-E140-F140+G140</f>
        <v>1700406</v>
      </c>
      <c r="J140" s="108">
        <f t="shared" si="77"/>
        <v>0</v>
      </c>
      <c r="K140" s="47" t="s">
        <v>25</v>
      </c>
      <c r="L140" s="49">
        <v>7684335</v>
      </c>
      <c r="M140" s="49">
        <v>4914000</v>
      </c>
      <c r="N140" s="49">
        <v>2033042</v>
      </c>
      <c r="O140" s="49">
        <v>0</v>
      </c>
      <c r="Q140" s="5"/>
    </row>
    <row r="141" spans="1:17" ht="16.5">
      <c r="A141" s="60" t="str">
        <f t="shared" si="73"/>
        <v>Crépin</v>
      </c>
      <c r="B141" s="61" t="s">
        <v>163</v>
      </c>
      <c r="C141" s="63">
        <v>21850</v>
      </c>
      <c r="D141" s="63">
        <f t="shared" si="74"/>
        <v>1282000</v>
      </c>
      <c r="E141" s="63">
        <f t="shared" si="75"/>
        <v>1288100</v>
      </c>
      <c r="F141" s="63">
        <f t="shared" si="76"/>
        <v>0</v>
      </c>
      <c r="G141" s="63">
        <f t="shared" si="72"/>
        <v>0</v>
      </c>
      <c r="H141" s="63">
        <v>15750</v>
      </c>
      <c r="I141" s="63">
        <f>+C141+D141-E141-F141+G141</f>
        <v>15750</v>
      </c>
      <c r="J141" s="9">
        <f t="shared" si="77"/>
        <v>0</v>
      </c>
      <c r="K141" s="47" t="s">
        <v>47</v>
      </c>
      <c r="L141" s="49">
        <v>1282000</v>
      </c>
      <c r="M141" s="49">
        <v>0</v>
      </c>
      <c r="N141" s="49">
        <v>1288100</v>
      </c>
      <c r="O141" s="49">
        <v>0</v>
      </c>
      <c r="Q141" s="5"/>
    </row>
    <row r="142" spans="1:17" ht="16.5">
      <c r="A142" s="60" t="str">
        <f t="shared" si="73"/>
        <v>Evariste</v>
      </c>
      <c r="B142" s="61" t="s">
        <v>164</v>
      </c>
      <c r="C142" s="63">
        <v>7995</v>
      </c>
      <c r="D142" s="63">
        <f t="shared" si="74"/>
        <v>262000</v>
      </c>
      <c r="E142" s="63">
        <f t="shared" si="75"/>
        <v>261200</v>
      </c>
      <c r="F142" s="63">
        <f t="shared" si="76"/>
        <v>0</v>
      </c>
      <c r="G142" s="63">
        <f t="shared" si="72"/>
        <v>0</v>
      </c>
      <c r="H142" s="63">
        <v>8795</v>
      </c>
      <c r="I142" s="63">
        <f t="shared" ref="I142" si="78">+C142+D142-E142-F142+G142</f>
        <v>8795</v>
      </c>
      <c r="J142" s="9">
        <f t="shared" si="77"/>
        <v>0</v>
      </c>
      <c r="K142" s="47" t="s">
        <v>31</v>
      </c>
      <c r="L142" s="49">
        <v>262000</v>
      </c>
      <c r="M142" s="49">
        <v>0</v>
      </c>
      <c r="N142" s="49">
        <v>261200</v>
      </c>
      <c r="O142" s="49">
        <v>0</v>
      </c>
      <c r="Q142" s="5"/>
    </row>
    <row r="143" spans="1:17" ht="16.5">
      <c r="A143" s="60" t="str">
        <f t="shared" si="73"/>
        <v>Godfré</v>
      </c>
      <c r="B143" s="61" t="s">
        <v>163</v>
      </c>
      <c r="C143" s="63">
        <v>156335</v>
      </c>
      <c r="D143" s="63">
        <f t="shared" si="74"/>
        <v>307000</v>
      </c>
      <c r="E143" s="63">
        <f t="shared" si="75"/>
        <v>308500</v>
      </c>
      <c r="F143" s="63">
        <f t="shared" si="76"/>
        <v>154835</v>
      </c>
      <c r="G143" s="63">
        <f t="shared" si="72"/>
        <v>0</v>
      </c>
      <c r="H143" s="63">
        <v>0</v>
      </c>
      <c r="I143" s="63">
        <f>+C143+D143-E143-F143+G143</f>
        <v>0</v>
      </c>
      <c r="J143" s="9">
        <f t="shared" si="77"/>
        <v>0</v>
      </c>
      <c r="K143" s="47" t="s">
        <v>152</v>
      </c>
      <c r="L143" s="49">
        <v>307000</v>
      </c>
      <c r="M143" s="49">
        <v>154835</v>
      </c>
      <c r="N143" s="49">
        <v>308500</v>
      </c>
      <c r="O143" s="49">
        <v>0</v>
      </c>
      <c r="Q143" s="5"/>
    </row>
    <row r="144" spans="1:17" ht="16.5">
      <c r="A144" s="60" t="str">
        <f t="shared" si="73"/>
        <v>I55S</v>
      </c>
      <c r="B144" s="124" t="s">
        <v>4</v>
      </c>
      <c r="C144" s="126">
        <v>233614</v>
      </c>
      <c r="D144" s="126">
        <f t="shared" si="74"/>
        <v>0</v>
      </c>
      <c r="E144" s="126">
        <f t="shared" si="75"/>
        <v>0</v>
      </c>
      <c r="F144" s="126">
        <f t="shared" si="76"/>
        <v>0</v>
      </c>
      <c r="G144" s="126">
        <f t="shared" si="72"/>
        <v>0</v>
      </c>
      <c r="H144" s="126">
        <v>233614</v>
      </c>
      <c r="I144" s="126">
        <f>+C144+D144-E144-F144+G144</f>
        <v>233614</v>
      </c>
      <c r="J144" s="9">
        <f t="shared" si="77"/>
        <v>0</v>
      </c>
      <c r="K144" s="47" t="s">
        <v>84</v>
      </c>
      <c r="L144" s="49">
        <v>0</v>
      </c>
      <c r="M144" s="49">
        <v>0</v>
      </c>
      <c r="N144" s="49">
        <v>0</v>
      </c>
      <c r="O144" s="49">
        <v>0</v>
      </c>
      <c r="Q144" s="5"/>
    </row>
    <row r="145" spans="1:17" ht="16.5">
      <c r="A145" s="60" t="str">
        <f t="shared" si="73"/>
        <v>I73X</v>
      </c>
      <c r="B145" s="124" t="s">
        <v>4</v>
      </c>
      <c r="C145" s="126">
        <v>249769</v>
      </c>
      <c r="D145" s="126">
        <f t="shared" si="74"/>
        <v>0</v>
      </c>
      <c r="E145" s="126">
        <f t="shared" si="75"/>
        <v>0</v>
      </c>
      <c r="F145" s="126">
        <f t="shared" si="76"/>
        <v>0</v>
      </c>
      <c r="G145" s="126">
        <f t="shared" si="72"/>
        <v>0</v>
      </c>
      <c r="H145" s="126">
        <v>249769</v>
      </c>
      <c r="I145" s="126">
        <f t="shared" ref="I145:I148" si="79">+C145+D145-E145-F145+G145</f>
        <v>249769</v>
      </c>
      <c r="J145" s="9">
        <f t="shared" si="77"/>
        <v>0</v>
      </c>
      <c r="K145" s="47" t="s">
        <v>83</v>
      </c>
      <c r="L145" s="49">
        <v>0</v>
      </c>
      <c r="M145" s="49">
        <v>0</v>
      </c>
      <c r="N145" s="49">
        <v>0</v>
      </c>
      <c r="O145" s="49">
        <v>0</v>
      </c>
      <c r="Q145" s="5"/>
    </row>
    <row r="146" spans="1:17" ht="16.5">
      <c r="A146" s="60" t="str">
        <f t="shared" si="73"/>
        <v>Grace</v>
      </c>
      <c r="B146" s="104" t="s">
        <v>2</v>
      </c>
      <c r="C146" s="63">
        <v>10200</v>
      </c>
      <c r="D146" s="63">
        <f t="shared" si="74"/>
        <v>25000</v>
      </c>
      <c r="E146" s="63">
        <f t="shared" si="75"/>
        <v>20500</v>
      </c>
      <c r="F146" s="63">
        <f t="shared" si="76"/>
        <v>0</v>
      </c>
      <c r="G146" s="63">
        <f t="shared" si="72"/>
        <v>0</v>
      </c>
      <c r="H146" s="63">
        <v>14700</v>
      </c>
      <c r="I146" s="63">
        <f t="shared" si="79"/>
        <v>14700</v>
      </c>
      <c r="J146" s="9">
        <f t="shared" si="77"/>
        <v>0</v>
      </c>
      <c r="K146" s="47" t="s">
        <v>151</v>
      </c>
      <c r="L146" s="49">
        <v>25000</v>
      </c>
      <c r="M146" s="49">
        <v>0</v>
      </c>
      <c r="N146" s="49">
        <v>20500</v>
      </c>
      <c r="O146" s="49">
        <v>0</v>
      </c>
      <c r="Q146" s="5"/>
    </row>
    <row r="147" spans="1:17" ht="16.5">
      <c r="A147" s="60" t="str">
        <f t="shared" si="73"/>
        <v>Hurielle</v>
      </c>
      <c r="B147" s="248" t="s">
        <v>163</v>
      </c>
      <c r="C147" s="63">
        <v>43500</v>
      </c>
      <c r="D147" s="63">
        <f t="shared" si="74"/>
        <v>701000</v>
      </c>
      <c r="E147" s="63">
        <f t="shared" si="75"/>
        <v>697550</v>
      </c>
      <c r="F147" s="63">
        <f t="shared" si="76"/>
        <v>0</v>
      </c>
      <c r="G147" s="63">
        <f t="shared" si="72"/>
        <v>0</v>
      </c>
      <c r="H147" s="63">
        <v>46950</v>
      </c>
      <c r="I147" s="63">
        <f t="shared" si="79"/>
        <v>46950</v>
      </c>
      <c r="J147" s="9">
        <f>I147-H147</f>
        <v>0</v>
      </c>
      <c r="K147" s="47" t="s">
        <v>207</v>
      </c>
      <c r="L147" s="49">
        <v>701000</v>
      </c>
      <c r="M147" s="49">
        <v>0</v>
      </c>
      <c r="N147" s="49">
        <v>697550</v>
      </c>
      <c r="O147" s="49">
        <v>0</v>
      </c>
      <c r="Q147" s="5"/>
    </row>
    <row r="148" spans="1:17" ht="16.5">
      <c r="A148" s="60" t="str">
        <f t="shared" si="73"/>
        <v>I23C</v>
      </c>
      <c r="B148" s="249" t="s">
        <v>4</v>
      </c>
      <c r="C148" s="63">
        <v>177550</v>
      </c>
      <c r="D148" s="63">
        <f t="shared" si="74"/>
        <v>969000</v>
      </c>
      <c r="E148" s="63">
        <f t="shared" si="75"/>
        <v>814500</v>
      </c>
      <c r="F148" s="63">
        <f t="shared" si="76"/>
        <v>220000</v>
      </c>
      <c r="G148" s="63">
        <f t="shared" si="72"/>
        <v>0</v>
      </c>
      <c r="H148" s="63">
        <v>112050</v>
      </c>
      <c r="I148" s="63">
        <f t="shared" si="79"/>
        <v>112050</v>
      </c>
      <c r="J148" s="9">
        <f t="shared" ref="J148:J149" si="80">I148-H148</f>
        <v>0</v>
      </c>
      <c r="K148" s="47" t="s">
        <v>30</v>
      </c>
      <c r="L148" s="49">
        <v>969000</v>
      </c>
      <c r="M148" s="49">
        <v>220000</v>
      </c>
      <c r="N148" s="49">
        <v>814500</v>
      </c>
      <c r="O148" s="49">
        <v>0</v>
      </c>
      <c r="Q148" s="5"/>
    </row>
    <row r="149" spans="1:17" ht="16.5">
      <c r="A149" s="60" t="str">
        <f t="shared" si="73"/>
        <v>Merveille</v>
      </c>
      <c r="B149" s="248" t="s">
        <v>2</v>
      </c>
      <c r="C149" s="63">
        <v>4400</v>
      </c>
      <c r="D149" s="63">
        <f t="shared" si="74"/>
        <v>170000</v>
      </c>
      <c r="E149" s="63">
        <f t="shared" si="75"/>
        <v>161500</v>
      </c>
      <c r="F149" s="63">
        <f t="shared" si="76"/>
        <v>10000</v>
      </c>
      <c r="G149" s="63">
        <f t="shared" si="72"/>
        <v>0</v>
      </c>
      <c r="H149" s="63">
        <v>2900</v>
      </c>
      <c r="I149" s="63">
        <f>+C149+D149-E149-F149+G149</f>
        <v>2900</v>
      </c>
      <c r="J149" s="9">
        <f t="shared" si="80"/>
        <v>0</v>
      </c>
      <c r="K149" s="47" t="s">
        <v>93</v>
      </c>
      <c r="L149" s="49">
        <v>170000</v>
      </c>
      <c r="M149" s="49">
        <v>10000</v>
      </c>
      <c r="N149" s="49">
        <v>161500</v>
      </c>
      <c r="O149" s="49">
        <v>0</v>
      </c>
      <c r="Q149" s="5"/>
    </row>
    <row r="150" spans="1:17" ht="16.5">
      <c r="A150" s="60" t="str">
        <f t="shared" si="73"/>
        <v>P29</v>
      </c>
      <c r="B150" s="248" t="s">
        <v>4</v>
      </c>
      <c r="C150" s="63">
        <v>294700</v>
      </c>
      <c r="D150" s="63">
        <f t="shared" si="74"/>
        <v>671000</v>
      </c>
      <c r="E150" s="63">
        <f t="shared" si="75"/>
        <v>525000</v>
      </c>
      <c r="F150" s="63">
        <f t="shared" si="76"/>
        <v>300000</v>
      </c>
      <c r="G150" s="63">
        <f>+O150</f>
        <v>0</v>
      </c>
      <c r="H150" s="63">
        <v>140700</v>
      </c>
      <c r="I150" s="63">
        <f>+C150+D150-E150-F150+G150</f>
        <v>140700</v>
      </c>
      <c r="J150" s="9">
        <f>I150-H150</f>
        <v>0</v>
      </c>
      <c r="K150" s="47" t="s">
        <v>29</v>
      </c>
      <c r="L150" s="49">
        <v>671000</v>
      </c>
      <c r="M150" s="49">
        <v>300000</v>
      </c>
      <c r="N150" s="49">
        <v>525000</v>
      </c>
      <c r="O150" s="49">
        <v>0</v>
      </c>
      <c r="Q150" s="5"/>
    </row>
    <row r="151" spans="1:17" ht="16.5">
      <c r="A151" s="60" t="str">
        <f t="shared" si="73"/>
        <v>Paule</v>
      </c>
      <c r="B151" s="61" t="s">
        <v>163</v>
      </c>
      <c r="C151" s="63">
        <v>13500</v>
      </c>
      <c r="D151" s="63">
        <f t="shared" si="74"/>
        <v>85000</v>
      </c>
      <c r="E151" s="63">
        <f t="shared" si="75"/>
        <v>89000</v>
      </c>
      <c r="F151" s="63">
        <f t="shared" si="76"/>
        <v>9500</v>
      </c>
      <c r="G151" s="63">
        <f>+O151</f>
        <v>0</v>
      </c>
      <c r="H151" s="63">
        <v>0</v>
      </c>
      <c r="I151" s="63">
        <f>+C151+D151-E151-F151+G151</f>
        <v>0</v>
      </c>
      <c r="J151" s="9">
        <f>I151-H151</f>
        <v>0</v>
      </c>
      <c r="K151" s="47" t="s">
        <v>206</v>
      </c>
      <c r="L151" s="49">
        <v>85000</v>
      </c>
      <c r="M151" s="49">
        <v>9500</v>
      </c>
      <c r="N151" s="49">
        <v>89000</v>
      </c>
      <c r="O151" s="49">
        <v>0</v>
      </c>
      <c r="Q151" s="5"/>
    </row>
    <row r="152" spans="1:17" ht="16.5">
      <c r="A152" s="60" t="str">
        <f t="shared" si="73"/>
        <v>Tiffany</v>
      </c>
      <c r="B152" s="61" t="s">
        <v>2</v>
      </c>
      <c r="C152" s="63">
        <v>-7259</v>
      </c>
      <c r="D152" s="63">
        <f t="shared" si="74"/>
        <v>329000</v>
      </c>
      <c r="E152" s="63">
        <f t="shared" si="75"/>
        <v>93500</v>
      </c>
      <c r="F152" s="63">
        <f t="shared" si="76"/>
        <v>226000</v>
      </c>
      <c r="G152" s="63">
        <f t="shared" ref="G152" si="81">+O152</f>
        <v>0</v>
      </c>
      <c r="H152" s="63">
        <v>2241</v>
      </c>
      <c r="I152" s="63">
        <f t="shared" ref="I152" si="82">+C152+D152-E152-F152+G152</f>
        <v>2241</v>
      </c>
      <c r="J152" s="9">
        <f t="shared" ref="J152" si="83">I152-H152</f>
        <v>0</v>
      </c>
      <c r="K152" s="47" t="s">
        <v>113</v>
      </c>
      <c r="L152" s="49">
        <v>329000</v>
      </c>
      <c r="M152" s="49">
        <v>226000</v>
      </c>
      <c r="N152" s="49">
        <v>93500</v>
      </c>
      <c r="O152" s="49">
        <v>0</v>
      </c>
      <c r="Q152" s="5"/>
    </row>
    <row r="153" spans="1:17" ht="16.5">
      <c r="A153" s="60" t="str">
        <f t="shared" ref="A153" si="84">K153</f>
        <v>Yan</v>
      </c>
      <c r="B153" s="61" t="s">
        <v>163</v>
      </c>
      <c r="C153" s="63">
        <v>0</v>
      </c>
      <c r="D153" s="63">
        <f t="shared" ref="D153" si="85">+L153</f>
        <v>349000</v>
      </c>
      <c r="E153" s="63">
        <f t="shared" ref="E153" si="86">+N153</f>
        <v>338500</v>
      </c>
      <c r="F153" s="63">
        <f t="shared" ref="F153" si="87">+M153</f>
        <v>0</v>
      </c>
      <c r="G153" s="63">
        <f t="shared" ref="G153" si="88">+O153</f>
        <v>0</v>
      </c>
      <c r="H153" s="63">
        <v>10500</v>
      </c>
      <c r="I153" s="63">
        <f>+C153+D153-E153-F153+G153</f>
        <v>10500</v>
      </c>
      <c r="J153" s="9">
        <f>I153-H153</f>
        <v>0</v>
      </c>
      <c r="K153" s="47" t="s">
        <v>223</v>
      </c>
      <c r="L153" s="49">
        <v>349000</v>
      </c>
      <c r="M153" s="49">
        <v>0</v>
      </c>
      <c r="N153" s="49">
        <v>338500</v>
      </c>
      <c r="O153" s="49">
        <v>0</v>
      </c>
      <c r="Q153" s="5"/>
    </row>
    <row r="154" spans="1:17" ht="16.5">
      <c r="A154" s="10" t="s">
        <v>50</v>
      </c>
      <c r="B154" s="11"/>
      <c r="C154" s="12">
        <f t="shared" ref="C154:I154" si="89">SUM(C138:C153)</f>
        <v>22774658</v>
      </c>
      <c r="D154" s="59">
        <f t="shared" si="89"/>
        <v>12834335</v>
      </c>
      <c r="E154" s="59">
        <f t="shared" si="89"/>
        <v>11393660</v>
      </c>
      <c r="F154" s="59">
        <f t="shared" si="89"/>
        <v>12834335</v>
      </c>
      <c r="G154" s="59">
        <f t="shared" si="89"/>
        <v>11963948</v>
      </c>
      <c r="H154" s="59">
        <f t="shared" si="89"/>
        <v>23344946</v>
      </c>
      <c r="I154" s="59">
        <f t="shared" si="89"/>
        <v>23344946</v>
      </c>
      <c r="J154" s="9">
        <f>I154-H154</f>
        <v>0</v>
      </c>
      <c r="K154" s="3"/>
      <c r="L154" s="49">
        <f>+SUM(L138:L153)</f>
        <v>12834335</v>
      </c>
      <c r="M154" s="49">
        <f>+SUM(M138:M153)</f>
        <v>12834335</v>
      </c>
      <c r="N154" s="49">
        <f>+SUM(N138:N153)</f>
        <v>11393660</v>
      </c>
      <c r="O154" s="49">
        <f>+SUM(O138:O152)</f>
        <v>11963948</v>
      </c>
      <c r="Q154" s="5"/>
    </row>
    <row r="155" spans="1:17" ht="16.5">
      <c r="A155" s="10"/>
      <c r="B155" s="11"/>
      <c r="C155" s="12"/>
      <c r="D155" s="13"/>
      <c r="E155" s="12"/>
      <c r="F155" s="13"/>
      <c r="G155" s="12"/>
      <c r="H155" s="12"/>
      <c r="I155" s="143" t="b">
        <f>I154=D157</f>
        <v>1</v>
      </c>
      <c r="L155" s="5"/>
      <c r="M155" s="5"/>
      <c r="N155" s="5"/>
      <c r="O155" s="5"/>
      <c r="Q155" s="5"/>
    </row>
    <row r="156" spans="1:17" ht="16.5">
      <c r="A156" s="10" t="s">
        <v>221</v>
      </c>
      <c r="B156" s="11" t="s">
        <v>220</v>
      </c>
      <c r="C156" s="12" t="s">
        <v>219</v>
      </c>
      <c r="D156" s="12" t="s">
        <v>228</v>
      </c>
      <c r="E156" s="12" t="s">
        <v>51</v>
      </c>
      <c r="F156" s="12"/>
      <c r="G156" s="12">
        <f>+D154-F154</f>
        <v>0</v>
      </c>
      <c r="H156" s="12"/>
      <c r="I156" s="12"/>
      <c r="Q156" s="5"/>
    </row>
    <row r="157" spans="1:17" ht="16.5">
      <c r="A157" s="14">
        <f>C154</f>
        <v>22774658</v>
      </c>
      <c r="B157" s="15">
        <f>G154</f>
        <v>11963948</v>
      </c>
      <c r="C157" s="12">
        <f>E154</f>
        <v>11393660</v>
      </c>
      <c r="D157" s="12">
        <f>A157+B157-C157</f>
        <v>23344946</v>
      </c>
      <c r="E157" s="13">
        <f>I154-D157</f>
        <v>0</v>
      </c>
      <c r="F157" s="12"/>
      <c r="G157" s="12"/>
      <c r="H157" s="12"/>
      <c r="I157" s="12"/>
      <c r="Q157" s="5"/>
    </row>
    <row r="158" spans="1:17" ht="16.5">
      <c r="A158" s="14"/>
      <c r="B158" s="15"/>
      <c r="C158" s="12"/>
      <c r="D158" s="12"/>
      <c r="E158" s="13"/>
      <c r="F158" s="12"/>
      <c r="G158" s="12"/>
      <c r="H158" s="12"/>
      <c r="I158" s="12"/>
      <c r="Q158" s="5"/>
    </row>
    <row r="159" spans="1:17">
      <c r="A159" s="16" t="s">
        <v>52</v>
      </c>
      <c r="B159" s="16"/>
      <c r="C159" s="16"/>
      <c r="D159" s="17"/>
      <c r="E159" s="17"/>
      <c r="F159" s="17"/>
      <c r="G159" s="17"/>
      <c r="H159" s="17"/>
      <c r="I159" s="17"/>
      <c r="Q159" s="5"/>
    </row>
    <row r="160" spans="1:17">
      <c r="A160" s="18" t="s">
        <v>229</v>
      </c>
      <c r="B160" s="18"/>
      <c r="C160" s="18"/>
      <c r="D160" s="18"/>
      <c r="E160" s="18"/>
      <c r="F160" s="18"/>
      <c r="G160" s="18"/>
      <c r="H160" s="18"/>
      <c r="I160" s="18"/>
      <c r="J160" s="18"/>
      <c r="Q160" s="5"/>
    </row>
    <row r="161" spans="1:17">
      <c r="A161" s="19"/>
      <c r="B161" s="20"/>
      <c r="C161" s="21"/>
      <c r="D161" s="21"/>
      <c r="E161" s="21"/>
      <c r="F161" s="21"/>
      <c r="G161" s="21"/>
      <c r="H161" s="20"/>
      <c r="I161" s="20"/>
      <c r="Q161" s="5"/>
    </row>
    <row r="162" spans="1:17">
      <c r="A162" s="250" t="s">
        <v>53</v>
      </c>
      <c r="B162" s="252" t="s">
        <v>54</v>
      </c>
      <c r="C162" s="254" t="s">
        <v>222</v>
      </c>
      <c r="D162" s="256" t="s">
        <v>55</v>
      </c>
      <c r="E162" s="257"/>
      <c r="F162" s="257"/>
      <c r="G162" s="258"/>
      <c r="H162" s="259" t="s">
        <v>56</v>
      </c>
      <c r="I162" s="261" t="s">
        <v>57</v>
      </c>
      <c r="J162" s="20"/>
      <c r="Q162" s="5"/>
    </row>
    <row r="163" spans="1:17" ht="28.5" customHeight="1">
      <c r="A163" s="251"/>
      <c r="B163" s="253"/>
      <c r="C163" s="255"/>
      <c r="D163" s="22" t="s">
        <v>24</v>
      </c>
      <c r="E163" s="22" t="s">
        <v>25</v>
      </c>
      <c r="F163" s="255" t="s">
        <v>123</v>
      </c>
      <c r="G163" s="22" t="s">
        <v>58</v>
      </c>
      <c r="H163" s="260"/>
      <c r="I163" s="262"/>
      <c r="J163" s="264" t="s">
        <v>227</v>
      </c>
      <c r="K163" s="155"/>
      <c r="Q163" s="5"/>
    </row>
    <row r="164" spans="1:17">
      <c r="A164" s="24"/>
      <c r="B164" s="25" t="s">
        <v>59</v>
      </c>
      <c r="C164" s="26"/>
      <c r="D164" s="26"/>
      <c r="E164" s="26"/>
      <c r="F164" s="26"/>
      <c r="G164" s="26"/>
      <c r="H164" s="26"/>
      <c r="I164" s="27"/>
      <c r="J164" s="263"/>
      <c r="K164" s="155"/>
      <c r="Q164" s="5"/>
    </row>
    <row r="165" spans="1:17">
      <c r="A165" s="130" t="s">
        <v>134</v>
      </c>
      <c r="B165" s="135" t="s">
        <v>47</v>
      </c>
      <c r="C165" s="33">
        <f>+C141</f>
        <v>21850</v>
      </c>
      <c r="D165" s="32"/>
      <c r="E165" s="33">
        <f>+D141</f>
        <v>1282000</v>
      </c>
      <c r="F165" s="33"/>
      <c r="G165" s="33"/>
      <c r="H165" s="57">
        <f t="shared" ref="H165:H177" si="90">+F141</f>
        <v>0</v>
      </c>
      <c r="I165" s="33">
        <f t="shared" ref="I165:I177" si="91">+E141</f>
        <v>1288100</v>
      </c>
      <c r="J165" s="31">
        <f t="shared" ref="J165:J166" si="92">+SUM(C165:G165)-(H165+I165)</f>
        <v>15750</v>
      </c>
      <c r="K165" s="156" t="b">
        <f t="shared" ref="K165:K177" si="93">J165=I141</f>
        <v>1</v>
      </c>
      <c r="Q165" s="5"/>
    </row>
    <row r="166" spans="1:17">
      <c r="A166" s="130" t="str">
        <f>+A165</f>
        <v>MAI</v>
      </c>
      <c r="B166" s="135" t="s">
        <v>31</v>
      </c>
      <c r="C166" s="33">
        <f t="shared" ref="C166:C167" si="94">+C142</f>
        <v>7995</v>
      </c>
      <c r="D166" s="32"/>
      <c r="E166" s="33">
        <f t="shared" ref="E166:E167" si="95">+D142</f>
        <v>262000</v>
      </c>
      <c r="F166" s="33"/>
      <c r="G166" s="33"/>
      <c r="H166" s="57">
        <f t="shared" si="90"/>
        <v>0</v>
      </c>
      <c r="I166" s="33">
        <f t="shared" si="91"/>
        <v>261200</v>
      </c>
      <c r="J166" s="107">
        <f t="shared" si="92"/>
        <v>8795</v>
      </c>
      <c r="K166" s="156" t="b">
        <f t="shared" si="93"/>
        <v>1</v>
      </c>
      <c r="Q166" s="5"/>
    </row>
    <row r="167" spans="1:17">
      <c r="A167" s="130" t="str">
        <f t="shared" ref="A167:A172" si="96">+A166</f>
        <v>MAI</v>
      </c>
      <c r="B167" s="136" t="s">
        <v>152</v>
      </c>
      <c r="C167" s="33">
        <f t="shared" si="94"/>
        <v>156335</v>
      </c>
      <c r="D167" s="127"/>
      <c r="E167" s="33">
        <f t="shared" si="95"/>
        <v>307000</v>
      </c>
      <c r="F167" s="53"/>
      <c r="G167" s="53"/>
      <c r="H167" s="57">
        <f t="shared" si="90"/>
        <v>154835</v>
      </c>
      <c r="I167" s="33">
        <f t="shared" si="91"/>
        <v>308500</v>
      </c>
      <c r="J167" s="132">
        <f>+SUM(C167:G167)-(H167+I167)</f>
        <v>0</v>
      </c>
      <c r="K167" s="156" t="b">
        <f t="shared" si="93"/>
        <v>1</v>
      </c>
      <c r="Q167" s="5"/>
    </row>
    <row r="168" spans="1:17">
      <c r="A168" s="130" t="str">
        <f t="shared" si="96"/>
        <v>MAI</v>
      </c>
      <c r="B168" s="137" t="s">
        <v>84</v>
      </c>
      <c r="C168" s="128">
        <f>+C144</f>
        <v>233614</v>
      </c>
      <c r="D168" s="131"/>
      <c r="E168" s="128">
        <f>+D144</f>
        <v>0</v>
      </c>
      <c r="F168" s="146"/>
      <c r="G168" s="146"/>
      <c r="H168" s="180">
        <f t="shared" si="90"/>
        <v>0</v>
      </c>
      <c r="I168" s="128">
        <f t="shared" si="91"/>
        <v>0</v>
      </c>
      <c r="J168" s="129">
        <f>+SUM(C168:G168)-(H168+I168)</f>
        <v>233614</v>
      </c>
      <c r="K168" s="156" t="b">
        <f t="shared" si="93"/>
        <v>1</v>
      </c>
      <c r="Q168" s="5"/>
    </row>
    <row r="169" spans="1:17">
      <c r="A169" s="130" t="str">
        <f t="shared" si="96"/>
        <v>MAI</v>
      </c>
      <c r="B169" s="137" t="s">
        <v>83</v>
      </c>
      <c r="C169" s="128">
        <f>+C145</f>
        <v>249769</v>
      </c>
      <c r="D169" s="131"/>
      <c r="E169" s="128">
        <f>+D145</f>
        <v>0</v>
      </c>
      <c r="F169" s="146"/>
      <c r="G169" s="146"/>
      <c r="H169" s="180">
        <f t="shared" si="90"/>
        <v>0</v>
      </c>
      <c r="I169" s="128">
        <f t="shared" si="91"/>
        <v>0</v>
      </c>
      <c r="J169" s="129">
        <f t="shared" ref="J169:J177" si="97">+SUM(C169:G169)-(H169+I169)</f>
        <v>249769</v>
      </c>
      <c r="K169" s="156" t="b">
        <f t="shared" si="93"/>
        <v>1</v>
      </c>
      <c r="Q169" s="5"/>
    </row>
    <row r="170" spans="1:17">
      <c r="A170" s="130" t="str">
        <f t="shared" si="96"/>
        <v>MAI</v>
      </c>
      <c r="B170" s="135" t="s">
        <v>151</v>
      </c>
      <c r="C170" s="33">
        <f>+C146</f>
        <v>10200</v>
      </c>
      <c r="D170" s="32"/>
      <c r="E170" s="33">
        <f>+D146</f>
        <v>25000</v>
      </c>
      <c r="F170" s="33"/>
      <c r="G170" s="110"/>
      <c r="H170" s="57">
        <f t="shared" si="90"/>
        <v>0</v>
      </c>
      <c r="I170" s="33">
        <f t="shared" si="91"/>
        <v>20500</v>
      </c>
      <c r="J170" s="31">
        <f t="shared" si="97"/>
        <v>14700</v>
      </c>
      <c r="K170" s="156" t="b">
        <f t="shared" si="93"/>
        <v>1</v>
      </c>
      <c r="Q170" s="5"/>
    </row>
    <row r="171" spans="1:17">
      <c r="A171" s="130" t="str">
        <f t="shared" si="96"/>
        <v>MAI</v>
      </c>
      <c r="B171" s="135" t="s">
        <v>207</v>
      </c>
      <c r="C171" s="33">
        <f t="shared" ref="C171:C174" si="98">+C147</f>
        <v>43500</v>
      </c>
      <c r="D171" s="32"/>
      <c r="E171" s="33">
        <f t="shared" ref="E171:E177" si="99">+D147</f>
        <v>701000</v>
      </c>
      <c r="F171" s="33"/>
      <c r="G171" s="110"/>
      <c r="H171" s="57">
        <f t="shared" si="90"/>
        <v>0</v>
      </c>
      <c r="I171" s="33">
        <f t="shared" si="91"/>
        <v>697550</v>
      </c>
      <c r="J171" s="31">
        <f t="shared" si="97"/>
        <v>46950</v>
      </c>
      <c r="K171" s="156" t="b">
        <f t="shared" si="93"/>
        <v>1</v>
      </c>
      <c r="Q171" s="5"/>
    </row>
    <row r="172" spans="1:17">
      <c r="A172" s="130" t="str">
        <f t="shared" si="96"/>
        <v>MAI</v>
      </c>
      <c r="B172" s="135" t="s">
        <v>30</v>
      </c>
      <c r="C172" s="33">
        <f t="shared" si="98"/>
        <v>177550</v>
      </c>
      <c r="D172" s="32"/>
      <c r="E172" s="33">
        <f t="shared" si="99"/>
        <v>969000</v>
      </c>
      <c r="F172" s="33"/>
      <c r="G172" s="110"/>
      <c r="H172" s="57">
        <f t="shared" si="90"/>
        <v>220000</v>
      </c>
      <c r="I172" s="33">
        <f t="shared" si="91"/>
        <v>814500</v>
      </c>
      <c r="J172" s="31">
        <f t="shared" si="97"/>
        <v>112050</v>
      </c>
      <c r="K172" s="156" t="b">
        <f t="shared" si="93"/>
        <v>1</v>
      </c>
      <c r="Q172" s="5"/>
    </row>
    <row r="173" spans="1:17">
      <c r="A173" s="130" t="str">
        <f>+A171</f>
        <v>MAI</v>
      </c>
      <c r="B173" s="135" t="s">
        <v>93</v>
      </c>
      <c r="C173" s="33">
        <f t="shared" si="98"/>
        <v>4400</v>
      </c>
      <c r="D173" s="32"/>
      <c r="E173" s="33">
        <f t="shared" si="99"/>
        <v>170000</v>
      </c>
      <c r="F173" s="33"/>
      <c r="G173" s="110"/>
      <c r="H173" s="57">
        <f t="shared" si="90"/>
        <v>10000</v>
      </c>
      <c r="I173" s="33">
        <f t="shared" si="91"/>
        <v>161500</v>
      </c>
      <c r="J173" s="31">
        <f t="shared" si="97"/>
        <v>2900</v>
      </c>
      <c r="K173" s="156" t="b">
        <f t="shared" si="93"/>
        <v>1</v>
      </c>
      <c r="Q173" s="5"/>
    </row>
    <row r="174" spans="1:17">
      <c r="A174" s="130" t="str">
        <f>+A172</f>
        <v>MAI</v>
      </c>
      <c r="B174" s="135" t="s">
        <v>29</v>
      </c>
      <c r="C174" s="33">
        <f t="shared" si="98"/>
        <v>294700</v>
      </c>
      <c r="D174" s="32"/>
      <c r="E174" s="33">
        <f t="shared" si="99"/>
        <v>671000</v>
      </c>
      <c r="F174" s="33"/>
      <c r="G174" s="110"/>
      <c r="H174" s="57">
        <f t="shared" si="90"/>
        <v>300000</v>
      </c>
      <c r="I174" s="33">
        <f t="shared" si="91"/>
        <v>525000</v>
      </c>
      <c r="J174" s="31">
        <f t="shared" si="97"/>
        <v>140700</v>
      </c>
      <c r="K174" s="156" t="b">
        <f t="shared" si="93"/>
        <v>1</v>
      </c>
      <c r="Q174" s="5"/>
    </row>
    <row r="175" spans="1:17">
      <c r="A175" s="130" t="str">
        <f>+A173</f>
        <v>MAI</v>
      </c>
      <c r="B175" s="135" t="s">
        <v>206</v>
      </c>
      <c r="C175" s="33">
        <f>+C151</f>
        <v>13500</v>
      </c>
      <c r="D175" s="32"/>
      <c r="E175" s="33">
        <f t="shared" si="99"/>
        <v>85000</v>
      </c>
      <c r="F175" s="33"/>
      <c r="G175" s="110"/>
      <c r="H175" s="57">
        <f t="shared" si="90"/>
        <v>9500</v>
      </c>
      <c r="I175" s="33">
        <f t="shared" si="91"/>
        <v>89000</v>
      </c>
      <c r="J175" s="31">
        <f t="shared" si="97"/>
        <v>0</v>
      </c>
      <c r="K175" s="156" t="b">
        <f t="shared" si="93"/>
        <v>1</v>
      </c>
      <c r="Q175" s="5"/>
    </row>
    <row r="176" spans="1:17">
      <c r="A176" s="130" t="str">
        <f>+A173</f>
        <v>MAI</v>
      </c>
      <c r="B176" s="136" t="s">
        <v>113</v>
      </c>
      <c r="C176" s="33">
        <f t="shared" ref="C176:C177" si="100">+C152</f>
        <v>-7259</v>
      </c>
      <c r="D176" s="127"/>
      <c r="E176" s="33">
        <f t="shared" si="99"/>
        <v>329000</v>
      </c>
      <c r="F176" s="53"/>
      <c r="G176" s="147"/>
      <c r="H176" s="57">
        <f t="shared" si="90"/>
        <v>226000</v>
      </c>
      <c r="I176" s="33">
        <f t="shared" si="91"/>
        <v>93500</v>
      </c>
      <c r="J176" s="31">
        <f t="shared" si="97"/>
        <v>2241</v>
      </c>
      <c r="K176" s="156" t="b">
        <f t="shared" si="93"/>
        <v>1</v>
      </c>
      <c r="Q176" s="5"/>
    </row>
    <row r="177" spans="1:17">
      <c r="A177" s="130" t="str">
        <f>+A174</f>
        <v>MAI</v>
      </c>
      <c r="B177" s="136" t="s">
        <v>223</v>
      </c>
      <c r="C177" s="33">
        <f t="shared" si="100"/>
        <v>0</v>
      </c>
      <c r="D177" s="127"/>
      <c r="E177" s="33">
        <f t="shared" si="99"/>
        <v>349000</v>
      </c>
      <c r="F177" s="53"/>
      <c r="G177" s="147"/>
      <c r="H177" s="57">
        <f t="shared" si="90"/>
        <v>0</v>
      </c>
      <c r="I177" s="33">
        <f t="shared" si="91"/>
        <v>338500</v>
      </c>
      <c r="J177" s="31">
        <f t="shared" si="97"/>
        <v>10500</v>
      </c>
      <c r="K177" s="156" t="b">
        <f t="shared" si="93"/>
        <v>1</v>
      </c>
      <c r="Q177" s="5"/>
    </row>
    <row r="178" spans="1:17">
      <c r="A178" s="35" t="s">
        <v>60</v>
      </c>
      <c r="B178" s="36"/>
      <c r="C178" s="36"/>
      <c r="D178" s="36"/>
      <c r="E178" s="36"/>
      <c r="F178" s="36"/>
      <c r="G178" s="36"/>
      <c r="H178" s="36"/>
      <c r="I178" s="36"/>
      <c r="J178" s="37"/>
      <c r="K178" s="155"/>
      <c r="Q178" s="5"/>
    </row>
    <row r="179" spans="1:17">
      <c r="A179" s="130" t="str">
        <f>+A177</f>
        <v>MAI</v>
      </c>
      <c r="B179" s="38" t="s">
        <v>61</v>
      </c>
      <c r="C179" s="39">
        <f>+C140</f>
        <v>963113</v>
      </c>
      <c r="D179" s="51"/>
      <c r="E179" s="51">
        <f>D140</f>
        <v>7684335</v>
      </c>
      <c r="F179" s="51"/>
      <c r="G179" s="133"/>
      <c r="H179" s="53">
        <f>+F140</f>
        <v>4914000</v>
      </c>
      <c r="I179" s="134">
        <f>+E140</f>
        <v>2033042</v>
      </c>
      <c r="J179" s="46">
        <f>+SUM(C179:G179)-(H179+I179)</f>
        <v>1700406</v>
      </c>
      <c r="K179" s="156" t="b">
        <f>J179=I140</f>
        <v>1</v>
      </c>
      <c r="Q179" s="5"/>
    </row>
    <row r="180" spans="1:17">
      <c r="A180" s="44" t="s">
        <v>62</v>
      </c>
      <c r="B180" s="25"/>
      <c r="C180" s="36"/>
      <c r="D180" s="25"/>
      <c r="E180" s="25"/>
      <c r="F180" s="25"/>
      <c r="G180" s="25"/>
      <c r="H180" s="25"/>
      <c r="I180" s="25"/>
      <c r="J180" s="37"/>
      <c r="K180" s="155"/>
      <c r="Q180" s="5"/>
    </row>
    <row r="181" spans="1:17">
      <c r="A181" s="130" t="str">
        <f>+A179</f>
        <v>MAI</v>
      </c>
      <c r="B181" s="38" t="s">
        <v>166</v>
      </c>
      <c r="C181" s="133">
        <f>+C138</f>
        <v>4154435</v>
      </c>
      <c r="D181" s="140">
        <f>+G138</f>
        <v>11963948</v>
      </c>
      <c r="E181" s="51"/>
      <c r="F181" s="51"/>
      <c r="G181" s="51"/>
      <c r="H181" s="53">
        <f>+F138</f>
        <v>7000000</v>
      </c>
      <c r="I181" s="55">
        <f>+E138</f>
        <v>543345</v>
      </c>
      <c r="J181" s="46">
        <f>+SUM(C181:G181)-(H181+I181)</f>
        <v>8575038</v>
      </c>
      <c r="K181" s="156" t="b">
        <f>+J181=I138</f>
        <v>1</v>
      </c>
      <c r="Q181" s="5"/>
    </row>
    <row r="182" spans="1:17">
      <c r="A182" s="130" t="str">
        <f t="shared" ref="A182" si="101">+A181</f>
        <v>MAI</v>
      </c>
      <c r="B182" s="38" t="s">
        <v>64</v>
      </c>
      <c r="C182" s="133">
        <f>+C139</f>
        <v>16450956</v>
      </c>
      <c r="D182" s="51">
        <f>+G139</f>
        <v>0</v>
      </c>
      <c r="E182" s="50"/>
      <c r="F182" s="50"/>
      <c r="G182" s="50"/>
      <c r="H182" s="33">
        <f>+F139</f>
        <v>0</v>
      </c>
      <c r="I182" s="52">
        <f>+E139</f>
        <v>4219423</v>
      </c>
      <c r="J182" s="46">
        <f>SUM(C182:G182)-(H182+I182)</f>
        <v>12231533</v>
      </c>
      <c r="K182" s="156" t="b">
        <f>+J182=I139</f>
        <v>1</v>
      </c>
      <c r="Q182" s="5"/>
    </row>
    <row r="183" spans="1:17" ht="15.75">
      <c r="C183" s="151">
        <f>SUM(C165:C182)</f>
        <v>22774658</v>
      </c>
      <c r="I183" s="149">
        <f>SUM(I165:I182)</f>
        <v>11393660</v>
      </c>
      <c r="J183" s="111">
        <f>+SUM(J165:J182)</f>
        <v>23344946</v>
      </c>
      <c r="K183" s="5" t="b">
        <f>J183=I154</f>
        <v>1</v>
      </c>
      <c r="Q183" s="5"/>
    </row>
    <row r="184" spans="1:17" ht="15.75">
      <c r="A184" s="207"/>
      <c r="B184" s="207"/>
      <c r="C184" s="208"/>
      <c r="D184" s="207"/>
      <c r="E184" s="207"/>
      <c r="F184" s="207"/>
      <c r="G184" s="207"/>
      <c r="H184" s="207"/>
      <c r="I184" s="209"/>
      <c r="J184" s="210"/>
      <c r="K184" s="207"/>
      <c r="L184" s="211"/>
      <c r="M184" s="211"/>
      <c r="N184" s="211"/>
      <c r="O184" s="211"/>
      <c r="P184" s="207"/>
      <c r="Q184" s="5"/>
    </row>
    <row r="186" spans="1:17" ht="15.75">
      <c r="A186" s="6" t="s">
        <v>36</v>
      </c>
      <c r="B186" s="6" t="s">
        <v>1</v>
      </c>
      <c r="C186" s="6">
        <v>44652</v>
      </c>
      <c r="D186" s="7" t="s">
        <v>37</v>
      </c>
      <c r="E186" s="7" t="s">
        <v>38</v>
      </c>
      <c r="F186" s="7" t="s">
        <v>39</v>
      </c>
      <c r="G186" s="7" t="s">
        <v>40</v>
      </c>
      <c r="H186" s="6">
        <v>44681</v>
      </c>
      <c r="I186" s="7" t="s">
        <v>41</v>
      </c>
      <c r="K186" s="47"/>
      <c r="L186" s="47" t="s">
        <v>42</v>
      </c>
      <c r="M186" s="47" t="s">
        <v>43</v>
      </c>
      <c r="N186" s="47" t="s">
        <v>44</v>
      </c>
      <c r="O186" s="47" t="s">
        <v>45</v>
      </c>
      <c r="Q186" s="5"/>
    </row>
    <row r="187" spans="1:17" ht="16.5">
      <c r="A187" s="60" t="str">
        <f>K187</f>
        <v>BCI</v>
      </c>
      <c r="B187" s="61" t="s">
        <v>46</v>
      </c>
      <c r="C187" s="63">
        <v>9177780</v>
      </c>
      <c r="D187" s="63">
        <f>+L187</f>
        <v>0</v>
      </c>
      <c r="E187" s="63">
        <f>+N187</f>
        <v>23345</v>
      </c>
      <c r="F187" s="63">
        <f>+M187</f>
        <v>5000000</v>
      </c>
      <c r="G187" s="63">
        <f t="shared" ref="G187:G198" si="102">+O187</f>
        <v>0</v>
      </c>
      <c r="H187" s="63">
        <v>4154435</v>
      </c>
      <c r="I187" s="63">
        <f>+C187+D187-E187-F187+G187</f>
        <v>4154435</v>
      </c>
      <c r="J187" s="9">
        <f>I187-H187</f>
        <v>0</v>
      </c>
      <c r="K187" s="47" t="s">
        <v>24</v>
      </c>
      <c r="L187" s="49">
        <v>0</v>
      </c>
      <c r="M187" s="49">
        <v>5000000</v>
      </c>
      <c r="N187" s="49">
        <v>23345</v>
      </c>
      <c r="O187" s="49">
        <v>0</v>
      </c>
      <c r="Q187" s="5"/>
    </row>
    <row r="188" spans="1:17" ht="16.5">
      <c r="A188" s="60" t="str">
        <f t="shared" ref="A188:A201" si="103">K188</f>
        <v>BCI-Sous Compte</v>
      </c>
      <c r="B188" s="61" t="s">
        <v>46</v>
      </c>
      <c r="C188" s="63">
        <v>21521261</v>
      </c>
      <c r="D188" s="63">
        <f t="shared" ref="D188:D201" si="104">+L188</f>
        <v>0</v>
      </c>
      <c r="E188" s="63">
        <f t="shared" ref="E188:E201" si="105">+N188</f>
        <v>5070305</v>
      </c>
      <c r="F188" s="63">
        <f t="shared" ref="F188:F201" si="106">+M188</f>
        <v>0</v>
      </c>
      <c r="G188" s="63">
        <f t="shared" si="102"/>
        <v>0</v>
      </c>
      <c r="H188" s="63">
        <v>16450956</v>
      </c>
      <c r="I188" s="63">
        <f>+C188+D188-E188-F188+G188</f>
        <v>16450956</v>
      </c>
      <c r="J188" s="9">
        <f t="shared" ref="J188:J195" si="107">I188-H188</f>
        <v>0</v>
      </c>
      <c r="K188" s="47" t="s">
        <v>157</v>
      </c>
      <c r="L188" s="49">
        <v>0</v>
      </c>
      <c r="M188" s="49">
        <v>0</v>
      </c>
      <c r="N188" s="49">
        <v>5070305</v>
      </c>
      <c r="O188" s="49">
        <v>0</v>
      </c>
      <c r="Q188" s="5"/>
    </row>
    <row r="189" spans="1:17" ht="16.5">
      <c r="A189" s="60" t="str">
        <f t="shared" si="103"/>
        <v>Caisse</v>
      </c>
      <c r="B189" s="61" t="s">
        <v>25</v>
      </c>
      <c r="C189" s="63">
        <v>1160022</v>
      </c>
      <c r="D189" s="63">
        <f t="shared" si="104"/>
        <v>5100000</v>
      </c>
      <c r="E189" s="63">
        <f t="shared" si="105"/>
        <v>1822909</v>
      </c>
      <c r="F189" s="63">
        <f t="shared" si="106"/>
        <v>3474000</v>
      </c>
      <c r="G189" s="63">
        <f t="shared" si="102"/>
        <v>0</v>
      </c>
      <c r="H189" s="63">
        <v>963113</v>
      </c>
      <c r="I189" s="63">
        <f>+C189+D189-E189-F189+G189</f>
        <v>963113</v>
      </c>
      <c r="J189" s="108">
        <f t="shared" si="107"/>
        <v>0</v>
      </c>
      <c r="K189" s="47" t="s">
        <v>25</v>
      </c>
      <c r="L189" s="49">
        <v>5100000</v>
      </c>
      <c r="M189" s="49">
        <v>3474000</v>
      </c>
      <c r="N189" s="49">
        <v>1822909</v>
      </c>
      <c r="O189" s="49">
        <v>0</v>
      </c>
      <c r="Q189" s="5"/>
    </row>
    <row r="190" spans="1:17" ht="16.5">
      <c r="A190" s="60" t="str">
        <f t="shared" si="103"/>
        <v>Crépin</v>
      </c>
      <c r="B190" s="61" t="s">
        <v>163</v>
      </c>
      <c r="C190" s="63">
        <v>22050</v>
      </c>
      <c r="D190" s="63">
        <f t="shared" si="104"/>
        <v>462000</v>
      </c>
      <c r="E190" s="63">
        <f t="shared" si="105"/>
        <v>462200</v>
      </c>
      <c r="F190" s="63">
        <f t="shared" si="106"/>
        <v>0</v>
      </c>
      <c r="G190" s="63">
        <f t="shared" si="102"/>
        <v>0</v>
      </c>
      <c r="H190" s="63">
        <v>21850</v>
      </c>
      <c r="I190" s="63">
        <f>+C190+D190-E190-F190+G190</f>
        <v>21850</v>
      </c>
      <c r="J190" s="9">
        <f t="shared" si="107"/>
        <v>0</v>
      </c>
      <c r="K190" s="47" t="s">
        <v>47</v>
      </c>
      <c r="L190" s="49">
        <v>462000</v>
      </c>
      <c r="M190" s="49">
        <v>0</v>
      </c>
      <c r="N190" s="49">
        <v>462200</v>
      </c>
      <c r="O190" s="49">
        <v>0</v>
      </c>
      <c r="Q190" s="5"/>
    </row>
    <row r="191" spans="1:17" ht="16.5">
      <c r="A191" s="60" t="str">
        <f t="shared" si="103"/>
        <v>Evariste</v>
      </c>
      <c r="B191" s="61" t="s">
        <v>164</v>
      </c>
      <c r="C191" s="63">
        <v>13995</v>
      </c>
      <c r="D191" s="63">
        <f t="shared" si="104"/>
        <v>30000</v>
      </c>
      <c r="E191" s="63">
        <f t="shared" si="105"/>
        <v>36000</v>
      </c>
      <c r="F191" s="63">
        <f t="shared" si="106"/>
        <v>0</v>
      </c>
      <c r="G191" s="63">
        <f t="shared" si="102"/>
        <v>0</v>
      </c>
      <c r="H191" s="63">
        <v>7995</v>
      </c>
      <c r="I191" s="63">
        <f t="shared" ref="I191" si="108">+C191+D191-E191-F191+G191</f>
        <v>7995</v>
      </c>
      <c r="J191" s="9">
        <f t="shared" si="107"/>
        <v>0</v>
      </c>
      <c r="K191" s="47" t="s">
        <v>31</v>
      </c>
      <c r="L191" s="49">
        <v>30000</v>
      </c>
      <c r="M191" s="49">
        <v>0</v>
      </c>
      <c r="N191" s="49">
        <v>36000</v>
      </c>
      <c r="O191" s="49">
        <v>0</v>
      </c>
      <c r="Q191" s="5"/>
    </row>
    <row r="192" spans="1:17" ht="16.5">
      <c r="A192" s="60" t="str">
        <f t="shared" si="103"/>
        <v>Godfré</v>
      </c>
      <c r="B192" s="61" t="s">
        <v>163</v>
      </c>
      <c r="C192" s="63">
        <v>36485</v>
      </c>
      <c r="D192" s="63">
        <f t="shared" si="104"/>
        <v>486000</v>
      </c>
      <c r="E192" s="63">
        <f t="shared" si="105"/>
        <v>366150</v>
      </c>
      <c r="F192" s="63">
        <f t="shared" si="106"/>
        <v>0</v>
      </c>
      <c r="G192" s="63">
        <f t="shared" si="102"/>
        <v>0</v>
      </c>
      <c r="H192" s="63">
        <v>156335</v>
      </c>
      <c r="I192" s="63">
        <f>+C192+D192-E192-F192+G192</f>
        <v>156335</v>
      </c>
      <c r="J192" s="9">
        <f t="shared" si="107"/>
        <v>0</v>
      </c>
      <c r="K192" s="47" t="s">
        <v>152</v>
      </c>
      <c r="L192" s="49">
        <v>486000</v>
      </c>
      <c r="M192" s="49">
        <v>0</v>
      </c>
      <c r="N192" s="49">
        <v>366150</v>
      </c>
      <c r="O192" s="49">
        <v>0</v>
      </c>
      <c r="Q192" s="5"/>
    </row>
    <row r="193" spans="1:17" ht="16.5">
      <c r="A193" s="60" t="str">
        <f t="shared" si="103"/>
        <v>I55S</v>
      </c>
      <c r="B193" s="124" t="s">
        <v>4</v>
      </c>
      <c r="C193" s="126">
        <v>233614</v>
      </c>
      <c r="D193" s="126">
        <f t="shared" si="104"/>
        <v>0</v>
      </c>
      <c r="E193" s="126">
        <f t="shared" si="105"/>
        <v>0</v>
      </c>
      <c r="F193" s="126">
        <f t="shared" si="106"/>
        <v>0</v>
      </c>
      <c r="G193" s="126">
        <f t="shared" si="102"/>
        <v>0</v>
      </c>
      <c r="H193" s="126">
        <v>233614</v>
      </c>
      <c r="I193" s="126">
        <f>+C193+D193-E193-F193+G193</f>
        <v>233614</v>
      </c>
      <c r="J193" s="9">
        <f t="shared" si="107"/>
        <v>0</v>
      </c>
      <c r="K193" s="47" t="s">
        <v>84</v>
      </c>
      <c r="L193" s="49">
        <v>0</v>
      </c>
      <c r="M193" s="49">
        <v>0</v>
      </c>
      <c r="N193" s="49">
        <v>0</v>
      </c>
      <c r="O193" s="49">
        <v>0</v>
      </c>
      <c r="Q193" s="5"/>
    </row>
    <row r="194" spans="1:17" ht="16.5">
      <c r="A194" s="60" t="str">
        <f t="shared" si="103"/>
        <v>I73X</v>
      </c>
      <c r="B194" s="124" t="s">
        <v>4</v>
      </c>
      <c r="C194" s="126">
        <v>249769</v>
      </c>
      <c r="D194" s="126">
        <f t="shared" si="104"/>
        <v>0</v>
      </c>
      <c r="E194" s="126">
        <f t="shared" si="105"/>
        <v>0</v>
      </c>
      <c r="F194" s="126">
        <f t="shared" si="106"/>
        <v>0</v>
      </c>
      <c r="G194" s="126">
        <f t="shared" si="102"/>
        <v>0</v>
      </c>
      <c r="H194" s="126">
        <v>249769</v>
      </c>
      <c r="I194" s="126">
        <f t="shared" ref="I194:I197" si="109">+C194+D194-E194-F194+G194</f>
        <v>249769</v>
      </c>
      <c r="J194" s="9">
        <f t="shared" si="107"/>
        <v>0</v>
      </c>
      <c r="K194" s="47" t="s">
        <v>83</v>
      </c>
      <c r="L194" s="49">
        <v>0</v>
      </c>
      <c r="M194" s="49">
        <v>0</v>
      </c>
      <c r="N194" s="49">
        <v>0</v>
      </c>
      <c r="O194" s="49">
        <v>0</v>
      </c>
      <c r="Q194" s="5"/>
    </row>
    <row r="195" spans="1:17" ht="16.5">
      <c r="A195" s="60" t="str">
        <f t="shared" si="103"/>
        <v>Grace</v>
      </c>
      <c r="B195" s="104" t="s">
        <v>2</v>
      </c>
      <c r="C195" s="63">
        <v>10700</v>
      </c>
      <c r="D195" s="63">
        <f t="shared" si="104"/>
        <v>10000</v>
      </c>
      <c r="E195" s="63">
        <f t="shared" si="105"/>
        <v>10500</v>
      </c>
      <c r="F195" s="63">
        <f t="shared" si="106"/>
        <v>0</v>
      </c>
      <c r="G195" s="63">
        <f t="shared" si="102"/>
        <v>0</v>
      </c>
      <c r="H195" s="63">
        <v>10200</v>
      </c>
      <c r="I195" s="63">
        <f t="shared" si="109"/>
        <v>10200</v>
      </c>
      <c r="J195" s="9">
        <f t="shared" si="107"/>
        <v>0</v>
      </c>
      <c r="K195" s="47" t="s">
        <v>151</v>
      </c>
      <c r="L195" s="49">
        <v>10000</v>
      </c>
      <c r="M195" s="49">
        <v>0</v>
      </c>
      <c r="N195" s="49">
        <v>10500</v>
      </c>
      <c r="O195" s="49">
        <v>0</v>
      </c>
      <c r="Q195" s="5"/>
    </row>
    <row r="196" spans="1:17" ht="16.5">
      <c r="A196" s="60" t="str">
        <f t="shared" si="103"/>
        <v>Hurielle</v>
      </c>
      <c r="B196" s="248" t="s">
        <v>163</v>
      </c>
      <c r="C196" s="63">
        <v>52000</v>
      </c>
      <c r="D196" s="63">
        <f t="shared" si="104"/>
        <v>113000</v>
      </c>
      <c r="E196" s="63">
        <f t="shared" si="105"/>
        <v>121500</v>
      </c>
      <c r="F196" s="63">
        <f t="shared" si="106"/>
        <v>0</v>
      </c>
      <c r="G196" s="63">
        <f t="shared" si="102"/>
        <v>0</v>
      </c>
      <c r="H196" s="63">
        <v>43500</v>
      </c>
      <c r="I196" s="63">
        <f t="shared" si="109"/>
        <v>43500</v>
      </c>
      <c r="J196" s="9">
        <f>I196-H196</f>
        <v>0</v>
      </c>
      <c r="K196" s="47" t="s">
        <v>207</v>
      </c>
      <c r="L196" s="49">
        <v>113000</v>
      </c>
      <c r="M196" s="49">
        <v>0</v>
      </c>
      <c r="N196" s="49">
        <v>121500</v>
      </c>
      <c r="O196" s="49">
        <v>0</v>
      </c>
      <c r="Q196" s="5"/>
    </row>
    <row r="197" spans="1:17" ht="16.5">
      <c r="A197" s="60" t="str">
        <f t="shared" si="103"/>
        <v>I23C</v>
      </c>
      <c r="B197" s="249" t="s">
        <v>4</v>
      </c>
      <c r="C197" s="63">
        <v>116050</v>
      </c>
      <c r="D197" s="63">
        <f t="shared" si="104"/>
        <v>599000</v>
      </c>
      <c r="E197" s="63">
        <f t="shared" si="105"/>
        <v>537500</v>
      </c>
      <c r="F197" s="63">
        <f t="shared" si="106"/>
        <v>0</v>
      </c>
      <c r="G197" s="63">
        <f t="shared" si="102"/>
        <v>0</v>
      </c>
      <c r="H197" s="63">
        <v>177550</v>
      </c>
      <c r="I197" s="63">
        <f t="shared" si="109"/>
        <v>177550</v>
      </c>
      <c r="J197" s="9">
        <f t="shared" ref="J197:J198" si="110">I197-H197</f>
        <v>0</v>
      </c>
      <c r="K197" s="47" t="s">
        <v>30</v>
      </c>
      <c r="L197" s="49">
        <v>599000</v>
      </c>
      <c r="M197" s="49">
        <v>0</v>
      </c>
      <c r="N197" s="49">
        <v>537500</v>
      </c>
      <c r="O197" s="49">
        <v>0</v>
      </c>
      <c r="Q197" s="5"/>
    </row>
    <row r="198" spans="1:17" ht="16.5">
      <c r="A198" s="60" t="str">
        <f t="shared" si="103"/>
        <v>Merveille</v>
      </c>
      <c r="B198" s="248" t="s">
        <v>2</v>
      </c>
      <c r="C198" s="63">
        <v>4400</v>
      </c>
      <c r="D198" s="63">
        <f t="shared" si="104"/>
        <v>20000</v>
      </c>
      <c r="E198" s="63">
        <f t="shared" si="105"/>
        <v>20000</v>
      </c>
      <c r="F198" s="63">
        <f t="shared" si="106"/>
        <v>0</v>
      </c>
      <c r="G198" s="63">
        <f t="shared" si="102"/>
        <v>0</v>
      </c>
      <c r="H198" s="63">
        <v>4400</v>
      </c>
      <c r="I198" s="63">
        <f>+C198+D198-E198-F198+G198</f>
        <v>4400</v>
      </c>
      <c r="J198" s="9">
        <f t="shared" si="110"/>
        <v>0</v>
      </c>
      <c r="K198" s="47" t="s">
        <v>93</v>
      </c>
      <c r="L198" s="49">
        <v>20000</v>
      </c>
      <c r="M198" s="49">
        <v>0</v>
      </c>
      <c r="N198" s="49">
        <v>20000</v>
      </c>
      <c r="O198" s="49">
        <v>0</v>
      </c>
      <c r="Q198" s="5"/>
    </row>
    <row r="199" spans="1:17" ht="16.5">
      <c r="A199" s="60" t="str">
        <f t="shared" si="103"/>
        <v>P29</v>
      </c>
      <c r="B199" s="248" t="s">
        <v>4</v>
      </c>
      <c r="C199" s="63">
        <v>16200</v>
      </c>
      <c r="D199" s="63">
        <f t="shared" si="104"/>
        <v>874000</v>
      </c>
      <c r="E199" s="63">
        <f t="shared" si="105"/>
        <v>495500</v>
      </c>
      <c r="F199" s="63">
        <f t="shared" si="106"/>
        <v>100000</v>
      </c>
      <c r="G199" s="63">
        <f>+O199</f>
        <v>0</v>
      </c>
      <c r="H199" s="63">
        <v>294700</v>
      </c>
      <c r="I199" s="63">
        <f>+C199+D199-E199-F199+G199</f>
        <v>294700</v>
      </c>
      <c r="J199" s="9">
        <f>I199-H199</f>
        <v>0</v>
      </c>
      <c r="K199" s="47" t="s">
        <v>29</v>
      </c>
      <c r="L199" s="49">
        <v>874000</v>
      </c>
      <c r="M199" s="49">
        <v>100000</v>
      </c>
      <c r="N199" s="49">
        <v>495500</v>
      </c>
      <c r="O199" s="49">
        <v>0</v>
      </c>
      <c r="Q199" s="5"/>
    </row>
    <row r="200" spans="1:17" ht="16.5">
      <c r="A200" s="60" t="str">
        <f t="shared" si="103"/>
        <v>Paule</v>
      </c>
      <c r="B200" s="61" t="s">
        <v>163</v>
      </c>
      <c r="C200" s="63">
        <v>6000</v>
      </c>
      <c r="D200" s="63">
        <f t="shared" si="104"/>
        <v>80000</v>
      </c>
      <c r="E200" s="63">
        <f t="shared" si="105"/>
        <v>72500</v>
      </c>
      <c r="F200" s="63">
        <f t="shared" si="106"/>
        <v>0</v>
      </c>
      <c r="G200" s="63">
        <f>+O200</f>
        <v>0</v>
      </c>
      <c r="H200" s="63">
        <v>13500</v>
      </c>
      <c r="I200" s="63">
        <f>+C200+D200-E200-F200+G200</f>
        <v>13500</v>
      </c>
      <c r="J200" s="9">
        <f>I200-H200</f>
        <v>0</v>
      </c>
      <c r="K200" s="47" t="s">
        <v>206</v>
      </c>
      <c r="L200" s="49">
        <v>80000</v>
      </c>
      <c r="M200" s="49">
        <v>0</v>
      </c>
      <c r="N200" s="49">
        <v>72500</v>
      </c>
      <c r="O200" s="49">
        <v>0</v>
      </c>
      <c r="Q200" s="5"/>
    </row>
    <row r="201" spans="1:17" ht="16.5">
      <c r="A201" s="60" t="str">
        <f t="shared" si="103"/>
        <v>Tiffany</v>
      </c>
      <c r="B201" s="61" t="s">
        <v>2</v>
      </c>
      <c r="C201" s="63">
        <v>-790759</v>
      </c>
      <c r="D201" s="63">
        <f t="shared" si="104"/>
        <v>800000</v>
      </c>
      <c r="E201" s="63">
        <f t="shared" si="105"/>
        <v>16500</v>
      </c>
      <c r="F201" s="63">
        <f t="shared" si="106"/>
        <v>0</v>
      </c>
      <c r="G201" s="63">
        <f t="shared" ref="G201" si="111">+O201</f>
        <v>0</v>
      </c>
      <c r="H201" s="63">
        <v>-7259</v>
      </c>
      <c r="I201" s="63">
        <f t="shared" ref="I201" si="112">+C201+D201-E201-F201+G201</f>
        <v>-7259</v>
      </c>
      <c r="J201" s="9">
        <f t="shared" ref="J201" si="113">I201-H201</f>
        <v>0</v>
      </c>
      <c r="K201" s="47" t="s">
        <v>113</v>
      </c>
      <c r="L201" s="49">
        <v>800000</v>
      </c>
      <c r="M201" s="49">
        <v>0</v>
      </c>
      <c r="N201" s="49">
        <v>16500</v>
      </c>
      <c r="O201" s="49">
        <v>0</v>
      </c>
      <c r="Q201" s="5"/>
    </row>
    <row r="202" spans="1:17" ht="16.5">
      <c r="A202" s="10" t="s">
        <v>50</v>
      </c>
      <c r="B202" s="11"/>
      <c r="C202" s="12">
        <f t="shared" ref="C202:I202" si="114">SUM(C187:C201)</f>
        <v>31829567</v>
      </c>
      <c r="D202" s="59">
        <f t="shared" si="114"/>
        <v>8574000</v>
      </c>
      <c r="E202" s="59">
        <f t="shared" si="114"/>
        <v>9054909</v>
      </c>
      <c r="F202" s="59">
        <f t="shared" si="114"/>
        <v>8574000</v>
      </c>
      <c r="G202" s="59">
        <f t="shared" si="114"/>
        <v>0</v>
      </c>
      <c r="H202" s="59">
        <f t="shared" si="114"/>
        <v>22774658</v>
      </c>
      <c r="I202" s="59">
        <f t="shared" si="114"/>
        <v>22774658</v>
      </c>
      <c r="J202" s="9">
        <f>I202-H202</f>
        <v>0</v>
      </c>
      <c r="K202" s="3"/>
      <c r="L202" s="49">
        <f>+SUM(L187:L201)</f>
        <v>8574000</v>
      </c>
      <c r="M202" s="49">
        <f>+SUM(M187:M201)</f>
        <v>8574000</v>
      </c>
      <c r="N202" s="49">
        <f>+SUM(N187:N201)</f>
        <v>9054909</v>
      </c>
      <c r="O202" s="49">
        <f>+SUM(O187:O201)</f>
        <v>0</v>
      </c>
      <c r="Q202" s="5"/>
    </row>
    <row r="203" spans="1:17" ht="16.5">
      <c r="A203" s="10"/>
      <c r="B203" s="11"/>
      <c r="C203" s="12"/>
      <c r="D203" s="13"/>
      <c r="E203" s="12"/>
      <c r="F203" s="13"/>
      <c r="G203" s="12"/>
      <c r="H203" s="12"/>
      <c r="I203" s="143" t="b">
        <f>I202=D205</f>
        <v>1</v>
      </c>
      <c r="L203" s="5"/>
      <c r="M203" s="5"/>
      <c r="N203" s="5"/>
      <c r="O203" s="5"/>
      <c r="Q203" s="5"/>
    </row>
    <row r="204" spans="1:17" ht="16.5">
      <c r="A204" s="10" t="s">
        <v>212</v>
      </c>
      <c r="B204" s="11" t="s">
        <v>213</v>
      </c>
      <c r="C204" s="12" t="s">
        <v>214</v>
      </c>
      <c r="D204" s="12" t="s">
        <v>215</v>
      </c>
      <c r="E204" s="12" t="s">
        <v>51</v>
      </c>
      <c r="F204" s="12"/>
      <c r="G204" s="12">
        <f>+D202-F202</f>
        <v>0</v>
      </c>
      <c r="H204" s="12"/>
      <c r="I204" s="12"/>
      <c r="Q204" s="5"/>
    </row>
    <row r="205" spans="1:17" ht="16.5">
      <c r="A205" s="14">
        <f>C202</f>
        <v>31829567</v>
      </c>
      <c r="B205" s="15">
        <f>G202</f>
        <v>0</v>
      </c>
      <c r="C205" s="12">
        <f>E202</f>
        <v>9054909</v>
      </c>
      <c r="D205" s="12">
        <f>A205+B205-C205</f>
        <v>22774658</v>
      </c>
      <c r="E205" s="13">
        <f>I202-D205</f>
        <v>0</v>
      </c>
      <c r="F205" s="12"/>
      <c r="G205" s="12"/>
      <c r="H205" s="12"/>
      <c r="I205" s="12"/>
      <c r="Q205" s="5"/>
    </row>
    <row r="206" spans="1:17" ht="16.5">
      <c r="A206" s="14"/>
      <c r="B206" s="15"/>
      <c r="C206" s="12"/>
      <c r="D206" s="12"/>
      <c r="E206" s="13"/>
      <c r="F206" s="12"/>
      <c r="G206" s="12"/>
      <c r="H206" s="12"/>
      <c r="I206" s="12"/>
      <c r="Q206" s="5"/>
    </row>
    <row r="207" spans="1:17">
      <c r="A207" s="16" t="s">
        <v>52</v>
      </c>
      <c r="B207" s="16"/>
      <c r="C207" s="16"/>
      <c r="D207" s="17"/>
      <c r="E207" s="17"/>
      <c r="F207" s="17"/>
      <c r="G207" s="17"/>
      <c r="H207" s="17"/>
      <c r="I207" s="17"/>
      <c r="Q207" s="5"/>
    </row>
    <row r="208" spans="1:17">
      <c r="A208" s="18" t="s">
        <v>216</v>
      </c>
      <c r="B208" s="18"/>
      <c r="C208" s="18"/>
      <c r="D208" s="18"/>
      <c r="E208" s="18"/>
      <c r="F208" s="18"/>
      <c r="G208" s="18"/>
      <c r="H208" s="18"/>
      <c r="I208" s="18"/>
      <c r="J208" s="18"/>
      <c r="Q208" s="5"/>
    </row>
    <row r="209" spans="1:17">
      <c r="A209" s="19"/>
      <c r="B209" s="20"/>
      <c r="C209" s="21"/>
      <c r="D209" s="21"/>
      <c r="E209" s="21"/>
      <c r="F209" s="21"/>
      <c r="G209" s="21"/>
      <c r="H209" s="20"/>
      <c r="I209" s="20"/>
      <c r="Q209" s="5"/>
    </row>
    <row r="210" spans="1:17">
      <c r="A210" s="233" t="s">
        <v>53</v>
      </c>
      <c r="B210" s="235" t="s">
        <v>54</v>
      </c>
      <c r="C210" s="237" t="s">
        <v>217</v>
      </c>
      <c r="D210" s="239" t="s">
        <v>55</v>
      </c>
      <c r="E210" s="240"/>
      <c r="F210" s="240"/>
      <c r="G210" s="241"/>
      <c r="H210" s="242" t="s">
        <v>56</v>
      </c>
      <c r="I210" s="244" t="s">
        <v>57</v>
      </c>
      <c r="J210" s="20"/>
      <c r="Q210" s="5"/>
    </row>
    <row r="211" spans="1:17" ht="28.5" customHeight="1">
      <c r="A211" s="234"/>
      <c r="B211" s="236"/>
      <c r="C211" s="238"/>
      <c r="D211" s="22" t="s">
        <v>24</v>
      </c>
      <c r="E211" s="22" t="s">
        <v>25</v>
      </c>
      <c r="F211" s="238" t="s">
        <v>123</v>
      </c>
      <c r="G211" s="22" t="s">
        <v>58</v>
      </c>
      <c r="H211" s="243"/>
      <c r="I211" s="245"/>
      <c r="J211" s="246" t="s">
        <v>218</v>
      </c>
      <c r="K211" s="155"/>
      <c r="Q211" s="5"/>
    </row>
    <row r="212" spans="1:17">
      <c r="A212" s="24"/>
      <c r="B212" s="25" t="s">
        <v>59</v>
      </c>
      <c r="C212" s="26"/>
      <c r="D212" s="26"/>
      <c r="E212" s="26"/>
      <c r="F212" s="26"/>
      <c r="G212" s="26"/>
      <c r="H212" s="26"/>
      <c r="I212" s="27"/>
      <c r="J212" s="247"/>
      <c r="K212" s="155"/>
      <c r="Q212" s="5"/>
    </row>
    <row r="213" spans="1:17">
      <c r="A213" s="130" t="s">
        <v>127</v>
      </c>
      <c r="B213" s="135" t="s">
        <v>47</v>
      </c>
      <c r="C213" s="33">
        <f>+C190</f>
        <v>22050</v>
      </c>
      <c r="D213" s="32"/>
      <c r="E213" s="33">
        <f>+D190</f>
        <v>462000</v>
      </c>
      <c r="F213" s="33"/>
      <c r="G213" s="33"/>
      <c r="H213" s="57">
        <f t="shared" ref="H213:H224" si="115">+F190</f>
        <v>0</v>
      </c>
      <c r="I213" s="33">
        <f t="shared" ref="I213:I224" si="116">+E190</f>
        <v>462200</v>
      </c>
      <c r="J213" s="31">
        <f t="shared" ref="J213:J214" si="117">+SUM(C213:G213)-(H213+I213)</f>
        <v>21850</v>
      </c>
      <c r="K213" s="156" t="b">
        <f t="shared" ref="K213:K224" si="118">J213=I190</f>
        <v>1</v>
      </c>
      <c r="Q213" s="5"/>
    </row>
    <row r="214" spans="1:17">
      <c r="A214" s="130" t="str">
        <f>+A213</f>
        <v>AVRIL</v>
      </c>
      <c r="B214" s="135" t="s">
        <v>31</v>
      </c>
      <c r="C214" s="33">
        <f t="shared" ref="C214:C215" si="119">+C191</f>
        <v>13995</v>
      </c>
      <c r="D214" s="32"/>
      <c r="E214" s="33">
        <f t="shared" ref="E214:E215" si="120">+D191</f>
        <v>30000</v>
      </c>
      <c r="F214" s="33"/>
      <c r="G214" s="33"/>
      <c r="H214" s="57">
        <f t="shared" si="115"/>
        <v>0</v>
      </c>
      <c r="I214" s="33">
        <f t="shared" si="116"/>
        <v>36000</v>
      </c>
      <c r="J214" s="107">
        <f t="shared" si="117"/>
        <v>7995</v>
      </c>
      <c r="K214" s="156" t="b">
        <f t="shared" si="118"/>
        <v>1</v>
      </c>
      <c r="Q214" s="5"/>
    </row>
    <row r="215" spans="1:17">
      <c r="A215" s="130" t="str">
        <f t="shared" ref="A215:A220" si="121">+A214</f>
        <v>AVRIL</v>
      </c>
      <c r="B215" s="136" t="s">
        <v>152</v>
      </c>
      <c r="C215" s="33">
        <f t="shared" si="119"/>
        <v>36485</v>
      </c>
      <c r="D215" s="127"/>
      <c r="E215" s="33">
        <f t="shared" si="120"/>
        <v>486000</v>
      </c>
      <c r="F215" s="53"/>
      <c r="G215" s="53"/>
      <c r="H215" s="57">
        <f t="shared" si="115"/>
        <v>0</v>
      </c>
      <c r="I215" s="33">
        <f t="shared" si="116"/>
        <v>366150</v>
      </c>
      <c r="J215" s="132">
        <f>+SUM(C215:G215)-(H215+I215)</f>
        <v>156335</v>
      </c>
      <c r="K215" s="156" t="b">
        <f t="shared" si="118"/>
        <v>1</v>
      </c>
      <c r="Q215" s="5"/>
    </row>
    <row r="216" spans="1:17">
      <c r="A216" s="130" t="str">
        <f t="shared" si="121"/>
        <v>AVRIL</v>
      </c>
      <c r="B216" s="137" t="s">
        <v>84</v>
      </c>
      <c r="C216" s="128">
        <f>+C193</f>
        <v>233614</v>
      </c>
      <c r="D216" s="131"/>
      <c r="E216" s="128">
        <f>+D193</f>
        <v>0</v>
      </c>
      <c r="F216" s="146"/>
      <c r="G216" s="146"/>
      <c r="H216" s="180">
        <f t="shared" si="115"/>
        <v>0</v>
      </c>
      <c r="I216" s="128">
        <f t="shared" si="116"/>
        <v>0</v>
      </c>
      <c r="J216" s="129">
        <f>+SUM(C216:G216)-(H216+I216)</f>
        <v>233614</v>
      </c>
      <c r="K216" s="156" t="b">
        <f t="shared" si="118"/>
        <v>1</v>
      </c>
      <c r="Q216" s="5"/>
    </row>
    <row r="217" spans="1:17">
      <c r="A217" s="130" t="str">
        <f t="shared" si="121"/>
        <v>AVRIL</v>
      </c>
      <c r="B217" s="137" t="s">
        <v>83</v>
      </c>
      <c r="C217" s="128">
        <f>+C194</f>
        <v>249769</v>
      </c>
      <c r="D217" s="131"/>
      <c r="E217" s="128">
        <f>+D194</f>
        <v>0</v>
      </c>
      <c r="F217" s="146"/>
      <c r="G217" s="146"/>
      <c r="H217" s="180">
        <f t="shared" si="115"/>
        <v>0</v>
      </c>
      <c r="I217" s="128">
        <f t="shared" si="116"/>
        <v>0</v>
      </c>
      <c r="J217" s="129">
        <f t="shared" ref="J217:J224" si="122">+SUM(C217:G217)-(H217+I217)</f>
        <v>249769</v>
      </c>
      <c r="K217" s="156" t="b">
        <f t="shared" si="118"/>
        <v>1</v>
      </c>
      <c r="Q217" s="5"/>
    </row>
    <row r="218" spans="1:17">
      <c r="A218" s="130" t="str">
        <f t="shared" si="121"/>
        <v>AVRIL</v>
      </c>
      <c r="B218" s="135" t="s">
        <v>151</v>
      </c>
      <c r="C218" s="33">
        <f>+C195</f>
        <v>10700</v>
      </c>
      <c r="D218" s="32"/>
      <c r="E218" s="33">
        <f>+D195</f>
        <v>10000</v>
      </c>
      <c r="F218" s="33"/>
      <c r="G218" s="110"/>
      <c r="H218" s="57">
        <f t="shared" si="115"/>
        <v>0</v>
      </c>
      <c r="I218" s="33">
        <f t="shared" si="116"/>
        <v>10500</v>
      </c>
      <c r="J218" s="31">
        <f t="shared" si="122"/>
        <v>10200</v>
      </c>
      <c r="K218" s="156" t="b">
        <f t="shared" si="118"/>
        <v>1</v>
      </c>
      <c r="Q218" s="5"/>
    </row>
    <row r="219" spans="1:17">
      <c r="A219" s="130" t="str">
        <f t="shared" si="121"/>
        <v>AVRIL</v>
      </c>
      <c r="B219" s="135" t="s">
        <v>207</v>
      </c>
      <c r="C219" s="33">
        <f t="shared" ref="C219:C222" si="123">+C196</f>
        <v>52000</v>
      </c>
      <c r="D219" s="32"/>
      <c r="E219" s="33">
        <f t="shared" ref="E219:E224" si="124">+D196</f>
        <v>113000</v>
      </c>
      <c r="F219" s="33"/>
      <c r="G219" s="110"/>
      <c r="H219" s="57">
        <f t="shared" si="115"/>
        <v>0</v>
      </c>
      <c r="I219" s="33">
        <f t="shared" si="116"/>
        <v>121500</v>
      </c>
      <c r="J219" s="31">
        <f t="shared" si="122"/>
        <v>43500</v>
      </c>
      <c r="K219" s="156" t="b">
        <f t="shared" si="118"/>
        <v>1</v>
      </c>
      <c r="Q219" s="5"/>
    </row>
    <row r="220" spans="1:17">
      <c r="A220" s="130" t="str">
        <f t="shared" si="121"/>
        <v>AVRIL</v>
      </c>
      <c r="B220" s="135" t="s">
        <v>30</v>
      </c>
      <c r="C220" s="33">
        <f t="shared" si="123"/>
        <v>116050</v>
      </c>
      <c r="D220" s="32"/>
      <c r="E220" s="33">
        <f t="shared" si="124"/>
        <v>599000</v>
      </c>
      <c r="F220" s="33"/>
      <c r="G220" s="110"/>
      <c r="H220" s="57">
        <f t="shared" si="115"/>
        <v>0</v>
      </c>
      <c r="I220" s="33">
        <f t="shared" si="116"/>
        <v>537500</v>
      </c>
      <c r="J220" s="31">
        <f t="shared" si="122"/>
        <v>177550</v>
      </c>
      <c r="K220" s="156" t="b">
        <f t="shared" si="118"/>
        <v>1</v>
      </c>
      <c r="Q220" s="5"/>
    </row>
    <row r="221" spans="1:17">
      <c r="A221" s="130" t="str">
        <f>+A219</f>
        <v>AVRIL</v>
      </c>
      <c r="B221" s="135" t="s">
        <v>93</v>
      </c>
      <c r="C221" s="33">
        <f t="shared" si="123"/>
        <v>4400</v>
      </c>
      <c r="D221" s="32"/>
      <c r="E221" s="33">
        <f t="shared" si="124"/>
        <v>20000</v>
      </c>
      <c r="F221" s="33"/>
      <c r="G221" s="110"/>
      <c r="H221" s="57">
        <f t="shared" si="115"/>
        <v>0</v>
      </c>
      <c r="I221" s="33">
        <f t="shared" si="116"/>
        <v>20000</v>
      </c>
      <c r="J221" s="31">
        <f t="shared" si="122"/>
        <v>4400</v>
      </c>
      <c r="K221" s="156" t="b">
        <f t="shared" si="118"/>
        <v>1</v>
      </c>
      <c r="Q221" s="5"/>
    </row>
    <row r="222" spans="1:17">
      <c r="A222" s="130" t="str">
        <f>+A220</f>
        <v>AVRIL</v>
      </c>
      <c r="B222" s="135" t="s">
        <v>29</v>
      </c>
      <c r="C222" s="33">
        <f t="shared" si="123"/>
        <v>16200</v>
      </c>
      <c r="D222" s="32"/>
      <c r="E222" s="33">
        <f t="shared" si="124"/>
        <v>874000</v>
      </c>
      <c r="F222" s="33"/>
      <c r="G222" s="110"/>
      <c r="H222" s="57">
        <f t="shared" si="115"/>
        <v>100000</v>
      </c>
      <c r="I222" s="33">
        <f t="shared" si="116"/>
        <v>495500</v>
      </c>
      <c r="J222" s="31">
        <f t="shared" si="122"/>
        <v>294700</v>
      </c>
      <c r="K222" s="156" t="b">
        <f t="shared" si="118"/>
        <v>1</v>
      </c>
      <c r="Q222" s="5"/>
    </row>
    <row r="223" spans="1:17">
      <c r="A223" s="130" t="str">
        <f>+A221</f>
        <v>AVRIL</v>
      </c>
      <c r="B223" s="135" t="s">
        <v>206</v>
      </c>
      <c r="C223" s="33">
        <f>+C200</f>
        <v>6000</v>
      </c>
      <c r="D223" s="32"/>
      <c r="E223" s="33">
        <f t="shared" si="124"/>
        <v>80000</v>
      </c>
      <c r="F223" s="33"/>
      <c r="G223" s="110"/>
      <c r="H223" s="57">
        <f t="shared" si="115"/>
        <v>0</v>
      </c>
      <c r="I223" s="33">
        <f t="shared" si="116"/>
        <v>72500</v>
      </c>
      <c r="J223" s="31">
        <f t="shared" si="122"/>
        <v>13500</v>
      </c>
      <c r="K223" s="156" t="b">
        <f t="shared" si="118"/>
        <v>1</v>
      </c>
      <c r="Q223" s="5"/>
    </row>
    <row r="224" spans="1:17">
      <c r="A224" s="130" t="str">
        <f>+A222</f>
        <v>AVRIL</v>
      </c>
      <c r="B224" s="136" t="s">
        <v>113</v>
      </c>
      <c r="C224" s="33">
        <f t="shared" ref="C224" si="125">+C201</f>
        <v>-790759</v>
      </c>
      <c r="D224" s="127"/>
      <c r="E224" s="33">
        <f t="shared" si="124"/>
        <v>800000</v>
      </c>
      <c r="F224" s="53"/>
      <c r="G224" s="147"/>
      <c r="H224" s="57">
        <f t="shared" si="115"/>
        <v>0</v>
      </c>
      <c r="I224" s="33">
        <f t="shared" si="116"/>
        <v>16500</v>
      </c>
      <c r="J224" s="31">
        <f t="shared" si="122"/>
        <v>-7259</v>
      </c>
      <c r="K224" s="156" t="b">
        <f t="shared" si="118"/>
        <v>1</v>
      </c>
      <c r="Q224" s="5"/>
    </row>
    <row r="225" spans="1:17">
      <c r="A225" s="35" t="s">
        <v>60</v>
      </c>
      <c r="B225" s="36"/>
      <c r="C225" s="36"/>
      <c r="D225" s="36"/>
      <c r="E225" s="36"/>
      <c r="F225" s="36"/>
      <c r="G225" s="36"/>
      <c r="H225" s="36"/>
      <c r="I225" s="36"/>
      <c r="J225" s="37"/>
      <c r="K225" s="155"/>
      <c r="Q225" s="5"/>
    </row>
    <row r="226" spans="1:17">
      <c r="A226" s="130" t="str">
        <f>+A224</f>
        <v>AVRIL</v>
      </c>
      <c r="B226" s="38" t="s">
        <v>61</v>
      </c>
      <c r="C226" s="39">
        <f>+C189</f>
        <v>1160022</v>
      </c>
      <c r="D226" s="51"/>
      <c r="E226" s="51">
        <f>D189</f>
        <v>5100000</v>
      </c>
      <c r="F226" s="51"/>
      <c r="G226" s="133"/>
      <c r="H226" s="53">
        <f>+F189</f>
        <v>3474000</v>
      </c>
      <c r="I226" s="134">
        <f>+E189</f>
        <v>1822909</v>
      </c>
      <c r="J226" s="46">
        <f>+SUM(C226:G226)-(H226+I226)</f>
        <v>963113</v>
      </c>
      <c r="K226" s="156" t="b">
        <f>J226=I189</f>
        <v>1</v>
      </c>
      <c r="Q226" s="5"/>
    </row>
    <row r="227" spans="1:17">
      <c r="A227" s="44" t="s">
        <v>62</v>
      </c>
      <c r="B227" s="25"/>
      <c r="C227" s="36"/>
      <c r="D227" s="25"/>
      <c r="E227" s="25"/>
      <c r="F227" s="25"/>
      <c r="G227" s="25"/>
      <c r="H227" s="25"/>
      <c r="I227" s="25"/>
      <c r="J227" s="37"/>
      <c r="K227" s="155"/>
      <c r="Q227" s="5"/>
    </row>
    <row r="228" spans="1:17">
      <c r="A228" s="130" t="str">
        <f>+A226</f>
        <v>AVRIL</v>
      </c>
      <c r="B228" s="38" t="s">
        <v>166</v>
      </c>
      <c r="C228" s="133">
        <f>+C187</f>
        <v>9177780</v>
      </c>
      <c r="D228" s="140">
        <f>+G187</f>
        <v>0</v>
      </c>
      <c r="E228" s="51"/>
      <c r="F228" s="51"/>
      <c r="G228" s="51"/>
      <c r="H228" s="53">
        <f>+F187</f>
        <v>5000000</v>
      </c>
      <c r="I228" s="55">
        <f>+E187</f>
        <v>23345</v>
      </c>
      <c r="J228" s="46">
        <f>+SUM(C228:G228)-(H228+I228)</f>
        <v>4154435</v>
      </c>
      <c r="K228" s="156" t="b">
        <f>+J228=I187</f>
        <v>1</v>
      </c>
      <c r="Q228" s="5"/>
    </row>
    <row r="229" spans="1:17">
      <c r="A229" s="130" t="str">
        <f t="shared" ref="A229" si="126">+A228</f>
        <v>AVRIL</v>
      </c>
      <c r="B229" s="38" t="s">
        <v>64</v>
      </c>
      <c r="C229" s="133">
        <f>+C188</f>
        <v>21521261</v>
      </c>
      <c r="D229" s="51">
        <f>+G188</f>
        <v>0</v>
      </c>
      <c r="E229" s="50"/>
      <c r="F229" s="50"/>
      <c r="G229" s="50"/>
      <c r="H229" s="33">
        <f>+F188</f>
        <v>0</v>
      </c>
      <c r="I229" s="52">
        <f>+E188</f>
        <v>5070305</v>
      </c>
      <c r="J229" s="46">
        <f>SUM(C229:G229)-(H229+I229)</f>
        <v>16450956</v>
      </c>
      <c r="K229" s="156" t="b">
        <f>+J229=I188</f>
        <v>1</v>
      </c>
      <c r="Q229" s="5"/>
    </row>
    <row r="230" spans="1:17" ht="15.75">
      <c r="C230" s="151">
        <f>SUM(C213:C229)</f>
        <v>31829567</v>
      </c>
      <c r="I230" s="149">
        <f>SUM(I213:I229)</f>
        <v>9054909</v>
      </c>
      <c r="J230" s="111">
        <f>+SUM(J213:J229)</f>
        <v>22774658</v>
      </c>
      <c r="K230" s="5" t="b">
        <f>J230=I202</f>
        <v>1</v>
      </c>
      <c r="Q230" s="5"/>
    </row>
    <row r="231" spans="1:17" ht="15.75">
      <c r="A231" s="207"/>
      <c r="B231" s="207"/>
      <c r="C231" s="208"/>
      <c r="D231" s="207"/>
      <c r="E231" s="207"/>
      <c r="F231" s="207"/>
      <c r="G231" s="207"/>
      <c r="H231" s="207"/>
      <c r="I231" s="209"/>
      <c r="J231" s="210"/>
      <c r="K231" s="207"/>
      <c r="L231" s="211"/>
      <c r="M231" s="211"/>
      <c r="N231" s="211"/>
      <c r="O231" s="211"/>
      <c r="P231" s="207"/>
      <c r="Q231" s="5"/>
    </row>
    <row r="234" spans="1:17" ht="15.75">
      <c r="A234" s="6" t="s">
        <v>36</v>
      </c>
      <c r="B234" s="6" t="s">
        <v>1</v>
      </c>
      <c r="C234" s="6">
        <v>44621</v>
      </c>
      <c r="D234" s="7" t="s">
        <v>37</v>
      </c>
      <c r="E234" s="7" t="s">
        <v>38</v>
      </c>
      <c r="F234" s="7" t="s">
        <v>39</v>
      </c>
      <c r="G234" s="7" t="s">
        <v>40</v>
      </c>
      <c r="H234" s="6">
        <v>44651</v>
      </c>
      <c r="I234" s="7" t="s">
        <v>41</v>
      </c>
      <c r="K234" s="47"/>
      <c r="L234" s="47" t="s">
        <v>42</v>
      </c>
      <c r="M234" s="47" t="s">
        <v>43</v>
      </c>
      <c r="N234" s="47" t="s">
        <v>44</v>
      </c>
      <c r="O234" s="47" t="s">
        <v>45</v>
      </c>
      <c r="Q234" s="5"/>
    </row>
    <row r="235" spans="1:17" ht="16.5">
      <c r="A235" s="60" t="str">
        <f>K235</f>
        <v>BCI</v>
      </c>
      <c r="B235" s="61" t="s">
        <v>46</v>
      </c>
      <c r="C235" s="63">
        <v>888683</v>
      </c>
      <c r="D235" s="63">
        <f>+L235</f>
        <v>0</v>
      </c>
      <c r="E235" s="63">
        <f>+N235</f>
        <v>543345</v>
      </c>
      <c r="F235" s="63">
        <f>+M235</f>
        <v>2600000</v>
      </c>
      <c r="G235" s="63">
        <f t="shared" ref="G235:G246" si="127">+O235</f>
        <v>11432442</v>
      </c>
      <c r="H235" s="63">
        <v>9177780</v>
      </c>
      <c r="I235" s="63">
        <f>+C235+D235-E235-F235+G235</f>
        <v>9177780</v>
      </c>
      <c r="J235" s="9">
        <f>I235-H235</f>
        <v>0</v>
      </c>
      <c r="K235" s="47" t="s">
        <v>24</v>
      </c>
      <c r="L235" s="49">
        <v>0</v>
      </c>
      <c r="M235" s="49">
        <v>2600000</v>
      </c>
      <c r="N235" s="49">
        <v>543345</v>
      </c>
      <c r="O235" s="49">
        <v>11432442</v>
      </c>
      <c r="Q235" s="5"/>
    </row>
    <row r="236" spans="1:17" ht="16.5">
      <c r="A236" s="60" t="str">
        <f t="shared" ref="A236:A249" si="128">K236</f>
        <v>BCI-Sous Compte</v>
      </c>
      <c r="B236" s="61" t="s">
        <v>46</v>
      </c>
      <c r="C236" s="63">
        <v>882502</v>
      </c>
      <c r="D236" s="63">
        <f t="shared" ref="D236:D249" si="129">+L236</f>
        <v>0</v>
      </c>
      <c r="E236" s="63">
        <f t="shared" ref="E236:E249" si="130">+N236</f>
        <v>6117606</v>
      </c>
      <c r="F236" s="63">
        <f t="shared" ref="F236:F249" si="131">+M236</f>
        <v>1600000</v>
      </c>
      <c r="G236" s="63">
        <f t="shared" si="127"/>
        <v>28356365</v>
      </c>
      <c r="H236" s="63">
        <v>21521261</v>
      </c>
      <c r="I236" s="63">
        <f>+C236+D236-E236-F236+G236</f>
        <v>21521261</v>
      </c>
      <c r="J236" s="9">
        <f t="shared" ref="J236:J243" si="132">I236-H236</f>
        <v>0</v>
      </c>
      <c r="K236" s="47" t="s">
        <v>157</v>
      </c>
      <c r="L236" s="49">
        <v>0</v>
      </c>
      <c r="M236" s="49">
        <v>1600000</v>
      </c>
      <c r="N236" s="49">
        <v>6117606</v>
      </c>
      <c r="O236" s="49">
        <v>28356365</v>
      </c>
      <c r="Q236" s="5"/>
    </row>
    <row r="237" spans="1:17" ht="16.5">
      <c r="A237" s="60" t="str">
        <f t="shared" si="128"/>
        <v>Caisse</v>
      </c>
      <c r="B237" s="61" t="s">
        <v>25</v>
      </c>
      <c r="C237" s="63">
        <v>797106</v>
      </c>
      <c r="D237" s="63">
        <f t="shared" si="129"/>
        <v>4270000</v>
      </c>
      <c r="E237" s="63">
        <f t="shared" si="130"/>
        <v>2099084</v>
      </c>
      <c r="F237" s="63">
        <f t="shared" si="131"/>
        <v>1808000</v>
      </c>
      <c r="G237" s="63">
        <f t="shared" si="127"/>
        <v>0</v>
      </c>
      <c r="H237" s="63">
        <v>1160022</v>
      </c>
      <c r="I237" s="63">
        <f>+C237+D237-E237-F237+G237</f>
        <v>1160022</v>
      </c>
      <c r="J237" s="108">
        <f t="shared" si="132"/>
        <v>0</v>
      </c>
      <c r="K237" s="47" t="s">
        <v>25</v>
      </c>
      <c r="L237" s="49">
        <v>4270000</v>
      </c>
      <c r="M237" s="49">
        <v>1808000</v>
      </c>
      <c r="N237" s="49">
        <v>2099084</v>
      </c>
      <c r="O237" s="49">
        <v>0</v>
      </c>
      <c r="Q237" s="5"/>
    </row>
    <row r="238" spans="1:17" ht="16.5">
      <c r="A238" s="60" t="str">
        <f t="shared" si="128"/>
        <v>Crépin</v>
      </c>
      <c r="B238" s="61" t="s">
        <v>163</v>
      </c>
      <c r="C238" s="63">
        <v>56050</v>
      </c>
      <c r="D238" s="63">
        <f t="shared" si="129"/>
        <v>0</v>
      </c>
      <c r="E238" s="63">
        <f t="shared" si="130"/>
        <v>4000</v>
      </c>
      <c r="F238" s="63">
        <f t="shared" si="131"/>
        <v>30000</v>
      </c>
      <c r="G238" s="63">
        <f t="shared" si="127"/>
        <v>0</v>
      </c>
      <c r="H238" s="63">
        <v>22050</v>
      </c>
      <c r="I238" s="63">
        <f>+C238+D238-E238-F238+G238</f>
        <v>22050</v>
      </c>
      <c r="J238" s="9">
        <f t="shared" si="132"/>
        <v>0</v>
      </c>
      <c r="K238" s="47" t="s">
        <v>47</v>
      </c>
      <c r="L238" s="49">
        <v>0</v>
      </c>
      <c r="M238" s="49">
        <v>30000</v>
      </c>
      <c r="N238" s="49">
        <v>4000</v>
      </c>
      <c r="O238" s="49">
        <v>0</v>
      </c>
      <c r="Q238" s="5"/>
    </row>
    <row r="239" spans="1:17" ht="16.5">
      <c r="A239" s="60" t="str">
        <f t="shared" si="128"/>
        <v>Evariste</v>
      </c>
      <c r="B239" s="61" t="s">
        <v>164</v>
      </c>
      <c r="C239" s="63">
        <v>21495</v>
      </c>
      <c r="D239" s="63">
        <f t="shared" si="129"/>
        <v>139000</v>
      </c>
      <c r="E239" s="63">
        <f t="shared" si="130"/>
        <v>146500</v>
      </c>
      <c r="F239" s="63">
        <f t="shared" si="131"/>
        <v>0</v>
      </c>
      <c r="G239" s="63">
        <f t="shared" si="127"/>
        <v>0</v>
      </c>
      <c r="H239" s="63">
        <v>13995</v>
      </c>
      <c r="I239" s="63">
        <f t="shared" ref="I239" si="133">+C239+D239-E239-F239+G239</f>
        <v>13995</v>
      </c>
      <c r="J239" s="9">
        <f t="shared" si="132"/>
        <v>0</v>
      </c>
      <c r="K239" s="47" t="s">
        <v>31</v>
      </c>
      <c r="L239" s="49">
        <v>139000</v>
      </c>
      <c r="M239" s="49">
        <v>0</v>
      </c>
      <c r="N239" s="49">
        <v>146500</v>
      </c>
      <c r="O239" s="49">
        <v>0</v>
      </c>
      <c r="Q239" s="5"/>
    </row>
    <row r="240" spans="1:17" ht="16.5">
      <c r="A240" s="60" t="str">
        <f t="shared" si="128"/>
        <v>Godfré</v>
      </c>
      <c r="B240" s="61" t="s">
        <v>163</v>
      </c>
      <c r="C240" s="63">
        <v>113185</v>
      </c>
      <c r="D240" s="63">
        <f t="shared" si="129"/>
        <v>188000</v>
      </c>
      <c r="E240" s="63">
        <f t="shared" si="130"/>
        <v>224700</v>
      </c>
      <c r="F240" s="63">
        <f t="shared" si="131"/>
        <v>40000</v>
      </c>
      <c r="G240" s="63">
        <f t="shared" si="127"/>
        <v>0</v>
      </c>
      <c r="H240" s="63">
        <v>36485</v>
      </c>
      <c r="I240" s="63">
        <f>+C240+D240-E240-F240+G240</f>
        <v>36485</v>
      </c>
      <c r="J240" s="9">
        <f t="shared" si="132"/>
        <v>0</v>
      </c>
      <c r="K240" s="47" t="s">
        <v>152</v>
      </c>
      <c r="L240" s="49">
        <v>188000</v>
      </c>
      <c r="M240" s="49">
        <v>40000</v>
      </c>
      <c r="N240" s="49">
        <v>224700</v>
      </c>
      <c r="O240" s="49">
        <v>0</v>
      </c>
      <c r="Q240" s="5"/>
    </row>
    <row r="241" spans="1:17" ht="16.5">
      <c r="A241" s="60" t="str">
        <f t="shared" si="128"/>
        <v>I55S</v>
      </c>
      <c r="B241" s="124" t="s">
        <v>4</v>
      </c>
      <c r="C241" s="126">
        <v>233614</v>
      </c>
      <c r="D241" s="126">
        <f t="shared" si="129"/>
        <v>0</v>
      </c>
      <c r="E241" s="126">
        <f t="shared" si="130"/>
        <v>0</v>
      </c>
      <c r="F241" s="126">
        <f t="shared" si="131"/>
        <v>0</v>
      </c>
      <c r="G241" s="126">
        <f t="shared" si="127"/>
        <v>0</v>
      </c>
      <c r="H241" s="126">
        <v>233614</v>
      </c>
      <c r="I241" s="126">
        <f>+C241+D241-E241-F241+G241</f>
        <v>233614</v>
      </c>
      <c r="J241" s="9">
        <f t="shared" si="132"/>
        <v>0</v>
      </c>
      <c r="K241" s="47" t="s">
        <v>84</v>
      </c>
      <c r="L241" s="49">
        <v>0</v>
      </c>
      <c r="M241" s="49">
        <v>0</v>
      </c>
      <c r="N241" s="49">
        <v>0</v>
      </c>
      <c r="O241" s="49">
        <v>0</v>
      </c>
      <c r="Q241" s="5"/>
    </row>
    <row r="242" spans="1:17" ht="16.5">
      <c r="A242" s="60" t="str">
        <f t="shared" si="128"/>
        <v>I73X</v>
      </c>
      <c r="B242" s="124" t="s">
        <v>4</v>
      </c>
      <c r="C242" s="126">
        <v>249769</v>
      </c>
      <c r="D242" s="126">
        <f t="shared" si="129"/>
        <v>0</v>
      </c>
      <c r="E242" s="126">
        <f t="shared" si="130"/>
        <v>0</v>
      </c>
      <c r="F242" s="126">
        <f t="shared" si="131"/>
        <v>0</v>
      </c>
      <c r="G242" s="126">
        <f t="shared" si="127"/>
        <v>0</v>
      </c>
      <c r="H242" s="126">
        <v>249769</v>
      </c>
      <c r="I242" s="126">
        <f t="shared" ref="I242:I245" si="134">+C242+D242-E242-F242+G242</f>
        <v>249769</v>
      </c>
      <c r="J242" s="9">
        <f t="shared" si="132"/>
        <v>0</v>
      </c>
      <c r="K242" s="47" t="s">
        <v>83</v>
      </c>
      <c r="L242" s="49">
        <v>0</v>
      </c>
      <c r="M242" s="49">
        <v>0</v>
      </c>
      <c r="N242" s="49">
        <v>0</v>
      </c>
      <c r="O242" s="49">
        <v>0</v>
      </c>
      <c r="Q242" s="5"/>
    </row>
    <row r="243" spans="1:17" ht="16.5">
      <c r="A243" s="60" t="str">
        <f t="shared" si="128"/>
        <v>Grace</v>
      </c>
      <c r="B243" s="104" t="s">
        <v>2</v>
      </c>
      <c r="C243" s="63">
        <v>20700</v>
      </c>
      <c r="D243" s="63">
        <f t="shared" si="129"/>
        <v>0</v>
      </c>
      <c r="E243" s="63">
        <f t="shared" si="130"/>
        <v>10000</v>
      </c>
      <c r="F243" s="63">
        <f t="shared" si="131"/>
        <v>0</v>
      </c>
      <c r="G243" s="63">
        <f t="shared" si="127"/>
        <v>0</v>
      </c>
      <c r="H243" s="63">
        <v>10700</v>
      </c>
      <c r="I243" s="63">
        <f t="shared" si="134"/>
        <v>10700</v>
      </c>
      <c r="J243" s="9">
        <f t="shared" si="132"/>
        <v>0</v>
      </c>
      <c r="K243" s="47" t="s">
        <v>151</v>
      </c>
      <c r="L243" s="49">
        <v>0</v>
      </c>
      <c r="M243" s="49">
        <v>0</v>
      </c>
      <c r="N243" s="49">
        <v>10000</v>
      </c>
      <c r="O243" s="49">
        <v>0</v>
      </c>
      <c r="Q243" s="5"/>
    </row>
    <row r="244" spans="1:17" ht="16.5">
      <c r="A244" s="60" t="str">
        <f t="shared" si="128"/>
        <v>Hurielle</v>
      </c>
      <c r="B244" s="61" t="s">
        <v>163</v>
      </c>
      <c r="C244" s="63">
        <v>0</v>
      </c>
      <c r="D244" s="63">
        <f t="shared" si="129"/>
        <v>135000</v>
      </c>
      <c r="E244" s="63">
        <f t="shared" si="130"/>
        <v>83000</v>
      </c>
      <c r="F244" s="63">
        <f t="shared" si="131"/>
        <v>0</v>
      </c>
      <c r="G244" s="63">
        <f t="shared" si="127"/>
        <v>0</v>
      </c>
      <c r="H244" s="63">
        <v>52000</v>
      </c>
      <c r="I244" s="63">
        <f t="shared" si="134"/>
        <v>52000</v>
      </c>
      <c r="J244" s="9">
        <f>I244-H244</f>
        <v>0</v>
      </c>
      <c r="K244" s="47" t="s">
        <v>207</v>
      </c>
      <c r="L244" s="49">
        <v>135000</v>
      </c>
      <c r="M244" s="49">
        <v>0</v>
      </c>
      <c r="N244" s="49">
        <v>83000</v>
      </c>
      <c r="O244" s="49">
        <v>0</v>
      </c>
      <c r="Q244" s="5"/>
    </row>
    <row r="245" spans="1:17" ht="16.5">
      <c r="A245" s="60" t="str">
        <f t="shared" si="128"/>
        <v>I23C</v>
      </c>
      <c r="B245" s="104" t="s">
        <v>4</v>
      </c>
      <c r="C245" s="63">
        <v>15550</v>
      </c>
      <c r="D245" s="63">
        <f t="shared" si="129"/>
        <v>747000</v>
      </c>
      <c r="E245" s="63">
        <f t="shared" si="130"/>
        <v>646500</v>
      </c>
      <c r="F245" s="63">
        <f t="shared" si="131"/>
        <v>0</v>
      </c>
      <c r="G245" s="63">
        <f t="shared" si="127"/>
        <v>0</v>
      </c>
      <c r="H245" s="63">
        <v>116050</v>
      </c>
      <c r="I245" s="63">
        <f t="shared" si="134"/>
        <v>116050</v>
      </c>
      <c r="J245" s="9">
        <f t="shared" ref="J245:J246" si="135">I245-H245</f>
        <v>0</v>
      </c>
      <c r="K245" s="47" t="s">
        <v>30</v>
      </c>
      <c r="L245" s="49">
        <v>747000</v>
      </c>
      <c r="M245" s="49">
        <v>0</v>
      </c>
      <c r="N245" s="49">
        <v>646500</v>
      </c>
      <c r="O245" s="49">
        <v>0</v>
      </c>
      <c r="Q245" s="5"/>
    </row>
    <row r="246" spans="1:17" ht="16.5">
      <c r="A246" s="60" t="str">
        <f t="shared" si="128"/>
        <v>Merveille</v>
      </c>
      <c r="B246" s="61" t="s">
        <v>2</v>
      </c>
      <c r="C246" s="63">
        <v>4800</v>
      </c>
      <c r="D246" s="63">
        <f t="shared" si="129"/>
        <v>20000</v>
      </c>
      <c r="E246" s="63">
        <f t="shared" si="130"/>
        <v>20400</v>
      </c>
      <c r="F246" s="63">
        <f t="shared" si="131"/>
        <v>0</v>
      </c>
      <c r="G246" s="63">
        <f t="shared" si="127"/>
        <v>0</v>
      </c>
      <c r="H246" s="63">
        <v>4400</v>
      </c>
      <c r="I246" s="63">
        <f>+C246+D246-E246-F246+G246</f>
        <v>4400</v>
      </c>
      <c r="J246" s="9">
        <f t="shared" si="135"/>
        <v>0</v>
      </c>
      <c r="K246" s="47" t="s">
        <v>93</v>
      </c>
      <c r="L246" s="49">
        <v>20000</v>
      </c>
      <c r="M246" s="49">
        <v>0</v>
      </c>
      <c r="N246" s="49">
        <v>20400</v>
      </c>
      <c r="O246" s="49"/>
      <c r="Q246" s="5"/>
    </row>
    <row r="247" spans="1:17" ht="16.5">
      <c r="A247" s="60" t="str">
        <f t="shared" si="128"/>
        <v>P29</v>
      </c>
      <c r="B247" s="61" t="s">
        <v>4</v>
      </c>
      <c r="C247" s="63">
        <v>136200</v>
      </c>
      <c r="D247" s="63">
        <f t="shared" si="129"/>
        <v>380000</v>
      </c>
      <c r="E247" s="63">
        <f t="shared" si="130"/>
        <v>500000</v>
      </c>
      <c r="F247" s="63">
        <f t="shared" si="131"/>
        <v>0</v>
      </c>
      <c r="G247" s="63">
        <f>+O247</f>
        <v>0</v>
      </c>
      <c r="H247" s="63">
        <v>16200</v>
      </c>
      <c r="I247" s="63">
        <f>+C247+D247-E247-F247+G247</f>
        <v>16200</v>
      </c>
      <c r="J247" s="9">
        <f>I247-H247</f>
        <v>0</v>
      </c>
      <c r="K247" s="47" t="s">
        <v>29</v>
      </c>
      <c r="L247" s="49">
        <v>380000</v>
      </c>
      <c r="M247" s="49">
        <v>0</v>
      </c>
      <c r="N247" s="49">
        <v>500000</v>
      </c>
      <c r="O247" s="49">
        <v>0</v>
      </c>
      <c r="Q247" s="5"/>
    </row>
    <row r="248" spans="1:17" ht="16.5">
      <c r="A248" s="60" t="str">
        <f t="shared" si="128"/>
        <v>Paule</v>
      </c>
      <c r="B248" s="61" t="s">
        <v>163</v>
      </c>
      <c r="C248" s="63">
        <v>0</v>
      </c>
      <c r="D248" s="63">
        <f t="shared" si="129"/>
        <v>129000</v>
      </c>
      <c r="E248" s="63">
        <f t="shared" si="130"/>
        <v>123000</v>
      </c>
      <c r="F248" s="63">
        <f t="shared" si="131"/>
        <v>0</v>
      </c>
      <c r="G248" s="63">
        <f>+O248</f>
        <v>0</v>
      </c>
      <c r="H248" s="63">
        <v>6000</v>
      </c>
      <c r="I248" s="63">
        <f>+C248+D248-E248-F248+G248</f>
        <v>6000</v>
      </c>
      <c r="J248" s="9">
        <f>I248-H248</f>
        <v>0</v>
      </c>
      <c r="K248" s="47" t="s">
        <v>206</v>
      </c>
      <c r="L248" s="49">
        <v>129000</v>
      </c>
      <c r="M248" s="49">
        <v>0</v>
      </c>
      <c r="N248" s="49">
        <v>123000</v>
      </c>
      <c r="O248" s="49">
        <v>0</v>
      </c>
      <c r="Q248" s="5"/>
    </row>
    <row r="249" spans="1:17" ht="16.5">
      <c r="A249" s="60" t="str">
        <f t="shared" si="128"/>
        <v>Tiffany</v>
      </c>
      <c r="B249" s="61" t="s">
        <v>2</v>
      </c>
      <c r="C249" s="63">
        <v>-36737</v>
      </c>
      <c r="D249" s="63">
        <f t="shared" si="129"/>
        <v>70000</v>
      </c>
      <c r="E249" s="63">
        <f t="shared" si="130"/>
        <v>824022</v>
      </c>
      <c r="F249" s="63">
        <f t="shared" si="131"/>
        <v>0</v>
      </c>
      <c r="G249" s="63">
        <f t="shared" ref="G249" si="136">+O249</f>
        <v>0</v>
      </c>
      <c r="H249" s="63">
        <v>-790759</v>
      </c>
      <c r="I249" s="63">
        <f t="shared" ref="I249" si="137">+C249+D249-E249-F249+G249</f>
        <v>-790759</v>
      </c>
      <c r="J249" s="9">
        <f t="shared" ref="J249" si="138">I249-H249</f>
        <v>0</v>
      </c>
      <c r="K249" s="47" t="s">
        <v>113</v>
      </c>
      <c r="L249" s="49">
        <v>70000</v>
      </c>
      <c r="M249" s="49">
        <v>0</v>
      </c>
      <c r="N249" s="49">
        <v>824022</v>
      </c>
      <c r="O249" s="49">
        <v>0</v>
      </c>
      <c r="Q249" s="5"/>
    </row>
    <row r="250" spans="1:17" ht="16.5">
      <c r="A250" s="10" t="s">
        <v>50</v>
      </c>
      <c r="B250" s="11"/>
      <c r="C250" s="12">
        <f t="shared" ref="C250:I250" si="139">SUM(C235:C249)</f>
        <v>3382917</v>
      </c>
      <c r="D250" s="59">
        <f t="shared" si="139"/>
        <v>6078000</v>
      </c>
      <c r="E250" s="59">
        <f t="shared" si="139"/>
        <v>11342157</v>
      </c>
      <c r="F250" s="59">
        <f t="shared" si="139"/>
        <v>6078000</v>
      </c>
      <c r="G250" s="59">
        <f t="shared" si="139"/>
        <v>39788807</v>
      </c>
      <c r="H250" s="59">
        <f t="shared" si="139"/>
        <v>31829567</v>
      </c>
      <c r="I250" s="59">
        <f t="shared" si="139"/>
        <v>31829567</v>
      </c>
      <c r="J250" s="9">
        <f>I250-H250</f>
        <v>0</v>
      </c>
      <c r="K250" s="3"/>
      <c r="L250" s="49">
        <f>+SUM(L235:L249)</f>
        <v>6078000</v>
      </c>
      <c r="M250" s="49">
        <f>+SUM(M235:M249)</f>
        <v>6078000</v>
      </c>
      <c r="N250" s="49">
        <f>+SUM(N235:N249)</f>
        <v>11342157</v>
      </c>
      <c r="O250" s="49">
        <f>+SUM(O235:O249)</f>
        <v>39788807</v>
      </c>
      <c r="Q250" s="5"/>
    </row>
    <row r="251" spans="1:17" ht="16.5">
      <c r="A251" s="10"/>
      <c r="B251" s="11"/>
      <c r="C251" s="12"/>
      <c r="D251" s="13"/>
      <c r="E251" s="12"/>
      <c r="F251" s="13"/>
      <c r="G251" s="12"/>
      <c r="H251" s="12"/>
      <c r="I251" s="143" t="b">
        <f>I250=D253</f>
        <v>1</v>
      </c>
      <c r="L251" s="5"/>
      <c r="M251" s="5"/>
      <c r="N251" s="5"/>
      <c r="O251" s="5"/>
      <c r="Q251" s="5"/>
    </row>
    <row r="252" spans="1:17" ht="16.5">
      <c r="A252" s="10" t="s">
        <v>199</v>
      </c>
      <c r="B252" s="11" t="s">
        <v>200</v>
      </c>
      <c r="C252" s="12" t="s">
        <v>204</v>
      </c>
      <c r="D252" s="12" t="s">
        <v>201</v>
      </c>
      <c r="E252" s="12" t="s">
        <v>51</v>
      </c>
      <c r="F252" s="12"/>
      <c r="G252" s="12">
        <f>+D250-F250</f>
        <v>0</v>
      </c>
      <c r="H252" s="12"/>
      <c r="I252" s="12"/>
      <c r="Q252" s="5"/>
    </row>
    <row r="253" spans="1:17" ht="16.5">
      <c r="A253" s="14">
        <f>C250</f>
        <v>3382917</v>
      </c>
      <c r="B253" s="15">
        <f>G250</f>
        <v>39788807</v>
      </c>
      <c r="C253" s="12">
        <f>E250</f>
        <v>11342157</v>
      </c>
      <c r="D253" s="12">
        <f>A253+B253-C253</f>
        <v>31829567</v>
      </c>
      <c r="E253" s="13">
        <f>I250-D253</f>
        <v>0</v>
      </c>
      <c r="F253" s="12"/>
      <c r="G253" s="12"/>
      <c r="H253" s="12"/>
      <c r="I253" s="12"/>
      <c r="Q253" s="5"/>
    </row>
    <row r="254" spans="1:17" ht="16.5">
      <c r="A254" s="14"/>
      <c r="B254" s="15"/>
      <c r="C254" s="12"/>
      <c r="D254" s="12"/>
      <c r="E254" s="13"/>
      <c r="F254" s="12"/>
      <c r="G254" s="12"/>
      <c r="H254" s="12"/>
      <c r="I254" s="12"/>
      <c r="Q254" s="5"/>
    </row>
    <row r="255" spans="1:17">
      <c r="A255" s="16" t="s">
        <v>52</v>
      </c>
      <c r="B255" s="16"/>
      <c r="C255" s="16"/>
      <c r="D255" s="17"/>
      <c r="E255" s="17"/>
      <c r="F255" s="17"/>
      <c r="G255" s="17"/>
      <c r="H255" s="17"/>
      <c r="I255" s="17"/>
      <c r="Q255" s="5"/>
    </row>
    <row r="256" spans="1:17">
      <c r="A256" s="18" t="s">
        <v>202</v>
      </c>
      <c r="B256" s="18"/>
      <c r="C256" s="18"/>
      <c r="D256" s="18"/>
      <c r="E256" s="18"/>
      <c r="F256" s="18"/>
      <c r="G256" s="18"/>
      <c r="H256" s="18"/>
      <c r="I256" s="18"/>
      <c r="J256" s="18"/>
      <c r="Q256" s="5"/>
    </row>
    <row r="257" spans="1:17">
      <c r="A257" s="19"/>
      <c r="B257" s="20"/>
      <c r="C257" s="21"/>
      <c r="D257" s="21"/>
      <c r="E257" s="21"/>
      <c r="F257" s="21"/>
      <c r="G257" s="21"/>
      <c r="H257" s="20"/>
      <c r="I257" s="20"/>
      <c r="Q257" s="5"/>
    </row>
    <row r="258" spans="1:17">
      <c r="A258" s="220" t="s">
        <v>53</v>
      </c>
      <c r="B258" s="222" t="s">
        <v>54</v>
      </c>
      <c r="C258" s="224" t="s">
        <v>203</v>
      </c>
      <c r="D258" s="226" t="s">
        <v>55</v>
      </c>
      <c r="E258" s="227"/>
      <c r="F258" s="227"/>
      <c r="G258" s="228"/>
      <c r="H258" s="229" t="s">
        <v>56</v>
      </c>
      <c r="I258" s="216" t="s">
        <v>57</v>
      </c>
      <c r="J258" s="20"/>
      <c r="Q258" s="5"/>
    </row>
    <row r="259" spans="1:17" ht="28.5" customHeight="1">
      <c r="A259" s="221"/>
      <c r="B259" s="223"/>
      <c r="C259" s="225"/>
      <c r="D259" s="22" t="s">
        <v>24</v>
      </c>
      <c r="E259" s="22" t="s">
        <v>25</v>
      </c>
      <c r="F259" s="225" t="s">
        <v>123</v>
      </c>
      <c r="G259" s="22" t="s">
        <v>58</v>
      </c>
      <c r="H259" s="230"/>
      <c r="I259" s="217"/>
      <c r="J259" s="218" t="s">
        <v>198</v>
      </c>
      <c r="K259" s="155"/>
      <c r="Q259" s="5"/>
    </row>
    <row r="260" spans="1:17">
      <c r="A260" s="24"/>
      <c r="B260" s="25" t="s">
        <v>59</v>
      </c>
      <c r="C260" s="26"/>
      <c r="D260" s="26"/>
      <c r="E260" s="26"/>
      <c r="F260" s="26"/>
      <c r="G260" s="26"/>
      <c r="H260" s="26"/>
      <c r="I260" s="27"/>
      <c r="J260" s="219"/>
      <c r="K260" s="155"/>
      <c r="Q260" s="5"/>
    </row>
    <row r="261" spans="1:17">
      <c r="A261" s="130" t="s">
        <v>120</v>
      </c>
      <c r="B261" s="135" t="s">
        <v>47</v>
      </c>
      <c r="C261" s="33">
        <f>+C238</f>
        <v>56050</v>
      </c>
      <c r="D261" s="32"/>
      <c r="E261" s="33">
        <f>+D238</f>
        <v>0</v>
      </c>
      <c r="F261" s="33"/>
      <c r="G261" s="33"/>
      <c r="H261" s="57">
        <f t="shared" ref="H261:H271" si="140">+F238</f>
        <v>30000</v>
      </c>
      <c r="I261" s="33">
        <f t="shared" ref="I261:I271" si="141">+E238</f>
        <v>4000</v>
      </c>
      <c r="J261" s="31">
        <f t="shared" ref="J261:J262" si="142">+SUM(C261:G261)-(H261+I261)</f>
        <v>22050</v>
      </c>
      <c r="K261" s="156" t="b">
        <f t="shared" ref="K261:K271" si="143">J261=I238</f>
        <v>1</v>
      </c>
      <c r="Q261" s="5"/>
    </row>
    <row r="262" spans="1:17">
      <c r="A262" s="130" t="str">
        <f>+A261</f>
        <v>MARS</v>
      </c>
      <c r="B262" s="135" t="s">
        <v>31</v>
      </c>
      <c r="C262" s="33">
        <f t="shared" ref="C262:C263" si="144">+C239</f>
        <v>21495</v>
      </c>
      <c r="D262" s="32"/>
      <c r="E262" s="33">
        <f t="shared" ref="E262:E263" si="145">+D239</f>
        <v>139000</v>
      </c>
      <c r="F262" s="33"/>
      <c r="G262" s="33"/>
      <c r="H262" s="57">
        <f t="shared" si="140"/>
        <v>0</v>
      </c>
      <c r="I262" s="33">
        <f t="shared" si="141"/>
        <v>146500</v>
      </c>
      <c r="J262" s="107">
        <f t="shared" si="142"/>
        <v>13995</v>
      </c>
      <c r="K262" s="156" t="b">
        <f t="shared" si="143"/>
        <v>1</v>
      </c>
      <c r="Q262" s="5"/>
    </row>
    <row r="263" spans="1:17">
      <c r="A263" s="130" t="str">
        <f t="shared" ref="A263:A268" si="146">+A262</f>
        <v>MARS</v>
      </c>
      <c r="B263" s="136" t="s">
        <v>152</v>
      </c>
      <c r="C263" s="33">
        <f t="shared" si="144"/>
        <v>113185</v>
      </c>
      <c r="D263" s="127"/>
      <c r="E263" s="33">
        <f t="shared" si="145"/>
        <v>188000</v>
      </c>
      <c r="F263" s="53"/>
      <c r="G263" s="53"/>
      <c r="H263" s="57">
        <f t="shared" si="140"/>
        <v>40000</v>
      </c>
      <c r="I263" s="33">
        <f t="shared" si="141"/>
        <v>224700</v>
      </c>
      <c r="J263" s="132">
        <f>+SUM(C263:G263)-(H263+I263)</f>
        <v>36485</v>
      </c>
      <c r="K263" s="156" t="b">
        <f t="shared" si="143"/>
        <v>1</v>
      </c>
      <c r="Q263" s="5"/>
    </row>
    <row r="264" spans="1:17">
      <c r="A264" s="130" t="str">
        <f t="shared" si="146"/>
        <v>MARS</v>
      </c>
      <c r="B264" s="137" t="s">
        <v>84</v>
      </c>
      <c r="C264" s="128">
        <f>+C241</f>
        <v>233614</v>
      </c>
      <c r="D264" s="131"/>
      <c r="E264" s="128">
        <f>+D241</f>
        <v>0</v>
      </c>
      <c r="F264" s="146"/>
      <c r="G264" s="146"/>
      <c r="H264" s="180">
        <f t="shared" si="140"/>
        <v>0</v>
      </c>
      <c r="I264" s="128">
        <f t="shared" si="141"/>
        <v>0</v>
      </c>
      <c r="J264" s="129">
        <f>+SUM(C264:G264)-(H264+I264)</f>
        <v>233614</v>
      </c>
      <c r="K264" s="156" t="b">
        <f t="shared" si="143"/>
        <v>1</v>
      </c>
      <c r="Q264" s="5"/>
    </row>
    <row r="265" spans="1:17">
      <c r="A265" s="130" t="str">
        <f t="shared" si="146"/>
        <v>MARS</v>
      </c>
      <c r="B265" s="137" t="s">
        <v>83</v>
      </c>
      <c r="C265" s="128">
        <f>+C242</f>
        <v>249769</v>
      </c>
      <c r="D265" s="131"/>
      <c r="E265" s="128">
        <f>+D242</f>
        <v>0</v>
      </c>
      <c r="F265" s="146"/>
      <c r="G265" s="146"/>
      <c r="H265" s="180">
        <f t="shared" si="140"/>
        <v>0</v>
      </c>
      <c r="I265" s="128">
        <f t="shared" si="141"/>
        <v>0</v>
      </c>
      <c r="J265" s="129">
        <f t="shared" ref="J265:J272" si="147">+SUM(C265:G265)-(H265+I265)</f>
        <v>249769</v>
      </c>
      <c r="K265" s="156" t="b">
        <f t="shared" si="143"/>
        <v>1</v>
      </c>
      <c r="Q265" s="5"/>
    </row>
    <row r="266" spans="1:17">
      <c r="A266" s="130" t="str">
        <f t="shared" si="146"/>
        <v>MARS</v>
      </c>
      <c r="B266" s="135" t="s">
        <v>151</v>
      </c>
      <c r="C266" s="33">
        <f>+C243</f>
        <v>20700</v>
      </c>
      <c r="D266" s="32"/>
      <c r="E266" s="33">
        <f>+D243</f>
        <v>0</v>
      </c>
      <c r="F266" s="33"/>
      <c r="G266" s="110"/>
      <c r="H266" s="57">
        <f t="shared" si="140"/>
        <v>0</v>
      </c>
      <c r="I266" s="33">
        <f t="shared" si="141"/>
        <v>10000</v>
      </c>
      <c r="J266" s="31">
        <f t="shared" si="147"/>
        <v>10700</v>
      </c>
      <c r="K266" s="156" t="b">
        <f t="shared" si="143"/>
        <v>1</v>
      </c>
      <c r="Q266" s="5"/>
    </row>
    <row r="267" spans="1:17">
      <c r="A267" s="130" t="str">
        <f t="shared" si="146"/>
        <v>MARS</v>
      </c>
      <c r="B267" s="135" t="s">
        <v>207</v>
      </c>
      <c r="C267" s="33">
        <f t="shared" ref="C267:C270" si="148">+C244</f>
        <v>0</v>
      </c>
      <c r="D267" s="32"/>
      <c r="E267" s="33">
        <f t="shared" ref="E267:E272" si="149">+D244</f>
        <v>135000</v>
      </c>
      <c r="F267" s="33"/>
      <c r="G267" s="110"/>
      <c r="H267" s="57">
        <f t="shared" si="140"/>
        <v>0</v>
      </c>
      <c r="I267" s="33">
        <f t="shared" si="141"/>
        <v>83000</v>
      </c>
      <c r="J267" s="31">
        <f t="shared" si="147"/>
        <v>52000</v>
      </c>
      <c r="K267" s="156" t="b">
        <f t="shared" si="143"/>
        <v>1</v>
      </c>
      <c r="Q267" s="5"/>
    </row>
    <row r="268" spans="1:17">
      <c r="A268" s="130" t="str">
        <f t="shared" si="146"/>
        <v>MARS</v>
      </c>
      <c r="B268" s="135" t="s">
        <v>30</v>
      </c>
      <c r="C268" s="33">
        <f t="shared" si="148"/>
        <v>15550</v>
      </c>
      <c r="D268" s="32"/>
      <c r="E268" s="33">
        <f t="shared" si="149"/>
        <v>747000</v>
      </c>
      <c r="F268" s="33"/>
      <c r="G268" s="110"/>
      <c r="H268" s="57">
        <f t="shared" si="140"/>
        <v>0</v>
      </c>
      <c r="I268" s="33">
        <f t="shared" si="141"/>
        <v>646500</v>
      </c>
      <c r="J268" s="31">
        <f t="shared" si="147"/>
        <v>116050</v>
      </c>
      <c r="K268" s="156" t="b">
        <f t="shared" si="143"/>
        <v>1</v>
      </c>
      <c r="Q268" s="5"/>
    </row>
    <row r="269" spans="1:17">
      <c r="A269" s="130" t="str">
        <f>+A267</f>
        <v>MARS</v>
      </c>
      <c r="B269" s="135" t="s">
        <v>93</v>
      </c>
      <c r="C269" s="33">
        <f t="shared" si="148"/>
        <v>4800</v>
      </c>
      <c r="D269" s="32"/>
      <c r="E269" s="33">
        <f t="shared" si="149"/>
        <v>20000</v>
      </c>
      <c r="F269" s="33"/>
      <c r="G269" s="110"/>
      <c r="H269" s="57">
        <f t="shared" si="140"/>
        <v>0</v>
      </c>
      <c r="I269" s="33">
        <f t="shared" si="141"/>
        <v>20400</v>
      </c>
      <c r="J269" s="31">
        <f t="shared" si="147"/>
        <v>4400</v>
      </c>
      <c r="K269" s="156" t="b">
        <f t="shared" si="143"/>
        <v>1</v>
      </c>
      <c r="Q269" s="5"/>
    </row>
    <row r="270" spans="1:17">
      <c r="A270" s="130" t="str">
        <f>+A268</f>
        <v>MARS</v>
      </c>
      <c r="B270" s="135" t="s">
        <v>29</v>
      </c>
      <c r="C270" s="33">
        <f t="shared" si="148"/>
        <v>136200</v>
      </c>
      <c r="D270" s="32"/>
      <c r="E270" s="33">
        <f t="shared" si="149"/>
        <v>380000</v>
      </c>
      <c r="F270" s="33"/>
      <c r="G270" s="110"/>
      <c r="H270" s="57">
        <f t="shared" si="140"/>
        <v>0</v>
      </c>
      <c r="I270" s="33">
        <f t="shared" si="141"/>
        <v>500000</v>
      </c>
      <c r="J270" s="31">
        <f t="shared" si="147"/>
        <v>16200</v>
      </c>
      <c r="K270" s="156" t="b">
        <f t="shared" si="143"/>
        <v>1</v>
      </c>
      <c r="Q270" s="5"/>
    </row>
    <row r="271" spans="1:17">
      <c r="A271" s="130" t="str">
        <f>+A269</f>
        <v>MARS</v>
      </c>
      <c r="B271" s="135" t="s">
        <v>206</v>
      </c>
      <c r="C271" s="33">
        <f>+C248</f>
        <v>0</v>
      </c>
      <c r="D271" s="32"/>
      <c r="E271" s="33">
        <f t="shared" si="149"/>
        <v>129000</v>
      </c>
      <c r="F271" s="33"/>
      <c r="G271" s="110"/>
      <c r="H271" s="57">
        <f t="shared" si="140"/>
        <v>0</v>
      </c>
      <c r="I271" s="33">
        <f t="shared" si="141"/>
        <v>123000</v>
      </c>
      <c r="J271" s="31">
        <f t="shared" ref="J271" si="150">+SUM(C271:G271)-(H271+I271)</f>
        <v>6000</v>
      </c>
      <c r="K271" s="156" t="b">
        <f t="shared" si="143"/>
        <v>1</v>
      </c>
      <c r="Q271" s="5"/>
    </row>
    <row r="272" spans="1:17">
      <c r="A272" s="130" t="str">
        <f>+A270</f>
        <v>MARS</v>
      </c>
      <c r="B272" s="136" t="s">
        <v>113</v>
      </c>
      <c r="C272" s="33">
        <f t="shared" ref="C272" si="151">+C249</f>
        <v>-36737</v>
      </c>
      <c r="D272" s="127"/>
      <c r="E272" s="33">
        <f t="shared" si="149"/>
        <v>70000</v>
      </c>
      <c r="F272" s="53"/>
      <c r="G272" s="147"/>
      <c r="H272" s="57">
        <f t="shared" ref="H272" si="152">+F249</f>
        <v>0</v>
      </c>
      <c r="I272" s="33">
        <f t="shared" ref="I272" si="153">+E249</f>
        <v>824022</v>
      </c>
      <c r="J272" s="31">
        <f t="shared" si="147"/>
        <v>-790759</v>
      </c>
      <c r="K272" s="156" t="b">
        <f t="shared" ref="K272" si="154">J272=I249</f>
        <v>1</v>
      </c>
      <c r="Q272" s="5"/>
    </row>
    <row r="273" spans="1:17">
      <c r="A273" s="35" t="s">
        <v>60</v>
      </c>
      <c r="B273" s="36"/>
      <c r="C273" s="36"/>
      <c r="D273" s="36"/>
      <c r="E273" s="36"/>
      <c r="F273" s="36"/>
      <c r="G273" s="36"/>
      <c r="H273" s="36"/>
      <c r="I273" s="36"/>
      <c r="J273" s="37"/>
      <c r="K273" s="155"/>
      <c r="Q273" s="5"/>
    </row>
    <row r="274" spans="1:17">
      <c r="A274" s="130" t="str">
        <f>+A272</f>
        <v>MARS</v>
      </c>
      <c r="B274" s="38" t="s">
        <v>61</v>
      </c>
      <c r="C274" s="39">
        <f>+C237</f>
        <v>797106</v>
      </c>
      <c r="D274" s="51"/>
      <c r="E274" s="51">
        <f>D237</f>
        <v>4270000</v>
      </c>
      <c r="F274" s="51"/>
      <c r="G274" s="133"/>
      <c r="H274" s="53">
        <f>+F237</f>
        <v>1808000</v>
      </c>
      <c r="I274" s="134">
        <f>+E237</f>
        <v>2099084</v>
      </c>
      <c r="J274" s="46">
        <f>+SUM(C274:G274)-(H274+I274)</f>
        <v>1160022</v>
      </c>
      <c r="K274" s="156" t="b">
        <f>J274=I237</f>
        <v>1</v>
      </c>
      <c r="Q274" s="5"/>
    </row>
    <row r="275" spans="1:17">
      <c r="A275" s="44" t="s">
        <v>62</v>
      </c>
      <c r="B275" s="25"/>
      <c r="C275" s="36"/>
      <c r="D275" s="25"/>
      <c r="E275" s="25"/>
      <c r="F275" s="25"/>
      <c r="G275" s="25"/>
      <c r="H275" s="25"/>
      <c r="I275" s="25"/>
      <c r="J275" s="37"/>
      <c r="K275" s="155"/>
      <c r="Q275" s="5"/>
    </row>
    <row r="276" spans="1:17">
      <c r="A276" s="130" t="str">
        <f>+A274</f>
        <v>MARS</v>
      </c>
      <c r="B276" s="38" t="s">
        <v>166</v>
      </c>
      <c r="C276" s="133">
        <f>+C235</f>
        <v>888683</v>
      </c>
      <c r="D276" s="140">
        <f>+G235</f>
        <v>11432442</v>
      </c>
      <c r="E276" s="51"/>
      <c r="F276" s="51"/>
      <c r="G276" s="51"/>
      <c r="H276" s="53">
        <f>+F235</f>
        <v>2600000</v>
      </c>
      <c r="I276" s="55">
        <f>+E235</f>
        <v>543345</v>
      </c>
      <c r="J276" s="46">
        <f>+SUM(C276:G276)-(H276+I276)</f>
        <v>9177780</v>
      </c>
      <c r="K276" s="156" t="b">
        <f>+J276=I235</f>
        <v>1</v>
      </c>
      <c r="Q276" s="5"/>
    </row>
    <row r="277" spans="1:17">
      <c r="A277" s="130" t="str">
        <f t="shared" ref="A277" si="155">+A276</f>
        <v>MARS</v>
      </c>
      <c r="B277" s="38" t="s">
        <v>64</v>
      </c>
      <c r="C277" s="133">
        <f>+C236</f>
        <v>882502</v>
      </c>
      <c r="D277" s="51">
        <f>+G236</f>
        <v>28356365</v>
      </c>
      <c r="E277" s="50"/>
      <c r="F277" s="50"/>
      <c r="G277" s="50"/>
      <c r="H277" s="33">
        <f>+F236</f>
        <v>1600000</v>
      </c>
      <c r="I277" s="52">
        <f>+E236</f>
        <v>6117606</v>
      </c>
      <c r="J277" s="46">
        <f>SUM(C277:G277)-(H277+I277)</f>
        <v>21521261</v>
      </c>
      <c r="K277" s="156" t="b">
        <f>+J277=I236</f>
        <v>1</v>
      </c>
      <c r="Q277" s="5"/>
    </row>
    <row r="278" spans="1:17" ht="15.75">
      <c r="C278" s="151">
        <f>SUM(C261:C277)</f>
        <v>3382917</v>
      </c>
      <c r="I278" s="149">
        <f>SUM(I261:I277)</f>
        <v>11342157</v>
      </c>
      <c r="J278" s="111">
        <f>+SUM(J261:J277)</f>
        <v>31829567</v>
      </c>
      <c r="K278" s="5" t="b">
        <f>J278=I250</f>
        <v>1</v>
      </c>
      <c r="Q278" s="5"/>
    </row>
    <row r="279" spans="1:17" ht="15.75">
      <c r="A279" s="207"/>
      <c r="B279" s="207"/>
      <c r="C279" s="208"/>
      <c r="D279" s="207"/>
      <c r="E279" s="207"/>
      <c r="F279" s="207"/>
      <c r="G279" s="207"/>
      <c r="H279" s="207"/>
      <c r="I279" s="209"/>
      <c r="J279" s="210"/>
      <c r="K279" s="207"/>
      <c r="L279" s="211"/>
      <c r="M279" s="211"/>
      <c r="N279" s="211"/>
      <c r="O279" s="211"/>
      <c r="P279" s="207"/>
      <c r="Q279" s="5"/>
    </row>
    <row r="283" spans="1:17" ht="15.75">
      <c r="A283" s="6" t="s">
        <v>36</v>
      </c>
      <c r="B283" s="6" t="s">
        <v>1</v>
      </c>
      <c r="C283" s="6">
        <v>44593</v>
      </c>
      <c r="D283" s="7" t="s">
        <v>37</v>
      </c>
      <c r="E283" s="7" t="s">
        <v>38</v>
      </c>
      <c r="F283" s="7" t="s">
        <v>39</v>
      </c>
      <c r="G283" s="7" t="s">
        <v>40</v>
      </c>
      <c r="H283" s="6">
        <v>44620</v>
      </c>
      <c r="I283" s="7" t="s">
        <v>41</v>
      </c>
      <c r="K283" s="47"/>
      <c r="L283" s="47" t="s">
        <v>42</v>
      </c>
      <c r="M283" s="47" t="s">
        <v>43</v>
      </c>
      <c r="N283" s="47" t="s">
        <v>44</v>
      </c>
      <c r="O283" s="47" t="s">
        <v>45</v>
      </c>
      <c r="Q283" s="5"/>
    </row>
    <row r="284" spans="1:17" ht="16.5">
      <c r="A284" s="60" t="str">
        <f>+K284</f>
        <v>B52</v>
      </c>
      <c r="B284" s="61" t="s">
        <v>4</v>
      </c>
      <c r="C284" s="63">
        <v>500</v>
      </c>
      <c r="D284" s="63">
        <f t="shared" ref="D284:D297" si="156">+L284</f>
        <v>50000</v>
      </c>
      <c r="E284" s="63">
        <f>+N284</f>
        <v>50500</v>
      </c>
      <c r="F284" s="63">
        <f>+M284</f>
        <v>0</v>
      </c>
      <c r="G284" s="63">
        <f t="shared" ref="G284:G295" si="157">+O284</f>
        <v>0</v>
      </c>
      <c r="H284" s="63">
        <v>0</v>
      </c>
      <c r="I284" s="63">
        <f>+C284+D284-E284-F284+G284</f>
        <v>0</v>
      </c>
      <c r="J284" s="9">
        <f>I284-H284</f>
        <v>0</v>
      </c>
      <c r="K284" s="47" t="s">
        <v>172</v>
      </c>
      <c r="L284" s="49">
        <v>50000</v>
      </c>
      <c r="M284" s="49">
        <v>0</v>
      </c>
      <c r="N284" s="49">
        <v>50500</v>
      </c>
      <c r="O284" s="49">
        <v>0</v>
      </c>
      <c r="Q284" s="5"/>
    </row>
    <row r="285" spans="1:17" ht="16.5">
      <c r="A285" s="60" t="str">
        <f>+K285</f>
        <v>BCI</v>
      </c>
      <c r="B285" s="61" t="s">
        <v>46</v>
      </c>
      <c r="C285" s="63">
        <v>2172028</v>
      </c>
      <c r="D285" s="63">
        <f t="shared" si="156"/>
        <v>0</v>
      </c>
      <c r="E285" s="63">
        <f>+N285</f>
        <v>283345</v>
      </c>
      <c r="F285" s="63">
        <f>+M285</f>
        <v>1000000</v>
      </c>
      <c r="G285" s="63">
        <f t="shared" si="157"/>
        <v>0</v>
      </c>
      <c r="H285" s="63">
        <v>888683</v>
      </c>
      <c r="I285" s="63">
        <f>+C285+D285-E285-F285+G285</f>
        <v>888683</v>
      </c>
      <c r="J285" s="9">
        <f t="shared" ref="J285:J292" si="158">I285-H285</f>
        <v>0</v>
      </c>
      <c r="K285" s="47" t="s">
        <v>24</v>
      </c>
      <c r="L285" s="49">
        <v>0</v>
      </c>
      <c r="M285" s="49">
        <v>1000000</v>
      </c>
      <c r="N285" s="49">
        <v>283345</v>
      </c>
      <c r="O285" s="49">
        <v>0</v>
      </c>
      <c r="Q285" s="5"/>
    </row>
    <row r="286" spans="1:17" ht="16.5">
      <c r="A286" s="60" t="str">
        <f t="shared" ref="A286:A288" si="159">+K286</f>
        <v>BCI-Sous Compte</v>
      </c>
      <c r="B286" s="61" t="s">
        <v>46</v>
      </c>
      <c r="C286" s="63">
        <v>14143094</v>
      </c>
      <c r="D286" s="63">
        <f t="shared" si="156"/>
        <v>0</v>
      </c>
      <c r="E286" s="63">
        <f>+N286</f>
        <v>4260592</v>
      </c>
      <c r="F286" s="63">
        <f>+M286</f>
        <v>9000000</v>
      </c>
      <c r="G286" s="63">
        <f t="shared" si="157"/>
        <v>0</v>
      </c>
      <c r="H286" s="63">
        <v>882502</v>
      </c>
      <c r="I286" s="63">
        <f>+C286+D286-E286-F286+G286</f>
        <v>882502</v>
      </c>
      <c r="J286" s="108">
        <f t="shared" si="158"/>
        <v>0</v>
      </c>
      <c r="K286" s="47" t="s">
        <v>157</v>
      </c>
      <c r="L286" s="49">
        <v>0</v>
      </c>
      <c r="M286" s="49">
        <v>9000000</v>
      </c>
      <c r="N286" s="49">
        <v>4260592</v>
      </c>
      <c r="O286" s="49">
        <v>0</v>
      </c>
      <c r="Q286" s="5"/>
    </row>
    <row r="287" spans="1:17" ht="16.5">
      <c r="A287" s="60" t="str">
        <f t="shared" si="159"/>
        <v>Caisse</v>
      </c>
      <c r="B287" s="61" t="s">
        <v>25</v>
      </c>
      <c r="C287" s="63">
        <v>580885</v>
      </c>
      <c r="D287" s="63">
        <f t="shared" si="156"/>
        <v>10511000</v>
      </c>
      <c r="E287" s="63">
        <f t="shared" ref="E287" si="160">+N287</f>
        <v>2520779</v>
      </c>
      <c r="F287" s="63">
        <f t="shared" ref="F287:F295" si="161">+M287</f>
        <v>7774000</v>
      </c>
      <c r="G287" s="63">
        <f t="shared" si="157"/>
        <v>0</v>
      </c>
      <c r="H287" s="63">
        <v>797106</v>
      </c>
      <c r="I287" s="63">
        <f>+C287+D287-E287-F287+G287</f>
        <v>797106</v>
      </c>
      <c r="J287" s="9">
        <f t="shared" si="158"/>
        <v>0</v>
      </c>
      <c r="K287" s="47" t="s">
        <v>25</v>
      </c>
      <c r="L287" s="49">
        <v>10511000</v>
      </c>
      <c r="M287" s="49">
        <v>7774000</v>
      </c>
      <c r="N287" s="49">
        <v>2520779</v>
      </c>
      <c r="O287" s="49">
        <v>0</v>
      </c>
      <c r="Q287" s="5"/>
    </row>
    <row r="288" spans="1:17" ht="16.5">
      <c r="A288" s="60" t="str">
        <f t="shared" si="159"/>
        <v>Crépin</v>
      </c>
      <c r="B288" s="61" t="s">
        <v>163</v>
      </c>
      <c r="C288" s="63">
        <v>9000</v>
      </c>
      <c r="D288" s="63">
        <f t="shared" si="156"/>
        <v>2509000</v>
      </c>
      <c r="E288" s="63">
        <f>+N288</f>
        <v>2021950</v>
      </c>
      <c r="F288" s="63">
        <f t="shared" si="161"/>
        <v>440000</v>
      </c>
      <c r="G288" s="63">
        <f t="shared" si="157"/>
        <v>0</v>
      </c>
      <c r="H288" s="63">
        <v>56050</v>
      </c>
      <c r="I288" s="63">
        <f t="shared" ref="I288" si="162">+C288+D288-E288-F288+G288</f>
        <v>56050</v>
      </c>
      <c r="J288" s="9">
        <f t="shared" si="158"/>
        <v>0</v>
      </c>
      <c r="K288" s="47" t="s">
        <v>47</v>
      </c>
      <c r="L288" s="49">
        <v>2509000</v>
      </c>
      <c r="M288" s="49">
        <v>440000</v>
      </c>
      <c r="N288" s="49">
        <v>2021950</v>
      </c>
      <c r="O288" s="49">
        <v>0</v>
      </c>
      <c r="Q288" s="5"/>
    </row>
    <row r="289" spans="1:17" ht="16.5">
      <c r="A289" s="60" t="str">
        <f>K289</f>
        <v>Evariste</v>
      </c>
      <c r="B289" s="61" t="s">
        <v>164</v>
      </c>
      <c r="C289" s="63">
        <v>8645</v>
      </c>
      <c r="D289" s="63">
        <f t="shared" si="156"/>
        <v>614000</v>
      </c>
      <c r="E289" s="63">
        <f t="shared" ref="E289" si="163">+N289</f>
        <v>601150</v>
      </c>
      <c r="F289" s="63">
        <f t="shared" si="161"/>
        <v>0</v>
      </c>
      <c r="G289" s="63">
        <f t="shared" si="157"/>
        <v>0</v>
      </c>
      <c r="H289" s="63">
        <v>21495</v>
      </c>
      <c r="I289" s="63">
        <f>+C289+D289-E289-F289+G289</f>
        <v>21495</v>
      </c>
      <c r="J289" s="9">
        <f t="shared" si="158"/>
        <v>0</v>
      </c>
      <c r="K289" s="47" t="s">
        <v>31</v>
      </c>
      <c r="L289" s="49">
        <v>614000</v>
      </c>
      <c r="M289" s="49">
        <v>0</v>
      </c>
      <c r="N289" s="49">
        <v>601150</v>
      </c>
      <c r="O289" s="49">
        <v>0</v>
      </c>
      <c r="Q289" s="5"/>
    </row>
    <row r="290" spans="1:17" ht="16.5">
      <c r="A290" s="123" t="str">
        <f t="shared" ref="A290:A297" si="164">+K290</f>
        <v>I55S</v>
      </c>
      <c r="B290" s="124" t="s">
        <v>4</v>
      </c>
      <c r="C290" s="126">
        <v>233614</v>
      </c>
      <c r="D290" s="126">
        <f t="shared" si="156"/>
        <v>0</v>
      </c>
      <c r="E290" s="126">
        <f>+N290</f>
        <v>0</v>
      </c>
      <c r="F290" s="126">
        <f t="shared" si="161"/>
        <v>0</v>
      </c>
      <c r="G290" s="126">
        <f t="shared" si="157"/>
        <v>0</v>
      </c>
      <c r="H290" s="126">
        <v>233614</v>
      </c>
      <c r="I290" s="126">
        <f>+C290+D290-E290-F290+G290</f>
        <v>233614</v>
      </c>
      <c r="J290" s="9">
        <f t="shared" si="158"/>
        <v>0</v>
      </c>
      <c r="K290" s="47" t="s">
        <v>84</v>
      </c>
      <c r="L290" s="49">
        <v>0</v>
      </c>
      <c r="M290" s="49">
        <v>0</v>
      </c>
      <c r="N290" s="49">
        <v>0</v>
      </c>
      <c r="O290" s="49">
        <v>0</v>
      </c>
      <c r="Q290" s="5"/>
    </row>
    <row r="291" spans="1:17" ht="16.5">
      <c r="A291" s="123" t="str">
        <f t="shared" si="164"/>
        <v>I73X</v>
      </c>
      <c r="B291" s="124" t="s">
        <v>4</v>
      </c>
      <c r="C291" s="126">
        <v>249769</v>
      </c>
      <c r="D291" s="126">
        <f t="shared" si="156"/>
        <v>0</v>
      </c>
      <c r="E291" s="126">
        <f>+N291</f>
        <v>0</v>
      </c>
      <c r="F291" s="126">
        <f t="shared" si="161"/>
        <v>0</v>
      </c>
      <c r="G291" s="126">
        <f t="shared" si="157"/>
        <v>0</v>
      </c>
      <c r="H291" s="126">
        <v>249769</v>
      </c>
      <c r="I291" s="126">
        <f t="shared" ref="I291:I294" si="165">+C291+D291-E291-F291+G291</f>
        <v>249769</v>
      </c>
      <c r="J291" s="9">
        <f t="shared" si="158"/>
        <v>0</v>
      </c>
      <c r="K291" s="47" t="s">
        <v>83</v>
      </c>
      <c r="L291" s="49">
        <v>0</v>
      </c>
      <c r="M291" s="49">
        <v>0</v>
      </c>
      <c r="N291" s="49">
        <v>0</v>
      </c>
      <c r="O291" s="49">
        <v>0</v>
      </c>
      <c r="Q291" s="5"/>
    </row>
    <row r="292" spans="1:17" ht="16.5">
      <c r="A292" s="60" t="str">
        <f t="shared" si="164"/>
        <v>Godfré</v>
      </c>
      <c r="B292" s="104" t="s">
        <v>163</v>
      </c>
      <c r="C292" s="63">
        <v>79935</v>
      </c>
      <c r="D292" s="63">
        <f t="shared" si="156"/>
        <v>1202000</v>
      </c>
      <c r="E292" s="179">
        <f t="shared" ref="E292" si="166">+N292</f>
        <v>1118750</v>
      </c>
      <c r="F292" s="63">
        <f t="shared" si="161"/>
        <v>50000</v>
      </c>
      <c r="G292" s="63">
        <f t="shared" si="157"/>
        <v>0</v>
      </c>
      <c r="H292" s="63">
        <v>113185</v>
      </c>
      <c r="I292" s="63">
        <f t="shared" si="165"/>
        <v>113185</v>
      </c>
      <c r="J292" s="9">
        <f t="shared" si="158"/>
        <v>0</v>
      </c>
      <c r="K292" s="47" t="s">
        <v>152</v>
      </c>
      <c r="L292" s="49">
        <v>1202000</v>
      </c>
      <c r="M292" s="49">
        <v>50000</v>
      </c>
      <c r="N292" s="49">
        <v>1118750</v>
      </c>
      <c r="O292" s="49">
        <v>0</v>
      </c>
      <c r="Q292" s="5"/>
    </row>
    <row r="293" spans="1:17" ht="16.5">
      <c r="A293" s="60" t="str">
        <f t="shared" si="164"/>
        <v>Grace</v>
      </c>
      <c r="B293" s="61" t="s">
        <v>2</v>
      </c>
      <c r="C293" s="63">
        <v>19800</v>
      </c>
      <c r="D293" s="63">
        <f t="shared" si="156"/>
        <v>3247000</v>
      </c>
      <c r="E293" s="179">
        <f>+N293</f>
        <v>1165100</v>
      </c>
      <c r="F293" s="63">
        <f t="shared" si="161"/>
        <v>2081000</v>
      </c>
      <c r="G293" s="63">
        <f t="shared" si="157"/>
        <v>0</v>
      </c>
      <c r="H293" s="63">
        <v>20700</v>
      </c>
      <c r="I293" s="63">
        <f t="shared" si="165"/>
        <v>20700</v>
      </c>
      <c r="J293" s="9">
        <f>I293-H293</f>
        <v>0</v>
      </c>
      <c r="K293" s="47" t="s">
        <v>151</v>
      </c>
      <c r="L293" s="49">
        <v>3247000</v>
      </c>
      <c r="M293" s="49">
        <v>2081000</v>
      </c>
      <c r="N293" s="49">
        <v>1165100</v>
      </c>
      <c r="O293" s="49">
        <v>0</v>
      </c>
      <c r="Q293" s="5"/>
    </row>
    <row r="294" spans="1:17" ht="16.5">
      <c r="A294" s="60" t="str">
        <f t="shared" si="164"/>
        <v>I23C</v>
      </c>
      <c r="B294" s="104" t="s">
        <v>4</v>
      </c>
      <c r="C294" s="63">
        <v>30550</v>
      </c>
      <c r="D294" s="63">
        <f t="shared" si="156"/>
        <v>1493000</v>
      </c>
      <c r="E294" s="179">
        <f t="shared" ref="E294:E297" si="167">+N294</f>
        <v>1238000</v>
      </c>
      <c r="F294" s="63">
        <f t="shared" si="161"/>
        <v>270000</v>
      </c>
      <c r="G294" s="63">
        <f t="shared" si="157"/>
        <v>0</v>
      </c>
      <c r="H294" s="63">
        <v>15550</v>
      </c>
      <c r="I294" s="63">
        <f t="shared" si="165"/>
        <v>15550</v>
      </c>
      <c r="J294" s="9">
        <f t="shared" ref="J294:J295" si="168">I294-H294</f>
        <v>0</v>
      </c>
      <c r="K294" s="47" t="s">
        <v>30</v>
      </c>
      <c r="L294" s="49">
        <v>1493000</v>
      </c>
      <c r="M294" s="49">
        <v>270000</v>
      </c>
      <c r="N294" s="49">
        <v>1238000</v>
      </c>
      <c r="O294" s="49">
        <v>0</v>
      </c>
      <c r="Q294" s="5"/>
    </row>
    <row r="295" spans="1:17" ht="16.5">
      <c r="A295" s="60" t="str">
        <f t="shared" si="164"/>
        <v>Merveille</v>
      </c>
      <c r="B295" s="61" t="s">
        <v>2</v>
      </c>
      <c r="C295" s="63">
        <v>13000</v>
      </c>
      <c r="D295" s="63">
        <f t="shared" si="156"/>
        <v>50000</v>
      </c>
      <c r="E295" s="179">
        <f t="shared" si="167"/>
        <v>58200</v>
      </c>
      <c r="F295" s="63">
        <f t="shared" si="161"/>
        <v>0</v>
      </c>
      <c r="G295" s="63">
        <f t="shared" si="157"/>
        <v>0</v>
      </c>
      <c r="H295" s="63">
        <v>4800</v>
      </c>
      <c r="I295" s="63">
        <f>+C295+D295-E295-F295+G295</f>
        <v>4800</v>
      </c>
      <c r="J295" s="9">
        <f t="shared" si="168"/>
        <v>0</v>
      </c>
      <c r="K295" s="47" t="s">
        <v>93</v>
      </c>
      <c r="L295" s="49">
        <v>50000</v>
      </c>
      <c r="M295" s="49">
        <v>0</v>
      </c>
      <c r="N295" s="49">
        <v>58200</v>
      </c>
      <c r="O295" s="49"/>
      <c r="Q295" s="5"/>
    </row>
    <row r="296" spans="1:17" ht="16.5">
      <c r="A296" s="60" t="str">
        <f t="shared" si="164"/>
        <v>P29</v>
      </c>
      <c r="B296" s="61" t="s">
        <v>4</v>
      </c>
      <c r="C296" s="63">
        <v>55700</v>
      </c>
      <c r="D296" s="63">
        <f t="shared" si="156"/>
        <v>1029000</v>
      </c>
      <c r="E296" s="179">
        <f t="shared" si="167"/>
        <v>648500</v>
      </c>
      <c r="F296" s="63">
        <f>+M296</f>
        <v>300000</v>
      </c>
      <c r="G296" s="63">
        <f>+O296</f>
        <v>0</v>
      </c>
      <c r="H296" s="63">
        <v>136200</v>
      </c>
      <c r="I296" s="63">
        <f>+C296+D296-E296-F296+G296</f>
        <v>136200</v>
      </c>
      <c r="J296" s="9">
        <f>I296-H296</f>
        <v>0</v>
      </c>
      <c r="K296" s="47" t="s">
        <v>29</v>
      </c>
      <c r="L296" s="49">
        <v>1029000</v>
      </c>
      <c r="M296" s="49">
        <v>300000</v>
      </c>
      <c r="N296" s="49">
        <v>648500</v>
      </c>
      <c r="O296" s="49">
        <v>0</v>
      </c>
      <c r="Q296" s="5"/>
    </row>
    <row r="297" spans="1:17" ht="16.5">
      <c r="A297" s="60" t="str">
        <f t="shared" si="164"/>
        <v>Tiffany</v>
      </c>
      <c r="B297" s="61" t="s">
        <v>2</v>
      </c>
      <c r="C297" s="63">
        <v>-36237</v>
      </c>
      <c r="D297" s="63">
        <f t="shared" si="156"/>
        <v>210000</v>
      </c>
      <c r="E297" s="179">
        <f t="shared" si="167"/>
        <v>210500</v>
      </c>
      <c r="F297" s="63">
        <f t="shared" ref="F297" si="169">+M297</f>
        <v>0</v>
      </c>
      <c r="G297" s="63">
        <f t="shared" ref="G297" si="170">+O297</f>
        <v>0</v>
      </c>
      <c r="H297" s="63">
        <v>-36737</v>
      </c>
      <c r="I297" s="63">
        <f t="shared" ref="I297" si="171">+C297+D297-E297-F297+G297</f>
        <v>-36737</v>
      </c>
      <c r="J297" s="9">
        <f t="shared" ref="J297" si="172">I297-H297</f>
        <v>0</v>
      </c>
      <c r="K297" s="47" t="s">
        <v>113</v>
      </c>
      <c r="L297" s="49">
        <v>210000</v>
      </c>
      <c r="M297" s="49">
        <v>0</v>
      </c>
      <c r="N297" s="49">
        <v>210500</v>
      </c>
      <c r="O297" s="49">
        <v>0</v>
      </c>
      <c r="Q297" s="5"/>
    </row>
    <row r="298" spans="1:17" ht="16.5">
      <c r="A298" s="10" t="s">
        <v>50</v>
      </c>
      <c r="B298" s="11"/>
      <c r="C298" s="12">
        <f t="shared" ref="C298:I298" si="173">SUM(C284:C297)</f>
        <v>17560283</v>
      </c>
      <c r="D298" s="59">
        <f t="shared" si="173"/>
        <v>20915000</v>
      </c>
      <c r="E298" s="59">
        <f t="shared" si="173"/>
        <v>14177366</v>
      </c>
      <c r="F298" s="59">
        <f t="shared" si="173"/>
        <v>20915000</v>
      </c>
      <c r="G298" s="59">
        <f t="shared" si="173"/>
        <v>0</v>
      </c>
      <c r="H298" s="59">
        <f t="shared" si="173"/>
        <v>3382917</v>
      </c>
      <c r="I298" s="59">
        <f t="shared" si="173"/>
        <v>3382917</v>
      </c>
      <c r="J298" s="9">
        <f>I298-H298</f>
        <v>0</v>
      </c>
      <c r="K298" s="3"/>
      <c r="L298" s="49">
        <f>+SUM(L284:L297)</f>
        <v>20915000</v>
      </c>
      <c r="M298" s="49">
        <f>+SUM(M284:M297)</f>
        <v>20915000</v>
      </c>
      <c r="N298" s="49">
        <f>+SUM(N284:N297)</f>
        <v>14177366</v>
      </c>
      <c r="O298" s="49">
        <f>+SUM(O284:O297)</f>
        <v>0</v>
      </c>
      <c r="Q298" s="5"/>
    </row>
    <row r="299" spans="1:17" ht="16.5">
      <c r="A299" s="10"/>
      <c r="B299" s="11"/>
      <c r="C299" s="12"/>
      <c r="D299" s="13"/>
      <c r="E299" s="12"/>
      <c r="F299" s="13"/>
      <c r="G299" s="12"/>
      <c r="H299" s="12"/>
      <c r="I299" s="143" t="b">
        <f>I298=D301</f>
        <v>1</v>
      </c>
      <c r="L299" s="5"/>
      <c r="M299" s="5"/>
      <c r="N299" s="5"/>
      <c r="O299" s="5"/>
      <c r="Q299" s="5"/>
    </row>
    <row r="300" spans="1:17" ht="16.5">
      <c r="A300" s="10" t="s">
        <v>192</v>
      </c>
      <c r="B300" s="11" t="s">
        <v>193</v>
      </c>
      <c r="C300" s="12" t="s">
        <v>194</v>
      </c>
      <c r="D300" s="12" t="s">
        <v>205</v>
      </c>
      <c r="E300" s="12" t="s">
        <v>51</v>
      </c>
      <c r="F300" s="12"/>
      <c r="G300" s="12">
        <f>+D298-F298</f>
        <v>0</v>
      </c>
      <c r="H300" s="12"/>
      <c r="I300" s="12"/>
      <c r="Q300" s="5"/>
    </row>
    <row r="301" spans="1:17" ht="16.5">
      <c r="A301" s="14">
        <f>C298</f>
        <v>17560283</v>
      </c>
      <c r="B301" s="15">
        <f>G298</f>
        <v>0</v>
      </c>
      <c r="C301" s="12">
        <f>E298</f>
        <v>14177366</v>
      </c>
      <c r="D301" s="12">
        <f>A301+B301-C301</f>
        <v>3382917</v>
      </c>
      <c r="E301" s="13">
        <f>I298-D301</f>
        <v>0</v>
      </c>
      <c r="F301" s="12"/>
      <c r="G301" s="12"/>
      <c r="H301" s="12"/>
      <c r="I301" s="12"/>
      <c r="Q301" s="5"/>
    </row>
    <row r="302" spans="1:17" ht="16.5">
      <c r="A302" s="14"/>
      <c r="B302" s="15"/>
      <c r="C302" s="12"/>
      <c r="D302" s="12"/>
      <c r="E302" s="13"/>
      <c r="F302" s="12"/>
      <c r="G302" s="12"/>
      <c r="H302" s="12"/>
      <c r="I302" s="12"/>
      <c r="Q302" s="5"/>
    </row>
    <row r="303" spans="1:17">
      <c r="A303" s="16" t="s">
        <v>52</v>
      </c>
      <c r="B303" s="16"/>
      <c r="C303" s="16"/>
      <c r="D303" s="17"/>
      <c r="E303" s="17"/>
      <c r="F303" s="17"/>
      <c r="G303" s="17"/>
      <c r="H303" s="17"/>
      <c r="I303" s="17"/>
      <c r="Q303" s="5"/>
    </row>
    <row r="304" spans="1:17">
      <c r="A304" s="18" t="s">
        <v>196</v>
      </c>
      <c r="B304" s="18"/>
      <c r="C304" s="18"/>
      <c r="D304" s="18"/>
      <c r="E304" s="18"/>
      <c r="F304" s="18"/>
      <c r="G304" s="18"/>
      <c r="H304" s="18"/>
      <c r="I304" s="18"/>
      <c r="J304" s="18"/>
      <c r="Q304" s="5"/>
    </row>
    <row r="305" spans="1:17">
      <c r="A305" s="19"/>
      <c r="B305" s="20"/>
      <c r="C305" s="21"/>
      <c r="D305" s="21"/>
      <c r="E305" s="21"/>
      <c r="F305" s="21"/>
      <c r="G305" s="21"/>
      <c r="H305" s="20"/>
      <c r="I305" s="20"/>
      <c r="Q305" s="5"/>
    </row>
    <row r="306" spans="1:17">
      <c r="A306" s="220" t="s">
        <v>53</v>
      </c>
      <c r="B306" s="222" t="s">
        <v>54</v>
      </c>
      <c r="C306" s="224" t="s">
        <v>195</v>
      </c>
      <c r="D306" s="226" t="s">
        <v>55</v>
      </c>
      <c r="E306" s="227"/>
      <c r="F306" s="227"/>
      <c r="G306" s="228"/>
      <c r="H306" s="229" t="s">
        <v>56</v>
      </c>
      <c r="I306" s="216" t="s">
        <v>57</v>
      </c>
      <c r="J306" s="20"/>
      <c r="Q306" s="5"/>
    </row>
    <row r="307" spans="1:17" ht="28.5" customHeight="1">
      <c r="A307" s="221"/>
      <c r="B307" s="223"/>
      <c r="C307" s="225"/>
      <c r="D307" s="22" t="s">
        <v>24</v>
      </c>
      <c r="E307" s="22" t="s">
        <v>25</v>
      </c>
      <c r="F307" s="225" t="s">
        <v>123</v>
      </c>
      <c r="G307" s="22" t="s">
        <v>58</v>
      </c>
      <c r="H307" s="230"/>
      <c r="I307" s="217"/>
      <c r="J307" s="218" t="s">
        <v>197</v>
      </c>
      <c r="K307" s="155"/>
      <c r="Q307" s="5"/>
    </row>
    <row r="308" spans="1:17">
      <c r="A308" s="24"/>
      <c r="B308" s="25" t="s">
        <v>59</v>
      </c>
      <c r="C308" s="26"/>
      <c r="D308" s="26"/>
      <c r="E308" s="26"/>
      <c r="F308" s="26"/>
      <c r="G308" s="26"/>
      <c r="H308" s="26"/>
      <c r="I308" s="27"/>
      <c r="J308" s="219"/>
      <c r="K308" s="155"/>
      <c r="Q308" s="5"/>
    </row>
    <row r="309" spans="1:17">
      <c r="A309" s="130" t="s">
        <v>115</v>
      </c>
      <c r="B309" s="135" t="s">
        <v>172</v>
      </c>
      <c r="C309" s="33">
        <f>+C284</f>
        <v>500</v>
      </c>
      <c r="D309" s="32"/>
      <c r="E309" s="33">
        <f>+D284</f>
        <v>50000</v>
      </c>
      <c r="F309" s="33"/>
      <c r="G309" s="33"/>
      <c r="H309" s="57">
        <f>+F284</f>
        <v>0</v>
      </c>
      <c r="I309" s="33">
        <f>+E284</f>
        <v>50500</v>
      </c>
      <c r="J309" s="31">
        <f t="shared" ref="J309:J310" si="174">+SUM(C309:G309)-(H309+I309)</f>
        <v>0</v>
      </c>
      <c r="K309" s="156" t="b">
        <f>J309=I284</f>
        <v>1</v>
      </c>
      <c r="Q309" s="5"/>
    </row>
    <row r="310" spans="1:17">
      <c r="A310" s="130" t="str">
        <f>+A309</f>
        <v>FEVRIER</v>
      </c>
      <c r="B310" s="135" t="s">
        <v>47</v>
      </c>
      <c r="C310" s="33">
        <f>+C288</f>
        <v>9000</v>
      </c>
      <c r="D310" s="32"/>
      <c r="E310" s="33">
        <f>+D288</f>
        <v>2509000</v>
      </c>
      <c r="F310" s="33"/>
      <c r="G310" s="33"/>
      <c r="H310" s="57">
        <f>+F288</f>
        <v>440000</v>
      </c>
      <c r="I310" s="33">
        <f>+E288</f>
        <v>2021950</v>
      </c>
      <c r="J310" s="107">
        <f t="shared" si="174"/>
        <v>56050</v>
      </c>
      <c r="K310" s="156" t="b">
        <f t="shared" ref="K310:K319" si="175">J310=I288</f>
        <v>1</v>
      </c>
      <c r="Q310" s="5"/>
    </row>
    <row r="311" spans="1:17">
      <c r="A311" s="130" t="str">
        <f t="shared" ref="A311:A319" si="176">+A310</f>
        <v>FEVRIER</v>
      </c>
      <c r="B311" s="136" t="s">
        <v>31</v>
      </c>
      <c r="C311" s="33">
        <f>+C289</f>
        <v>8645</v>
      </c>
      <c r="D311" s="127"/>
      <c r="E311" s="33">
        <f>+D289</f>
        <v>614000</v>
      </c>
      <c r="F311" s="53"/>
      <c r="G311" s="53"/>
      <c r="H311" s="57">
        <f>+F289</f>
        <v>0</v>
      </c>
      <c r="I311" s="33">
        <f>+E289</f>
        <v>601150</v>
      </c>
      <c r="J311" s="132">
        <f>+SUM(C311:G311)-(H311+I311)</f>
        <v>21495</v>
      </c>
      <c r="K311" s="156" t="b">
        <f t="shared" si="175"/>
        <v>1</v>
      </c>
      <c r="Q311" s="5"/>
    </row>
    <row r="312" spans="1:17">
      <c r="A312" s="130" t="str">
        <f t="shared" si="176"/>
        <v>FEVRIER</v>
      </c>
      <c r="B312" s="137" t="s">
        <v>84</v>
      </c>
      <c r="C312" s="128">
        <f>+C290</f>
        <v>233614</v>
      </c>
      <c r="D312" s="131"/>
      <c r="E312" s="128">
        <f>+D290</f>
        <v>0</v>
      </c>
      <c r="F312" s="146"/>
      <c r="G312" s="146"/>
      <c r="H312" s="180">
        <f>+F290</f>
        <v>0</v>
      </c>
      <c r="I312" s="128">
        <f>+E290</f>
        <v>0</v>
      </c>
      <c r="J312" s="129">
        <f>+SUM(C312:G312)-(H312+I312)</f>
        <v>233614</v>
      </c>
      <c r="K312" s="156" t="b">
        <f t="shared" si="175"/>
        <v>1</v>
      </c>
      <c r="Q312" s="5"/>
    </row>
    <row r="313" spans="1:17">
      <c r="A313" s="130" t="str">
        <f t="shared" si="176"/>
        <v>FEVRIER</v>
      </c>
      <c r="B313" s="137" t="s">
        <v>83</v>
      </c>
      <c r="C313" s="128">
        <f>+C291</f>
        <v>249769</v>
      </c>
      <c r="D313" s="131"/>
      <c r="E313" s="128">
        <f>+D291</f>
        <v>0</v>
      </c>
      <c r="F313" s="146"/>
      <c r="G313" s="146"/>
      <c r="H313" s="180">
        <f>+F291</f>
        <v>0</v>
      </c>
      <c r="I313" s="128">
        <f>+E291</f>
        <v>0</v>
      </c>
      <c r="J313" s="129">
        <f t="shared" ref="J313:J319" si="177">+SUM(C313:G313)-(H313+I313)</f>
        <v>249769</v>
      </c>
      <c r="K313" s="156" t="b">
        <f t="shared" si="175"/>
        <v>1</v>
      </c>
      <c r="Q313" s="5"/>
    </row>
    <row r="314" spans="1:17">
      <c r="A314" s="130" t="str">
        <f t="shared" si="176"/>
        <v>FEVRIER</v>
      </c>
      <c r="B314" s="135" t="s">
        <v>152</v>
      </c>
      <c r="C314" s="33">
        <f>+C292</f>
        <v>79935</v>
      </c>
      <c r="D314" s="32"/>
      <c r="E314" s="33">
        <f>+D292</f>
        <v>1202000</v>
      </c>
      <c r="F314" s="33"/>
      <c r="G314" s="110"/>
      <c r="H314" s="57">
        <f>+F292</f>
        <v>50000</v>
      </c>
      <c r="I314" s="33">
        <f>+E292</f>
        <v>1118750</v>
      </c>
      <c r="J314" s="31">
        <f t="shared" si="177"/>
        <v>113185</v>
      </c>
      <c r="K314" s="156" t="b">
        <f t="shared" si="175"/>
        <v>1</v>
      </c>
      <c r="Q314" s="5"/>
    </row>
    <row r="315" spans="1:17">
      <c r="A315" s="130" t="str">
        <f t="shared" si="176"/>
        <v>FEVRIER</v>
      </c>
      <c r="B315" s="135" t="s">
        <v>151</v>
      </c>
      <c r="C315" s="33">
        <f t="shared" ref="C315:C319" si="178">+C293</f>
        <v>19800</v>
      </c>
      <c r="D315" s="32"/>
      <c r="E315" s="33">
        <f t="shared" ref="E315:E319" si="179">+D293</f>
        <v>3247000</v>
      </c>
      <c r="F315" s="33"/>
      <c r="G315" s="110"/>
      <c r="H315" s="57">
        <f t="shared" ref="H315:H319" si="180">+F293</f>
        <v>2081000</v>
      </c>
      <c r="I315" s="33">
        <f t="shared" ref="I315:I319" si="181">+E293</f>
        <v>1165100</v>
      </c>
      <c r="J315" s="31">
        <f t="shared" si="177"/>
        <v>20700</v>
      </c>
      <c r="K315" s="156" t="b">
        <f t="shared" si="175"/>
        <v>1</v>
      </c>
      <c r="Q315" s="5"/>
    </row>
    <row r="316" spans="1:17">
      <c r="A316" s="130" t="str">
        <f t="shared" si="176"/>
        <v>FEVRIER</v>
      </c>
      <c r="B316" s="135" t="s">
        <v>30</v>
      </c>
      <c r="C316" s="33">
        <f t="shared" si="178"/>
        <v>30550</v>
      </c>
      <c r="D316" s="32"/>
      <c r="E316" s="33">
        <f t="shared" si="179"/>
        <v>1493000</v>
      </c>
      <c r="F316" s="33"/>
      <c r="G316" s="110"/>
      <c r="H316" s="57">
        <f t="shared" si="180"/>
        <v>270000</v>
      </c>
      <c r="I316" s="33">
        <f t="shared" si="181"/>
        <v>1238000</v>
      </c>
      <c r="J316" s="31">
        <f t="shared" si="177"/>
        <v>15550</v>
      </c>
      <c r="K316" s="156" t="b">
        <f t="shared" si="175"/>
        <v>1</v>
      </c>
      <c r="Q316" s="5"/>
    </row>
    <row r="317" spans="1:17">
      <c r="A317" s="130" t="str">
        <f>+A315</f>
        <v>FEVRIER</v>
      </c>
      <c r="B317" s="135" t="s">
        <v>93</v>
      </c>
      <c r="C317" s="33">
        <f t="shared" si="178"/>
        <v>13000</v>
      </c>
      <c r="D317" s="32"/>
      <c r="E317" s="33">
        <f t="shared" si="179"/>
        <v>50000</v>
      </c>
      <c r="F317" s="33"/>
      <c r="G317" s="110"/>
      <c r="H317" s="57">
        <f t="shared" si="180"/>
        <v>0</v>
      </c>
      <c r="I317" s="33">
        <f t="shared" si="181"/>
        <v>58200</v>
      </c>
      <c r="J317" s="31">
        <f t="shared" si="177"/>
        <v>4800</v>
      </c>
      <c r="K317" s="156" t="b">
        <f t="shared" si="175"/>
        <v>1</v>
      </c>
      <c r="Q317" s="5"/>
    </row>
    <row r="318" spans="1:17">
      <c r="A318" s="130" t="str">
        <f>+A316</f>
        <v>FEVRIER</v>
      </c>
      <c r="B318" s="135" t="s">
        <v>29</v>
      </c>
      <c r="C318" s="33">
        <f t="shared" si="178"/>
        <v>55700</v>
      </c>
      <c r="D318" s="32"/>
      <c r="E318" s="33">
        <f t="shared" si="179"/>
        <v>1029000</v>
      </c>
      <c r="F318" s="33"/>
      <c r="G318" s="110"/>
      <c r="H318" s="57">
        <f t="shared" si="180"/>
        <v>300000</v>
      </c>
      <c r="I318" s="33">
        <f t="shared" si="181"/>
        <v>648500</v>
      </c>
      <c r="J318" s="31">
        <f t="shared" si="177"/>
        <v>136200</v>
      </c>
      <c r="K318" s="156" t="b">
        <f t="shared" si="175"/>
        <v>1</v>
      </c>
      <c r="Q318" s="5"/>
    </row>
    <row r="319" spans="1:17">
      <c r="A319" s="130" t="str">
        <f t="shared" si="176"/>
        <v>FEVRIER</v>
      </c>
      <c r="B319" s="136" t="s">
        <v>113</v>
      </c>
      <c r="C319" s="33">
        <f t="shared" si="178"/>
        <v>-36237</v>
      </c>
      <c r="D319" s="127"/>
      <c r="E319" s="33">
        <f t="shared" si="179"/>
        <v>210000</v>
      </c>
      <c r="F319" s="53"/>
      <c r="G319" s="147"/>
      <c r="H319" s="57">
        <f t="shared" si="180"/>
        <v>0</v>
      </c>
      <c r="I319" s="33">
        <f t="shared" si="181"/>
        <v>210500</v>
      </c>
      <c r="J319" s="31">
        <f t="shared" si="177"/>
        <v>-36737</v>
      </c>
      <c r="K319" s="156" t="b">
        <f t="shared" si="175"/>
        <v>1</v>
      </c>
      <c r="Q319" s="5"/>
    </row>
    <row r="320" spans="1:17">
      <c r="A320" s="35" t="s">
        <v>60</v>
      </c>
      <c r="B320" s="36"/>
      <c r="C320" s="36"/>
      <c r="D320" s="36"/>
      <c r="E320" s="36"/>
      <c r="F320" s="36"/>
      <c r="G320" s="36"/>
      <c r="H320" s="36"/>
      <c r="I320" s="36"/>
      <c r="J320" s="37"/>
      <c r="K320" s="155"/>
      <c r="Q320" s="5"/>
    </row>
    <row r="321" spans="1:17">
      <c r="A321" s="130" t="str">
        <f>+A319</f>
        <v>FEVRIER</v>
      </c>
      <c r="B321" s="38" t="s">
        <v>61</v>
      </c>
      <c r="C321" s="39">
        <f>+C287</f>
        <v>580885</v>
      </c>
      <c r="D321" s="51"/>
      <c r="E321" s="51">
        <f>D287</f>
        <v>10511000</v>
      </c>
      <c r="F321" s="51"/>
      <c r="G321" s="133"/>
      <c r="H321" s="53">
        <f>+F287</f>
        <v>7774000</v>
      </c>
      <c r="I321" s="134">
        <f>+E287</f>
        <v>2520779</v>
      </c>
      <c r="J321" s="46">
        <f>+SUM(C321:G321)-(H321+I321)</f>
        <v>797106</v>
      </c>
      <c r="K321" s="156" t="b">
        <f>J321=I287</f>
        <v>1</v>
      </c>
      <c r="Q321" s="5"/>
    </row>
    <row r="322" spans="1:17">
      <c r="A322" s="44" t="s">
        <v>62</v>
      </c>
      <c r="B322" s="25"/>
      <c r="C322" s="36"/>
      <c r="D322" s="25"/>
      <c r="E322" s="25"/>
      <c r="F322" s="25"/>
      <c r="G322" s="25"/>
      <c r="H322" s="25"/>
      <c r="I322" s="25"/>
      <c r="J322" s="37"/>
      <c r="K322" s="155"/>
      <c r="Q322" s="5"/>
    </row>
    <row r="323" spans="1:17">
      <c r="A323" s="130" t="str">
        <f>+A321</f>
        <v>FEVRIER</v>
      </c>
      <c r="B323" s="38" t="s">
        <v>166</v>
      </c>
      <c r="C323" s="133">
        <f>+C285</f>
        <v>2172028</v>
      </c>
      <c r="D323" s="140">
        <f>+G285</f>
        <v>0</v>
      </c>
      <c r="E323" s="51"/>
      <c r="F323" s="51"/>
      <c r="G323" s="51"/>
      <c r="H323" s="53">
        <f>+F285</f>
        <v>1000000</v>
      </c>
      <c r="I323" s="55">
        <f>+E285</f>
        <v>283345</v>
      </c>
      <c r="J323" s="46">
        <f>+SUM(C323:G323)-(H323+I323)</f>
        <v>888683</v>
      </c>
      <c r="K323" s="156" t="b">
        <f>+J323=I285</f>
        <v>1</v>
      </c>
      <c r="Q323" s="5"/>
    </row>
    <row r="324" spans="1:17">
      <c r="A324" s="130" t="str">
        <f t="shared" ref="A324" si="182">+A323</f>
        <v>FEVRIER</v>
      </c>
      <c r="B324" s="38" t="s">
        <v>64</v>
      </c>
      <c r="C324" s="133">
        <f>+C286</f>
        <v>14143094</v>
      </c>
      <c r="D324" s="51">
        <f>+G286</f>
        <v>0</v>
      </c>
      <c r="E324" s="50"/>
      <c r="F324" s="50"/>
      <c r="G324" s="50"/>
      <c r="H324" s="33">
        <f>+F286</f>
        <v>9000000</v>
      </c>
      <c r="I324" s="52">
        <f>+E286</f>
        <v>4260592</v>
      </c>
      <c r="J324" s="46">
        <f>SUM(C324:G324)-(H324+I324)</f>
        <v>882502</v>
      </c>
      <c r="K324" s="156" t="b">
        <f>+J324=I286</f>
        <v>1</v>
      </c>
      <c r="Q324" s="5"/>
    </row>
    <row r="325" spans="1:17" ht="15.75">
      <c r="C325" s="151">
        <f>SUM(C309:C324)</f>
        <v>17560283</v>
      </c>
      <c r="I325" s="149">
        <f>SUM(I309:I324)</f>
        <v>14177366</v>
      </c>
      <c r="J325" s="111">
        <f>+SUM(J309:J324)</f>
        <v>3382917</v>
      </c>
      <c r="K325" s="5" t="b">
        <f>J325=I298</f>
        <v>1</v>
      </c>
      <c r="Q325" s="5"/>
    </row>
    <row r="326" spans="1:17" ht="15.75">
      <c r="A326" s="207"/>
      <c r="B326" s="207"/>
      <c r="C326" s="208"/>
      <c r="D326" s="207"/>
      <c r="E326" s="207"/>
      <c r="F326" s="207"/>
      <c r="G326" s="207"/>
      <c r="H326" s="207"/>
      <c r="I326" s="209"/>
      <c r="J326" s="210"/>
      <c r="K326" s="207"/>
      <c r="L326" s="211"/>
      <c r="M326" s="211"/>
      <c r="N326" s="211"/>
      <c r="O326" s="211"/>
      <c r="P326" s="207"/>
      <c r="Q326" s="5"/>
    </row>
    <row r="327" spans="1:17" ht="15.75">
      <c r="A327" s="207"/>
      <c r="B327" s="207"/>
      <c r="C327" s="208"/>
      <c r="D327" s="207"/>
      <c r="E327" s="207"/>
      <c r="F327" s="207"/>
      <c r="G327" s="207"/>
      <c r="H327" s="207"/>
      <c r="I327" s="209"/>
      <c r="J327" s="210"/>
      <c r="K327" s="207"/>
      <c r="L327" s="211"/>
      <c r="M327" s="211"/>
      <c r="N327" s="211"/>
      <c r="O327" s="211"/>
      <c r="P327" s="207"/>
      <c r="Q327" s="5"/>
    </row>
    <row r="329" spans="1:17" ht="15.75">
      <c r="A329" s="6" t="s">
        <v>36</v>
      </c>
      <c r="B329" s="6" t="s">
        <v>1</v>
      </c>
      <c r="C329" s="6">
        <v>44562</v>
      </c>
      <c r="D329" s="7" t="s">
        <v>37</v>
      </c>
      <c r="E329" s="7" t="s">
        <v>38</v>
      </c>
      <c r="F329" s="7" t="s">
        <v>39</v>
      </c>
      <c r="G329" s="7" t="s">
        <v>40</v>
      </c>
      <c r="H329" s="6">
        <v>44592</v>
      </c>
      <c r="I329" s="7" t="s">
        <v>41</v>
      </c>
      <c r="K329" s="47"/>
      <c r="L329" s="47" t="s">
        <v>42</v>
      </c>
      <c r="M329" s="47" t="s">
        <v>43</v>
      </c>
      <c r="N329" s="47" t="s">
        <v>44</v>
      </c>
      <c r="O329" s="47" t="s">
        <v>45</v>
      </c>
      <c r="Q329" s="5"/>
    </row>
    <row r="330" spans="1:17" ht="16.5">
      <c r="A330" s="60" t="str">
        <f>+K330</f>
        <v>B52</v>
      </c>
      <c r="B330" s="61" t="s">
        <v>4</v>
      </c>
      <c r="C330" s="62">
        <v>9500</v>
      </c>
      <c r="D330" s="63">
        <f t="shared" ref="D330:D343" si="183">+L330</f>
        <v>567000</v>
      </c>
      <c r="E330" s="63">
        <f>+N330</f>
        <v>576000</v>
      </c>
      <c r="F330" s="63">
        <f>+M330</f>
        <v>0</v>
      </c>
      <c r="G330" s="63">
        <f t="shared" ref="G330:G341" si="184">+O330</f>
        <v>0</v>
      </c>
      <c r="H330" s="63">
        <v>500</v>
      </c>
      <c r="I330" s="63">
        <f>+C330+D330-E330-F330+G330</f>
        <v>500</v>
      </c>
      <c r="J330" s="9">
        <f>I330-H330</f>
        <v>0</v>
      </c>
      <c r="K330" s="47" t="s">
        <v>172</v>
      </c>
      <c r="L330" s="49">
        <v>567000</v>
      </c>
      <c r="M330" s="49">
        <v>0</v>
      </c>
      <c r="N330" s="49">
        <v>576000</v>
      </c>
      <c r="O330" s="49">
        <v>0</v>
      </c>
      <c r="Q330" s="5"/>
    </row>
    <row r="331" spans="1:17" ht="16.5">
      <c r="A331" s="60" t="str">
        <f>+K331</f>
        <v>BCI</v>
      </c>
      <c r="B331" s="61" t="s">
        <v>46</v>
      </c>
      <c r="C331" s="62">
        <v>3455373</v>
      </c>
      <c r="D331" s="63">
        <f t="shared" si="183"/>
        <v>0</v>
      </c>
      <c r="E331" s="63">
        <f>+N331</f>
        <v>283345</v>
      </c>
      <c r="F331" s="63">
        <f>+M331</f>
        <v>1000000</v>
      </c>
      <c r="G331" s="63">
        <f t="shared" si="184"/>
        <v>0</v>
      </c>
      <c r="H331" s="63">
        <v>2172028</v>
      </c>
      <c r="I331" s="63">
        <f>+C331+D331-E331-F331+G331</f>
        <v>2172028</v>
      </c>
      <c r="J331" s="9">
        <f t="shared" ref="J331:J338" si="185">I331-H331</f>
        <v>0</v>
      </c>
      <c r="K331" s="47" t="s">
        <v>24</v>
      </c>
      <c r="L331" s="49">
        <v>0</v>
      </c>
      <c r="M331" s="49">
        <v>1000000</v>
      </c>
      <c r="N331" s="49">
        <v>283345</v>
      </c>
      <c r="O331" s="49">
        <v>0</v>
      </c>
      <c r="Q331" s="5"/>
    </row>
    <row r="332" spans="1:17" ht="16.5">
      <c r="A332" s="60" t="str">
        <f t="shared" ref="A332:A334" si="186">+K332</f>
        <v>BCI-Sous Compte</v>
      </c>
      <c r="B332" s="61" t="s">
        <v>46</v>
      </c>
      <c r="C332" s="62">
        <v>4841615</v>
      </c>
      <c r="D332" s="63">
        <f t="shared" si="183"/>
        <v>0</v>
      </c>
      <c r="E332" s="63">
        <f>+N332</f>
        <v>6223724</v>
      </c>
      <c r="F332" s="63">
        <f>+M332</f>
        <v>2000000</v>
      </c>
      <c r="G332" s="63">
        <f t="shared" si="184"/>
        <v>17525203</v>
      </c>
      <c r="H332" s="63">
        <v>14143094</v>
      </c>
      <c r="I332" s="63">
        <f>+C332+D332-E332-F332+G332</f>
        <v>14143094</v>
      </c>
      <c r="J332" s="108">
        <f t="shared" si="185"/>
        <v>0</v>
      </c>
      <c r="K332" s="47" t="s">
        <v>157</v>
      </c>
      <c r="L332" s="49">
        <v>0</v>
      </c>
      <c r="M332" s="49">
        <v>2000000</v>
      </c>
      <c r="N332" s="49">
        <v>6223724</v>
      </c>
      <c r="O332" s="49">
        <v>17525203</v>
      </c>
      <c r="Q332" s="5"/>
    </row>
    <row r="333" spans="1:17" ht="16.5">
      <c r="A333" s="60" t="str">
        <f t="shared" si="186"/>
        <v>Caisse</v>
      </c>
      <c r="B333" s="61" t="s">
        <v>25</v>
      </c>
      <c r="C333" s="62">
        <v>1042520</v>
      </c>
      <c r="D333" s="63">
        <f t="shared" si="183"/>
        <v>3035000</v>
      </c>
      <c r="E333" s="63">
        <f t="shared" ref="E333" si="187">+N333</f>
        <v>966635</v>
      </c>
      <c r="F333" s="63">
        <f t="shared" ref="F333:F341" si="188">+M333</f>
        <v>2530000</v>
      </c>
      <c r="G333" s="63">
        <f t="shared" si="184"/>
        <v>0</v>
      </c>
      <c r="H333" s="63">
        <v>580885</v>
      </c>
      <c r="I333" s="63">
        <f>+C333+D333-E333-F333+G333</f>
        <v>580885</v>
      </c>
      <c r="J333" s="9">
        <f t="shared" si="185"/>
        <v>0</v>
      </c>
      <c r="K333" s="47" t="s">
        <v>25</v>
      </c>
      <c r="L333" s="49">
        <v>3035000</v>
      </c>
      <c r="M333" s="49">
        <v>2530000</v>
      </c>
      <c r="N333" s="49">
        <v>966635</v>
      </c>
      <c r="O333" s="49">
        <v>0</v>
      </c>
      <c r="Q333" s="5"/>
    </row>
    <row r="334" spans="1:17" ht="16.5">
      <c r="A334" s="60" t="str">
        <f t="shared" si="186"/>
        <v>Crépin</v>
      </c>
      <c r="B334" s="61" t="s">
        <v>163</v>
      </c>
      <c r="C334" s="62">
        <v>-37100</v>
      </c>
      <c r="D334" s="63">
        <f t="shared" si="183"/>
        <v>256000</v>
      </c>
      <c r="E334" s="63">
        <f>+N334</f>
        <v>189900</v>
      </c>
      <c r="F334" s="63">
        <f t="shared" si="188"/>
        <v>20000</v>
      </c>
      <c r="G334" s="63">
        <f t="shared" si="184"/>
        <v>0</v>
      </c>
      <c r="H334" s="63">
        <v>9000</v>
      </c>
      <c r="I334" s="63">
        <f t="shared" ref="I334" si="189">+C334+D334-E334-F334+G334</f>
        <v>9000</v>
      </c>
      <c r="J334" s="9">
        <f t="shared" si="185"/>
        <v>0</v>
      </c>
      <c r="K334" s="47" t="s">
        <v>47</v>
      </c>
      <c r="L334" s="49">
        <v>256000</v>
      </c>
      <c r="M334" s="49">
        <v>20000</v>
      </c>
      <c r="N334" s="49">
        <v>189900</v>
      </c>
      <c r="O334" s="49">
        <v>0</v>
      </c>
      <c r="Q334" s="5"/>
    </row>
    <row r="335" spans="1:17" ht="16.5">
      <c r="A335" s="60" t="str">
        <f>K335</f>
        <v>Evariste</v>
      </c>
      <c r="B335" s="61" t="s">
        <v>164</v>
      </c>
      <c r="C335" s="62">
        <v>8645</v>
      </c>
      <c r="D335" s="63">
        <f t="shared" si="183"/>
        <v>0</v>
      </c>
      <c r="E335" s="63">
        <f t="shared" ref="E335" si="190">+N335</f>
        <v>0</v>
      </c>
      <c r="F335" s="63">
        <f t="shared" si="188"/>
        <v>0</v>
      </c>
      <c r="G335" s="63">
        <f t="shared" si="184"/>
        <v>0</v>
      </c>
      <c r="H335" s="63">
        <v>8645</v>
      </c>
      <c r="I335" s="63">
        <f>+C335+D335-E335-F335+G335</f>
        <v>8645</v>
      </c>
      <c r="J335" s="9">
        <f t="shared" si="185"/>
        <v>0</v>
      </c>
      <c r="K335" s="47" t="s">
        <v>31</v>
      </c>
      <c r="L335" s="49">
        <v>0</v>
      </c>
      <c r="M335" s="49">
        <v>0</v>
      </c>
      <c r="N335" s="49">
        <v>0</v>
      </c>
      <c r="O335" s="49">
        <v>0</v>
      </c>
      <c r="Q335" s="5"/>
    </row>
    <row r="336" spans="1:17" ht="16.5">
      <c r="A336" s="123" t="str">
        <f t="shared" ref="A336:A343" si="191">+K336</f>
        <v>I55S</v>
      </c>
      <c r="B336" s="124" t="s">
        <v>4</v>
      </c>
      <c r="C336" s="125">
        <v>233614</v>
      </c>
      <c r="D336" s="126">
        <f t="shared" si="183"/>
        <v>0</v>
      </c>
      <c r="E336" s="126">
        <f>+N336</f>
        <v>0</v>
      </c>
      <c r="F336" s="126">
        <f t="shared" si="188"/>
        <v>0</v>
      </c>
      <c r="G336" s="126">
        <f t="shared" si="184"/>
        <v>0</v>
      </c>
      <c r="H336" s="126">
        <v>233614</v>
      </c>
      <c r="I336" s="126">
        <f>+C336+D336-E336-F336+G336</f>
        <v>233614</v>
      </c>
      <c r="J336" s="9">
        <f t="shared" si="185"/>
        <v>0</v>
      </c>
      <c r="K336" s="47" t="s">
        <v>84</v>
      </c>
      <c r="L336" s="49">
        <v>0</v>
      </c>
      <c r="M336" s="49">
        <v>0</v>
      </c>
      <c r="N336" s="49">
        <v>0</v>
      </c>
      <c r="O336" s="49">
        <v>0</v>
      </c>
      <c r="Q336" s="5"/>
    </row>
    <row r="337" spans="1:17" ht="16.5">
      <c r="A337" s="123" t="str">
        <f t="shared" si="191"/>
        <v>I73X</v>
      </c>
      <c r="B337" s="124" t="s">
        <v>4</v>
      </c>
      <c r="C337" s="125">
        <v>249769</v>
      </c>
      <c r="D337" s="126">
        <f t="shared" si="183"/>
        <v>0</v>
      </c>
      <c r="E337" s="126">
        <f>+N337</f>
        <v>0</v>
      </c>
      <c r="F337" s="126">
        <f t="shared" si="188"/>
        <v>0</v>
      </c>
      <c r="G337" s="126">
        <f t="shared" si="184"/>
        <v>0</v>
      </c>
      <c r="H337" s="126">
        <v>249769</v>
      </c>
      <c r="I337" s="126">
        <f t="shared" ref="I337:I340" si="192">+C337+D337-E337-F337+G337</f>
        <v>249769</v>
      </c>
      <c r="J337" s="9">
        <f t="shared" si="185"/>
        <v>0</v>
      </c>
      <c r="K337" s="47" t="s">
        <v>83</v>
      </c>
      <c r="L337" s="49">
        <v>0</v>
      </c>
      <c r="M337" s="49">
        <v>0</v>
      </c>
      <c r="N337" s="49">
        <v>0</v>
      </c>
      <c r="O337" s="49">
        <v>0</v>
      </c>
      <c r="Q337" s="5"/>
    </row>
    <row r="338" spans="1:17" ht="16.5">
      <c r="A338" s="60" t="str">
        <f t="shared" si="191"/>
        <v>Godfré</v>
      </c>
      <c r="B338" s="104" t="s">
        <v>163</v>
      </c>
      <c r="C338" s="62">
        <v>34935</v>
      </c>
      <c r="D338" s="63">
        <f t="shared" si="183"/>
        <v>365000</v>
      </c>
      <c r="E338" s="179">
        <f t="shared" ref="E338" si="193">+N338</f>
        <v>320000</v>
      </c>
      <c r="F338" s="63">
        <f t="shared" si="188"/>
        <v>0</v>
      </c>
      <c r="G338" s="63">
        <f t="shared" si="184"/>
        <v>0</v>
      </c>
      <c r="H338" s="63">
        <v>79935</v>
      </c>
      <c r="I338" s="63">
        <f t="shared" si="192"/>
        <v>79935</v>
      </c>
      <c r="J338" s="9">
        <f t="shared" si="185"/>
        <v>0</v>
      </c>
      <c r="K338" s="47" t="s">
        <v>152</v>
      </c>
      <c r="L338" s="49">
        <v>365000</v>
      </c>
      <c r="M338" s="49"/>
      <c r="N338" s="49">
        <v>320000</v>
      </c>
      <c r="O338" s="49">
        <v>0</v>
      </c>
      <c r="Q338" s="5"/>
    </row>
    <row r="339" spans="1:17" ht="16.5">
      <c r="A339" s="60" t="str">
        <f t="shared" si="191"/>
        <v>Grace</v>
      </c>
      <c r="B339" s="61" t="s">
        <v>2</v>
      </c>
      <c r="C339" s="62">
        <v>44200</v>
      </c>
      <c r="D339" s="63">
        <f t="shared" si="183"/>
        <v>0</v>
      </c>
      <c r="E339" s="179">
        <f>+N339</f>
        <v>9400</v>
      </c>
      <c r="F339" s="63">
        <f t="shared" si="188"/>
        <v>15000</v>
      </c>
      <c r="G339" s="63">
        <f t="shared" si="184"/>
        <v>0</v>
      </c>
      <c r="H339" s="63">
        <v>19800</v>
      </c>
      <c r="I339" s="63">
        <f t="shared" si="192"/>
        <v>19800</v>
      </c>
      <c r="J339" s="9">
        <f>I339-H339</f>
        <v>0</v>
      </c>
      <c r="K339" s="47" t="s">
        <v>151</v>
      </c>
      <c r="L339" s="49">
        <v>0</v>
      </c>
      <c r="M339" s="49">
        <v>15000</v>
      </c>
      <c r="N339" s="49">
        <v>9400</v>
      </c>
      <c r="O339" s="49">
        <v>0</v>
      </c>
      <c r="Q339" s="5"/>
    </row>
    <row r="340" spans="1:17" ht="16.5">
      <c r="A340" s="60" t="str">
        <f t="shared" si="191"/>
        <v>I23C</v>
      </c>
      <c r="B340" s="104" t="s">
        <v>4</v>
      </c>
      <c r="C340" s="62">
        <v>12050</v>
      </c>
      <c r="D340" s="63">
        <f t="shared" si="183"/>
        <v>492000</v>
      </c>
      <c r="E340" s="179">
        <f t="shared" ref="E340:E343" si="194">+N340</f>
        <v>473500</v>
      </c>
      <c r="F340" s="63">
        <f t="shared" si="188"/>
        <v>0</v>
      </c>
      <c r="G340" s="63">
        <f t="shared" si="184"/>
        <v>0</v>
      </c>
      <c r="H340" s="63">
        <v>30550</v>
      </c>
      <c r="I340" s="63">
        <f t="shared" si="192"/>
        <v>30550</v>
      </c>
      <c r="J340" s="9">
        <f t="shared" ref="J340:J341" si="195">I340-H340</f>
        <v>0</v>
      </c>
      <c r="K340" s="47" t="s">
        <v>30</v>
      </c>
      <c r="L340" s="49">
        <v>492000</v>
      </c>
      <c r="M340" s="49">
        <v>0</v>
      </c>
      <c r="N340" s="49">
        <v>473500</v>
      </c>
      <c r="O340" s="49">
        <v>0</v>
      </c>
      <c r="Q340" s="5"/>
    </row>
    <row r="341" spans="1:17" ht="16.5">
      <c r="A341" s="60" t="str">
        <f t="shared" si="191"/>
        <v>Merveille</v>
      </c>
      <c r="B341" s="61" t="s">
        <v>2</v>
      </c>
      <c r="C341" s="62">
        <v>5500</v>
      </c>
      <c r="D341" s="63">
        <f t="shared" si="183"/>
        <v>20000</v>
      </c>
      <c r="E341" s="179">
        <f t="shared" si="194"/>
        <v>12500</v>
      </c>
      <c r="F341" s="63">
        <f t="shared" si="188"/>
        <v>0</v>
      </c>
      <c r="G341" s="63">
        <f t="shared" si="184"/>
        <v>0</v>
      </c>
      <c r="H341" s="63">
        <v>13000</v>
      </c>
      <c r="I341" s="63">
        <f>+C341+D341-E341-F341+G341</f>
        <v>13000</v>
      </c>
      <c r="J341" s="9">
        <f t="shared" si="195"/>
        <v>0</v>
      </c>
      <c r="K341" s="47" t="s">
        <v>93</v>
      </c>
      <c r="L341" s="49">
        <v>20000</v>
      </c>
      <c r="M341" s="49">
        <v>0</v>
      </c>
      <c r="N341" s="49">
        <v>12500</v>
      </c>
      <c r="O341" s="49"/>
      <c r="Q341" s="5"/>
    </row>
    <row r="342" spans="1:17" ht="16.5">
      <c r="A342" s="60" t="str">
        <f t="shared" si="191"/>
        <v>P29</v>
      </c>
      <c r="B342" s="61" t="s">
        <v>4</v>
      </c>
      <c r="C342" s="62">
        <v>58200</v>
      </c>
      <c r="D342" s="63">
        <f t="shared" si="183"/>
        <v>530000</v>
      </c>
      <c r="E342" s="179">
        <f t="shared" si="194"/>
        <v>532500</v>
      </c>
      <c r="F342" s="63">
        <f>+M342</f>
        <v>0</v>
      </c>
      <c r="G342" s="63">
        <f>+O342</f>
        <v>0</v>
      </c>
      <c r="H342" s="63">
        <v>55700</v>
      </c>
      <c r="I342" s="63">
        <f>+C342+D342-E342-F342+G342</f>
        <v>55700</v>
      </c>
      <c r="J342" s="9">
        <f>I342-H342</f>
        <v>0</v>
      </c>
      <c r="K342" s="47" t="s">
        <v>29</v>
      </c>
      <c r="L342" s="49">
        <v>530000</v>
      </c>
      <c r="M342" s="49">
        <v>0</v>
      </c>
      <c r="N342" s="49">
        <v>532500</v>
      </c>
      <c r="O342" s="49">
        <v>0</v>
      </c>
      <c r="Q342" s="5"/>
    </row>
    <row r="343" spans="1:17" ht="16.5">
      <c r="A343" s="60" t="str">
        <f t="shared" si="191"/>
        <v>Tiffany</v>
      </c>
      <c r="B343" s="61" t="s">
        <v>2</v>
      </c>
      <c r="C343" s="62">
        <v>263673</v>
      </c>
      <c r="D343" s="63">
        <f t="shared" si="183"/>
        <v>300000</v>
      </c>
      <c r="E343" s="179">
        <f t="shared" si="194"/>
        <v>599910</v>
      </c>
      <c r="F343" s="63">
        <f t="shared" ref="F343" si="196">+M343</f>
        <v>0</v>
      </c>
      <c r="G343" s="63">
        <f t="shared" ref="G343" si="197">+O343</f>
        <v>0</v>
      </c>
      <c r="H343" s="63">
        <v>-36237</v>
      </c>
      <c r="I343" s="63">
        <f t="shared" ref="I343" si="198">+C343+D343-E343-F343+G343</f>
        <v>-36237</v>
      </c>
      <c r="J343" s="9">
        <f t="shared" ref="J343" si="199">I343-H343</f>
        <v>0</v>
      </c>
      <c r="K343" s="47" t="s">
        <v>113</v>
      </c>
      <c r="L343" s="49">
        <v>300000</v>
      </c>
      <c r="M343" s="49">
        <v>0</v>
      </c>
      <c r="N343" s="49">
        <v>599910</v>
      </c>
      <c r="O343" s="49">
        <v>0</v>
      </c>
      <c r="Q343" s="5"/>
    </row>
    <row r="344" spans="1:17" ht="16.5">
      <c r="A344" s="10" t="s">
        <v>50</v>
      </c>
      <c r="B344" s="11"/>
      <c r="C344" s="12">
        <f t="shared" ref="C344:I344" si="200">SUM(C330:C343)</f>
        <v>10222494</v>
      </c>
      <c r="D344" s="59">
        <f t="shared" si="200"/>
        <v>5565000</v>
      </c>
      <c r="E344" s="59">
        <f t="shared" si="200"/>
        <v>10187414</v>
      </c>
      <c r="F344" s="59">
        <f t="shared" si="200"/>
        <v>5565000</v>
      </c>
      <c r="G344" s="59">
        <f t="shared" si="200"/>
        <v>17525203</v>
      </c>
      <c r="H344" s="59">
        <f t="shared" si="200"/>
        <v>17560283</v>
      </c>
      <c r="I344" s="59">
        <f t="shared" si="200"/>
        <v>17560283</v>
      </c>
      <c r="J344" s="9">
        <f>I344-H344</f>
        <v>0</v>
      </c>
      <c r="K344" s="3"/>
      <c r="L344" s="49">
        <f>+SUM(L330:L343)</f>
        <v>5565000</v>
      </c>
      <c r="M344" s="49">
        <f>+SUM(M330:M343)</f>
        <v>5565000</v>
      </c>
      <c r="N344" s="49">
        <f>+SUM(N330:N343)</f>
        <v>10187414</v>
      </c>
      <c r="O344" s="49">
        <f>+SUM(O330:O343)</f>
        <v>17525203</v>
      </c>
      <c r="Q344" s="5"/>
    </row>
    <row r="345" spans="1:17" ht="16.5">
      <c r="A345" s="10"/>
      <c r="B345" s="11"/>
      <c r="C345" s="12"/>
      <c r="D345" s="13"/>
      <c r="E345" s="12"/>
      <c r="F345" s="13"/>
      <c r="G345" s="12"/>
      <c r="H345" s="12"/>
      <c r="I345" s="143" t="b">
        <f>I344=D347</f>
        <v>1</v>
      </c>
      <c r="L345" s="5"/>
      <c r="M345" s="5"/>
      <c r="N345" s="5"/>
      <c r="O345" s="5"/>
      <c r="Q345" s="5"/>
    </row>
    <row r="346" spans="1:17" ht="16.5">
      <c r="A346" s="10" t="s">
        <v>185</v>
      </c>
      <c r="B346" s="11" t="s">
        <v>187</v>
      </c>
      <c r="C346" s="12" t="s">
        <v>186</v>
      </c>
      <c r="D346" s="12" t="s">
        <v>188</v>
      </c>
      <c r="E346" s="12" t="s">
        <v>51</v>
      </c>
      <c r="F346" s="12"/>
      <c r="G346" s="12">
        <f>+D344-F344</f>
        <v>0</v>
      </c>
      <c r="H346" s="12"/>
      <c r="I346" s="12"/>
      <c r="L346" s="5"/>
      <c r="M346" s="5"/>
      <c r="N346" s="5"/>
      <c r="O346" s="5"/>
      <c r="Q346" s="5"/>
    </row>
    <row r="347" spans="1:17" ht="16.5">
      <c r="A347" s="14">
        <f>C344</f>
        <v>10222494</v>
      </c>
      <c r="B347" s="15">
        <f>G344</f>
        <v>17525203</v>
      </c>
      <c r="C347" s="12">
        <f>E344</f>
        <v>10187414</v>
      </c>
      <c r="D347" s="12">
        <f>A347+B347-C347</f>
        <v>17560283</v>
      </c>
      <c r="E347" s="13">
        <f>I344-D347</f>
        <v>0</v>
      </c>
      <c r="F347" s="12"/>
      <c r="G347" s="12"/>
      <c r="H347" s="12"/>
      <c r="I347" s="12"/>
      <c r="L347" s="5"/>
      <c r="M347" s="5"/>
      <c r="N347" s="5"/>
      <c r="O347" s="5"/>
      <c r="Q347" s="5"/>
    </row>
    <row r="348" spans="1:17" ht="16.5">
      <c r="A348" s="14"/>
      <c r="B348" s="15"/>
      <c r="C348" s="12"/>
      <c r="D348" s="12"/>
      <c r="E348" s="13"/>
      <c r="F348" s="12"/>
      <c r="G348" s="12"/>
      <c r="H348" s="12"/>
      <c r="I348" s="12"/>
      <c r="L348" s="5"/>
      <c r="M348" s="5"/>
      <c r="N348" s="5"/>
      <c r="O348" s="5"/>
      <c r="Q348" s="5"/>
    </row>
    <row r="349" spans="1:17">
      <c r="A349" s="16" t="s">
        <v>52</v>
      </c>
      <c r="B349" s="16"/>
      <c r="C349" s="16"/>
      <c r="D349" s="17"/>
      <c r="E349" s="17"/>
      <c r="F349" s="17"/>
      <c r="G349" s="17"/>
      <c r="H349" s="17"/>
      <c r="I349" s="17"/>
      <c r="L349" s="5"/>
      <c r="M349" s="5"/>
      <c r="N349" s="5"/>
      <c r="O349" s="5"/>
      <c r="Q349" s="5"/>
    </row>
    <row r="350" spans="1:17">
      <c r="A350" s="18" t="s">
        <v>189</v>
      </c>
      <c r="B350" s="18"/>
      <c r="C350" s="18"/>
      <c r="D350" s="18"/>
      <c r="E350" s="18"/>
      <c r="F350" s="18"/>
      <c r="G350" s="18"/>
      <c r="H350" s="18"/>
      <c r="I350" s="18"/>
      <c r="J350" s="18"/>
      <c r="L350" s="5"/>
      <c r="M350" s="5"/>
      <c r="N350" s="5"/>
      <c r="O350" s="5"/>
      <c r="Q350" s="5"/>
    </row>
    <row r="351" spans="1:17">
      <c r="A351" s="19"/>
      <c r="B351" s="20"/>
      <c r="C351" s="21"/>
      <c r="D351" s="21"/>
      <c r="E351" s="21"/>
      <c r="F351" s="21"/>
      <c r="G351" s="21"/>
      <c r="H351" s="20"/>
      <c r="I351" s="20"/>
      <c r="L351" s="5"/>
      <c r="M351" s="5"/>
      <c r="N351" s="5"/>
      <c r="O351" s="5"/>
      <c r="Q351" s="5"/>
    </row>
    <row r="352" spans="1:17">
      <c r="A352" s="451" t="s">
        <v>53</v>
      </c>
      <c r="B352" s="453" t="s">
        <v>54</v>
      </c>
      <c r="C352" s="455" t="s">
        <v>191</v>
      </c>
      <c r="D352" s="457" t="s">
        <v>55</v>
      </c>
      <c r="E352" s="458"/>
      <c r="F352" s="458"/>
      <c r="G352" s="459"/>
      <c r="H352" s="460" t="s">
        <v>56</v>
      </c>
      <c r="I352" s="462" t="s">
        <v>57</v>
      </c>
      <c r="J352" s="20"/>
      <c r="L352" s="5"/>
      <c r="M352" s="5"/>
      <c r="N352" s="5"/>
      <c r="O352" s="5"/>
      <c r="Q352" s="5"/>
    </row>
    <row r="353" spans="1:17" ht="28.5" customHeight="1">
      <c r="A353" s="452"/>
      <c r="B353" s="454"/>
      <c r="C353" s="456"/>
      <c r="D353" s="22" t="s">
        <v>24</v>
      </c>
      <c r="E353" s="22" t="s">
        <v>25</v>
      </c>
      <c r="F353" s="205" t="s">
        <v>123</v>
      </c>
      <c r="G353" s="22" t="s">
        <v>58</v>
      </c>
      <c r="H353" s="461"/>
      <c r="I353" s="463"/>
      <c r="J353" s="464" t="s">
        <v>190</v>
      </c>
      <c r="K353" s="155"/>
      <c r="L353" s="5"/>
      <c r="M353" s="5"/>
      <c r="N353" s="5"/>
      <c r="O353" s="5"/>
      <c r="Q353" s="5"/>
    </row>
    <row r="354" spans="1:17">
      <c r="A354" s="24"/>
      <c r="B354" s="25" t="s">
        <v>59</v>
      </c>
      <c r="C354" s="26"/>
      <c r="D354" s="26"/>
      <c r="E354" s="26"/>
      <c r="F354" s="26"/>
      <c r="G354" s="26"/>
      <c r="H354" s="26"/>
      <c r="I354" s="27"/>
      <c r="J354" s="465"/>
      <c r="K354" s="155"/>
      <c r="L354" s="5"/>
      <c r="M354" s="5"/>
      <c r="N354" s="5"/>
      <c r="O354" s="5"/>
      <c r="Q354" s="5"/>
    </row>
    <row r="355" spans="1:17">
      <c r="A355" s="130" t="s">
        <v>108</v>
      </c>
      <c r="B355" s="135" t="s">
        <v>172</v>
      </c>
      <c r="C355" s="33">
        <f>+C330</f>
        <v>9500</v>
      </c>
      <c r="D355" s="32"/>
      <c r="E355" s="33">
        <f>+D330</f>
        <v>567000</v>
      </c>
      <c r="F355" s="33"/>
      <c r="G355" s="33"/>
      <c r="H355" s="57">
        <f>+F330</f>
        <v>0</v>
      </c>
      <c r="I355" s="33">
        <f>+E330</f>
        <v>576000</v>
      </c>
      <c r="J355" s="31">
        <f t="shared" ref="J355:J356" si="201">+SUM(C355:G355)-(H355+I355)</f>
        <v>500</v>
      </c>
      <c r="K355" s="156" t="b">
        <f>J355=I330</f>
        <v>1</v>
      </c>
      <c r="L355" s="5"/>
      <c r="M355" s="5"/>
      <c r="N355" s="5"/>
      <c r="O355" s="5"/>
      <c r="Q355" s="5"/>
    </row>
    <row r="356" spans="1:17">
      <c r="A356" s="130" t="str">
        <f>+A355</f>
        <v>JANVIER</v>
      </c>
      <c r="B356" s="135" t="s">
        <v>47</v>
      </c>
      <c r="C356" s="33">
        <f>+C334</f>
        <v>-37100</v>
      </c>
      <c r="D356" s="32"/>
      <c r="E356" s="33">
        <f>+D334</f>
        <v>256000</v>
      </c>
      <c r="F356" s="33"/>
      <c r="G356" s="33"/>
      <c r="H356" s="57">
        <f>+F334</f>
        <v>20000</v>
      </c>
      <c r="I356" s="33">
        <f>+E334</f>
        <v>189900</v>
      </c>
      <c r="J356" s="107">
        <f t="shared" si="201"/>
        <v>9000</v>
      </c>
      <c r="K356" s="156" t="b">
        <f t="shared" ref="K356:K365" si="202">J356=I334</f>
        <v>1</v>
      </c>
      <c r="L356" s="5"/>
      <c r="M356" s="5"/>
      <c r="N356" s="5"/>
      <c r="O356" s="5"/>
      <c r="Q356" s="5"/>
    </row>
    <row r="357" spans="1:17">
      <c r="A357" s="130" t="str">
        <f t="shared" ref="A357:A365" si="203">+A356</f>
        <v>JANVIER</v>
      </c>
      <c r="B357" s="136" t="s">
        <v>31</v>
      </c>
      <c r="C357" s="33">
        <f>+C335</f>
        <v>8645</v>
      </c>
      <c r="D357" s="127"/>
      <c r="E357" s="33">
        <f>+D335</f>
        <v>0</v>
      </c>
      <c r="F357" s="53"/>
      <c r="G357" s="53"/>
      <c r="H357" s="57">
        <f>+F335</f>
        <v>0</v>
      </c>
      <c r="I357" s="33">
        <f>+E335</f>
        <v>0</v>
      </c>
      <c r="J357" s="132">
        <f>+SUM(C357:G357)-(H357+I357)</f>
        <v>8645</v>
      </c>
      <c r="K357" s="156" t="b">
        <f t="shared" si="202"/>
        <v>1</v>
      </c>
      <c r="L357" s="5"/>
      <c r="M357" s="5"/>
      <c r="N357" s="5"/>
      <c r="O357" s="5"/>
      <c r="Q357" s="5"/>
    </row>
    <row r="358" spans="1:17">
      <c r="A358" s="130" t="str">
        <f t="shared" si="203"/>
        <v>JANVIER</v>
      </c>
      <c r="B358" s="137" t="s">
        <v>84</v>
      </c>
      <c r="C358" s="128">
        <f>+C336</f>
        <v>233614</v>
      </c>
      <c r="D358" s="131"/>
      <c r="E358" s="128">
        <f>+D336</f>
        <v>0</v>
      </c>
      <c r="F358" s="146"/>
      <c r="G358" s="146"/>
      <c r="H358" s="180">
        <f>+F336</f>
        <v>0</v>
      </c>
      <c r="I358" s="128">
        <f>+E336</f>
        <v>0</v>
      </c>
      <c r="J358" s="129">
        <f>+SUM(C358:G358)-(H358+I358)</f>
        <v>233614</v>
      </c>
      <c r="K358" s="156" t="b">
        <f t="shared" si="202"/>
        <v>1</v>
      </c>
      <c r="L358" s="5"/>
      <c r="M358" s="5"/>
      <c r="N358" s="5"/>
      <c r="O358" s="5"/>
      <c r="Q358" s="5"/>
    </row>
    <row r="359" spans="1:17">
      <c r="A359" s="130" t="str">
        <f t="shared" si="203"/>
        <v>JANVIER</v>
      </c>
      <c r="B359" s="137" t="s">
        <v>83</v>
      </c>
      <c r="C359" s="128">
        <f>+C337</f>
        <v>249769</v>
      </c>
      <c r="D359" s="131"/>
      <c r="E359" s="128">
        <f>+D337</f>
        <v>0</v>
      </c>
      <c r="F359" s="146"/>
      <c r="G359" s="146"/>
      <c r="H359" s="180">
        <f>+F337</f>
        <v>0</v>
      </c>
      <c r="I359" s="128">
        <f>+E337</f>
        <v>0</v>
      </c>
      <c r="J359" s="129">
        <f t="shared" ref="J359:J365" si="204">+SUM(C359:G359)-(H359+I359)</f>
        <v>249769</v>
      </c>
      <c r="K359" s="156" t="b">
        <f t="shared" si="202"/>
        <v>1</v>
      </c>
      <c r="L359" s="5"/>
      <c r="M359" s="5"/>
      <c r="N359" s="5"/>
      <c r="O359" s="5"/>
      <c r="Q359" s="5"/>
    </row>
    <row r="360" spans="1:17">
      <c r="A360" s="130" t="str">
        <f t="shared" si="203"/>
        <v>JANVIER</v>
      </c>
      <c r="B360" s="135" t="s">
        <v>152</v>
      </c>
      <c r="C360" s="33">
        <f>+C338</f>
        <v>34935</v>
      </c>
      <c r="D360" s="32"/>
      <c r="E360" s="33">
        <f>+D338</f>
        <v>365000</v>
      </c>
      <c r="F360" s="33"/>
      <c r="G360" s="110"/>
      <c r="H360" s="57">
        <f>+F338</f>
        <v>0</v>
      </c>
      <c r="I360" s="33">
        <f>+E338</f>
        <v>320000</v>
      </c>
      <c r="J360" s="31">
        <f t="shared" si="204"/>
        <v>79935</v>
      </c>
      <c r="K360" s="156" t="b">
        <f t="shared" si="202"/>
        <v>1</v>
      </c>
      <c r="L360" s="5"/>
      <c r="M360" s="5"/>
      <c r="N360" s="5"/>
      <c r="O360" s="5"/>
      <c r="Q360" s="5"/>
    </row>
    <row r="361" spans="1:17">
      <c r="A361" s="130" t="str">
        <f t="shared" si="203"/>
        <v>JANVIER</v>
      </c>
      <c r="B361" s="135" t="s">
        <v>151</v>
      </c>
      <c r="C361" s="33">
        <f t="shared" ref="C361:C365" si="205">+C339</f>
        <v>44200</v>
      </c>
      <c r="D361" s="32"/>
      <c r="E361" s="33">
        <f t="shared" ref="E361:E365" si="206">+D339</f>
        <v>0</v>
      </c>
      <c r="F361" s="33"/>
      <c r="G361" s="110"/>
      <c r="H361" s="57">
        <f t="shared" ref="H361:H365" si="207">+F339</f>
        <v>15000</v>
      </c>
      <c r="I361" s="33">
        <f t="shared" ref="I361:I365" si="208">+E339</f>
        <v>9400</v>
      </c>
      <c r="J361" s="31">
        <f t="shared" si="204"/>
        <v>19800</v>
      </c>
      <c r="K361" s="156" t="b">
        <f t="shared" si="202"/>
        <v>1</v>
      </c>
      <c r="L361" s="5"/>
      <c r="M361" s="5"/>
      <c r="N361" s="5"/>
      <c r="O361" s="5"/>
      <c r="Q361" s="5"/>
    </row>
    <row r="362" spans="1:17">
      <c r="A362" s="130" t="str">
        <f t="shared" si="203"/>
        <v>JANVIER</v>
      </c>
      <c r="B362" s="135" t="s">
        <v>30</v>
      </c>
      <c r="C362" s="33">
        <f t="shared" si="205"/>
        <v>12050</v>
      </c>
      <c r="D362" s="32"/>
      <c r="E362" s="33">
        <f t="shared" si="206"/>
        <v>492000</v>
      </c>
      <c r="F362" s="33"/>
      <c r="G362" s="110"/>
      <c r="H362" s="57">
        <f t="shared" si="207"/>
        <v>0</v>
      </c>
      <c r="I362" s="33">
        <f t="shared" si="208"/>
        <v>473500</v>
      </c>
      <c r="J362" s="31">
        <f t="shared" si="204"/>
        <v>30550</v>
      </c>
      <c r="K362" s="156" t="b">
        <f t="shared" si="202"/>
        <v>1</v>
      </c>
      <c r="Q362" s="5"/>
    </row>
    <row r="363" spans="1:17">
      <c r="A363" s="130" t="str">
        <f>+A361</f>
        <v>JANVIER</v>
      </c>
      <c r="B363" s="135" t="s">
        <v>93</v>
      </c>
      <c r="C363" s="33">
        <f t="shared" si="205"/>
        <v>5500</v>
      </c>
      <c r="D363" s="32"/>
      <c r="E363" s="33">
        <f t="shared" si="206"/>
        <v>20000</v>
      </c>
      <c r="F363" s="33"/>
      <c r="G363" s="110"/>
      <c r="H363" s="57">
        <f t="shared" si="207"/>
        <v>0</v>
      </c>
      <c r="I363" s="33">
        <f t="shared" si="208"/>
        <v>12500</v>
      </c>
      <c r="J363" s="31">
        <f t="shared" si="204"/>
        <v>13000</v>
      </c>
      <c r="K363" s="156" t="b">
        <f t="shared" si="202"/>
        <v>1</v>
      </c>
      <c r="Q363" s="5"/>
    </row>
    <row r="364" spans="1:17">
      <c r="A364" s="130" t="str">
        <f>+A362</f>
        <v>JANVIER</v>
      </c>
      <c r="B364" s="135" t="s">
        <v>29</v>
      </c>
      <c r="C364" s="33">
        <f t="shared" si="205"/>
        <v>58200</v>
      </c>
      <c r="D364" s="32"/>
      <c r="E364" s="33">
        <f t="shared" si="206"/>
        <v>530000</v>
      </c>
      <c r="F364" s="33"/>
      <c r="G364" s="110"/>
      <c r="H364" s="57">
        <f t="shared" si="207"/>
        <v>0</v>
      </c>
      <c r="I364" s="33">
        <f t="shared" si="208"/>
        <v>532500</v>
      </c>
      <c r="J364" s="31">
        <f t="shared" si="204"/>
        <v>55700</v>
      </c>
      <c r="K364" s="156" t="b">
        <f t="shared" si="202"/>
        <v>1</v>
      </c>
      <c r="Q364" s="5"/>
    </row>
    <row r="365" spans="1:17">
      <c r="A365" s="130" t="str">
        <f t="shared" si="203"/>
        <v>JANVIER</v>
      </c>
      <c r="B365" s="136" t="s">
        <v>113</v>
      </c>
      <c r="C365" s="33">
        <f t="shared" si="205"/>
        <v>263673</v>
      </c>
      <c r="D365" s="127"/>
      <c r="E365" s="33">
        <f t="shared" si="206"/>
        <v>300000</v>
      </c>
      <c r="F365" s="53"/>
      <c r="G365" s="147"/>
      <c r="H365" s="57">
        <f t="shared" si="207"/>
        <v>0</v>
      </c>
      <c r="I365" s="33">
        <f t="shared" si="208"/>
        <v>599910</v>
      </c>
      <c r="J365" s="31">
        <f t="shared" si="204"/>
        <v>-36237</v>
      </c>
      <c r="K365" s="156" t="b">
        <f t="shared" si="202"/>
        <v>1</v>
      </c>
      <c r="Q365" s="5"/>
    </row>
    <row r="366" spans="1:17">
      <c r="A366" s="35" t="s">
        <v>60</v>
      </c>
      <c r="B366" s="36"/>
      <c r="C366" s="36"/>
      <c r="D366" s="36"/>
      <c r="E366" s="36"/>
      <c r="F366" s="36"/>
      <c r="G366" s="36"/>
      <c r="H366" s="36"/>
      <c r="I366" s="36"/>
      <c r="J366" s="37"/>
      <c r="K366" s="155"/>
      <c r="Q366" s="5"/>
    </row>
    <row r="367" spans="1:17">
      <c r="A367" s="130" t="str">
        <f>+A365</f>
        <v>JANVIER</v>
      </c>
      <c r="B367" s="38" t="s">
        <v>61</v>
      </c>
      <c r="C367" s="39">
        <f>+C333</f>
        <v>1042520</v>
      </c>
      <c r="D367" s="51"/>
      <c r="E367" s="51">
        <f>D333</f>
        <v>3035000</v>
      </c>
      <c r="F367" s="51"/>
      <c r="G367" s="133"/>
      <c r="H367" s="53">
        <f>+F333</f>
        <v>2530000</v>
      </c>
      <c r="I367" s="134">
        <f>+E333</f>
        <v>966635</v>
      </c>
      <c r="J367" s="46">
        <f>+SUM(C367:G367)-(H367+I367)</f>
        <v>580885</v>
      </c>
      <c r="K367" s="156" t="b">
        <f>J367=I333</f>
        <v>1</v>
      </c>
      <c r="Q367" s="5"/>
    </row>
    <row r="368" spans="1:17">
      <c r="A368" s="44" t="s">
        <v>62</v>
      </c>
      <c r="B368" s="25"/>
      <c r="C368" s="36"/>
      <c r="D368" s="25"/>
      <c r="E368" s="25"/>
      <c r="F368" s="25"/>
      <c r="G368" s="25"/>
      <c r="H368" s="25"/>
      <c r="I368" s="25"/>
      <c r="J368" s="37"/>
      <c r="K368" s="155"/>
      <c r="Q368" s="5"/>
    </row>
    <row r="369" spans="1:17">
      <c r="A369" s="130" t="str">
        <f>+A367</f>
        <v>JANVIER</v>
      </c>
      <c r="B369" s="38" t="s">
        <v>166</v>
      </c>
      <c r="C369" s="133">
        <f>+C331</f>
        <v>3455373</v>
      </c>
      <c r="D369" s="140">
        <f>+G331</f>
        <v>0</v>
      </c>
      <c r="E369" s="51"/>
      <c r="F369" s="51"/>
      <c r="G369" s="51"/>
      <c r="H369" s="53">
        <f>+F331</f>
        <v>1000000</v>
      </c>
      <c r="I369" s="55">
        <f>+E331</f>
        <v>283345</v>
      </c>
      <c r="J369" s="46">
        <f>+SUM(C369:G369)-(H369+I369)</f>
        <v>2172028</v>
      </c>
      <c r="K369" s="156" t="b">
        <f>+J369=I331</f>
        <v>1</v>
      </c>
      <c r="Q369" s="5"/>
    </row>
    <row r="370" spans="1:17">
      <c r="A370" s="130" t="str">
        <f t="shared" ref="A370" si="209">+A369</f>
        <v>JANVIER</v>
      </c>
      <c r="B370" s="38" t="s">
        <v>64</v>
      </c>
      <c r="C370" s="133">
        <f>+C332</f>
        <v>4841615</v>
      </c>
      <c r="D370" s="51">
        <f>+G332</f>
        <v>17525203</v>
      </c>
      <c r="E370" s="50"/>
      <c r="F370" s="50"/>
      <c r="G370" s="50"/>
      <c r="H370" s="33">
        <f>+F332</f>
        <v>2000000</v>
      </c>
      <c r="I370" s="52">
        <f>+E332</f>
        <v>6223724</v>
      </c>
      <c r="J370" s="46">
        <f>SUM(C370:G370)-(H370+I370)</f>
        <v>14143094</v>
      </c>
      <c r="K370" s="156" t="b">
        <f>+J370=I332</f>
        <v>1</v>
      </c>
      <c r="Q370" s="5"/>
    </row>
    <row r="371" spans="1:17" ht="15.75">
      <c r="C371" s="151">
        <f>SUM(C355:C370)</f>
        <v>10222494</v>
      </c>
      <c r="I371" s="149">
        <f>SUM(I355:I370)</f>
        <v>10187414</v>
      </c>
      <c r="J371" s="111">
        <f>+SUM(J355:J370)</f>
        <v>17560283</v>
      </c>
      <c r="K371" s="5" t="b">
        <f>J371=I344</f>
        <v>1</v>
      </c>
      <c r="Q371" s="5"/>
    </row>
    <row r="372" spans="1:17" ht="15.75">
      <c r="C372" s="151"/>
      <c r="I372" s="149"/>
      <c r="J372" s="111"/>
      <c r="Q372" s="5"/>
    </row>
    <row r="373" spans="1:17" ht="15.75">
      <c r="A373" s="207"/>
      <c r="B373" s="207"/>
      <c r="C373" s="208"/>
      <c r="D373" s="207"/>
      <c r="E373" s="207"/>
      <c r="F373" s="207"/>
      <c r="G373" s="207"/>
      <c r="H373" s="207"/>
      <c r="I373" s="209"/>
      <c r="J373" s="210"/>
      <c r="K373" s="207"/>
      <c r="L373" s="211"/>
      <c r="M373" s="211"/>
      <c r="N373" s="211"/>
      <c r="O373" s="211"/>
      <c r="P373" s="207"/>
      <c r="Q373" s="5"/>
    </row>
    <row r="375" spans="1:17" ht="15.75">
      <c r="A375" s="6" t="s">
        <v>36</v>
      </c>
      <c r="B375" s="6" t="s">
        <v>1</v>
      </c>
      <c r="C375" s="6">
        <v>44531</v>
      </c>
      <c r="D375" s="7" t="s">
        <v>37</v>
      </c>
      <c r="E375" s="7" t="s">
        <v>38</v>
      </c>
      <c r="F375" s="7" t="s">
        <v>39</v>
      </c>
      <c r="G375" s="7" t="s">
        <v>40</v>
      </c>
      <c r="H375" s="6">
        <v>44561</v>
      </c>
      <c r="I375" s="7" t="s">
        <v>41</v>
      </c>
      <c r="K375" s="47"/>
      <c r="L375" s="47" t="s">
        <v>42</v>
      </c>
      <c r="M375" s="47" t="s">
        <v>43</v>
      </c>
      <c r="N375" s="47" t="s">
        <v>44</v>
      </c>
      <c r="O375" s="47" t="s">
        <v>45</v>
      </c>
      <c r="Q375" s="5"/>
    </row>
    <row r="376" spans="1:17" s="184" customFormat="1" ht="16.5">
      <c r="A376" s="60" t="str">
        <f>+K376</f>
        <v>Axel</v>
      </c>
      <c r="B376" s="186" t="s">
        <v>163</v>
      </c>
      <c r="C376" s="62">
        <v>29107</v>
      </c>
      <c r="D376" s="63">
        <f t="shared" ref="D376:D390" si="210">+L376</f>
        <v>1125000</v>
      </c>
      <c r="E376" s="63">
        <f>+N376</f>
        <v>1008750</v>
      </c>
      <c r="F376" s="63">
        <f>+M376</f>
        <v>145357</v>
      </c>
      <c r="G376" s="63">
        <f t="shared" ref="G376:G388" si="211">+O376</f>
        <v>0</v>
      </c>
      <c r="H376" s="63">
        <v>0</v>
      </c>
      <c r="I376" s="63">
        <f>+C376+D376-E376-F376+G376</f>
        <v>0</v>
      </c>
      <c r="J376" s="9">
        <f>I376-H376</f>
        <v>0</v>
      </c>
      <c r="K376" s="185" t="s">
        <v>162</v>
      </c>
      <c r="L376" s="185">
        <v>1125000</v>
      </c>
      <c r="M376" s="185">
        <v>145357</v>
      </c>
      <c r="N376" s="185">
        <v>1008750</v>
      </c>
      <c r="O376" s="185">
        <v>0</v>
      </c>
    </row>
    <row r="377" spans="1:17" ht="16.5">
      <c r="A377" s="60" t="str">
        <f>+K377</f>
        <v>B52</v>
      </c>
      <c r="B377" s="61" t="s">
        <v>4</v>
      </c>
      <c r="C377" s="62">
        <v>4000</v>
      </c>
      <c r="D377" s="63">
        <f t="shared" si="210"/>
        <v>426000</v>
      </c>
      <c r="E377" s="63">
        <f>+N377</f>
        <v>420500</v>
      </c>
      <c r="F377" s="63">
        <f>+M377</f>
        <v>0</v>
      </c>
      <c r="G377" s="63">
        <f t="shared" si="211"/>
        <v>0</v>
      </c>
      <c r="H377" s="63">
        <v>9500</v>
      </c>
      <c r="I377" s="63">
        <f>+C377+D377-E377-F377+G377</f>
        <v>9500</v>
      </c>
      <c r="J377" s="9">
        <f>I377-H377</f>
        <v>0</v>
      </c>
      <c r="K377" s="47" t="s">
        <v>172</v>
      </c>
      <c r="L377" s="49">
        <v>426000</v>
      </c>
      <c r="M377" s="49">
        <v>0</v>
      </c>
      <c r="N377" s="49">
        <v>420500</v>
      </c>
      <c r="O377" s="49">
        <v>0</v>
      </c>
      <c r="Q377" s="5"/>
    </row>
    <row r="378" spans="1:17" ht="16.5">
      <c r="A378" s="60" t="str">
        <f>+K378</f>
        <v>BCI</v>
      </c>
      <c r="B378" s="61" t="s">
        <v>46</v>
      </c>
      <c r="C378" s="62">
        <v>5738718</v>
      </c>
      <c r="D378" s="63">
        <f t="shared" si="210"/>
        <v>0</v>
      </c>
      <c r="E378" s="63">
        <f>+N378</f>
        <v>283345</v>
      </c>
      <c r="F378" s="63">
        <f>+M378</f>
        <v>2000000</v>
      </c>
      <c r="G378" s="63">
        <f t="shared" si="211"/>
        <v>0</v>
      </c>
      <c r="H378" s="63">
        <v>3455373</v>
      </c>
      <c r="I378" s="63">
        <f>+C378+D378-E378-F378+G378</f>
        <v>3455373</v>
      </c>
      <c r="J378" s="9">
        <f t="shared" ref="J378:J385" si="212">I378-H378</f>
        <v>0</v>
      </c>
      <c r="K378" s="47" t="s">
        <v>24</v>
      </c>
      <c r="L378" s="49">
        <v>0</v>
      </c>
      <c r="M378" s="49">
        <v>2000000</v>
      </c>
      <c r="N378" s="49">
        <v>283345</v>
      </c>
      <c r="O378" s="49">
        <v>0</v>
      </c>
      <c r="Q378" s="5"/>
    </row>
    <row r="379" spans="1:17" ht="16.5">
      <c r="A379" s="60" t="str">
        <f t="shared" ref="A379:A381" si="213">+K379</f>
        <v>BCI-Sous Compte</v>
      </c>
      <c r="B379" s="61" t="s">
        <v>46</v>
      </c>
      <c r="C379" s="62">
        <v>16087207</v>
      </c>
      <c r="D379" s="63">
        <f t="shared" si="210"/>
        <v>0</v>
      </c>
      <c r="E379" s="63">
        <f>+N379</f>
        <v>3245592</v>
      </c>
      <c r="F379" s="63">
        <f>+M379</f>
        <v>8000000</v>
      </c>
      <c r="G379" s="63">
        <f t="shared" si="211"/>
        <v>0</v>
      </c>
      <c r="H379" s="63">
        <v>4841615</v>
      </c>
      <c r="I379" s="63">
        <f>+C379+D379-E379-F379+G379</f>
        <v>4841615</v>
      </c>
      <c r="J379" s="108">
        <f t="shared" si="212"/>
        <v>0</v>
      </c>
      <c r="K379" s="47" t="s">
        <v>157</v>
      </c>
      <c r="L379" s="49">
        <v>0</v>
      </c>
      <c r="M379" s="49">
        <v>8000000</v>
      </c>
      <c r="N379" s="49">
        <v>3245592</v>
      </c>
      <c r="O379" s="49">
        <v>0</v>
      </c>
      <c r="Q379" s="5"/>
    </row>
    <row r="380" spans="1:17" ht="16.5">
      <c r="A380" s="60" t="str">
        <f t="shared" si="213"/>
        <v>Caisse</v>
      </c>
      <c r="B380" s="61" t="s">
        <v>25</v>
      </c>
      <c r="C380" s="62">
        <v>926369</v>
      </c>
      <c r="D380" s="63">
        <f t="shared" si="210"/>
        <v>10580357</v>
      </c>
      <c r="E380" s="63">
        <f t="shared" ref="E380" si="214">+N380</f>
        <v>3713706</v>
      </c>
      <c r="F380" s="63">
        <f t="shared" ref="F380:F388" si="215">+M380</f>
        <v>6750500</v>
      </c>
      <c r="G380" s="63">
        <f t="shared" si="211"/>
        <v>0</v>
      </c>
      <c r="H380" s="63">
        <v>1042520</v>
      </c>
      <c r="I380" s="63">
        <f>+C380+D380-E380-F380+G380</f>
        <v>1042520</v>
      </c>
      <c r="J380" s="9">
        <f t="shared" si="212"/>
        <v>0</v>
      </c>
      <c r="K380" s="47" t="s">
        <v>25</v>
      </c>
      <c r="L380" s="49">
        <v>10580357</v>
      </c>
      <c r="M380" s="49">
        <v>6750500</v>
      </c>
      <c r="N380" s="49">
        <v>3713706</v>
      </c>
      <c r="O380" s="49">
        <v>0</v>
      </c>
      <c r="Q380" s="5"/>
    </row>
    <row r="381" spans="1:17" ht="16.5">
      <c r="A381" s="60" t="str">
        <f t="shared" si="213"/>
        <v>Crépin</v>
      </c>
      <c r="B381" s="61" t="s">
        <v>163</v>
      </c>
      <c r="C381" s="62">
        <v>-3675</v>
      </c>
      <c r="D381" s="63">
        <f t="shared" si="210"/>
        <v>1778500</v>
      </c>
      <c r="E381" s="63">
        <f>+N381</f>
        <v>1666925</v>
      </c>
      <c r="F381" s="63">
        <f t="shared" si="215"/>
        <v>145000</v>
      </c>
      <c r="G381" s="63">
        <f t="shared" si="211"/>
        <v>0</v>
      </c>
      <c r="H381" s="63">
        <v>-37100</v>
      </c>
      <c r="I381" s="63">
        <f t="shared" ref="I381" si="216">+C381+D381-E381-F381+G381</f>
        <v>-37100</v>
      </c>
      <c r="J381" s="9">
        <f t="shared" si="212"/>
        <v>0</v>
      </c>
      <c r="K381" s="47" t="s">
        <v>47</v>
      </c>
      <c r="L381" s="49">
        <v>1778500</v>
      </c>
      <c r="M381" s="49">
        <v>145000</v>
      </c>
      <c r="N381" s="49">
        <v>1666925</v>
      </c>
      <c r="O381" s="49">
        <v>0</v>
      </c>
      <c r="Q381" s="5"/>
    </row>
    <row r="382" spans="1:17" ht="16.5">
      <c r="A382" s="60" t="str">
        <f>K382</f>
        <v>Evariste</v>
      </c>
      <c r="B382" s="61" t="s">
        <v>164</v>
      </c>
      <c r="C382" s="62">
        <v>7595</v>
      </c>
      <c r="D382" s="63">
        <f t="shared" si="210"/>
        <v>286000</v>
      </c>
      <c r="E382" s="63">
        <f t="shared" ref="E382" si="217">+N382</f>
        <v>284950</v>
      </c>
      <c r="F382" s="63">
        <f t="shared" si="215"/>
        <v>0</v>
      </c>
      <c r="G382" s="63">
        <f t="shared" si="211"/>
        <v>0</v>
      </c>
      <c r="H382" s="63">
        <v>8645</v>
      </c>
      <c r="I382" s="63">
        <f>+C382+D382-E382-F382+G382</f>
        <v>8645</v>
      </c>
      <c r="J382" s="9">
        <f t="shared" si="212"/>
        <v>0</v>
      </c>
      <c r="K382" s="47" t="s">
        <v>31</v>
      </c>
      <c r="L382" s="49">
        <v>286000</v>
      </c>
      <c r="M382" s="49">
        <v>0</v>
      </c>
      <c r="N382" s="49">
        <v>284950</v>
      </c>
      <c r="O382" s="49">
        <v>0</v>
      </c>
      <c r="Q382" s="5"/>
    </row>
    <row r="383" spans="1:17" ht="16.5">
      <c r="A383" s="123" t="str">
        <f t="shared" ref="A383:A390" si="218">+K383</f>
        <v>I55S</v>
      </c>
      <c r="B383" s="124" t="s">
        <v>4</v>
      </c>
      <c r="C383" s="125">
        <v>233614</v>
      </c>
      <c r="D383" s="126">
        <f t="shared" si="210"/>
        <v>0</v>
      </c>
      <c r="E383" s="126">
        <f>+N383</f>
        <v>0</v>
      </c>
      <c r="F383" s="126">
        <f t="shared" si="215"/>
        <v>0</v>
      </c>
      <c r="G383" s="126">
        <f t="shared" si="211"/>
        <v>0</v>
      </c>
      <c r="H383" s="126">
        <v>233614</v>
      </c>
      <c r="I383" s="126">
        <f>+C383+D383-E383-F383+G383</f>
        <v>233614</v>
      </c>
      <c r="J383" s="9">
        <f t="shared" si="212"/>
        <v>0</v>
      </c>
      <c r="K383" s="47" t="s">
        <v>84</v>
      </c>
      <c r="L383" s="49">
        <v>0</v>
      </c>
      <c r="M383" s="49">
        <v>0</v>
      </c>
      <c r="N383" s="49">
        <v>0</v>
      </c>
      <c r="O383" s="49">
        <v>0</v>
      </c>
      <c r="Q383" s="5"/>
    </row>
    <row r="384" spans="1:17" ht="16.5">
      <c r="A384" s="123" t="str">
        <f t="shared" si="218"/>
        <v>I73X</v>
      </c>
      <c r="B384" s="124" t="s">
        <v>4</v>
      </c>
      <c r="C384" s="125">
        <v>249769</v>
      </c>
      <c r="D384" s="126">
        <f t="shared" si="210"/>
        <v>0</v>
      </c>
      <c r="E384" s="126">
        <f>+N384</f>
        <v>0</v>
      </c>
      <c r="F384" s="126">
        <f t="shared" si="215"/>
        <v>0</v>
      </c>
      <c r="G384" s="126">
        <f t="shared" si="211"/>
        <v>0</v>
      </c>
      <c r="H384" s="126">
        <v>249769</v>
      </c>
      <c r="I384" s="126">
        <f t="shared" ref="I384:I387" si="219">+C384+D384-E384-F384+G384</f>
        <v>249769</v>
      </c>
      <c r="J384" s="9">
        <f t="shared" si="212"/>
        <v>0</v>
      </c>
      <c r="K384" s="47" t="s">
        <v>83</v>
      </c>
      <c r="L384" s="49">
        <v>0</v>
      </c>
      <c r="M384" s="49">
        <v>0</v>
      </c>
      <c r="N384" s="49">
        <v>0</v>
      </c>
      <c r="O384" s="49">
        <v>0</v>
      </c>
      <c r="Q384" s="5"/>
    </row>
    <row r="385" spans="1:17" ht="16.5">
      <c r="A385" s="60" t="str">
        <f t="shared" si="218"/>
        <v>Godfré</v>
      </c>
      <c r="B385" s="104" t="s">
        <v>163</v>
      </c>
      <c r="C385" s="62">
        <v>-6000</v>
      </c>
      <c r="D385" s="63">
        <f t="shared" si="210"/>
        <v>797000</v>
      </c>
      <c r="E385" s="179">
        <f t="shared" ref="E385:E390" si="220">+N385</f>
        <v>578885</v>
      </c>
      <c r="F385" s="63">
        <f t="shared" si="215"/>
        <v>177180</v>
      </c>
      <c r="G385" s="63">
        <f t="shared" si="211"/>
        <v>0</v>
      </c>
      <c r="H385" s="63">
        <v>34935</v>
      </c>
      <c r="I385" s="63">
        <f t="shared" si="219"/>
        <v>34935</v>
      </c>
      <c r="J385" s="9">
        <f t="shared" si="212"/>
        <v>0</v>
      </c>
      <c r="K385" s="47" t="s">
        <v>152</v>
      </c>
      <c r="L385" s="49">
        <v>797000</v>
      </c>
      <c r="M385" s="49">
        <v>177180</v>
      </c>
      <c r="N385" s="49">
        <v>578885</v>
      </c>
      <c r="O385" s="49">
        <v>0</v>
      </c>
      <c r="Q385" s="5"/>
    </row>
    <row r="386" spans="1:17" ht="16.5">
      <c r="A386" s="60" t="str">
        <f t="shared" si="218"/>
        <v>Grace</v>
      </c>
      <c r="B386" s="61" t="s">
        <v>2</v>
      </c>
      <c r="C386" s="62">
        <v>48400</v>
      </c>
      <c r="D386" s="63">
        <f t="shared" si="210"/>
        <v>847000</v>
      </c>
      <c r="E386" s="179">
        <f>+N386</f>
        <v>193200</v>
      </c>
      <c r="F386" s="63">
        <f t="shared" si="215"/>
        <v>658000</v>
      </c>
      <c r="G386" s="63">
        <f t="shared" si="211"/>
        <v>0</v>
      </c>
      <c r="H386" s="63">
        <v>44200</v>
      </c>
      <c r="I386" s="63">
        <f t="shared" si="219"/>
        <v>44200</v>
      </c>
      <c r="J386" s="9">
        <f>I386-H386</f>
        <v>0</v>
      </c>
      <c r="K386" s="47" t="s">
        <v>151</v>
      </c>
      <c r="L386" s="49">
        <v>847000</v>
      </c>
      <c r="M386" s="49">
        <v>658000</v>
      </c>
      <c r="N386" s="49">
        <v>193200</v>
      </c>
      <c r="O386" s="49">
        <v>0</v>
      </c>
      <c r="Q386" s="5"/>
    </row>
    <row r="387" spans="1:17" ht="16.5">
      <c r="A387" s="60" t="str">
        <f t="shared" si="218"/>
        <v>I23C</v>
      </c>
      <c r="B387" s="104" t="s">
        <v>4</v>
      </c>
      <c r="C387" s="62">
        <v>6800</v>
      </c>
      <c r="D387" s="63">
        <f t="shared" si="210"/>
        <v>861000</v>
      </c>
      <c r="E387" s="179">
        <f t="shared" si="220"/>
        <v>855750</v>
      </c>
      <c r="F387" s="63">
        <f t="shared" si="215"/>
        <v>0</v>
      </c>
      <c r="G387" s="63">
        <f t="shared" si="211"/>
        <v>0</v>
      </c>
      <c r="H387" s="63">
        <v>12050</v>
      </c>
      <c r="I387" s="63">
        <f t="shared" si="219"/>
        <v>12050</v>
      </c>
      <c r="J387" s="9">
        <f t="shared" ref="J387:J388" si="221">I387-H387</f>
        <v>0</v>
      </c>
      <c r="K387" s="47" t="s">
        <v>30</v>
      </c>
      <c r="L387" s="49">
        <v>861000</v>
      </c>
      <c r="M387" s="49">
        <v>0</v>
      </c>
      <c r="N387" s="49">
        <v>855750</v>
      </c>
      <c r="O387" s="49">
        <v>0</v>
      </c>
      <c r="Q387" s="5"/>
    </row>
    <row r="388" spans="1:17" ht="16.5">
      <c r="A388" s="60" t="str">
        <f t="shared" si="218"/>
        <v>Merveille</v>
      </c>
      <c r="B388" s="61" t="s">
        <v>2</v>
      </c>
      <c r="C388" s="62">
        <v>5500</v>
      </c>
      <c r="D388" s="63">
        <f t="shared" si="210"/>
        <v>0</v>
      </c>
      <c r="E388" s="179">
        <f t="shared" si="220"/>
        <v>0</v>
      </c>
      <c r="F388" s="63">
        <f t="shared" si="215"/>
        <v>0</v>
      </c>
      <c r="G388" s="63">
        <f t="shared" si="211"/>
        <v>0</v>
      </c>
      <c r="H388" s="63">
        <v>5500</v>
      </c>
      <c r="I388" s="63">
        <f>+C388+D388-E388-F388+G388</f>
        <v>5500</v>
      </c>
      <c r="J388" s="9">
        <f t="shared" si="221"/>
        <v>0</v>
      </c>
      <c r="K388" s="47" t="s">
        <v>93</v>
      </c>
      <c r="L388" s="49">
        <v>0</v>
      </c>
      <c r="M388" s="49">
        <v>0</v>
      </c>
      <c r="N388" s="49">
        <v>0</v>
      </c>
      <c r="O388" s="49"/>
      <c r="Q388" s="5"/>
    </row>
    <row r="389" spans="1:17" ht="16.5">
      <c r="A389" s="60" t="str">
        <f t="shared" si="218"/>
        <v>P29</v>
      </c>
      <c r="B389" s="61" t="s">
        <v>4</v>
      </c>
      <c r="C389" s="62">
        <v>30700</v>
      </c>
      <c r="D389" s="63">
        <f t="shared" si="210"/>
        <v>1215000</v>
      </c>
      <c r="E389" s="179">
        <f t="shared" si="220"/>
        <v>697500</v>
      </c>
      <c r="F389" s="63">
        <f>+M389</f>
        <v>490000</v>
      </c>
      <c r="G389" s="63">
        <f>+O389</f>
        <v>0</v>
      </c>
      <c r="H389" s="63">
        <v>58200</v>
      </c>
      <c r="I389" s="63">
        <f>+C389+D389-E389-F389+G389</f>
        <v>58200</v>
      </c>
      <c r="J389" s="9">
        <f>I389-H389</f>
        <v>0</v>
      </c>
      <c r="K389" s="47" t="s">
        <v>29</v>
      </c>
      <c r="L389" s="49">
        <v>1215000</v>
      </c>
      <c r="M389" s="49">
        <v>490000</v>
      </c>
      <c r="N389" s="49">
        <v>697500</v>
      </c>
      <c r="O389" s="49">
        <v>0</v>
      </c>
      <c r="Q389" s="5"/>
    </row>
    <row r="390" spans="1:17" ht="16.5">
      <c r="A390" s="60" t="str">
        <f t="shared" si="218"/>
        <v>Tiffany</v>
      </c>
      <c r="B390" s="61" t="s">
        <v>2</v>
      </c>
      <c r="C390" s="62">
        <v>9193</v>
      </c>
      <c r="D390" s="63">
        <f t="shared" si="210"/>
        <v>1100180</v>
      </c>
      <c r="E390" s="179">
        <f t="shared" si="220"/>
        <v>195700</v>
      </c>
      <c r="F390" s="63">
        <f t="shared" ref="F390" si="222">+M390</f>
        <v>650000</v>
      </c>
      <c r="G390" s="63">
        <f t="shared" ref="G390" si="223">+O390</f>
        <v>0</v>
      </c>
      <c r="H390" s="63">
        <v>263673</v>
      </c>
      <c r="I390" s="63">
        <f t="shared" ref="I390" si="224">+C390+D390-E390-F390+G390</f>
        <v>263673</v>
      </c>
      <c r="J390" s="9">
        <f t="shared" ref="J390" si="225">I390-H390</f>
        <v>0</v>
      </c>
      <c r="K390" s="47" t="s">
        <v>113</v>
      </c>
      <c r="L390" s="49">
        <v>1100180</v>
      </c>
      <c r="M390" s="49">
        <v>650000</v>
      </c>
      <c r="N390" s="49">
        <v>195700</v>
      </c>
      <c r="O390" s="49">
        <v>0</v>
      </c>
      <c r="Q390" s="5"/>
    </row>
    <row r="391" spans="1:17" ht="16.5">
      <c r="A391" s="10" t="s">
        <v>50</v>
      </c>
      <c r="B391" s="11"/>
      <c r="C391" s="12">
        <f>SUM(C376:C390)</f>
        <v>23367297</v>
      </c>
      <c r="D391" s="59">
        <f t="shared" ref="D391:G391" si="226">SUM(D376:D390)</f>
        <v>19016037</v>
      </c>
      <c r="E391" s="59">
        <f t="shared" si="226"/>
        <v>13144803</v>
      </c>
      <c r="F391" s="59">
        <f t="shared" si="226"/>
        <v>19016037</v>
      </c>
      <c r="G391" s="59">
        <f t="shared" si="226"/>
        <v>0</v>
      </c>
      <c r="H391" s="59">
        <f>SUM(H376:H390)</f>
        <v>10222494</v>
      </c>
      <c r="I391" s="59">
        <f>SUM(I376:I390)</f>
        <v>10222494</v>
      </c>
      <c r="J391" s="9">
        <f>I391-H391</f>
        <v>0</v>
      </c>
      <c r="K391" s="3"/>
      <c r="L391" s="49">
        <f>+SUM(L376:L390)</f>
        <v>19016037</v>
      </c>
      <c r="M391" s="49">
        <f t="shared" ref="M391:O391" si="227">+SUM(M376:M390)</f>
        <v>19016037</v>
      </c>
      <c r="N391" s="49">
        <f>+SUM(N376:N390)</f>
        <v>13144803</v>
      </c>
      <c r="O391" s="49">
        <f t="shared" si="227"/>
        <v>0</v>
      </c>
      <c r="Q391" s="5"/>
    </row>
    <row r="392" spans="1:17" ht="16.5">
      <c r="A392" s="10"/>
      <c r="B392" s="11"/>
      <c r="C392" s="12"/>
      <c r="D392" s="13"/>
      <c r="E392" s="12"/>
      <c r="F392" s="13"/>
      <c r="G392" s="12"/>
      <c r="H392" s="12"/>
      <c r="I392" s="143" t="b">
        <f>I391=D394</f>
        <v>1</v>
      </c>
      <c r="L392" s="5"/>
      <c r="M392" s="5"/>
      <c r="N392" s="5"/>
      <c r="O392" s="5"/>
      <c r="Q392" s="5"/>
    </row>
    <row r="393" spans="1:17" ht="16.5">
      <c r="A393" s="10" t="s">
        <v>174</v>
      </c>
      <c r="B393" s="11" t="s">
        <v>175</v>
      </c>
      <c r="C393" s="12" t="s">
        <v>176</v>
      </c>
      <c r="D393" s="12" t="s">
        <v>183</v>
      </c>
      <c r="E393" s="12" t="s">
        <v>51</v>
      </c>
      <c r="F393" s="12"/>
      <c r="G393" s="12">
        <f>+D391-F391</f>
        <v>0</v>
      </c>
      <c r="H393" s="12"/>
      <c r="I393" s="12"/>
      <c r="Q393" s="5"/>
    </row>
    <row r="394" spans="1:17" ht="16.5">
      <c r="A394" s="14">
        <f>C391</f>
        <v>23367297</v>
      </c>
      <c r="B394" s="15">
        <f>G391</f>
        <v>0</v>
      </c>
      <c r="C394" s="12">
        <f>E391</f>
        <v>13144803</v>
      </c>
      <c r="D394" s="12">
        <f>A394+B394-C394</f>
        <v>10222494</v>
      </c>
      <c r="E394" s="13">
        <f>I391-D394</f>
        <v>0</v>
      </c>
      <c r="F394" s="12"/>
      <c r="G394" s="12"/>
      <c r="H394" s="12"/>
      <c r="I394" s="12"/>
      <c r="L394" s="5"/>
      <c r="M394" s="5"/>
      <c r="N394" s="5"/>
      <c r="O394" s="5"/>
      <c r="Q394" s="5"/>
    </row>
    <row r="395" spans="1:17" ht="16.5">
      <c r="A395" s="14"/>
      <c r="B395" s="15"/>
      <c r="C395" s="12"/>
      <c r="D395" s="12"/>
      <c r="E395" s="13"/>
      <c r="F395" s="12"/>
      <c r="G395" s="12"/>
      <c r="H395" s="12"/>
      <c r="I395" s="12"/>
      <c r="L395" s="5"/>
      <c r="M395" s="5"/>
      <c r="N395" s="5"/>
      <c r="O395" s="5"/>
      <c r="Q395" s="5"/>
    </row>
    <row r="396" spans="1:17">
      <c r="A396" s="16" t="s">
        <v>52</v>
      </c>
      <c r="B396" s="16"/>
      <c r="C396" s="16"/>
      <c r="D396" s="17"/>
      <c r="E396" s="17"/>
      <c r="F396" s="17"/>
      <c r="G396" s="17"/>
      <c r="H396" s="17"/>
      <c r="I396" s="17"/>
      <c r="L396" s="5"/>
      <c r="M396" s="5"/>
      <c r="N396" s="5"/>
      <c r="O396" s="5"/>
      <c r="Q396" s="5"/>
    </row>
    <row r="397" spans="1:17">
      <c r="A397" s="18" t="s">
        <v>182</v>
      </c>
      <c r="B397" s="18"/>
      <c r="C397" s="18"/>
      <c r="D397" s="18"/>
      <c r="E397" s="18"/>
      <c r="F397" s="18"/>
      <c r="G397" s="18"/>
      <c r="H397" s="18"/>
      <c r="I397" s="18"/>
      <c r="J397" s="18"/>
      <c r="L397" s="5"/>
      <c r="M397" s="5"/>
      <c r="N397" s="5"/>
      <c r="O397" s="5"/>
      <c r="Q397" s="5"/>
    </row>
    <row r="398" spans="1:17">
      <c r="A398" s="19"/>
      <c r="B398" s="20"/>
      <c r="C398" s="21"/>
      <c r="D398" s="21"/>
      <c r="E398" s="21"/>
      <c r="F398" s="21"/>
      <c r="G398" s="21"/>
      <c r="H398" s="20"/>
      <c r="I398" s="20"/>
      <c r="L398" s="5"/>
      <c r="M398" s="5"/>
      <c r="N398" s="5"/>
      <c r="O398" s="5"/>
      <c r="Q398" s="5"/>
    </row>
    <row r="399" spans="1:17">
      <c r="A399" s="451" t="s">
        <v>53</v>
      </c>
      <c r="B399" s="453" t="s">
        <v>54</v>
      </c>
      <c r="C399" s="455" t="s">
        <v>177</v>
      </c>
      <c r="D399" s="457" t="s">
        <v>55</v>
      </c>
      <c r="E399" s="458"/>
      <c r="F399" s="458"/>
      <c r="G399" s="459"/>
      <c r="H399" s="460" t="s">
        <v>56</v>
      </c>
      <c r="I399" s="462" t="s">
        <v>57</v>
      </c>
      <c r="J399" s="20"/>
      <c r="L399" s="5"/>
      <c r="M399" s="5"/>
      <c r="N399" s="5"/>
      <c r="O399" s="5"/>
      <c r="Q399" s="5"/>
    </row>
    <row r="400" spans="1:17" ht="28.5" customHeight="1">
      <c r="A400" s="452"/>
      <c r="B400" s="454"/>
      <c r="C400" s="456"/>
      <c r="D400" s="22" t="s">
        <v>24</v>
      </c>
      <c r="E400" s="22" t="s">
        <v>25</v>
      </c>
      <c r="F400" s="201" t="s">
        <v>123</v>
      </c>
      <c r="G400" s="22" t="s">
        <v>58</v>
      </c>
      <c r="H400" s="461"/>
      <c r="I400" s="463"/>
      <c r="J400" s="464" t="s">
        <v>178</v>
      </c>
      <c r="K400" s="155"/>
      <c r="L400" s="5"/>
      <c r="M400" s="5"/>
      <c r="N400" s="5"/>
      <c r="O400" s="5"/>
      <c r="Q400" s="5"/>
    </row>
    <row r="401" spans="1:17">
      <c r="A401" s="24"/>
      <c r="B401" s="25" t="s">
        <v>59</v>
      </c>
      <c r="C401" s="26"/>
      <c r="D401" s="26"/>
      <c r="E401" s="26"/>
      <c r="F401" s="26"/>
      <c r="G401" s="26"/>
      <c r="H401" s="26"/>
      <c r="I401" s="27"/>
      <c r="J401" s="465"/>
      <c r="K401" s="155"/>
      <c r="L401" s="5"/>
      <c r="M401" s="5"/>
      <c r="N401" s="5"/>
      <c r="O401" s="5"/>
      <c r="Q401" s="5"/>
    </row>
    <row r="402" spans="1:17">
      <c r="A402" s="130" t="s">
        <v>103</v>
      </c>
      <c r="B402" s="135" t="s">
        <v>162</v>
      </c>
      <c r="C402" s="33">
        <f>+C376</f>
        <v>29107</v>
      </c>
      <c r="D402" s="32"/>
      <c r="E402" s="33">
        <f>D376</f>
        <v>1125000</v>
      </c>
      <c r="F402" s="33"/>
      <c r="G402" s="33"/>
      <c r="H402" s="57">
        <f>+F376</f>
        <v>145357</v>
      </c>
      <c r="I402" s="33">
        <f>+E376</f>
        <v>1008750</v>
      </c>
      <c r="J402" s="31">
        <f>+SUM(C402:G402)-(H402+I402)</f>
        <v>0</v>
      </c>
      <c r="K402" s="156" t="b">
        <f>J402=I376</f>
        <v>1</v>
      </c>
      <c r="L402" s="5"/>
      <c r="M402" s="5"/>
      <c r="N402" s="5"/>
      <c r="O402" s="5"/>
      <c r="Q402" s="5"/>
    </row>
    <row r="403" spans="1:17">
      <c r="A403" s="130" t="str">
        <f>A402</f>
        <v>DECEMBRE</v>
      </c>
      <c r="B403" s="135" t="s">
        <v>172</v>
      </c>
      <c r="C403" s="33">
        <f>+C377</f>
        <v>4000</v>
      </c>
      <c r="D403" s="32"/>
      <c r="E403" s="33">
        <f>+D377</f>
        <v>426000</v>
      </c>
      <c r="F403" s="33"/>
      <c r="G403" s="33"/>
      <c r="H403" s="57">
        <f>+F377</f>
        <v>0</v>
      </c>
      <c r="I403" s="33">
        <f>+E377</f>
        <v>420500</v>
      </c>
      <c r="J403" s="31">
        <f t="shared" ref="J403:J404" si="228">+SUM(C403:G403)-(H403+I403)</f>
        <v>9500</v>
      </c>
      <c r="K403" s="156" t="b">
        <f>J403=I377</f>
        <v>1</v>
      </c>
      <c r="L403" s="5"/>
      <c r="M403" s="5"/>
      <c r="N403" s="5"/>
      <c r="O403" s="5"/>
      <c r="Q403" s="5"/>
    </row>
    <row r="404" spans="1:17">
      <c r="A404" s="130" t="str">
        <f>+A403</f>
        <v>DECEMBRE</v>
      </c>
      <c r="B404" s="135" t="s">
        <v>47</v>
      </c>
      <c r="C404" s="33">
        <f>+C381</f>
        <v>-3675</v>
      </c>
      <c r="D404" s="32"/>
      <c r="E404" s="33">
        <f>+D381</f>
        <v>1778500</v>
      </c>
      <c r="F404" s="33"/>
      <c r="G404" s="33"/>
      <c r="H404" s="57">
        <f>+F381</f>
        <v>145000</v>
      </c>
      <c r="I404" s="33">
        <f>+E381</f>
        <v>1666925</v>
      </c>
      <c r="J404" s="107">
        <f t="shared" si="228"/>
        <v>-37100</v>
      </c>
      <c r="K404" s="156" t="b">
        <f>J404=I381</f>
        <v>1</v>
      </c>
      <c r="L404" s="5"/>
      <c r="M404" s="5"/>
      <c r="N404" s="5"/>
      <c r="O404" s="5"/>
      <c r="Q404" s="5"/>
    </row>
    <row r="405" spans="1:17">
      <c r="A405" s="130" t="str">
        <f t="shared" ref="A405:A413" si="229">+A404</f>
        <v>DECEMBRE</v>
      </c>
      <c r="B405" s="136" t="s">
        <v>31</v>
      </c>
      <c r="C405" s="33">
        <f>+C382</f>
        <v>7595</v>
      </c>
      <c r="D405" s="127"/>
      <c r="E405" s="33">
        <f>+D382</f>
        <v>286000</v>
      </c>
      <c r="F405" s="53"/>
      <c r="G405" s="53"/>
      <c r="H405" s="57">
        <f>+F382</f>
        <v>0</v>
      </c>
      <c r="I405" s="33">
        <f>+E382</f>
        <v>284950</v>
      </c>
      <c r="J405" s="132">
        <f>+SUM(C405:G405)-(H405+I405)</f>
        <v>8645</v>
      </c>
      <c r="K405" s="156" t="b">
        <f t="shared" ref="K405:K413" si="230">J405=I382</f>
        <v>1</v>
      </c>
      <c r="L405" s="5"/>
      <c r="M405" s="5"/>
      <c r="N405" s="5"/>
      <c r="O405" s="5"/>
      <c r="Q405" s="5"/>
    </row>
    <row r="406" spans="1:17">
      <c r="A406" s="130" t="str">
        <f t="shared" si="229"/>
        <v>DECEMBRE</v>
      </c>
      <c r="B406" s="137" t="s">
        <v>84</v>
      </c>
      <c r="C406" s="128">
        <f>+C383</f>
        <v>233614</v>
      </c>
      <c r="D406" s="131"/>
      <c r="E406" s="128">
        <f>+D383</f>
        <v>0</v>
      </c>
      <c r="F406" s="146"/>
      <c r="G406" s="146"/>
      <c r="H406" s="180">
        <f>+F383</f>
        <v>0</v>
      </c>
      <c r="I406" s="128">
        <f>+E383</f>
        <v>0</v>
      </c>
      <c r="J406" s="129">
        <f>+SUM(C406:G406)-(H406+I406)</f>
        <v>233614</v>
      </c>
      <c r="K406" s="156" t="b">
        <f t="shared" si="230"/>
        <v>1</v>
      </c>
      <c r="L406" s="5"/>
      <c r="M406" s="5"/>
      <c r="N406" s="5"/>
      <c r="O406" s="5"/>
      <c r="Q406" s="5"/>
    </row>
    <row r="407" spans="1:17">
      <c r="A407" s="130" t="str">
        <f t="shared" si="229"/>
        <v>DECEMBRE</v>
      </c>
      <c r="B407" s="137" t="s">
        <v>83</v>
      </c>
      <c r="C407" s="128">
        <f>+C384</f>
        <v>249769</v>
      </c>
      <c r="D407" s="131"/>
      <c r="E407" s="128">
        <f>+D384</f>
        <v>0</v>
      </c>
      <c r="F407" s="146"/>
      <c r="G407" s="146"/>
      <c r="H407" s="180">
        <f>+F384</f>
        <v>0</v>
      </c>
      <c r="I407" s="128">
        <f>+E384</f>
        <v>0</v>
      </c>
      <c r="J407" s="129">
        <f t="shared" ref="J407:J413" si="231">+SUM(C407:G407)-(H407+I407)</f>
        <v>249769</v>
      </c>
      <c r="K407" s="156" t="b">
        <f t="shared" si="230"/>
        <v>1</v>
      </c>
      <c r="L407" s="5"/>
      <c r="M407" s="5"/>
      <c r="N407" s="5"/>
      <c r="O407" s="5"/>
      <c r="Q407" s="5"/>
    </row>
    <row r="408" spans="1:17">
      <c r="A408" s="130" t="str">
        <f t="shared" si="229"/>
        <v>DECEMBRE</v>
      </c>
      <c r="B408" s="135" t="s">
        <v>152</v>
      </c>
      <c r="C408" s="33">
        <f>+C385</f>
        <v>-6000</v>
      </c>
      <c r="D408" s="32"/>
      <c r="E408" s="33">
        <f>+D385</f>
        <v>797000</v>
      </c>
      <c r="F408" s="33"/>
      <c r="G408" s="110"/>
      <c r="H408" s="57">
        <f>+F385</f>
        <v>177180</v>
      </c>
      <c r="I408" s="33">
        <f>+E385</f>
        <v>578885</v>
      </c>
      <c r="J408" s="31">
        <f t="shared" si="231"/>
        <v>34935</v>
      </c>
      <c r="K408" s="156" t="b">
        <f t="shared" si="230"/>
        <v>1</v>
      </c>
      <c r="L408" s="5"/>
      <c r="M408" s="5"/>
      <c r="N408" s="5"/>
      <c r="O408" s="5"/>
      <c r="Q408" s="5"/>
    </row>
    <row r="409" spans="1:17">
      <c r="A409" s="130" t="str">
        <f t="shared" si="229"/>
        <v>DECEMBRE</v>
      </c>
      <c r="B409" s="135" t="s">
        <v>151</v>
      </c>
      <c r="C409" s="33">
        <f t="shared" ref="C409:C413" si="232">+C386</f>
        <v>48400</v>
      </c>
      <c r="D409" s="32"/>
      <c r="E409" s="33">
        <f t="shared" ref="E409:E413" si="233">+D386</f>
        <v>847000</v>
      </c>
      <c r="F409" s="33"/>
      <c r="G409" s="110"/>
      <c r="H409" s="57">
        <f t="shared" ref="H409:H413" si="234">+F386</f>
        <v>658000</v>
      </c>
      <c r="I409" s="33">
        <f t="shared" ref="I409:I413" si="235">+E386</f>
        <v>193200</v>
      </c>
      <c r="J409" s="31">
        <f t="shared" si="231"/>
        <v>44200</v>
      </c>
      <c r="K409" s="156" t="b">
        <f t="shared" si="230"/>
        <v>1</v>
      </c>
      <c r="L409" s="5"/>
      <c r="M409" s="5"/>
      <c r="N409" s="5"/>
      <c r="O409" s="5"/>
      <c r="Q409" s="5"/>
    </row>
    <row r="410" spans="1:17">
      <c r="A410" s="130" t="str">
        <f t="shared" si="229"/>
        <v>DECEMBRE</v>
      </c>
      <c r="B410" s="135" t="s">
        <v>30</v>
      </c>
      <c r="C410" s="33">
        <f t="shared" si="232"/>
        <v>6800</v>
      </c>
      <c r="D410" s="32"/>
      <c r="E410" s="33">
        <f t="shared" si="233"/>
        <v>861000</v>
      </c>
      <c r="F410" s="33"/>
      <c r="G410" s="110"/>
      <c r="H410" s="57">
        <f t="shared" si="234"/>
        <v>0</v>
      </c>
      <c r="I410" s="33">
        <f t="shared" si="235"/>
        <v>855750</v>
      </c>
      <c r="J410" s="31">
        <f t="shared" si="231"/>
        <v>12050</v>
      </c>
      <c r="K410" s="156" t="b">
        <f t="shared" si="230"/>
        <v>1</v>
      </c>
      <c r="Q410" s="5"/>
    </row>
    <row r="411" spans="1:17">
      <c r="A411" s="130" t="str">
        <f>+A409</f>
        <v>DECEMBRE</v>
      </c>
      <c r="B411" s="135" t="s">
        <v>93</v>
      </c>
      <c r="C411" s="33">
        <f t="shared" si="232"/>
        <v>5500</v>
      </c>
      <c r="D411" s="32"/>
      <c r="E411" s="33">
        <f t="shared" si="233"/>
        <v>0</v>
      </c>
      <c r="F411" s="33"/>
      <c r="G411" s="110"/>
      <c r="H411" s="57">
        <f t="shared" si="234"/>
        <v>0</v>
      </c>
      <c r="I411" s="33">
        <f t="shared" si="235"/>
        <v>0</v>
      </c>
      <c r="J411" s="31">
        <f t="shared" si="231"/>
        <v>5500</v>
      </c>
      <c r="K411" s="156" t="b">
        <f t="shared" si="230"/>
        <v>1</v>
      </c>
      <c r="Q411" s="5"/>
    </row>
    <row r="412" spans="1:17">
      <c r="A412" s="130" t="str">
        <f>+A410</f>
        <v>DECEMBRE</v>
      </c>
      <c r="B412" s="135" t="s">
        <v>29</v>
      </c>
      <c r="C412" s="33">
        <f t="shared" si="232"/>
        <v>30700</v>
      </c>
      <c r="D412" s="32"/>
      <c r="E412" s="33">
        <f t="shared" si="233"/>
        <v>1215000</v>
      </c>
      <c r="F412" s="33"/>
      <c r="G412" s="110"/>
      <c r="H412" s="57">
        <f t="shared" si="234"/>
        <v>490000</v>
      </c>
      <c r="I412" s="33">
        <f t="shared" si="235"/>
        <v>697500</v>
      </c>
      <c r="J412" s="31">
        <f t="shared" si="231"/>
        <v>58200</v>
      </c>
      <c r="K412" s="156" t="b">
        <f t="shared" si="230"/>
        <v>1</v>
      </c>
      <c r="Q412" s="5"/>
    </row>
    <row r="413" spans="1:17">
      <c r="A413" s="130" t="str">
        <f t="shared" si="229"/>
        <v>DECEMBRE</v>
      </c>
      <c r="B413" s="136" t="s">
        <v>113</v>
      </c>
      <c r="C413" s="33">
        <f t="shared" si="232"/>
        <v>9193</v>
      </c>
      <c r="D413" s="127"/>
      <c r="E413" s="33">
        <f t="shared" si="233"/>
        <v>1100180</v>
      </c>
      <c r="F413" s="53"/>
      <c r="G413" s="147"/>
      <c r="H413" s="57">
        <f t="shared" si="234"/>
        <v>650000</v>
      </c>
      <c r="I413" s="33">
        <f t="shared" si="235"/>
        <v>195700</v>
      </c>
      <c r="J413" s="31">
        <f t="shared" si="231"/>
        <v>263673</v>
      </c>
      <c r="K413" s="156" t="b">
        <f t="shared" si="230"/>
        <v>1</v>
      </c>
      <c r="Q413" s="5"/>
    </row>
    <row r="414" spans="1:17">
      <c r="A414" s="35" t="s">
        <v>60</v>
      </c>
      <c r="B414" s="36"/>
      <c r="C414" s="36"/>
      <c r="D414" s="36"/>
      <c r="E414" s="36"/>
      <c r="F414" s="36"/>
      <c r="G414" s="36"/>
      <c r="H414" s="36"/>
      <c r="I414" s="36"/>
      <c r="J414" s="37"/>
      <c r="K414" s="155"/>
      <c r="Q414" s="5"/>
    </row>
    <row r="415" spans="1:17">
      <c r="A415" s="130" t="str">
        <f>+A413</f>
        <v>DECEMBRE</v>
      </c>
      <c r="B415" s="38" t="s">
        <v>61</v>
      </c>
      <c r="C415" s="39">
        <f>+C380</f>
        <v>926369</v>
      </c>
      <c r="D415" s="51"/>
      <c r="E415" s="51">
        <f>D380</f>
        <v>10580357</v>
      </c>
      <c r="F415" s="51"/>
      <c r="G415" s="133"/>
      <c r="H415" s="53">
        <f>+F380</f>
        <v>6750500</v>
      </c>
      <c r="I415" s="134">
        <f>+E380</f>
        <v>3713706</v>
      </c>
      <c r="J415" s="46">
        <f>+SUM(C415:G415)-(H415+I415)</f>
        <v>1042520</v>
      </c>
      <c r="K415" s="156" t="b">
        <f>J415=I380</f>
        <v>1</v>
      </c>
      <c r="Q415" s="5"/>
    </row>
    <row r="416" spans="1:17">
      <c r="A416" s="44" t="s">
        <v>62</v>
      </c>
      <c r="B416" s="25"/>
      <c r="C416" s="36"/>
      <c r="D416" s="25"/>
      <c r="E416" s="25"/>
      <c r="F416" s="25"/>
      <c r="G416" s="25"/>
      <c r="H416" s="25"/>
      <c r="I416" s="25"/>
      <c r="J416" s="37"/>
      <c r="K416" s="155"/>
      <c r="Q416" s="5"/>
    </row>
    <row r="417" spans="1:17">
      <c r="A417" s="130" t="str">
        <f>+A415</f>
        <v>DECEMBRE</v>
      </c>
      <c r="B417" s="38" t="s">
        <v>166</v>
      </c>
      <c r="C417" s="133">
        <f>+C378</f>
        <v>5738718</v>
      </c>
      <c r="D417" s="140">
        <f>+G378</f>
        <v>0</v>
      </c>
      <c r="E417" s="51"/>
      <c r="F417" s="51"/>
      <c r="G417" s="51"/>
      <c r="H417" s="53">
        <f>+F378</f>
        <v>2000000</v>
      </c>
      <c r="I417" s="55">
        <f>+E378</f>
        <v>283345</v>
      </c>
      <c r="J417" s="46">
        <f>+SUM(C417:G417)-(H417+I417)</f>
        <v>3455373</v>
      </c>
      <c r="K417" s="156" t="b">
        <f>+J417=I378</f>
        <v>1</v>
      </c>
      <c r="Q417" s="5"/>
    </row>
    <row r="418" spans="1:17">
      <c r="A418" s="130" t="str">
        <f t="shared" ref="A418" si="236">+A417</f>
        <v>DECEMBRE</v>
      </c>
      <c r="B418" s="38" t="s">
        <v>64</v>
      </c>
      <c r="C418" s="133">
        <f>+C379</f>
        <v>16087207</v>
      </c>
      <c r="D418" s="51">
        <f>+G379</f>
        <v>0</v>
      </c>
      <c r="E418" s="50"/>
      <c r="F418" s="50"/>
      <c r="G418" s="50"/>
      <c r="H418" s="33">
        <f>+F379</f>
        <v>8000000</v>
      </c>
      <c r="I418" s="52">
        <f>+E379</f>
        <v>3245592</v>
      </c>
      <c r="J418" s="46">
        <f>SUM(C418:G418)-(H418+I418)</f>
        <v>4841615</v>
      </c>
      <c r="K418" s="156" t="b">
        <f>+J418=I379</f>
        <v>1</v>
      </c>
      <c r="Q418" s="5"/>
    </row>
    <row r="419" spans="1:17" ht="15.75">
      <c r="C419" s="151">
        <f>SUM(C403:C418)</f>
        <v>23338190</v>
      </c>
      <c r="I419" s="149">
        <f>SUM(I403:I418)</f>
        <v>12136053</v>
      </c>
      <c r="J419" s="111">
        <f>+SUM(J402:J418)</f>
        <v>10222494</v>
      </c>
      <c r="K419" s="5" t="b">
        <f>J419=I391</f>
        <v>1</v>
      </c>
      <c r="Q419" s="5"/>
    </row>
    <row r="420" spans="1:17">
      <c r="G420" s="9"/>
      <c r="Q420" s="5"/>
    </row>
    <row r="421" spans="1:17">
      <c r="A421" s="207"/>
      <c r="B421" s="207"/>
      <c r="C421" s="207"/>
      <c r="D421" s="207"/>
      <c r="E421" s="207"/>
      <c r="F421" s="207"/>
      <c r="G421" s="207"/>
      <c r="H421" s="207"/>
      <c r="I421" s="207"/>
      <c r="J421" s="207"/>
      <c r="K421" s="207"/>
      <c r="L421" s="211"/>
      <c r="M421" s="211"/>
      <c r="N421" s="211"/>
      <c r="O421" s="211"/>
      <c r="P421" s="207"/>
      <c r="Q421" s="5"/>
    </row>
    <row r="422" spans="1:17">
      <c r="A422" s="4">
        <v>44530</v>
      </c>
      <c r="Q422" s="5"/>
    </row>
    <row r="423" spans="1:17" ht="15.75">
      <c r="A423" s="6" t="s">
        <v>36</v>
      </c>
      <c r="B423" s="6" t="s">
        <v>1</v>
      </c>
      <c r="C423" s="6">
        <v>44501</v>
      </c>
      <c r="D423" s="7" t="s">
        <v>37</v>
      </c>
      <c r="E423" s="7" t="s">
        <v>38</v>
      </c>
      <c r="F423" s="7" t="s">
        <v>39</v>
      </c>
      <c r="G423" s="7" t="s">
        <v>40</v>
      </c>
      <c r="H423" s="6">
        <v>44530</v>
      </c>
      <c r="I423" s="7" t="s">
        <v>41</v>
      </c>
      <c r="K423" s="47"/>
      <c r="L423" s="47" t="s">
        <v>42</v>
      </c>
      <c r="M423" s="47" t="s">
        <v>43</v>
      </c>
      <c r="N423" s="47" t="s">
        <v>44</v>
      </c>
      <c r="O423" s="47" t="s">
        <v>45</v>
      </c>
      <c r="Q423" s="5"/>
    </row>
    <row r="424" spans="1:17" s="184" customFormat="1" ht="16.5">
      <c r="A424" s="60" t="str">
        <f>+K424</f>
        <v>Axel</v>
      </c>
      <c r="B424" s="186" t="s">
        <v>163</v>
      </c>
      <c r="C424" s="62">
        <v>6757</v>
      </c>
      <c r="D424" s="63">
        <f t="shared" ref="D424:D437" si="237">+L424</f>
        <v>337000</v>
      </c>
      <c r="E424" s="63">
        <f>+N424</f>
        <v>314650</v>
      </c>
      <c r="F424" s="63">
        <f>+M424</f>
        <v>0</v>
      </c>
      <c r="G424" s="63">
        <f t="shared" ref="G424:G426" si="238">+O424</f>
        <v>0</v>
      </c>
      <c r="H424" s="63">
        <v>29107</v>
      </c>
      <c r="I424" s="63">
        <f>+C424+D424-E424-F424+G424</f>
        <v>29107</v>
      </c>
      <c r="J424" s="9">
        <f>I424-H424</f>
        <v>0</v>
      </c>
      <c r="K424" s="185" t="s">
        <v>162</v>
      </c>
      <c r="L424" s="185">
        <v>337000</v>
      </c>
      <c r="M424" s="185">
        <v>0</v>
      </c>
      <c r="N424" s="185">
        <v>314650</v>
      </c>
      <c r="O424" s="185">
        <v>0</v>
      </c>
    </row>
    <row r="425" spans="1:17" ht="16.5">
      <c r="A425" s="60" t="str">
        <f>+K425</f>
        <v>B52</v>
      </c>
      <c r="B425" s="61" t="s">
        <v>4</v>
      </c>
      <c r="C425" s="62">
        <v>0</v>
      </c>
      <c r="D425" s="63">
        <f t="shared" si="237"/>
        <v>118000</v>
      </c>
      <c r="E425" s="63">
        <f>+N425</f>
        <v>114000</v>
      </c>
      <c r="F425" s="63">
        <f>+M425</f>
        <v>0</v>
      </c>
      <c r="G425" s="63">
        <f t="shared" si="238"/>
        <v>0</v>
      </c>
      <c r="H425" s="63">
        <v>4000</v>
      </c>
      <c r="I425" s="63">
        <f>+C425+D425-E425-F425+G425</f>
        <v>4000</v>
      </c>
      <c r="J425" s="9">
        <f>I425-H425</f>
        <v>0</v>
      </c>
      <c r="K425" s="47" t="s">
        <v>172</v>
      </c>
      <c r="L425" s="49">
        <v>118000</v>
      </c>
      <c r="M425" s="49">
        <v>0</v>
      </c>
      <c r="N425" s="49">
        <v>114000</v>
      </c>
      <c r="O425" s="49">
        <v>0</v>
      </c>
      <c r="Q425" s="5"/>
    </row>
    <row r="426" spans="1:17" ht="16.5">
      <c r="A426" s="60" t="str">
        <f>+K426</f>
        <v>BCI</v>
      </c>
      <c r="B426" s="61" t="s">
        <v>46</v>
      </c>
      <c r="C426" s="62">
        <v>6762063</v>
      </c>
      <c r="D426" s="63">
        <f t="shared" si="237"/>
        <v>0</v>
      </c>
      <c r="E426" s="63">
        <f>+N426</f>
        <v>23345</v>
      </c>
      <c r="F426" s="63">
        <f>+M426</f>
        <v>1000000</v>
      </c>
      <c r="G426" s="63">
        <f t="shared" si="238"/>
        <v>0</v>
      </c>
      <c r="H426" s="63">
        <v>5738718</v>
      </c>
      <c r="I426" s="63">
        <f>+C426+D426-E426-F426+G426</f>
        <v>5738718</v>
      </c>
      <c r="J426" s="9">
        <f t="shared" ref="J426:J433" si="239">I426-H426</f>
        <v>0</v>
      </c>
      <c r="K426" s="47" t="s">
        <v>24</v>
      </c>
      <c r="L426" s="49">
        <v>0</v>
      </c>
      <c r="M426" s="49">
        <v>1000000</v>
      </c>
      <c r="N426" s="49">
        <v>23345</v>
      </c>
      <c r="O426" s="49">
        <v>0</v>
      </c>
      <c r="Q426" s="5"/>
    </row>
    <row r="427" spans="1:17" ht="16.5">
      <c r="A427" s="60" t="str">
        <f t="shared" ref="A427:A429" si="240">+K427</f>
        <v>BCI-Sous Compte</v>
      </c>
      <c r="B427" s="61" t="s">
        <v>46</v>
      </c>
      <c r="C427" s="62">
        <v>23107840</v>
      </c>
      <c r="D427" s="63">
        <f t="shared" si="237"/>
        <v>0</v>
      </c>
      <c r="E427" s="63">
        <f>+N427</f>
        <v>4020633</v>
      </c>
      <c r="F427" s="63">
        <f>+M427</f>
        <v>3000000</v>
      </c>
      <c r="G427" s="63">
        <f t="shared" ref="G427:G438" si="241">+O427</f>
        <v>0</v>
      </c>
      <c r="H427" s="63">
        <v>16087207</v>
      </c>
      <c r="I427" s="63">
        <f>+C427+D427-E427-F427+G427</f>
        <v>16087207</v>
      </c>
      <c r="J427" s="108">
        <f t="shared" si="239"/>
        <v>0</v>
      </c>
      <c r="K427" s="47" t="s">
        <v>157</v>
      </c>
      <c r="L427" s="49">
        <v>0</v>
      </c>
      <c r="M427" s="49">
        <v>3000000</v>
      </c>
      <c r="N427" s="49">
        <v>4020633</v>
      </c>
      <c r="O427" s="49">
        <v>0</v>
      </c>
      <c r="Q427" s="5"/>
    </row>
    <row r="428" spans="1:17" ht="16.5">
      <c r="A428" s="60" t="str">
        <f t="shared" si="240"/>
        <v>Caisse</v>
      </c>
      <c r="B428" s="61" t="s">
        <v>25</v>
      </c>
      <c r="C428" s="62">
        <v>1685107</v>
      </c>
      <c r="D428" s="63">
        <f t="shared" si="237"/>
        <v>4090000</v>
      </c>
      <c r="E428" s="63">
        <f t="shared" ref="E428" si="242">+N428</f>
        <v>2854238</v>
      </c>
      <c r="F428" s="63">
        <f t="shared" ref="F428:F435" si="243">+M428</f>
        <v>1994500</v>
      </c>
      <c r="G428" s="63">
        <f t="shared" si="241"/>
        <v>0</v>
      </c>
      <c r="H428" s="63">
        <v>926369</v>
      </c>
      <c r="I428" s="63">
        <f>+C428+D428-E428-F428+G428</f>
        <v>926369</v>
      </c>
      <c r="J428" s="9">
        <f t="shared" si="239"/>
        <v>0</v>
      </c>
      <c r="K428" s="47" t="s">
        <v>25</v>
      </c>
      <c r="L428" s="49">
        <v>4090000</v>
      </c>
      <c r="M428" s="49">
        <v>1994500</v>
      </c>
      <c r="N428" s="49">
        <v>2854238</v>
      </c>
      <c r="O428" s="49">
        <v>0</v>
      </c>
      <c r="Q428" s="5"/>
    </row>
    <row r="429" spans="1:17" ht="16.5">
      <c r="A429" s="60" t="str">
        <f t="shared" si="240"/>
        <v>Crépin</v>
      </c>
      <c r="B429" s="61" t="s">
        <v>163</v>
      </c>
      <c r="C429" s="62">
        <v>7200</v>
      </c>
      <c r="D429" s="63">
        <f t="shared" si="237"/>
        <v>286000</v>
      </c>
      <c r="E429" s="63">
        <f>+N429</f>
        <v>226875</v>
      </c>
      <c r="F429" s="63">
        <f t="shared" si="243"/>
        <v>70000</v>
      </c>
      <c r="G429" s="63">
        <f t="shared" si="241"/>
        <v>0</v>
      </c>
      <c r="H429" s="63">
        <v>-3675</v>
      </c>
      <c r="I429" s="63">
        <f t="shared" ref="I429" si="244">+C429+D429-E429-F429+G429</f>
        <v>-3675</v>
      </c>
      <c r="J429" s="9">
        <f t="shared" si="239"/>
        <v>0</v>
      </c>
      <c r="K429" s="47" t="s">
        <v>47</v>
      </c>
      <c r="L429" s="49">
        <v>286000</v>
      </c>
      <c r="M429" s="49">
        <v>70000</v>
      </c>
      <c r="N429" s="49">
        <v>226875</v>
      </c>
      <c r="O429" s="49">
        <v>0</v>
      </c>
      <c r="Q429" s="5"/>
    </row>
    <row r="430" spans="1:17" ht="16.5">
      <c r="A430" s="60" t="str">
        <f>K430</f>
        <v>Evariste</v>
      </c>
      <c r="B430" s="61" t="s">
        <v>164</v>
      </c>
      <c r="C430" s="62">
        <v>10095</v>
      </c>
      <c r="D430" s="63">
        <f t="shared" si="237"/>
        <v>70500</v>
      </c>
      <c r="E430" s="63">
        <f t="shared" ref="E430" si="245">+N430</f>
        <v>73000</v>
      </c>
      <c r="F430" s="63">
        <f t="shared" si="243"/>
        <v>0</v>
      </c>
      <c r="G430" s="63">
        <f t="shared" si="241"/>
        <v>0</v>
      </c>
      <c r="H430" s="63">
        <v>7595</v>
      </c>
      <c r="I430" s="63">
        <f>+C430+D430-E430-F430+G430</f>
        <v>7595</v>
      </c>
      <c r="J430" s="9">
        <f t="shared" si="239"/>
        <v>0</v>
      </c>
      <c r="K430" s="47" t="s">
        <v>31</v>
      </c>
      <c r="L430" s="49">
        <v>70500</v>
      </c>
      <c r="M430" s="49">
        <v>0</v>
      </c>
      <c r="N430" s="49">
        <v>73000</v>
      </c>
      <c r="O430" s="49">
        <v>0</v>
      </c>
      <c r="Q430" s="5"/>
    </row>
    <row r="431" spans="1:17" ht="16.5">
      <c r="A431" s="123" t="str">
        <f t="shared" ref="A431:A438" si="246">+K431</f>
        <v>I55S</v>
      </c>
      <c r="B431" s="124" t="s">
        <v>4</v>
      </c>
      <c r="C431" s="125">
        <v>233614</v>
      </c>
      <c r="D431" s="126">
        <f t="shared" si="237"/>
        <v>0</v>
      </c>
      <c r="E431" s="126">
        <f>+N431</f>
        <v>0</v>
      </c>
      <c r="F431" s="126">
        <f t="shared" si="243"/>
        <v>0</v>
      </c>
      <c r="G431" s="126">
        <f t="shared" si="241"/>
        <v>0</v>
      </c>
      <c r="H431" s="126">
        <v>233614</v>
      </c>
      <c r="I431" s="126">
        <f>+C431+D431-E431-F431+G431</f>
        <v>233614</v>
      </c>
      <c r="J431" s="9">
        <f t="shared" si="239"/>
        <v>0</v>
      </c>
      <c r="K431" s="47" t="s">
        <v>84</v>
      </c>
      <c r="L431" s="49">
        <v>0</v>
      </c>
      <c r="M431" s="49">
        <v>0</v>
      </c>
      <c r="N431" s="49">
        <v>0</v>
      </c>
      <c r="O431" s="49">
        <v>0</v>
      </c>
      <c r="Q431" s="5"/>
    </row>
    <row r="432" spans="1:17" ht="16.5">
      <c r="A432" s="123" t="str">
        <f t="shared" si="246"/>
        <v>I73X</v>
      </c>
      <c r="B432" s="124" t="s">
        <v>4</v>
      </c>
      <c r="C432" s="125">
        <v>249769</v>
      </c>
      <c r="D432" s="126">
        <f t="shared" si="237"/>
        <v>0</v>
      </c>
      <c r="E432" s="126">
        <f>+N432</f>
        <v>0</v>
      </c>
      <c r="F432" s="126">
        <f t="shared" si="243"/>
        <v>0</v>
      </c>
      <c r="G432" s="126">
        <f t="shared" si="241"/>
        <v>0</v>
      </c>
      <c r="H432" s="126">
        <v>249769</v>
      </c>
      <c r="I432" s="126">
        <f t="shared" ref="I432:I435" si="247">+C432+D432-E432-F432+G432</f>
        <v>249769</v>
      </c>
      <c r="J432" s="9">
        <f t="shared" si="239"/>
        <v>0</v>
      </c>
      <c r="K432" s="47" t="s">
        <v>83</v>
      </c>
      <c r="L432" s="49">
        <v>0</v>
      </c>
      <c r="M432" s="49">
        <v>0</v>
      </c>
      <c r="N432" s="49">
        <v>0</v>
      </c>
      <c r="O432" s="49">
        <v>0</v>
      </c>
      <c r="Q432" s="5"/>
    </row>
    <row r="433" spans="1:17" ht="16.5">
      <c r="A433" s="60" t="str">
        <f t="shared" si="246"/>
        <v>Godfré</v>
      </c>
      <c r="B433" s="104" t="s">
        <v>163</v>
      </c>
      <c r="C433" s="62">
        <v>3550</v>
      </c>
      <c r="D433" s="63">
        <f t="shared" si="237"/>
        <v>43000</v>
      </c>
      <c r="E433" s="179">
        <f t="shared" ref="E433:E438" si="248">+N433</f>
        <v>52550</v>
      </c>
      <c r="F433" s="63">
        <f t="shared" si="243"/>
        <v>0</v>
      </c>
      <c r="G433" s="63">
        <f t="shared" si="241"/>
        <v>0</v>
      </c>
      <c r="H433" s="63">
        <v>-6000</v>
      </c>
      <c r="I433" s="63">
        <f t="shared" si="247"/>
        <v>-6000</v>
      </c>
      <c r="J433" s="9">
        <f t="shared" si="239"/>
        <v>0</v>
      </c>
      <c r="K433" s="47" t="s">
        <v>152</v>
      </c>
      <c r="L433" s="49">
        <v>43000</v>
      </c>
      <c r="M433" s="49">
        <v>0</v>
      </c>
      <c r="N433" s="49">
        <v>52550</v>
      </c>
      <c r="O433" s="49">
        <v>0</v>
      </c>
      <c r="Q433" s="5"/>
    </row>
    <row r="434" spans="1:17" ht="16.5">
      <c r="A434" s="60" t="str">
        <f t="shared" si="246"/>
        <v>Grace</v>
      </c>
      <c r="B434" s="61" t="s">
        <v>2</v>
      </c>
      <c r="C434" s="62">
        <v>61300</v>
      </c>
      <c r="D434" s="63">
        <f t="shared" si="237"/>
        <v>53000</v>
      </c>
      <c r="E434" s="179">
        <f t="shared" si="248"/>
        <v>45900</v>
      </c>
      <c r="F434" s="63">
        <f t="shared" si="243"/>
        <v>20000</v>
      </c>
      <c r="G434" s="63">
        <f t="shared" si="241"/>
        <v>0</v>
      </c>
      <c r="H434" s="63">
        <v>48400</v>
      </c>
      <c r="I434" s="63">
        <f t="shared" si="247"/>
        <v>48400</v>
      </c>
      <c r="J434" s="9">
        <f>I434-H434</f>
        <v>0</v>
      </c>
      <c r="K434" s="47" t="s">
        <v>151</v>
      </c>
      <c r="L434" s="49">
        <v>53000</v>
      </c>
      <c r="M434" s="49">
        <v>20000</v>
      </c>
      <c r="N434" s="49">
        <v>45900</v>
      </c>
      <c r="O434" s="49">
        <v>0</v>
      </c>
      <c r="Q434" s="5"/>
    </row>
    <row r="435" spans="1:17" ht="16.5">
      <c r="A435" s="60" t="str">
        <f t="shared" si="246"/>
        <v>I23C</v>
      </c>
      <c r="B435" s="104" t="s">
        <v>4</v>
      </c>
      <c r="C435" s="62">
        <v>10800</v>
      </c>
      <c r="D435" s="63">
        <f t="shared" si="237"/>
        <v>488000</v>
      </c>
      <c r="E435" s="179">
        <f t="shared" si="248"/>
        <v>492000</v>
      </c>
      <c r="F435" s="63">
        <f t="shared" si="243"/>
        <v>0</v>
      </c>
      <c r="G435" s="63">
        <f t="shared" si="241"/>
        <v>0</v>
      </c>
      <c r="H435" s="63">
        <v>6800</v>
      </c>
      <c r="I435" s="63">
        <f t="shared" si="247"/>
        <v>6800</v>
      </c>
      <c r="J435" s="9">
        <f t="shared" ref="J435" si="249">I435-H435</f>
        <v>0</v>
      </c>
      <c r="K435" s="47" t="s">
        <v>30</v>
      </c>
      <c r="L435" s="49">
        <v>488000</v>
      </c>
      <c r="M435" s="49">
        <v>0</v>
      </c>
      <c r="N435" s="49">
        <v>492000</v>
      </c>
      <c r="O435" s="49">
        <v>0</v>
      </c>
      <c r="Q435" s="5"/>
    </row>
    <row r="436" spans="1:17" ht="16.5">
      <c r="A436" s="60" t="str">
        <f t="shared" si="246"/>
        <v>Merveille</v>
      </c>
      <c r="B436" s="61" t="s">
        <v>2</v>
      </c>
      <c r="C436" s="62">
        <v>9500</v>
      </c>
      <c r="D436" s="63">
        <f t="shared" si="237"/>
        <v>20000</v>
      </c>
      <c r="E436" s="179">
        <f t="shared" si="248"/>
        <v>24000</v>
      </c>
      <c r="F436" s="63">
        <f t="shared" ref="F436" si="250">+M436</f>
        <v>0</v>
      </c>
      <c r="G436" s="63">
        <f t="shared" ref="G436" si="251">+O436</f>
        <v>0</v>
      </c>
      <c r="H436" s="63">
        <v>5500</v>
      </c>
      <c r="I436" s="63">
        <f t="shared" ref="I436" si="252">+C436+D436-E436-F436+G436</f>
        <v>5500</v>
      </c>
      <c r="J436" s="9">
        <f t="shared" ref="J436" si="253">I436-H436</f>
        <v>0</v>
      </c>
      <c r="K436" s="47" t="s">
        <v>93</v>
      </c>
      <c r="L436" s="49">
        <v>20000</v>
      </c>
      <c r="M436" s="49">
        <v>0</v>
      </c>
      <c r="N436" s="49">
        <v>24000</v>
      </c>
      <c r="O436" s="49"/>
      <c r="Q436" s="5"/>
    </row>
    <row r="437" spans="1:17" ht="16.5">
      <c r="A437" s="60" t="str">
        <f t="shared" si="246"/>
        <v>P29</v>
      </c>
      <c r="B437" s="61" t="s">
        <v>4</v>
      </c>
      <c r="C437" s="62">
        <v>21200</v>
      </c>
      <c r="D437" s="63">
        <f t="shared" si="237"/>
        <v>543000</v>
      </c>
      <c r="E437" s="179">
        <f t="shared" si="248"/>
        <v>533500</v>
      </c>
      <c r="F437" s="63">
        <f>+M437</f>
        <v>0</v>
      </c>
      <c r="G437" s="63">
        <f>+O437</f>
        <v>0</v>
      </c>
      <c r="H437" s="63">
        <v>30700</v>
      </c>
      <c r="I437" s="63">
        <f>+C437+D437-E437-F437+G437</f>
        <v>30700</v>
      </c>
      <c r="J437" s="9">
        <f>I437-H437</f>
        <v>0</v>
      </c>
      <c r="K437" s="47" t="s">
        <v>29</v>
      </c>
      <c r="L437" s="49">
        <v>543000</v>
      </c>
      <c r="M437" s="49">
        <v>0</v>
      </c>
      <c r="N437" s="49">
        <v>533500</v>
      </c>
      <c r="O437" s="49">
        <v>0</v>
      </c>
      <c r="Q437" s="5"/>
    </row>
    <row r="438" spans="1:17" ht="16.5">
      <c r="A438" s="60" t="str">
        <f t="shared" si="246"/>
        <v>Tiffany</v>
      </c>
      <c r="B438" s="61" t="s">
        <v>2</v>
      </c>
      <c r="C438" s="62">
        <v>26193</v>
      </c>
      <c r="D438" s="63">
        <f t="shared" ref="D438" si="254">+L438</f>
        <v>36000</v>
      </c>
      <c r="E438" s="179">
        <f t="shared" si="248"/>
        <v>53000</v>
      </c>
      <c r="F438" s="63">
        <f t="shared" ref="F438" si="255">+M438</f>
        <v>0</v>
      </c>
      <c r="G438" s="63">
        <f t="shared" si="241"/>
        <v>0</v>
      </c>
      <c r="H438" s="63">
        <v>9193</v>
      </c>
      <c r="I438" s="63">
        <f t="shared" ref="I438" si="256">+C438+D438-E438-F438+G438</f>
        <v>9193</v>
      </c>
      <c r="J438" s="9">
        <f t="shared" ref="J438" si="257">I438-H438</f>
        <v>0</v>
      </c>
      <c r="K438" s="47" t="s">
        <v>113</v>
      </c>
      <c r="L438" s="49">
        <v>36000</v>
      </c>
      <c r="M438" s="49">
        <v>0</v>
      </c>
      <c r="N438" s="49">
        <v>53000</v>
      </c>
      <c r="O438" s="49">
        <v>0</v>
      </c>
      <c r="Q438" s="5"/>
    </row>
    <row r="439" spans="1:17" ht="16.5">
      <c r="A439" s="10" t="s">
        <v>50</v>
      </c>
      <c r="B439" s="11"/>
      <c r="C439" s="12">
        <f>SUM(C424:C438)</f>
        <v>32194988</v>
      </c>
      <c r="D439" s="59">
        <f t="shared" ref="D439:G439" si="258">SUM(D424:D438)</f>
        <v>6084500</v>
      </c>
      <c r="E439" s="59">
        <f t="shared" si="258"/>
        <v>8827691</v>
      </c>
      <c r="F439" s="59">
        <f t="shared" si="258"/>
        <v>6084500</v>
      </c>
      <c r="G439" s="59">
        <f t="shared" si="258"/>
        <v>0</v>
      </c>
      <c r="H439" s="59">
        <f>SUM(H424:H438)</f>
        <v>23367297</v>
      </c>
      <c r="I439" s="59">
        <f>SUM(I424:I438)</f>
        <v>23367297</v>
      </c>
      <c r="J439" s="9">
        <f>I439-H439</f>
        <v>0</v>
      </c>
      <c r="K439" s="3"/>
      <c r="L439" s="49">
        <v>6084500</v>
      </c>
      <c r="M439" s="49">
        <v>6084500</v>
      </c>
      <c r="N439" s="49">
        <v>8828291</v>
      </c>
      <c r="O439" s="49">
        <v>0</v>
      </c>
      <c r="Q439" s="5"/>
    </row>
    <row r="440" spans="1:17" ht="16.5">
      <c r="A440" s="10"/>
      <c r="B440" s="11"/>
      <c r="C440" s="12"/>
      <c r="D440" s="13"/>
      <c r="E440" s="12"/>
      <c r="F440" s="13"/>
      <c r="G440" s="12"/>
      <c r="H440" s="12"/>
      <c r="I440" s="143" t="b">
        <f>I439=D442</f>
        <v>1</v>
      </c>
      <c r="L440" s="5"/>
      <c r="M440" s="5"/>
      <c r="N440" s="5"/>
      <c r="O440" s="5"/>
      <c r="Q440" s="5"/>
    </row>
    <row r="441" spans="1:17" ht="16.5">
      <c r="A441" s="10" t="s">
        <v>168</v>
      </c>
      <c r="B441" s="11" t="s">
        <v>170</v>
      </c>
      <c r="C441" s="12" t="s">
        <v>173</v>
      </c>
      <c r="D441" s="12" t="s">
        <v>167</v>
      </c>
      <c r="E441" s="12" t="s">
        <v>51</v>
      </c>
      <c r="F441" s="12"/>
      <c r="G441" s="12">
        <f>+D439-F439</f>
        <v>0</v>
      </c>
      <c r="H441" s="12"/>
      <c r="I441" s="12"/>
      <c r="Q441" s="5"/>
    </row>
    <row r="442" spans="1:17" ht="16.5">
      <c r="A442" s="14">
        <f>C439</f>
        <v>32194988</v>
      </c>
      <c r="B442" s="15">
        <f>G439</f>
        <v>0</v>
      </c>
      <c r="C442" s="12">
        <f>E439</f>
        <v>8827691</v>
      </c>
      <c r="D442" s="12">
        <f>A442+B442-C442</f>
        <v>23367297</v>
      </c>
      <c r="E442" s="13">
        <f>I439-D442</f>
        <v>0</v>
      </c>
      <c r="F442" s="12"/>
      <c r="G442" s="12"/>
      <c r="H442" s="12"/>
      <c r="I442" s="12"/>
      <c r="L442" s="5"/>
      <c r="M442" s="5"/>
      <c r="N442" s="5"/>
      <c r="O442" s="5"/>
      <c r="Q442" s="5"/>
    </row>
    <row r="443" spans="1:17" ht="16.5">
      <c r="A443" s="14"/>
      <c r="B443" s="15"/>
      <c r="C443" s="12"/>
      <c r="D443" s="12"/>
      <c r="E443" s="13"/>
      <c r="F443" s="12"/>
      <c r="G443" s="12"/>
      <c r="H443" s="12"/>
      <c r="I443" s="12"/>
      <c r="L443" s="5"/>
      <c r="M443" s="5"/>
      <c r="N443" s="5"/>
      <c r="O443" s="5"/>
      <c r="Q443" s="5"/>
    </row>
    <row r="444" spans="1:17">
      <c r="A444" s="16" t="s">
        <v>52</v>
      </c>
      <c r="B444" s="16"/>
      <c r="C444" s="16"/>
      <c r="D444" s="17"/>
      <c r="E444" s="17"/>
      <c r="F444" s="17"/>
      <c r="G444" s="17"/>
      <c r="H444" s="17"/>
      <c r="I444" s="17"/>
      <c r="L444" s="5"/>
      <c r="M444" s="5"/>
      <c r="N444" s="5"/>
      <c r="O444" s="5"/>
      <c r="Q444" s="5"/>
    </row>
    <row r="445" spans="1:17">
      <c r="A445" s="18" t="s">
        <v>169</v>
      </c>
      <c r="B445" s="18"/>
      <c r="C445" s="18"/>
      <c r="D445" s="18"/>
      <c r="E445" s="18"/>
      <c r="F445" s="18"/>
      <c r="G445" s="18"/>
      <c r="H445" s="18"/>
      <c r="I445" s="18"/>
      <c r="J445" s="18"/>
      <c r="L445" s="5"/>
      <c r="M445" s="5"/>
      <c r="N445" s="5"/>
      <c r="O445" s="5"/>
      <c r="Q445" s="5"/>
    </row>
    <row r="446" spans="1:17">
      <c r="A446" s="19"/>
      <c r="B446" s="20"/>
      <c r="C446" s="21"/>
      <c r="D446" s="21"/>
      <c r="E446" s="21"/>
      <c r="F446" s="21"/>
      <c r="G446" s="21"/>
      <c r="H446" s="20"/>
      <c r="I446" s="20"/>
      <c r="L446" s="5"/>
      <c r="M446" s="5"/>
      <c r="N446" s="5"/>
      <c r="O446" s="5"/>
      <c r="Q446" s="5"/>
    </row>
    <row r="447" spans="1:17">
      <c r="A447" s="451" t="s">
        <v>53</v>
      </c>
      <c r="B447" s="453" t="s">
        <v>54</v>
      </c>
      <c r="C447" s="455" t="s">
        <v>171</v>
      </c>
      <c r="D447" s="457" t="s">
        <v>55</v>
      </c>
      <c r="E447" s="458"/>
      <c r="F447" s="458"/>
      <c r="G447" s="459"/>
      <c r="H447" s="460" t="s">
        <v>56</v>
      </c>
      <c r="I447" s="462" t="s">
        <v>57</v>
      </c>
      <c r="J447" s="20"/>
      <c r="L447" s="5"/>
      <c r="M447" s="5"/>
      <c r="N447" s="5"/>
      <c r="O447" s="5"/>
      <c r="Q447" s="5"/>
    </row>
    <row r="448" spans="1:17" ht="28.5" customHeight="1">
      <c r="A448" s="452"/>
      <c r="B448" s="454"/>
      <c r="C448" s="456"/>
      <c r="D448" s="22" t="s">
        <v>24</v>
      </c>
      <c r="E448" s="22" t="s">
        <v>25</v>
      </c>
      <c r="F448" s="187" t="s">
        <v>123</v>
      </c>
      <c r="G448" s="22" t="s">
        <v>58</v>
      </c>
      <c r="H448" s="461"/>
      <c r="I448" s="463"/>
      <c r="J448" s="464" t="s">
        <v>179</v>
      </c>
      <c r="K448" s="155"/>
      <c r="L448" s="5"/>
      <c r="M448" s="5"/>
      <c r="N448" s="5"/>
      <c r="O448" s="5"/>
      <c r="Q448" s="5"/>
    </row>
    <row r="449" spans="1:17">
      <c r="A449" s="24"/>
      <c r="B449" s="25" t="s">
        <v>59</v>
      </c>
      <c r="C449" s="26"/>
      <c r="D449" s="26"/>
      <c r="E449" s="26"/>
      <c r="F449" s="26"/>
      <c r="G449" s="26"/>
      <c r="H449" s="26"/>
      <c r="I449" s="27"/>
      <c r="J449" s="465"/>
      <c r="K449" s="155"/>
      <c r="L449" s="5"/>
      <c r="M449" s="5"/>
      <c r="N449" s="5"/>
      <c r="O449" s="5"/>
      <c r="Q449" s="5"/>
    </row>
    <row r="450" spans="1:17">
      <c r="A450" s="130" t="s">
        <v>98</v>
      </c>
      <c r="B450" s="135" t="s">
        <v>162</v>
      </c>
      <c r="C450" s="33">
        <f>+C424</f>
        <v>6757</v>
      </c>
      <c r="D450" s="32"/>
      <c r="E450" s="33">
        <f>D424</f>
        <v>337000</v>
      </c>
      <c r="F450" s="33"/>
      <c r="G450" s="33"/>
      <c r="H450" s="57">
        <f>+F424</f>
        <v>0</v>
      </c>
      <c r="I450" s="33">
        <f>+E424</f>
        <v>314650</v>
      </c>
      <c r="J450" s="31">
        <f>+SUM(C450:G450)-(H450+I450)</f>
        <v>29107</v>
      </c>
      <c r="K450" s="156" t="b">
        <f>J450=I424</f>
        <v>1</v>
      </c>
      <c r="L450" s="5"/>
      <c r="M450" s="5"/>
      <c r="N450" s="5"/>
      <c r="O450" s="5"/>
      <c r="Q450" s="5"/>
    </row>
    <row r="451" spans="1:17">
      <c r="A451" s="130" t="str">
        <f>A450</f>
        <v>NOVEMBRE</v>
      </c>
      <c r="B451" s="135" t="s">
        <v>172</v>
      </c>
      <c r="C451" s="33">
        <f>+C425</f>
        <v>0</v>
      </c>
      <c r="D451" s="32"/>
      <c r="E451" s="33">
        <f>+D425</f>
        <v>118000</v>
      </c>
      <c r="F451" s="33"/>
      <c r="G451" s="33"/>
      <c r="H451" s="57">
        <f>+F425</f>
        <v>0</v>
      </c>
      <c r="I451" s="33">
        <f>+E425</f>
        <v>114000</v>
      </c>
      <c r="J451" s="31">
        <f t="shared" ref="J451:J452" si="259">+SUM(C451:G451)-(H451+I451)</f>
        <v>4000</v>
      </c>
      <c r="K451" s="156" t="b">
        <f>J451=I425</f>
        <v>1</v>
      </c>
      <c r="L451" s="5"/>
      <c r="M451" s="5"/>
      <c r="N451" s="5"/>
      <c r="O451" s="5"/>
      <c r="Q451" s="5"/>
    </row>
    <row r="452" spans="1:17">
      <c r="A452" s="130" t="str">
        <f>+A451</f>
        <v>NOVEMBRE</v>
      </c>
      <c r="B452" s="135" t="s">
        <v>47</v>
      </c>
      <c r="C452" s="33">
        <f>+C429</f>
        <v>7200</v>
      </c>
      <c r="D452" s="32"/>
      <c r="E452" s="33">
        <f>+D429</f>
        <v>286000</v>
      </c>
      <c r="F452" s="33"/>
      <c r="G452" s="33"/>
      <c r="H452" s="57">
        <f>+F429</f>
        <v>70000</v>
      </c>
      <c r="I452" s="33">
        <f>+E429</f>
        <v>226875</v>
      </c>
      <c r="J452" s="107">
        <f t="shared" si="259"/>
        <v>-3675</v>
      </c>
      <c r="K452" s="156" t="b">
        <f>J452=I429</f>
        <v>1</v>
      </c>
      <c r="L452" s="5"/>
      <c r="M452" s="5"/>
      <c r="N452" s="5"/>
      <c r="O452" s="5"/>
      <c r="Q452" s="5"/>
    </row>
    <row r="453" spans="1:17">
      <c r="A453" s="130" t="str">
        <f t="shared" ref="A453:A461" si="260">+A452</f>
        <v>NOVEMBRE</v>
      </c>
      <c r="B453" s="136" t="s">
        <v>31</v>
      </c>
      <c r="C453" s="33">
        <f>+C430</f>
        <v>10095</v>
      </c>
      <c r="D453" s="127"/>
      <c r="E453" s="33">
        <f>+D430</f>
        <v>70500</v>
      </c>
      <c r="F453" s="53"/>
      <c r="G453" s="53"/>
      <c r="H453" s="57">
        <f>+F430</f>
        <v>0</v>
      </c>
      <c r="I453" s="33">
        <f>+E430</f>
        <v>73000</v>
      </c>
      <c r="J453" s="132">
        <f>+SUM(C453:G453)-(H453+I453)</f>
        <v>7595</v>
      </c>
      <c r="K453" s="156" t="b">
        <f t="shared" ref="K453:K461" si="261">J453=I430</f>
        <v>1</v>
      </c>
      <c r="L453" s="5"/>
      <c r="M453" s="5"/>
      <c r="N453" s="5"/>
      <c r="O453" s="5"/>
      <c r="Q453" s="5"/>
    </row>
    <row r="454" spans="1:17">
      <c r="A454" s="130" t="str">
        <f t="shared" si="260"/>
        <v>NOVEMBRE</v>
      </c>
      <c r="B454" s="137" t="s">
        <v>84</v>
      </c>
      <c r="C454" s="128">
        <f>+C431</f>
        <v>233614</v>
      </c>
      <c r="D454" s="131"/>
      <c r="E454" s="128">
        <f>+D431</f>
        <v>0</v>
      </c>
      <c r="F454" s="146"/>
      <c r="G454" s="146"/>
      <c r="H454" s="180">
        <f>+F431</f>
        <v>0</v>
      </c>
      <c r="I454" s="128">
        <f>+E431</f>
        <v>0</v>
      </c>
      <c r="J454" s="129">
        <f>+SUM(C454:G454)-(H454+I454)</f>
        <v>233614</v>
      </c>
      <c r="K454" s="156" t="b">
        <f t="shared" si="261"/>
        <v>1</v>
      </c>
      <c r="L454" s="5"/>
      <c r="M454" s="5"/>
      <c r="N454" s="5"/>
      <c r="O454" s="5"/>
      <c r="Q454" s="5"/>
    </row>
    <row r="455" spans="1:17">
      <c r="A455" s="130" t="str">
        <f t="shared" si="260"/>
        <v>NOVEMBRE</v>
      </c>
      <c r="B455" s="137" t="s">
        <v>83</v>
      </c>
      <c r="C455" s="128">
        <f>+C432</f>
        <v>249769</v>
      </c>
      <c r="D455" s="131"/>
      <c r="E455" s="128">
        <f>+D432</f>
        <v>0</v>
      </c>
      <c r="F455" s="146"/>
      <c r="G455" s="146"/>
      <c r="H455" s="180">
        <f>+F432</f>
        <v>0</v>
      </c>
      <c r="I455" s="128">
        <f>+E432</f>
        <v>0</v>
      </c>
      <c r="J455" s="129">
        <f t="shared" ref="J455:J461" si="262">+SUM(C455:G455)-(H455+I455)</f>
        <v>249769</v>
      </c>
      <c r="K455" s="156" t="b">
        <f t="shared" si="261"/>
        <v>1</v>
      </c>
      <c r="L455" s="5"/>
      <c r="M455" s="5"/>
      <c r="N455" s="5"/>
      <c r="O455" s="5"/>
      <c r="Q455" s="5"/>
    </row>
    <row r="456" spans="1:17">
      <c r="A456" s="130" t="str">
        <f t="shared" si="260"/>
        <v>NOVEMBRE</v>
      </c>
      <c r="B456" s="135" t="s">
        <v>152</v>
      </c>
      <c r="C456" s="33">
        <f>+C433</f>
        <v>3550</v>
      </c>
      <c r="D456" s="32"/>
      <c r="E456" s="33">
        <f>+D433</f>
        <v>43000</v>
      </c>
      <c r="F456" s="33"/>
      <c r="G456" s="110"/>
      <c r="H456" s="57">
        <f>+F433</f>
        <v>0</v>
      </c>
      <c r="I456" s="33">
        <f>+E433</f>
        <v>52550</v>
      </c>
      <c r="J456" s="31">
        <f t="shared" si="262"/>
        <v>-6000</v>
      </c>
      <c r="K456" s="156" t="b">
        <f t="shared" si="261"/>
        <v>1</v>
      </c>
      <c r="L456" s="5"/>
      <c r="M456" s="5"/>
      <c r="N456" s="5"/>
      <c r="O456" s="5"/>
      <c r="Q456" s="5"/>
    </row>
    <row r="457" spans="1:17">
      <c r="A457" s="130" t="str">
        <f t="shared" si="260"/>
        <v>NOVEMBRE</v>
      </c>
      <c r="B457" s="135" t="s">
        <v>151</v>
      </c>
      <c r="C457" s="33">
        <f t="shared" ref="C457:C461" si="263">+C434</f>
        <v>61300</v>
      </c>
      <c r="D457" s="32"/>
      <c r="E457" s="33">
        <f t="shared" ref="E457:E461" si="264">+D434</f>
        <v>53000</v>
      </c>
      <c r="F457" s="33"/>
      <c r="G457" s="110"/>
      <c r="H457" s="57">
        <f t="shared" ref="H457:H461" si="265">+F434</f>
        <v>20000</v>
      </c>
      <c r="I457" s="33">
        <f t="shared" ref="I457:I461" si="266">+E434</f>
        <v>45900</v>
      </c>
      <c r="J457" s="31">
        <f t="shared" si="262"/>
        <v>48400</v>
      </c>
      <c r="K457" s="156" t="b">
        <f t="shared" si="261"/>
        <v>1</v>
      </c>
      <c r="L457" s="5"/>
      <c r="M457" s="5"/>
      <c r="N457" s="5"/>
      <c r="O457" s="5"/>
      <c r="Q457" s="5"/>
    </row>
    <row r="458" spans="1:17">
      <c r="A458" s="130" t="str">
        <f t="shared" si="260"/>
        <v>NOVEMBRE</v>
      </c>
      <c r="B458" s="135" t="s">
        <v>30</v>
      </c>
      <c r="C458" s="33">
        <f t="shared" si="263"/>
        <v>10800</v>
      </c>
      <c r="D458" s="32"/>
      <c r="E458" s="33">
        <f t="shared" si="264"/>
        <v>488000</v>
      </c>
      <c r="F458" s="33"/>
      <c r="G458" s="110"/>
      <c r="H458" s="57">
        <f t="shared" si="265"/>
        <v>0</v>
      </c>
      <c r="I458" s="33">
        <f t="shared" si="266"/>
        <v>492000</v>
      </c>
      <c r="J458" s="31">
        <f t="shared" si="262"/>
        <v>6800</v>
      </c>
      <c r="K458" s="156" t="b">
        <f t="shared" si="261"/>
        <v>1</v>
      </c>
      <c r="L458" s="5"/>
      <c r="M458" s="5"/>
      <c r="N458" s="5"/>
      <c r="O458" s="5"/>
      <c r="Q458" s="5"/>
    </row>
    <row r="459" spans="1:17">
      <c r="A459" s="130" t="str">
        <f>+A457</f>
        <v>NOVEMBRE</v>
      </c>
      <c r="B459" s="135" t="s">
        <v>93</v>
      </c>
      <c r="C459" s="33">
        <f t="shared" si="263"/>
        <v>9500</v>
      </c>
      <c r="D459" s="32"/>
      <c r="E459" s="33">
        <f t="shared" si="264"/>
        <v>20000</v>
      </c>
      <c r="F459" s="33"/>
      <c r="G459" s="110"/>
      <c r="H459" s="57">
        <f t="shared" si="265"/>
        <v>0</v>
      </c>
      <c r="I459" s="33">
        <f t="shared" si="266"/>
        <v>24000</v>
      </c>
      <c r="J459" s="31">
        <f t="shared" si="262"/>
        <v>5500</v>
      </c>
      <c r="K459" s="156" t="b">
        <f t="shared" si="261"/>
        <v>1</v>
      </c>
      <c r="L459" s="5"/>
      <c r="M459" s="5"/>
      <c r="N459" s="5"/>
      <c r="O459" s="5"/>
      <c r="Q459" s="5"/>
    </row>
    <row r="460" spans="1:17">
      <c r="A460" s="130" t="str">
        <f>+A458</f>
        <v>NOVEMBRE</v>
      </c>
      <c r="B460" s="135" t="s">
        <v>29</v>
      </c>
      <c r="C460" s="33">
        <f t="shared" si="263"/>
        <v>21200</v>
      </c>
      <c r="D460" s="32"/>
      <c r="E460" s="33">
        <f t="shared" si="264"/>
        <v>543000</v>
      </c>
      <c r="F460" s="33"/>
      <c r="G460" s="110"/>
      <c r="H460" s="57">
        <f t="shared" si="265"/>
        <v>0</v>
      </c>
      <c r="I460" s="33">
        <f t="shared" si="266"/>
        <v>533500</v>
      </c>
      <c r="J460" s="31">
        <f t="shared" si="262"/>
        <v>30700</v>
      </c>
      <c r="K460" s="156" t="b">
        <f t="shared" si="261"/>
        <v>1</v>
      </c>
      <c r="L460" s="5"/>
      <c r="M460" s="5"/>
      <c r="N460" s="5"/>
      <c r="O460" s="5"/>
      <c r="Q460" s="5"/>
    </row>
    <row r="461" spans="1:17">
      <c r="A461" s="130" t="str">
        <f t="shared" si="260"/>
        <v>NOVEMBRE</v>
      </c>
      <c r="B461" s="136" t="s">
        <v>113</v>
      </c>
      <c r="C461" s="33">
        <f t="shared" si="263"/>
        <v>26193</v>
      </c>
      <c r="D461" s="127"/>
      <c r="E461" s="33">
        <f t="shared" si="264"/>
        <v>36000</v>
      </c>
      <c r="F461" s="53"/>
      <c r="G461" s="147"/>
      <c r="H461" s="57">
        <f t="shared" si="265"/>
        <v>0</v>
      </c>
      <c r="I461" s="33">
        <f t="shared" si="266"/>
        <v>53000</v>
      </c>
      <c r="J461" s="31">
        <f t="shared" si="262"/>
        <v>9193</v>
      </c>
      <c r="K461" s="156" t="b">
        <f t="shared" si="261"/>
        <v>1</v>
      </c>
      <c r="L461" s="5"/>
      <c r="M461" s="5"/>
      <c r="N461" s="5"/>
      <c r="O461" s="5"/>
      <c r="Q461" s="5"/>
    </row>
    <row r="462" spans="1:17">
      <c r="A462" s="35" t="s">
        <v>60</v>
      </c>
      <c r="B462" s="36"/>
      <c r="C462" s="36"/>
      <c r="D462" s="36"/>
      <c r="E462" s="36"/>
      <c r="F462" s="36"/>
      <c r="G462" s="36"/>
      <c r="H462" s="36"/>
      <c r="I462" s="36"/>
      <c r="J462" s="37"/>
      <c r="K462" s="155"/>
      <c r="L462" s="5"/>
      <c r="M462" s="5"/>
      <c r="N462" s="5"/>
      <c r="O462" s="5"/>
      <c r="Q462" s="5"/>
    </row>
    <row r="463" spans="1:17">
      <c r="A463" s="130" t="str">
        <f>+A461</f>
        <v>NOVEMBRE</v>
      </c>
      <c r="B463" s="38" t="s">
        <v>61</v>
      </c>
      <c r="C463" s="39">
        <f>+C428</f>
        <v>1685107</v>
      </c>
      <c r="D463" s="51"/>
      <c r="E463" s="51">
        <f>D428</f>
        <v>4090000</v>
      </c>
      <c r="F463" s="51"/>
      <c r="G463" s="133"/>
      <c r="H463" s="53">
        <f>+F428</f>
        <v>1994500</v>
      </c>
      <c r="I463" s="134">
        <f>+E428</f>
        <v>2854238</v>
      </c>
      <c r="J463" s="46">
        <f>+SUM(C463:G463)-(H463+I463)</f>
        <v>926369</v>
      </c>
      <c r="K463" s="156" t="b">
        <f>J463=I428</f>
        <v>1</v>
      </c>
      <c r="L463" s="5"/>
      <c r="M463" s="5"/>
      <c r="N463" s="5"/>
      <c r="O463" s="5"/>
      <c r="Q463" s="5"/>
    </row>
    <row r="464" spans="1:17">
      <c r="A464" s="44" t="s">
        <v>62</v>
      </c>
      <c r="B464" s="25"/>
      <c r="C464" s="36"/>
      <c r="D464" s="25"/>
      <c r="E464" s="25"/>
      <c r="F464" s="25"/>
      <c r="G464" s="25"/>
      <c r="H464" s="25"/>
      <c r="I464" s="25"/>
      <c r="J464" s="37"/>
      <c r="K464" s="155"/>
      <c r="L464" s="5"/>
      <c r="M464" s="5"/>
      <c r="N464" s="5"/>
      <c r="O464" s="5"/>
      <c r="Q464" s="5"/>
    </row>
    <row r="465" spans="1:17">
      <c r="A465" s="130" t="str">
        <f>+A463</f>
        <v>NOVEMBRE</v>
      </c>
      <c r="B465" s="38" t="s">
        <v>166</v>
      </c>
      <c r="C465" s="133">
        <f>+C426</f>
        <v>6762063</v>
      </c>
      <c r="D465" s="140">
        <f>+G426</f>
        <v>0</v>
      </c>
      <c r="E465" s="51"/>
      <c r="F465" s="51"/>
      <c r="G465" s="51"/>
      <c r="H465" s="53">
        <f>+F426</f>
        <v>1000000</v>
      </c>
      <c r="I465" s="55">
        <f>+E426</f>
        <v>23345</v>
      </c>
      <c r="J465" s="46">
        <f>+SUM(C465:G465)-(H465+I465)</f>
        <v>5738718</v>
      </c>
      <c r="K465" s="156" t="b">
        <f>+J465=I426</f>
        <v>1</v>
      </c>
      <c r="L465" s="5"/>
      <c r="M465" s="5"/>
      <c r="N465" s="5"/>
      <c r="O465" s="5"/>
      <c r="Q465" s="5"/>
    </row>
    <row r="466" spans="1:17">
      <c r="A466" s="130" t="str">
        <f t="shared" ref="A466" si="267">+A465</f>
        <v>NOVEMBRE</v>
      </c>
      <c r="B466" s="38" t="s">
        <v>64</v>
      </c>
      <c r="C466" s="133">
        <f>+C427</f>
        <v>23107840</v>
      </c>
      <c r="D466" s="51">
        <f>+G427</f>
        <v>0</v>
      </c>
      <c r="E466" s="50"/>
      <c r="F466" s="50"/>
      <c r="G466" s="50"/>
      <c r="H466" s="33">
        <f>+F427</f>
        <v>3000000</v>
      </c>
      <c r="I466" s="52">
        <f>+E427</f>
        <v>4020633</v>
      </c>
      <c r="J466" s="46">
        <f>SUM(C466:G466)-(H466+I466)</f>
        <v>16087207</v>
      </c>
      <c r="K466" s="156" t="b">
        <f>+J466=I427</f>
        <v>1</v>
      </c>
      <c r="L466" s="5"/>
      <c r="M466" s="5"/>
      <c r="N466" s="5"/>
      <c r="O466" s="5"/>
      <c r="Q466" s="5"/>
    </row>
    <row r="467" spans="1:17" ht="15.75">
      <c r="C467" s="151">
        <f>SUM(C451:C466)</f>
        <v>32188231</v>
      </c>
      <c r="I467" s="149">
        <f>SUM(I451:I466)</f>
        <v>8513041</v>
      </c>
      <c r="J467" s="111">
        <f>+SUM(J450:J466)</f>
        <v>23367297</v>
      </c>
      <c r="K467" s="5" t="b">
        <f>J467=I439</f>
        <v>1</v>
      </c>
      <c r="L467" s="5"/>
      <c r="M467" s="5"/>
      <c r="N467" s="5"/>
      <c r="O467" s="5"/>
      <c r="Q467" s="5"/>
    </row>
    <row r="468" spans="1:17">
      <c r="G468" s="9"/>
      <c r="L468" s="5"/>
      <c r="M468" s="5"/>
      <c r="N468" s="5"/>
      <c r="O468" s="5"/>
      <c r="Q468" s="5"/>
    </row>
    <row r="469" spans="1:17">
      <c r="A469" s="16" t="s">
        <v>52</v>
      </c>
      <c r="B469" s="16"/>
      <c r="C469" s="16"/>
      <c r="D469" s="17"/>
      <c r="E469" s="17"/>
      <c r="F469" s="17"/>
      <c r="G469" s="17"/>
      <c r="H469" s="17"/>
      <c r="I469" s="17"/>
      <c r="L469" s="5"/>
      <c r="M469" s="5"/>
      <c r="N469" s="5"/>
      <c r="O469" s="5"/>
      <c r="Q469" s="5"/>
    </row>
    <row r="470" spans="1:17">
      <c r="A470" s="18" t="s">
        <v>161</v>
      </c>
      <c r="B470" s="18"/>
      <c r="C470" s="18"/>
      <c r="D470" s="18"/>
      <c r="E470" s="18"/>
      <c r="F470" s="18"/>
      <c r="G470" s="18"/>
      <c r="H470" s="18"/>
      <c r="I470" s="18"/>
      <c r="J470" s="18"/>
      <c r="L470" s="5"/>
      <c r="M470" s="5"/>
      <c r="N470" s="5"/>
      <c r="O470" s="5"/>
      <c r="Q470" s="5"/>
    </row>
    <row r="471" spans="1:17">
      <c r="A471" s="19"/>
      <c r="B471" s="20"/>
      <c r="C471" s="21"/>
      <c r="D471" s="21"/>
      <c r="E471" s="21"/>
      <c r="F471" s="21"/>
      <c r="G471" s="21"/>
      <c r="H471" s="20"/>
      <c r="I471" s="20"/>
      <c r="L471" s="5"/>
      <c r="M471" s="5"/>
      <c r="N471" s="5"/>
      <c r="O471" s="5"/>
      <c r="Q471" s="5"/>
    </row>
    <row r="472" spans="1:17">
      <c r="A472" s="451" t="s">
        <v>53</v>
      </c>
      <c r="B472" s="453" t="s">
        <v>54</v>
      </c>
      <c r="C472" s="455" t="s">
        <v>158</v>
      </c>
      <c r="D472" s="457" t="s">
        <v>55</v>
      </c>
      <c r="E472" s="458"/>
      <c r="F472" s="458"/>
      <c r="G472" s="459"/>
      <c r="H472" s="460" t="s">
        <v>56</v>
      </c>
      <c r="I472" s="462" t="s">
        <v>57</v>
      </c>
      <c r="J472" s="20"/>
      <c r="L472" s="5"/>
      <c r="M472" s="5"/>
      <c r="N472" s="5"/>
      <c r="O472" s="5"/>
      <c r="Q472" s="5"/>
    </row>
    <row r="473" spans="1:17">
      <c r="A473" s="452"/>
      <c r="B473" s="454"/>
      <c r="C473" s="456"/>
      <c r="D473" s="22" t="s">
        <v>24</v>
      </c>
      <c r="E473" s="22" t="s">
        <v>25</v>
      </c>
      <c r="F473" s="182" t="s">
        <v>123</v>
      </c>
      <c r="G473" s="22" t="s">
        <v>58</v>
      </c>
      <c r="H473" s="461"/>
      <c r="I473" s="463"/>
      <c r="J473" s="464" t="s">
        <v>159</v>
      </c>
      <c r="K473" s="155"/>
      <c r="L473" s="5"/>
      <c r="M473" s="5"/>
      <c r="N473" s="5"/>
      <c r="O473" s="5"/>
      <c r="Q473" s="5"/>
    </row>
    <row r="474" spans="1:17">
      <c r="A474" s="24"/>
      <c r="B474" s="25" t="s">
        <v>59</v>
      </c>
      <c r="C474" s="26"/>
      <c r="D474" s="26"/>
      <c r="E474" s="26"/>
      <c r="F474" s="26"/>
      <c r="G474" s="26"/>
      <c r="H474" s="26"/>
      <c r="I474" s="27"/>
      <c r="J474" s="465"/>
      <c r="K474" s="155"/>
      <c r="L474" s="5"/>
      <c r="M474" s="5"/>
      <c r="N474" s="5"/>
      <c r="O474" s="5"/>
      <c r="Q474" s="5"/>
    </row>
    <row r="475" spans="1:17">
      <c r="A475" s="130" t="s">
        <v>90</v>
      </c>
      <c r="B475" s="135" t="s">
        <v>162</v>
      </c>
      <c r="C475" s="33">
        <f>+C424</f>
        <v>6757</v>
      </c>
      <c r="D475" s="32"/>
      <c r="E475" s="33">
        <f>+D424</f>
        <v>337000</v>
      </c>
      <c r="F475" s="33"/>
      <c r="G475" s="33"/>
      <c r="H475" s="57">
        <f>+F424</f>
        <v>0</v>
      </c>
      <c r="I475" s="33">
        <f>+E424</f>
        <v>314650</v>
      </c>
      <c r="J475" s="31">
        <f>+SUM(C475:G475)-(H475+I475)</f>
        <v>29107</v>
      </c>
      <c r="K475" s="156" t="b">
        <f>J475=I424</f>
        <v>1</v>
      </c>
      <c r="L475" s="5"/>
      <c r="M475" s="5"/>
      <c r="N475" s="5"/>
      <c r="O475" s="5"/>
      <c r="Q475" s="5"/>
    </row>
    <row r="476" spans="1:17">
      <c r="A476" s="130" t="s">
        <v>90</v>
      </c>
      <c r="B476" s="135" t="s">
        <v>47</v>
      </c>
      <c r="C476" s="33">
        <f t="shared" ref="C476:C485" si="268">C428</f>
        <v>1685107</v>
      </c>
      <c r="D476" s="32"/>
      <c r="E476" s="33">
        <f>+D428</f>
        <v>4090000</v>
      </c>
      <c r="F476" s="33"/>
      <c r="G476" s="33"/>
      <c r="H476" s="57">
        <f t="shared" ref="H476:H485" si="269">+F428</f>
        <v>1994500</v>
      </c>
      <c r="I476" s="33">
        <f t="shared" ref="I476:I485" si="270">+E428</f>
        <v>2854238</v>
      </c>
      <c r="J476" s="31">
        <f t="shared" ref="J476:J477" si="271">+SUM(C476:G476)-(H476+I476)</f>
        <v>926369</v>
      </c>
      <c r="K476" s="156" t="b">
        <f t="shared" ref="K476:K486" si="272">J476=I428</f>
        <v>1</v>
      </c>
      <c r="L476" s="5"/>
      <c r="M476" s="5"/>
      <c r="N476" s="5"/>
      <c r="O476" s="5"/>
      <c r="Q476" s="5"/>
    </row>
    <row r="477" spans="1:17">
      <c r="A477" s="130" t="str">
        <f>+A476</f>
        <v>OCTOBRE</v>
      </c>
      <c r="B477" s="135" t="s">
        <v>31</v>
      </c>
      <c r="C477" s="33">
        <f t="shared" si="268"/>
        <v>7200</v>
      </c>
      <c r="D477" s="32"/>
      <c r="E477" s="33">
        <f>+D429</f>
        <v>286000</v>
      </c>
      <c r="F477" s="33"/>
      <c r="G477" s="33"/>
      <c r="H477" s="57">
        <f t="shared" si="269"/>
        <v>70000</v>
      </c>
      <c r="I477" s="33">
        <f t="shared" si="270"/>
        <v>226875</v>
      </c>
      <c r="J477" s="107">
        <f t="shared" si="271"/>
        <v>-3675</v>
      </c>
      <c r="K477" s="156" t="b">
        <f t="shared" si="272"/>
        <v>1</v>
      </c>
      <c r="L477" s="5"/>
      <c r="M477" s="5"/>
      <c r="N477" s="5"/>
      <c r="O477" s="5"/>
      <c r="Q477" s="5"/>
    </row>
    <row r="478" spans="1:17">
      <c r="A478" s="130" t="str">
        <f t="shared" ref="A478:A486" si="273">+A477</f>
        <v>OCTOBRE</v>
      </c>
      <c r="B478" s="136" t="s">
        <v>152</v>
      </c>
      <c r="C478" s="33">
        <f t="shared" si="268"/>
        <v>10095</v>
      </c>
      <c r="D478" s="127"/>
      <c r="E478" s="33">
        <f>D430</f>
        <v>70500</v>
      </c>
      <c r="F478" s="53"/>
      <c r="G478" s="53"/>
      <c r="H478" s="57">
        <f t="shared" si="269"/>
        <v>0</v>
      </c>
      <c r="I478" s="33">
        <f t="shared" si="270"/>
        <v>73000</v>
      </c>
      <c r="J478" s="132">
        <f>+SUM(C478:G478)-(H478+I478)</f>
        <v>7595</v>
      </c>
      <c r="K478" s="156" t="b">
        <f t="shared" si="272"/>
        <v>1</v>
      </c>
      <c r="L478" s="5"/>
      <c r="M478" s="5"/>
      <c r="N478" s="5"/>
      <c r="O478" s="5"/>
      <c r="Q478" s="5"/>
    </row>
    <row r="479" spans="1:17">
      <c r="A479" s="130" t="str">
        <f t="shared" si="273"/>
        <v>OCTOBRE</v>
      </c>
      <c r="B479" s="137" t="s">
        <v>84</v>
      </c>
      <c r="C479" s="128">
        <f t="shared" si="268"/>
        <v>233614</v>
      </c>
      <c r="D479" s="131"/>
      <c r="E479" s="128">
        <f t="shared" ref="E479:E483" si="274">+D431</f>
        <v>0</v>
      </c>
      <c r="F479" s="146"/>
      <c r="G479" s="146"/>
      <c r="H479" s="180">
        <f t="shared" si="269"/>
        <v>0</v>
      </c>
      <c r="I479" s="128">
        <f t="shared" si="270"/>
        <v>0</v>
      </c>
      <c r="J479" s="129">
        <f>+SUM(C479:G479)-(H479+I479)</f>
        <v>233614</v>
      </c>
      <c r="K479" s="156" t="b">
        <f t="shared" si="272"/>
        <v>1</v>
      </c>
      <c r="L479" s="5"/>
      <c r="M479" s="5"/>
      <c r="N479" s="5"/>
      <c r="O479" s="5"/>
      <c r="Q479" s="5"/>
    </row>
    <row r="480" spans="1:17">
      <c r="A480" s="130" t="str">
        <f t="shared" si="273"/>
        <v>OCTOBRE</v>
      </c>
      <c r="B480" s="137" t="s">
        <v>83</v>
      </c>
      <c r="C480" s="128">
        <f t="shared" si="268"/>
        <v>249769</v>
      </c>
      <c r="D480" s="131"/>
      <c r="E480" s="128">
        <f t="shared" si="274"/>
        <v>0</v>
      </c>
      <c r="F480" s="146"/>
      <c r="G480" s="146"/>
      <c r="H480" s="180">
        <f t="shared" si="269"/>
        <v>0</v>
      </c>
      <c r="I480" s="128">
        <f t="shared" si="270"/>
        <v>0</v>
      </c>
      <c r="J480" s="129">
        <f t="shared" ref="J480:J486" si="275">+SUM(C480:G480)-(H480+I480)</f>
        <v>249769</v>
      </c>
      <c r="K480" s="156" t="b">
        <f t="shared" si="272"/>
        <v>1</v>
      </c>
      <c r="L480" s="5"/>
      <c r="M480" s="5"/>
      <c r="N480" s="5"/>
      <c r="O480" s="5"/>
      <c r="Q480" s="5"/>
    </row>
    <row r="481" spans="1:17">
      <c r="A481" s="130" t="str">
        <f t="shared" si="273"/>
        <v>OCTOBRE</v>
      </c>
      <c r="B481" s="135" t="s">
        <v>151</v>
      </c>
      <c r="C481" s="33">
        <f t="shared" si="268"/>
        <v>3550</v>
      </c>
      <c r="D481" s="32"/>
      <c r="E481" s="33">
        <f t="shared" si="274"/>
        <v>43000</v>
      </c>
      <c r="F481" s="33"/>
      <c r="G481" s="110"/>
      <c r="H481" s="57">
        <f t="shared" si="269"/>
        <v>0</v>
      </c>
      <c r="I481" s="33">
        <f t="shared" si="270"/>
        <v>52550</v>
      </c>
      <c r="J481" s="31">
        <f t="shared" si="275"/>
        <v>-6000</v>
      </c>
      <c r="K481" s="156" t="b">
        <f t="shared" si="272"/>
        <v>1</v>
      </c>
      <c r="L481" s="5"/>
      <c r="M481" s="5"/>
      <c r="N481" s="5"/>
      <c r="O481" s="5"/>
      <c r="Q481" s="5"/>
    </row>
    <row r="482" spans="1:17">
      <c r="A482" s="130" t="str">
        <f t="shared" si="273"/>
        <v>OCTOBRE</v>
      </c>
      <c r="B482" s="135" t="s">
        <v>30</v>
      </c>
      <c r="C482" s="33">
        <f t="shared" si="268"/>
        <v>61300</v>
      </c>
      <c r="D482" s="32"/>
      <c r="E482" s="33">
        <f t="shared" si="274"/>
        <v>53000</v>
      </c>
      <c r="F482" s="33"/>
      <c r="G482" s="110"/>
      <c r="H482" s="57">
        <f t="shared" si="269"/>
        <v>20000</v>
      </c>
      <c r="I482" s="33">
        <f t="shared" si="270"/>
        <v>45900</v>
      </c>
      <c r="J482" s="31">
        <f t="shared" si="275"/>
        <v>48400</v>
      </c>
      <c r="K482" s="156" t="b">
        <f t="shared" si="272"/>
        <v>1</v>
      </c>
      <c r="L482" s="5"/>
      <c r="M482" s="5"/>
      <c r="N482" s="5"/>
      <c r="O482" s="5"/>
      <c r="Q482" s="5"/>
    </row>
    <row r="483" spans="1:17">
      <c r="A483" s="130" t="str">
        <f t="shared" si="273"/>
        <v>OCTOBRE</v>
      </c>
      <c r="B483" s="135" t="s">
        <v>93</v>
      </c>
      <c r="C483" s="33">
        <f t="shared" si="268"/>
        <v>10800</v>
      </c>
      <c r="D483" s="32"/>
      <c r="E483" s="33">
        <f t="shared" si="274"/>
        <v>488000</v>
      </c>
      <c r="F483" s="33"/>
      <c r="G483" s="110"/>
      <c r="H483" s="57">
        <f t="shared" si="269"/>
        <v>0</v>
      </c>
      <c r="I483" s="33">
        <f t="shared" si="270"/>
        <v>492000</v>
      </c>
      <c r="J483" s="31">
        <f t="shared" si="275"/>
        <v>6800</v>
      </c>
      <c r="K483" s="156" t="b">
        <f t="shared" si="272"/>
        <v>1</v>
      </c>
      <c r="L483" s="5"/>
      <c r="M483" s="5"/>
      <c r="N483" s="5"/>
      <c r="O483" s="5"/>
      <c r="Q483" s="5"/>
    </row>
    <row r="484" spans="1:17">
      <c r="A484" s="130" t="str">
        <f>+A482</f>
        <v>OCTOBRE</v>
      </c>
      <c r="B484" s="135" t="s">
        <v>29</v>
      </c>
      <c r="C484" s="33">
        <f t="shared" si="268"/>
        <v>9500</v>
      </c>
      <c r="D484" s="32"/>
      <c r="E484" s="33">
        <f>+D436</f>
        <v>20000</v>
      </c>
      <c r="F484" s="33"/>
      <c r="G484" s="110"/>
      <c r="H484" s="57">
        <f t="shared" si="269"/>
        <v>0</v>
      </c>
      <c r="I484" s="33">
        <f t="shared" si="270"/>
        <v>24000</v>
      </c>
      <c r="J484" s="31">
        <f t="shared" ref="J484" si="276">+SUM(C484:G484)-(H484+I484)</f>
        <v>5500</v>
      </c>
      <c r="K484" s="156" t="b">
        <f t="shared" si="272"/>
        <v>1</v>
      </c>
      <c r="L484" s="5"/>
      <c r="M484" s="5"/>
      <c r="N484" s="5"/>
      <c r="O484" s="5"/>
      <c r="Q484" s="5"/>
    </row>
    <row r="485" spans="1:17">
      <c r="A485" s="130" t="str">
        <f>+A483</f>
        <v>OCTOBRE</v>
      </c>
      <c r="B485" s="135" t="s">
        <v>155</v>
      </c>
      <c r="C485" s="33">
        <f t="shared" si="268"/>
        <v>21200</v>
      </c>
      <c r="D485" s="32"/>
      <c r="E485" s="33">
        <f>+D437</f>
        <v>543000</v>
      </c>
      <c r="F485" s="33"/>
      <c r="G485" s="110"/>
      <c r="H485" s="57">
        <f t="shared" si="269"/>
        <v>0</v>
      </c>
      <c r="I485" s="33">
        <f t="shared" si="270"/>
        <v>533500</v>
      </c>
      <c r="J485" s="31">
        <f t="shared" si="275"/>
        <v>30700</v>
      </c>
      <c r="K485" s="156" t="b">
        <f t="shared" si="272"/>
        <v>1</v>
      </c>
      <c r="L485" s="5"/>
      <c r="M485" s="5"/>
      <c r="N485" s="5"/>
      <c r="O485" s="5"/>
      <c r="Q485" s="5"/>
    </row>
    <row r="486" spans="1:17">
      <c r="A486" s="130" t="str">
        <f t="shared" si="273"/>
        <v>OCTOBRE</v>
      </c>
      <c r="B486" s="136" t="s">
        <v>113</v>
      </c>
      <c r="C486" s="33">
        <f t="shared" ref="C486" si="277">C438</f>
        <v>26193</v>
      </c>
      <c r="D486" s="127"/>
      <c r="E486" s="33">
        <f t="shared" ref="E486" si="278">+D438</f>
        <v>36000</v>
      </c>
      <c r="F486" s="53"/>
      <c r="G486" s="147"/>
      <c r="H486" s="57">
        <f t="shared" ref="H486" si="279">+F438</f>
        <v>0</v>
      </c>
      <c r="I486" s="33">
        <f t="shared" ref="I486" si="280">+E438</f>
        <v>53000</v>
      </c>
      <c r="J486" s="31">
        <f t="shared" si="275"/>
        <v>9193</v>
      </c>
      <c r="K486" s="156" t="b">
        <f t="shared" si="272"/>
        <v>1</v>
      </c>
      <c r="L486" s="5"/>
      <c r="M486" s="5"/>
      <c r="N486" s="5"/>
      <c r="O486" s="5"/>
      <c r="Q486" s="5"/>
    </row>
    <row r="487" spans="1:17">
      <c r="A487" s="35" t="s">
        <v>60</v>
      </c>
      <c r="B487" s="36"/>
      <c r="C487" s="36"/>
      <c r="D487" s="36"/>
      <c r="E487" s="36"/>
      <c r="F487" s="36"/>
      <c r="G487" s="36"/>
      <c r="H487" s="36"/>
      <c r="I487" s="36"/>
      <c r="J487" s="37"/>
      <c r="K487" s="155"/>
      <c r="L487" s="5"/>
      <c r="M487" s="5"/>
      <c r="N487" s="5"/>
      <c r="O487" s="5"/>
      <c r="Q487" s="5"/>
    </row>
    <row r="488" spans="1:17">
      <c r="A488" s="130" t="str">
        <f>+A486</f>
        <v>OCTOBRE</v>
      </c>
      <c r="B488" s="38" t="s">
        <v>61</v>
      </c>
      <c r="C488" s="39">
        <f>C427</f>
        <v>23107840</v>
      </c>
      <c r="D488" s="51"/>
      <c r="E488" s="51">
        <f>D427</f>
        <v>0</v>
      </c>
      <c r="F488" s="51"/>
      <c r="G488" s="133"/>
      <c r="H488" s="53">
        <f>+F427</f>
        <v>3000000</v>
      </c>
      <c r="I488" s="134">
        <f>+E427</f>
        <v>4020633</v>
      </c>
      <c r="J488" s="46">
        <f>+SUM(C488:G488)-(H488+I488)</f>
        <v>16087207</v>
      </c>
      <c r="K488" s="156" t="b">
        <f>J488=I427</f>
        <v>1</v>
      </c>
      <c r="L488" s="5"/>
      <c r="M488" s="5"/>
      <c r="N488" s="5"/>
      <c r="O488" s="5"/>
      <c r="Q488" s="5"/>
    </row>
    <row r="489" spans="1:17">
      <c r="A489" s="44" t="s">
        <v>62</v>
      </c>
      <c r="B489" s="25"/>
      <c r="C489" s="36"/>
      <c r="D489" s="25"/>
      <c r="E489" s="25"/>
      <c r="F489" s="25"/>
      <c r="G489" s="25"/>
      <c r="H489" s="25"/>
      <c r="I489" s="25"/>
      <c r="J489" s="37"/>
      <c r="K489" s="155"/>
      <c r="L489" s="5"/>
      <c r="M489" s="5"/>
      <c r="N489" s="5"/>
      <c r="O489" s="5"/>
      <c r="Q489" s="5"/>
    </row>
    <row r="490" spans="1:17">
      <c r="A490" s="130" t="str">
        <f>+A488</f>
        <v>OCTOBRE</v>
      </c>
      <c r="B490" s="38" t="s">
        <v>166</v>
      </c>
      <c r="C490" s="133">
        <f>C425</f>
        <v>0</v>
      </c>
      <c r="D490" s="140">
        <f>G425</f>
        <v>0</v>
      </c>
      <c r="E490" s="51"/>
      <c r="F490" s="51"/>
      <c r="G490" s="51"/>
      <c r="H490" s="53">
        <f>+F425</f>
        <v>0</v>
      </c>
      <c r="I490" s="55">
        <f>+E425</f>
        <v>114000</v>
      </c>
      <c r="J490" s="46">
        <f>+SUM(C490:G490)-(H490+I490)</f>
        <v>-114000</v>
      </c>
      <c r="K490" s="156" t="b">
        <f>+J490=I425</f>
        <v>0</v>
      </c>
      <c r="L490" s="5"/>
      <c r="M490" s="5"/>
      <c r="N490" s="5"/>
      <c r="O490" s="5"/>
      <c r="Q490" s="5"/>
    </row>
    <row r="491" spans="1:17">
      <c r="A491" s="130" t="str">
        <f t="shared" ref="A491" si="281">+A490</f>
        <v>OCTOBRE</v>
      </c>
      <c r="B491" s="38" t="s">
        <v>64</v>
      </c>
      <c r="C491" s="133">
        <f>C426</f>
        <v>6762063</v>
      </c>
      <c r="D491" s="51">
        <f>G426</f>
        <v>0</v>
      </c>
      <c r="E491" s="50"/>
      <c r="F491" s="50"/>
      <c r="G491" s="50"/>
      <c r="H491" s="33">
        <f>+F426</f>
        <v>1000000</v>
      </c>
      <c r="I491" s="52">
        <f>+E426</f>
        <v>23345</v>
      </c>
      <c r="J491" s="46">
        <f>SUM(C491:G491)-(H491+I491)</f>
        <v>5738718</v>
      </c>
      <c r="K491" s="156" t="b">
        <f>+J491=I426</f>
        <v>1</v>
      </c>
      <c r="L491" s="5"/>
      <c r="M491" s="5"/>
      <c r="N491" s="5"/>
      <c r="O491" s="5"/>
      <c r="Q491" s="5"/>
    </row>
    <row r="492" spans="1:17" ht="15.75">
      <c r="C492" s="151">
        <f>SUM(C476:C491)</f>
        <v>32188231</v>
      </c>
      <c r="I492" s="149">
        <f>SUM(I476:I491)</f>
        <v>8513041</v>
      </c>
      <c r="J492" s="111">
        <f>+SUM(J475:J491)</f>
        <v>23249297</v>
      </c>
      <c r="K492" s="5" t="b">
        <f>J492=I439</f>
        <v>0</v>
      </c>
      <c r="L492" s="5"/>
      <c r="M492" s="5"/>
      <c r="N492" s="5"/>
      <c r="O492" s="5"/>
      <c r="Q492" s="5"/>
    </row>
    <row r="493" spans="1:17">
      <c r="G493" s="9"/>
      <c r="L493" s="5"/>
      <c r="M493" s="5"/>
      <c r="N493" s="5"/>
      <c r="O493" s="5"/>
      <c r="Q493" s="5"/>
    </row>
    <row r="494" spans="1:17">
      <c r="A494" s="16" t="s">
        <v>52</v>
      </c>
      <c r="B494" s="16"/>
      <c r="C494" s="16"/>
      <c r="D494" s="17"/>
      <c r="E494" s="17"/>
      <c r="F494" s="17"/>
      <c r="G494" s="17"/>
      <c r="H494" s="17"/>
      <c r="I494" s="17"/>
      <c r="L494" s="5"/>
      <c r="M494" s="5"/>
      <c r="N494" s="5"/>
      <c r="O494" s="5"/>
      <c r="Q494" s="5"/>
    </row>
    <row r="495" spans="1:17">
      <c r="A495" s="18" t="s">
        <v>153</v>
      </c>
      <c r="B495" s="18"/>
      <c r="C495" s="18"/>
      <c r="D495" s="18"/>
      <c r="E495" s="18"/>
      <c r="F495" s="18"/>
      <c r="G495" s="18"/>
      <c r="H495" s="18"/>
      <c r="I495" s="18"/>
      <c r="J495" s="18"/>
      <c r="L495" s="5"/>
      <c r="M495" s="5"/>
      <c r="N495" s="5"/>
      <c r="O495" s="5"/>
      <c r="Q495" s="5"/>
    </row>
    <row r="496" spans="1:17">
      <c r="A496" s="19"/>
      <c r="B496" s="20"/>
      <c r="C496" s="21"/>
      <c r="D496" s="21"/>
      <c r="E496" s="21"/>
      <c r="F496" s="21"/>
      <c r="G496" s="21"/>
      <c r="H496" s="20"/>
      <c r="I496" s="20"/>
      <c r="L496" s="5"/>
      <c r="M496" s="5"/>
      <c r="N496" s="5"/>
      <c r="O496" s="5"/>
      <c r="Q496" s="5"/>
    </row>
    <row r="497" spans="1:17">
      <c r="A497" s="451" t="s">
        <v>53</v>
      </c>
      <c r="B497" s="453" t="s">
        <v>54</v>
      </c>
      <c r="C497" s="455" t="s">
        <v>154</v>
      </c>
      <c r="D497" s="457" t="s">
        <v>55</v>
      </c>
      <c r="E497" s="458"/>
      <c r="F497" s="458"/>
      <c r="G497" s="459"/>
      <c r="H497" s="460" t="s">
        <v>56</v>
      </c>
      <c r="I497" s="462" t="s">
        <v>57</v>
      </c>
      <c r="J497" s="20"/>
      <c r="L497" s="5"/>
      <c r="M497" s="5"/>
      <c r="N497" s="5"/>
      <c r="O497" s="5"/>
      <c r="Q497" s="5"/>
    </row>
    <row r="498" spans="1:17">
      <c r="A498" s="452"/>
      <c r="B498" s="454"/>
      <c r="C498" s="456"/>
      <c r="D498" s="22" t="s">
        <v>24</v>
      </c>
      <c r="E498" s="22" t="s">
        <v>25</v>
      </c>
      <c r="F498" s="181" t="s">
        <v>123</v>
      </c>
      <c r="G498" s="22" t="s">
        <v>58</v>
      </c>
      <c r="H498" s="461"/>
      <c r="I498" s="463"/>
      <c r="J498" s="464" t="s">
        <v>160</v>
      </c>
      <c r="K498" s="155"/>
      <c r="L498" s="5"/>
      <c r="M498" s="5"/>
      <c r="N498" s="5"/>
      <c r="O498" s="5"/>
      <c r="Q498" s="5"/>
    </row>
    <row r="499" spans="1:17">
      <c r="A499" s="24"/>
      <c r="B499" s="25" t="s">
        <v>59</v>
      </c>
      <c r="C499" s="26"/>
      <c r="D499" s="26"/>
      <c r="E499" s="26"/>
      <c r="F499" s="26"/>
      <c r="G499" s="26"/>
      <c r="H499" s="26"/>
      <c r="I499" s="27"/>
      <c r="J499" s="465"/>
      <c r="K499" s="155"/>
      <c r="L499" s="5"/>
      <c r="M499" s="5"/>
      <c r="N499" s="5"/>
      <c r="O499" s="5"/>
      <c r="Q499" s="5"/>
    </row>
    <row r="500" spans="1:17">
      <c r="A500" s="130" t="s">
        <v>79</v>
      </c>
      <c r="B500" s="135" t="s">
        <v>47</v>
      </c>
      <c r="C500" s="33" t="e">
        <f>#REF!</f>
        <v>#REF!</v>
      </c>
      <c r="D500" s="32"/>
      <c r="E500" s="33" t="e">
        <f>+#REF!</f>
        <v>#REF!</v>
      </c>
      <c r="F500" s="33"/>
      <c r="G500" s="33"/>
      <c r="H500" s="57" t="e">
        <f>+#REF!</f>
        <v>#REF!</v>
      </c>
      <c r="I500" s="33" t="e">
        <f>+#REF!</f>
        <v>#REF!</v>
      </c>
      <c r="J500" s="31" t="e">
        <f t="shared" ref="J500:J501" si="282">+SUM(C500:G500)-(H500+I500)</f>
        <v>#REF!</v>
      </c>
      <c r="K500" s="156" t="e">
        <f>J500=#REF!</f>
        <v>#REF!</v>
      </c>
      <c r="L500" s="5"/>
      <c r="M500" s="5"/>
      <c r="N500" s="5"/>
      <c r="O500" s="5"/>
      <c r="Q500" s="5"/>
    </row>
    <row r="501" spans="1:17">
      <c r="A501" s="130" t="str">
        <f>+A500</f>
        <v>SEPTEMBRE</v>
      </c>
      <c r="B501" s="135" t="s">
        <v>31</v>
      </c>
      <c r="C501" s="33" t="e">
        <f>#REF!</f>
        <v>#REF!</v>
      </c>
      <c r="D501" s="32"/>
      <c r="E501" s="33" t="e">
        <f>+#REF!</f>
        <v>#REF!</v>
      </c>
      <c r="F501" s="33"/>
      <c r="G501" s="33"/>
      <c r="H501" s="57" t="e">
        <f>+#REF!</f>
        <v>#REF!</v>
      </c>
      <c r="I501" s="33" t="e">
        <f>+#REF!</f>
        <v>#REF!</v>
      </c>
      <c r="J501" s="107" t="e">
        <f t="shared" si="282"/>
        <v>#REF!</v>
      </c>
      <c r="K501" s="156" t="e">
        <f>J501=#REF!</f>
        <v>#REF!</v>
      </c>
      <c r="L501" s="5"/>
      <c r="M501" s="5"/>
      <c r="N501" s="5"/>
      <c r="O501" s="5"/>
      <c r="Q501" s="5"/>
    </row>
    <row r="502" spans="1:17">
      <c r="A502" s="130" t="str">
        <f t="shared" ref="A502:A509" si="283">+A501</f>
        <v>SEPTEMBRE</v>
      </c>
      <c r="B502" s="136" t="s">
        <v>152</v>
      </c>
      <c r="C502" s="33" t="e">
        <f>#REF!</f>
        <v>#REF!</v>
      </c>
      <c r="D502" s="127"/>
      <c r="E502" s="33" t="e">
        <f>#REF!</f>
        <v>#REF!</v>
      </c>
      <c r="F502" s="53"/>
      <c r="G502" s="53"/>
      <c r="H502" s="57" t="e">
        <f>+#REF!</f>
        <v>#REF!</v>
      </c>
      <c r="I502" s="33" t="e">
        <f>+#REF!</f>
        <v>#REF!</v>
      </c>
      <c r="J502" s="132" t="e">
        <f>+SUM(C502:G502)-(H502+I502)</f>
        <v>#REF!</v>
      </c>
      <c r="K502" s="156" t="e">
        <f>J502=#REF!</f>
        <v>#REF!</v>
      </c>
      <c r="L502" s="5"/>
      <c r="M502" s="5"/>
      <c r="N502" s="5"/>
      <c r="O502" s="5"/>
      <c r="Q502" s="5"/>
    </row>
    <row r="503" spans="1:17">
      <c r="A503" s="130" t="str">
        <f t="shared" si="283"/>
        <v>SEPTEMBRE</v>
      </c>
      <c r="B503" s="137" t="s">
        <v>84</v>
      </c>
      <c r="C503" s="128" t="e">
        <f>#REF!</f>
        <v>#REF!</v>
      </c>
      <c r="D503" s="131"/>
      <c r="E503" s="128" t="e">
        <f>+#REF!</f>
        <v>#REF!</v>
      </c>
      <c r="F503" s="146"/>
      <c r="G503" s="146"/>
      <c r="H503" s="180" t="e">
        <f>+#REF!</f>
        <v>#REF!</v>
      </c>
      <c r="I503" s="128" t="e">
        <f>+#REF!</f>
        <v>#REF!</v>
      </c>
      <c r="J503" s="129" t="e">
        <f>+SUM(C503:G503)-(H503+I503)</f>
        <v>#REF!</v>
      </c>
      <c r="K503" s="156" t="e">
        <f>J503=#REF!</f>
        <v>#REF!</v>
      </c>
      <c r="L503" s="5"/>
      <c r="M503" s="5"/>
      <c r="N503" s="5"/>
      <c r="O503" s="5"/>
      <c r="Q503" s="5"/>
    </row>
    <row r="504" spans="1:17">
      <c r="A504" s="130" t="str">
        <f t="shared" si="283"/>
        <v>SEPTEMBRE</v>
      </c>
      <c r="B504" s="137" t="s">
        <v>83</v>
      </c>
      <c r="C504" s="128" t="e">
        <f>#REF!</f>
        <v>#REF!</v>
      </c>
      <c r="D504" s="131"/>
      <c r="E504" s="128" t="e">
        <f>+#REF!</f>
        <v>#REF!</v>
      </c>
      <c r="F504" s="146"/>
      <c r="G504" s="146"/>
      <c r="H504" s="180" t="e">
        <f>+#REF!</f>
        <v>#REF!</v>
      </c>
      <c r="I504" s="128" t="e">
        <f>+#REF!</f>
        <v>#REF!</v>
      </c>
      <c r="J504" s="129" t="e">
        <f t="shared" ref="J504:J509" si="284">+SUM(C504:G504)-(H504+I504)</f>
        <v>#REF!</v>
      </c>
      <c r="K504" s="156" t="e">
        <f>J504=#REF!</f>
        <v>#REF!</v>
      </c>
      <c r="L504" s="5"/>
      <c r="M504" s="5"/>
      <c r="N504" s="5"/>
      <c r="O504" s="5"/>
      <c r="Q504" s="5"/>
    </row>
    <row r="505" spans="1:17">
      <c r="A505" s="130" t="str">
        <f t="shared" si="283"/>
        <v>SEPTEMBRE</v>
      </c>
      <c r="B505" s="135" t="s">
        <v>151</v>
      </c>
      <c r="C505" s="33" t="e">
        <f>#REF!</f>
        <v>#REF!</v>
      </c>
      <c r="D505" s="32"/>
      <c r="E505" s="33" t="e">
        <f>+#REF!</f>
        <v>#REF!</v>
      </c>
      <c r="F505" s="33"/>
      <c r="G505" s="110"/>
      <c r="H505" s="57" t="e">
        <f>+#REF!</f>
        <v>#REF!</v>
      </c>
      <c r="I505" s="33" t="e">
        <f>+#REF!</f>
        <v>#REF!</v>
      </c>
      <c r="J505" s="31" t="e">
        <f t="shared" si="284"/>
        <v>#REF!</v>
      </c>
      <c r="K505" s="156" t="e">
        <f>J505=#REF!</f>
        <v>#REF!</v>
      </c>
      <c r="L505" s="5"/>
      <c r="M505" s="5"/>
      <c r="N505" s="5"/>
      <c r="O505" s="5"/>
      <c r="Q505" s="5"/>
    </row>
    <row r="506" spans="1:17">
      <c r="A506" s="130" t="str">
        <f t="shared" si="283"/>
        <v>SEPTEMBRE</v>
      </c>
      <c r="B506" s="135" t="s">
        <v>30</v>
      </c>
      <c r="C506" s="33" t="e">
        <f>#REF!</f>
        <v>#REF!</v>
      </c>
      <c r="D506" s="32"/>
      <c r="E506" s="33" t="e">
        <f>+#REF!</f>
        <v>#REF!</v>
      </c>
      <c r="F506" s="33"/>
      <c r="G506" s="110"/>
      <c r="H506" s="57" t="e">
        <f>+#REF!</f>
        <v>#REF!</v>
      </c>
      <c r="I506" s="33" t="e">
        <f>+#REF!</f>
        <v>#REF!</v>
      </c>
      <c r="J506" s="31" t="e">
        <f t="shared" si="284"/>
        <v>#REF!</v>
      </c>
      <c r="K506" s="156" t="e">
        <f>J506=#REF!</f>
        <v>#REF!</v>
      </c>
      <c r="L506" s="5"/>
      <c r="M506" s="5"/>
      <c r="N506" s="5"/>
      <c r="O506" s="5"/>
      <c r="Q506" s="5"/>
    </row>
    <row r="507" spans="1:17">
      <c r="A507" s="130" t="str">
        <f t="shared" si="283"/>
        <v>SEPTEMBRE</v>
      </c>
      <c r="B507" s="135" t="s">
        <v>93</v>
      </c>
      <c r="C507" s="33" t="e">
        <f>#REF!</f>
        <v>#REF!</v>
      </c>
      <c r="D507" s="32"/>
      <c r="E507" s="33" t="e">
        <f>+#REF!</f>
        <v>#REF!</v>
      </c>
      <c r="F507" s="33"/>
      <c r="G507" s="110"/>
      <c r="H507" s="57" t="e">
        <f>+#REF!</f>
        <v>#REF!</v>
      </c>
      <c r="I507" s="33" t="e">
        <f>+#REF!</f>
        <v>#REF!</v>
      </c>
      <c r="J507" s="31" t="e">
        <f t="shared" si="284"/>
        <v>#REF!</v>
      </c>
      <c r="K507" s="156" t="e">
        <f>J507=#REF!</f>
        <v>#REF!</v>
      </c>
      <c r="L507" s="5"/>
      <c r="M507" s="5"/>
      <c r="N507" s="5"/>
      <c r="O507" s="5"/>
      <c r="Q507" s="5"/>
    </row>
    <row r="508" spans="1:17">
      <c r="A508" s="130" t="str">
        <f t="shared" si="283"/>
        <v>SEPTEMBRE</v>
      </c>
      <c r="B508" s="135" t="s">
        <v>155</v>
      </c>
      <c r="C508" s="33" t="e">
        <f>#REF!</f>
        <v>#REF!</v>
      </c>
      <c r="D508" s="32"/>
      <c r="E508" s="33" t="e">
        <f>+#REF!</f>
        <v>#REF!</v>
      </c>
      <c r="F508" s="33"/>
      <c r="G508" s="110"/>
      <c r="H508" s="57" t="e">
        <f>+#REF!</f>
        <v>#REF!</v>
      </c>
      <c r="I508" s="33" t="e">
        <f>+#REF!</f>
        <v>#REF!</v>
      </c>
      <c r="J508" s="31" t="e">
        <f t="shared" si="284"/>
        <v>#REF!</v>
      </c>
      <c r="K508" s="156" t="e">
        <f>J508=#REF!</f>
        <v>#REF!</v>
      </c>
      <c r="L508" s="5"/>
      <c r="M508" s="5"/>
      <c r="N508" s="5"/>
      <c r="O508" s="5"/>
      <c r="Q508" s="5"/>
    </row>
    <row r="509" spans="1:17">
      <c r="A509" s="130" t="str">
        <f t="shared" si="283"/>
        <v>SEPTEMBRE</v>
      </c>
      <c r="B509" s="136" t="s">
        <v>113</v>
      </c>
      <c r="C509" s="33" t="e">
        <f>#REF!</f>
        <v>#REF!</v>
      </c>
      <c r="D509" s="127"/>
      <c r="E509" s="33" t="e">
        <f>+#REF!</f>
        <v>#REF!</v>
      </c>
      <c r="F509" s="53"/>
      <c r="G509" s="147"/>
      <c r="H509" s="57" t="e">
        <f>+#REF!</f>
        <v>#REF!</v>
      </c>
      <c r="I509" s="33" t="e">
        <f>+#REF!</f>
        <v>#REF!</v>
      </c>
      <c r="J509" s="31" t="e">
        <f t="shared" si="284"/>
        <v>#REF!</v>
      </c>
      <c r="K509" s="156" t="e">
        <f>J509=#REF!</f>
        <v>#REF!</v>
      </c>
      <c r="L509" s="5"/>
      <c r="M509" s="5"/>
      <c r="N509" s="5"/>
      <c r="O509" s="5"/>
      <c r="Q509" s="5"/>
    </row>
    <row r="510" spans="1:17">
      <c r="A510" s="35" t="s">
        <v>60</v>
      </c>
      <c r="B510" s="36"/>
      <c r="C510" s="36"/>
      <c r="D510" s="36"/>
      <c r="E510" s="36"/>
      <c r="F510" s="36"/>
      <c r="G510" s="36"/>
      <c r="H510" s="36"/>
      <c r="I510" s="36"/>
      <c r="J510" s="37"/>
      <c r="K510" s="155"/>
      <c r="L510" s="5"/>
      <c r="M510" s="5"/>
      <c r="N510" s="5"/>
      <c r="O510" s="5"/>
      <c r="Q510" s="5"/>
    </row>
    <row r="511" spans="1:17">
      <c r="A511" s="130" t="str">
        <f>+A509</f>
        <v>SEPTEMBRE</v>
      </c>
      <c r="B511" s="38" t="s">
        <v>61</v>
      </c>
      <c r="C511" s="39" t="e">
        <f>#REF!</f>
        <v>#REF!</v>
      </c>
      <c r="D511" s="51"/>
      <c r="E511" s="51" t="e">
        <f>#REF!</f>
        <v>#REF!</v>
      </c>
      <c r="F511" s="51"/>
      <c r="G511" s="133"/>
      <c r="H511" s="53" t="e">
        <f>+#REF!</f>
        <v>#REF!</v>
      </c>
      <c r="I511" s="134" t="e">
        <f>+#REF!</f>
        <v>#REF!</v>
      </c>
      <c r="J511" s="46" t="e">
        <f>+SUM(C511:G511)-(H511+I511)</f>
        <v>#REF!</v>
      </c>
      <c r="K511" s="156" t="e">
        <f>J511=#REF!</f>
        <v>#REF!</v>
      </c>
      <c r="L511" s="5"/>
      <c r="M511" s="5"/>
      <c r="N511" s="5"/>
      <c r="O511" s="5"/>
      <c r="Q511" s="5"/>
    </row>
    <row r="512" spans="1:17">
      <c r="A512" s="44" t="s">
        <v>62</v>
      </c>
      <c r="B512" s="25"/>
      <c r="C512" s="36"/>
      <c r="D512" s="25"/>
      <c r="E512" s="25"/>
      <c r="F512" s="25"/>
      <c r="G512" s="25"/>
      <c r="H512" s="25"/>
      <c r="I512" s="25"/>
      <c r="J512" s="37"/>
      <c r="K512" s="155"/>
      <c r="L512" s="5"/>
      <c r="M512" s="5"/>
      <c r="N512" s="5"/>
      <c r="O512" s="5"/>
      <c r="Q512" s="5"/>
    </row>
    <row r="513" spans="1:17">
      <c r="A513" s="130" t="str">
        <f>+A511</f>
        <v>SEPTEMBRE</v>
      </c>
      <c r="B513" s="38" t="s">
        <v>63</v>
      </c>
      <c r="C513" s="133" t="e">
        <f>#REF!</f>
        <v>#REF!</v>
      </c>
      <c r="D513" s="140"/>
      <c r="E513" s="51"/>
      <c r="F513" s="51"/>
      <c r="G513" s="51"/>
      <c r="H513" s="53" t="e">
        <f>+#REF!</f>
        <v>#REF!</v>
      </c>
      <c r="I513" s="55" t="e">
        <f>+#REF!</f>
        <v>#REF!</v>
      </c>
      <c r="J513" s="46" t="e">
        <f>+SUM(C513:G513)-(H513+I513)</f>
        <v>#REF!</v>
      </c>
      <c r="K513" s="156" t="e">
        <f>+J513=#REF!</f>
        <v>#REF!</v>
      </c>
      <c r="L513" s="5"/>
      <c r="M513" s="5"/>
      <c r="N513" s="5"/>
      <c r="O513" s="5"/>
      <c r="Q513" s="5"/>
    </row>
    <row r="514" spans="1:17">
      <c r="A514" s="130" t="str">
        <f t="shared" ref="A514" si="285">+A513</f>
        <v>SEPTEMBRE</v>
      </c>
      <c r="B514" s="38" t="s">
        <v>64</v>
      </c>
      <c r="C514" s="133" t="e">
        <f>#REF!</f>
        <v>#REF!</v>
      </c>
      <c r="D514" s="51"/>
      <c r="E514" s="50"/>
      <c r="F514" s="50"/>
      <c r="G514" s="50"/>
      <c r="H514" s="33" t="e">
        <f>+#REF!</f>
        <v>#REF!</v>
      </c>
      <c r="I514" s="52" t="e">
        <f>+#REF!</f>
        <v>#REF!</v>
      </c>
      <c r="J514" s="46" t="e">
        <f>SUM(C514:G514)-(H514+I514)</f>
        <v>#REF!</v>
      </c>
      <c r="K514" s="156" t="e">
        <f>+J514=#REF!</f>
        <v>#REF!</v>
      </c>
      <c r="L514" s="5"/>
      <c r="M514" s="5"/>
      <c r="N514" s="5"/>
      <c r="O514" s="5"/>
      <c r="Q514" s="5"/>
    </row>
    <row r="515" spans="1:17" ht="15.75">
      <c r="C515" s="151" t="e">
        <f>SUM(C500:C514)</f>
        <v>#REF!</v>
      </c>
      <c r="I515" s="149" t="e">
        <f>SUM(I500:I514)</f>
        <v>#REF!</v>
      </c>
      <c r="J515" s="111" t="e">
        <f>+SUM(J500:J514)</f>
        <v>#REF!</v>
      </c>
      <c r="K515" s="5" t="e">
        <f>J515=#REF!</f>
        <v>#REF!</v>
      </c>
      <c r="L515" s="5"/>
      <c r="M515" s="5"/>
      <c r="N515" s="5"/>
      <c r="O515" s="5"/>
      <c r="Q515" s="5"/>
    </row>
    <row r="516" spans="1:17">
      <c r="G516" s="9"/>
      <c r="L516" s="5"/>
      <c r="M516" s="5"/>
      <c r="N516" s="5"/>
      <c r="O516" s="5"/>
      <c r="Q516" s="5"/>
    </row>
    <row r="517" spans="1:17">
      <c r="A517" s="16" t="s">
        <v>52</v>
      </c>
      <c r="B517" s="16"/>
      <c r="C517" s="16"/>
      <c r="D517" s="17"/>
      <c r="E517" s="17"/>
      <c r="F517" s="17"/>
      <c r="G517" s="17"/>
      <c r="H517" s="17"/>
      <c r="I517" s="17"/>
      <c r="L517" s="5"/>
      <c r="M517" s="5"/>
      <c r="N517" s="5"/>
      <c r="O517" s="5"/>
      <c r="Q517" s="5"/>
    </row>
    <row r="518" spans="1:17">
      <c r="A518" s="18" t="s">
        <v>149</v>
      </c>
      <c r="B518" s="18"/>
      <c r="C518" s="18"/>
      <c r="D518" s="18"/>
      <c r="E518" s="18"/>
      <c r="F518" s="18"/>
      <c r="G518" s="18"/>
      <c r="H518" s="18"/>
      <c r="I518" s="18"/>
      <c r="J518" s="17"/>
      <c r="L518" s="5"/>
      <c r="M518" s="5"/>
      <c r="N518" s="5"/>
      <c r="O518" s="5"/>
      <c r="Q518" s="5"/>
    </row>
    <row r="519" spans="1:17">
      <c r="A519" s="19"/>
      <c r="B519" s="20"/>
      <c r="C519" s="21"/>
      <c r="D519" s="21"/>
      <c r="E519" s="21"/>
      <c r="F519" s="21"/>
      <c r="G519" s="21"/>
      <c r="H519" s="20"/>
      <c r="I519" s="20"/>
      <c r="J519" s="18"/>
      <c r="L519" s="5"/>
      <c r="M519" s="5"/>
      <c r="N519" s="5"/>
      <c r="O519" s="5"/>
      <c r="Q519" s="5"/>
    </row>
    <row r="520" spans="1:17">
      <c r="A520" s="451" t="s">
        <v>53</v>
      </c>
      <c r="B520" s="453" t="s">
        <v>54</v>
      </c>
      <c r="C520" s="455" t="s">
        <v>148</v>
      </c>
      <c r="D520" s="457" t="s">
        <v>55</v>
      </c>
      <c r="E520" s="458"/>
      <c r="F520" s="458"/>
      <c r="G520" s="459"/>
      <c r="H520" s="460" t="s">
        <v>56</v>
      </c>
      <c r="I520" s="462" t="s">
        <v>57</v>
      </c>
      <c r="J520" s="20"/>
      <c r="L520" s="5"/>
      <c r="M520" s="5"/>
      <c r="N520" s="5"/>
      <c r="O520" s="5"/>
      <c r="Q520" s="5"/>
    </row>
    <row r="521" spans="1:17">
      <c r="A521" s="452"/>
      <c r="B521" s="454"/>
      <c r="C521" s="456"/>
      <c r="D521" s="22" t="s">
        <v>24</v>
      </c>
      <c r="E521" s="22" t="s">
        <v>25</v>
      </c>
      <c r="F521" s="176" t="s">
        <v>123</v>
      </c>
      <c r="G521" s="22" t="s">
        <v>58</v>
      </c>
      <c r="H521" s="461"/>
      <c r="I521" s="463"/>
      <c r="J521" s="464" t="s">
        <v>150</v>
      </c>
      <c r="K521" s="155"/>
      <c r="L521" s="5"/>
      <c r="M521" s="5"/>
      <c r="N521" s="5"/>
      <c r="O521" s="5"/>
      <c r="Q521" s="5"/>
    </row>
    <row r="522" spans="1:17">
      <c r="A522" s="24"/>
      <c r="B522" s="25" t="s">
        <v>59</v>
      </c>
      <c r="C522" s="26"/>
      <c r="D522" s="26"/>
      <c r="E522" s="26"/>
      <c r="F522" s="26"/>
      <c r="G522" s="26"/>
      <c r="H522" s="26"/>
      <c r="I522" s="27"/>
      <c r="J522" s="465"/>
      <c r="K522" s="155"/>
      <c r="L522" s="5"/>
      <c r="M522" s="5"/>
      <c r="N522" s="5"/>
      <c r="O522" s="5"/>
      <c r="Q522" s="5"/>
    </row>
    <row r="523" spans="1:17">
      <c r="A523" s="130" t="s">
        <v>147</v>
      </c>
      <c r="B523" s="135" t="s">
        <v>47</v>
      </c>
      <c r="C523" s="33" t="e">
        <f>#REF!</f>
        <v>#REF!</v>
      </c>
      <c r="D523" s="32"/>
      <c r="E523" s="33" t="e">
        <f>+#REF!</f>
        <v>#REF!</v>
      </c>
      <c r="F523" s="33"/>
      <c r="G523" s="33"/>
      <c r="H523" s="57" t="e">
        <f>+#REF!</f>
        <v>#REF!</v>
      </c>
      <c r="I523" s="33" t="e">
        <f>+#REF!</f>
        <v>#REF!</v>
      </c>
      <c r="J523" s="31" t="e">
        <f t="shared" ref="J523:J524" si="286">+SUM(C523:G523)-(H523+I523)</f>
        <v>#REF!</v>
      </c>
      <c r="K523" s="156" t="e">
        <f>J523=#REF!</f>
        <v>#REF!</v>
      </c>
      <c r="L523" s="5"/>
      <c r="M523" s="5"/>
      <c r="N523" s="5"/>
      <c r="O523" s="5"/>
      <c r="Q523" s="5"/>
    </row>
    <row r="524" spans="1:17">
      <c r="A524" s="130" t="s">
        <v>147</v>
      </c>
      <c r="B524" s="135" t="s">
        <v>31</v>
      </c>
      <c r="C524" s="33" t="e">
        <f>#REF!</f>
        <v>#REF!</v>
      </c>
      <c r="D524" s="32"/>
      <c r="E524" s="33" t="e">
        <f>+#REF!</f>
        <v>#REF!</v>
      </c>
      <c r="F524" s="33"/>
      <c r="G524" s="33"/>
      <c r="H524" s="57" t="e">
        <f>+#REF!</f>
        <v>#REF!</v>
      </c>
      <c r="I524" s="33" t="e">
        <f>+#REF!</f>
        <v>#REF!</v>
      </c>
      <c r="J524" s="107" t="e">
        <f t="shared" si="286"/>
        <v>#REF!</v>
      </c>
      <c r="K524" s="156" t="e">
        <f>J524=#REF!</f>
        <v>#REF!</v>
      </c>
      <c r="L524" s="5"/>
      <c r="M524" s="5"/>
      <c r="N524" s="5"/>
      <c r="O524" s="5"/>
      <c r="Q524" s="5"/>
    </row>
    <row r="525" spans="1:17">
      <c r="A525" s="130" t="s">
        <v>147</v>
      </c>
      <c r="B525" s="136" t="s">
        <v>152</v>
      </c>
      <c r="C525" s="33" t="e">
        <f>#REF!</f>
        <v>#REF!</v>
      </c>
      <c r="D525" s="127"/>
      <c r="E525" s="33">
        <v>30000</v>
      </c>
      <c r="F525" s="53">
        <v>240000</v>
      </c>
      <c r="G525" s="53"/>
      <c r="H525" s="57" t="e">
        <f>+#REF!</f>
        <v>#REF!</v>
      </c>
      <c r="I525" s="33" t="e">
        <f>+#REF!</f>
        <v>#REF!</v>
      </c>
      <c r="J525" s="132" t="e">
        <f>+SUM(C525:G525)-(H525+I525)</f>
        <v>#REF!</v>
      </c>
      <c r="K525" s="156" t="e">
        <f>J525=#REF!</f>
        <v>#REF!</v>
      </c>
      <c r="L525" s="5"/>
      <c r="M525" s="5"/>
      <c r="N525" s="5"/>
      <c r="O525" s="5"/>
      <c r="Q525" s="5"/>
    </row>
    <row r="526" spans="1:17">
      <c r="A526" s="130" t="s">
        <v>147</v>
      </c>
      <c r="B526" s="137" t="s">
        <v>84</v>
      </c>
      <c r="C526" s="128" t="e">
        <f>#REF!</f>
        <v>#REF!</v>
      </c>
      <c r="D526" s="131"/>
      <c r="E526" s="128" t="e">
        <f>+#REF!</f>
        <v>#REF!</v>
      </c>
      <c r="F526" s="146"/>
      <c r="G526" s="146"/>
      <c r="H526" s="180" t="e">
        <f>+#REF!</f>
        <v>#REF!</v>
      </c>
      <c r="I526" s="128" t="e">
        <f>+#REF!</f>
        <v>#REF!</v>
      </c>
      <c r="J526" s="129" t="e">
        <f>+SUM(C526:G526)-(H526+I526)</f>
        <v>#REF!</v>
      </c>
      <c r="K526" s="156" t="e">
        <f>J526=#REF!</f>
        <v>#REF!</v>
      </c>
      <c r="L526" s="5"/>
      <c r="M526" s="5"/>
      <c r="N526" s="5"/>
      <c r="O526" s="5"/>
      <c r="Q526" s="5"/>
    </row>
    <row r="527" spans="1:17">
      <c r="A527" s="130" t="s">
        <v>147</v>
      </c>
      <c r="B527" s="137" t="s">
        <v>83</v>
      </c>
      <c r="C527" s="128" t="e">
        <f>#REF!</f>
        <v>#REF!</v>
      </c>
      <c r="D527" s="131"/>
      <c r="E527" s="128" t="e">
        <f>+#REF!</f>
        <v>#REF!</v>
      </c>
      <c r="F527" s="146"/>
      <c r="G527" s="146"/>
      <c r="H527" s="180" t="e">
        <f>+#REF!</f>
        <v>#REF!</v>
      </c>
      <c r="I527" s="128" t="e">
        <f>+#REF!</f>
        <v>#REF!</v>
      </c>
      <c r="J527" s="129" t="e">
        <f t="shared" ref="J527:J533" si="287">+SUM(C527:G527)-(H527+I527)</f>
        <v>#REF!</v>
      </c>
      <c r="K527" s="156" t="e">
        <f>J527=#REF!</f>
        <v>#REF!</v>
      </c>
      <c r="L527" s="5"/>
      <c r="M527" s="5"/>
      <c r="N527" s="5"/>
      <c r="O527" s="5"/>
      <c r="Q527" s="5"/>
    </row>
    <row r="528" spans="1:17">
      <c r="A528" s="130" t="s">
        <v>147</v>
      </c>
      <c r="B528" s="135" t="s">
        <v>151</v>
      </c>
      <c r="C528" s="33" t="e">
        <f>#REF!</f>
        <v>#REF!</v>
      </c>
      <c r="D528" s="32"/>
      <c r="E528" s="33" t="e">
        <f>+#REF!</f>
        <v>#REF!</v>
      </c>
      <c r="F528" s="33"/>
      <c r="G528" s="110"/>
      <c r="H528" s="57" t="e">
        <f>+#REF!</f>
        <v>#REF!</v>
      </c>
      <c r="I528" s="33" t="e">
        <f>+#REF!</f>
        <v>#REF!</v>
      </c>
      <c r="J528" s="31" t="e">
        <f t="shared" si="287"/>
        <v>#REF!</v>
      </c>
      <c r="K528" s="156" t="e">
        <f>J528=#REF!</f>
        <v>#REF!</v>
      </c>
      <c r="L528" s="5"/>
      <c r="M528" s="5"/>
      <c r="N528" s="5"/>
      <c r="O528" s="5"/>
      <c r="Q528" s="5"/>
    </row>
    <row r="529" spans="1:17">
      <c r="A529" s="130" t="s">
        <v>147</v>
      </c>
      <c r="B529" s="135" t="s">
        <v>30</v>
      </c>
      <c r="C529" s="33" t="e">
        <f>#REF!</f>
        <v>#REF!</v>
      </c>
      <c r="D529" s="32"/>
      <c r="E529" s="33" t="e">
        <f>+#REF!</f>
        <v>#REF!</v>
      </c>
      <c r="F529" s="33"/>
      <c r="G529" s="110"/>
      <c r="H529" s="57" t="e">
        <f>+#REF!</f>
        <v>#REF!</v>
      </c>
      <c r="I529" s="33" t="e">
        <f>+#REF!</f>
        <v>#REF!</v>
      </c>
      <c r="J529" s="31" t="e">
        <f t="shared" si="287"/>
        <v>#REF!</v>
      </c>
      <c r="K529" s="156" t="e">
        <f>J529=#REF!</f>
        <v>#REF!</v>
      </c>
      <c r="L529" s="5"/>
      <c r="M529" s="5"/>
      <c r="N529" s="5"/>
      <c r="O529" s="5"/>
      <c r="Q529" s="5"/>
    </row>
    <row r="530" spans="1:17">
      <c r="A530" s="130" t="s">
        <v>147</v>
      </c>
      <c r="B530" s="135" t="s">
        <v>35</v>
      </c>
      <c r="C530" s="33" t="e">
        <f>#REF!</f>
        <v>#REF!</v>
      </c>
      <c r="D530" s="32"/>
      <c r="E530" s="33">
        <v>15000</v>
      </c>
      <c r="F530" s="33">
        <v>496625</v>
      </c>
      <c r="G530" s="110"/>
      <c r="H530" s="57" t="e">
        <f>+#REF!</f>
        <v>#REF!</v>
      </c>
      <c r="I530" s="33" t="e">
        <f>+#REF!</f>
        <v>#REF!</v>
      </c>
      <c r="J530" s="31" t="e">
        <f t="shared" si="287"/>
        <v>#REF!</v>
      </c>
      <c r="K530" s="156" t="e">
        <f>J530=#REF!</f>
        <v>#REF!</v>
      </c>
      <c r="L530" s="5"/>
      <c r="M530" s="5"/>
      <c r="N530" s="5"/>
      <c r="O530" s="5"/>
      <c r="Q530" s="5"/>
    </row>
    <row r="531" spans="1:17">
      <c r="A531" s="130" t="s">
        <v>147</v>
      </c>
      <c r="B531" s="135" t="s">
        <v>93</v>
      </c>
      <c r="C531" s="33" t="e">
        <f>#REF!</f>
        <v>#REF!</v>
      </c>
      <c r="D531" s="32"/>
      <c r="E531" s="33" t="e">
        <f>+#REF!</f>
        <v>#REF!</v>
      </c>
      <c r="F531" s="33"/>
      <c r="G531" s="110"/>
      <c r="H531" s="57" t="e">
        <f>+#REF!</f>
        <v>#REF!</v>
      </c>
      <c r="I531" s="33" t="e">
        <f>+#REF!</f>
        <v>#REF!</v>
      </c>
      <c r="J531" s="31" t="e">
        <f t="shared" si="287"/>
        <v>#REF!</v>
      </c>
      <c r="K531" s="156" t="e">
        <f>J531=#REF!</f>
        <v>#REF!</v>
      </c>
      <c r="L531" s="5"/>
      <c r="M531" s="5"/>
      <c r="N531" s="5"/>
      <c r="O531" s="5"/>
      <c r="Q531" s="5"/>
    </row>
    <row r="532" spans="1:17">
      <c r="A532" s="130" t="s">
        <v>147</v>
      </c>
      <c r="B532" s="135" t="s">
        <v>29</v>
      </c>
      <c r="C532" s="33" t="e">
        <f>#REF!</f>
        <v>#REF!</v>
      </c>
      <c r="D532" s="32"/>
      <c r="E532" s="33" t="e">
        <f>+#REF!</f>
        <v>#REF!</v>
      </c>
      <c r="F532" s="33"/>
      <c r="G532" s="110"/>
      <c r="H532" s="57" t="e">
        <f>+#REF!</f>
        <v>#REF!</v>
      </c>
      <c r="I532" s="33" t="e">
        <f>+#REF!</f>
        <v>#REF!</v>
      </c>
      <c r="J532" s="31" t="e">
        <f t="shared" ref="J532" si="288">+SUM(C532:G532)-(H532+I532)</f>
        <v>#REF!</v>
      </c>
      <c r="K532" s="156" t="e">
        <f>J532=#REF!</f>
        <v>#REF!</v>
      </c>
      <c r="L532" s="5"/>
      <c r="M532" s="5"/>
      <c r="N532" s="5"/>
      <c r="O532" s="5"/>
      <c r="Q532" s="5"/>
    </row>
    <row r="533" spans="1:17">
      <c r="A533" s="130" t="s">
        <v>147</v>
      </c>
      <c r="B533" s="136" t="s">
        <v>113</v>
      </c>
      <c r="C533" s="33" t="e">
        <f>#REF!</f>
        <v>#REF!</v>
      </c>
      <c r="D533" s="127"/>
      <c r="E533" s="33" t="e">
        <f>+#REF!</f>
        <v>#REF!</v>
      </c>
      <c r="F533" s="53"/>
      <c r="G533" s="147"/>
      <c r="H533" s="57" t="e">
        <f>+#REF!</f>
        <v>#REF!</v>
      </c>
      <c r="I533" s="33" t="e">
        <f>+#REF!</f>
        <v>#REF!</v>
      </c>
      <c r="J533" s="31" t="e">
        <f t="shared" si="287"/>
        <v>#REF!</v>
      </c>
      <c r="K533" s="156" t="e">
        <f>J533=#REF!</f>
        <v>#REF!</v>
      </c>
      <c r="L533" s="5"/>
      <c r="M533" s="5"/>
      <c r="N533" s="5"/>
      <c r="O533" s="5"/>
      <c r="Q533" s="5"/>
    </row>
    <row r="534" spans="1:17">
      <c r="A534" s="35" t="s">
        <v>60</v>
      </c>
      <c r="B534" s="36"/>
      <c r="C534" s="36"/>
      <c r="D534" s="36"/>
      <c r="E534" s="36"/>
      <c r="F534" s="36"/>
      <c r="G534" s="36"/>
      <c r="H534" s="36"/>
      <c r="I534" s="36"/>
      <c r="J534" s="37"/>
      <c r="K534" s="155"/>
      <c r="L534" s="5"/>
      <c r="M534" s="5"/>
      <c r="N534" s="5"/>
      <c r="O534" s="5"/>
      <c r="Q534" s="5"/>
    </row>
    <row r="535" spans="1:17">
      <c r="A535" s="130" t="s">
        <v>147</v>
      </c>
      <c r="B535" s="38" t="s">
        <v>61</v>
      </c>
      <c r="C535" s="39" t="e">
        <f>#REF!</f>
        <v>#REF!</v>
      </c>
      <c r="D535" s="51">
        <v>4000000</v>
      </c>
      <c r="E535" s="109"/>
      <c r="F535" s="51"/>
      <c r="G535" s="133">
        <v>15000</v>
      </c>
      <c r="H535" s="53" t="e">
        <f>+#REF!</f>
        <v>#REF!</v>
      </c>
      <c r="I535" s="134" t="e">
        <f>+#REF!</f>
        <v>#REF!</v>
      </c>
      <c r="J535" s="46" t="e">
        <f>+SUM(C535:G535)-(H535+I535)</f>
        <v>#REF!</v>
      </c>
      <c r="K535" s="156" t="e">
        <f>J535=#REF!</f>
        <v>#REF!</v>
      </c>
      <c r="L535" s="5"/>
      <c r="M535" s="5"/>
      <c r="N535" s="5"/>
      <c r="O535" s="5"/>
      <c r="Q535" s="5"/>
    </row>
    <row r="536" spans="1:17">
      <c r="A536" s="44" t="s">
        <v>62</v>
      </c>
      <c r="B536" s="25"/>
      <c r="C536" s="36"/>
      <c r="D536" s="25"/>
      <c r="E536" s="25"/>
      <c r="F536" s="25"/>
      <c r="G536" s="25"/>
      <c r="H536" s="25"/>
      <c r="I536" s="25"/>
      <c r="J536" s="37"/>
      <c r="K536" s="155"/>
      <c r="L536" s="5"/>
      <c r="M536" s="5"/>
      <c r="N536" s="5"/>
      <c r="O536" s="5"/>
      <c r="Q536" s="5"/>
    </row>
    <row r="537" spans="1:17">
      <c r="A537" s="130" t="s">
        <v>147</v>
      </c>
      <c r="B537" s="38" t="s">
        <v>63</v>
      </c>
      <c r="C537" s="133" t="e">
        <f>#REF!</f>
        <v>#REF!</v>
      </c>
      <c r="D537" s="140"/>
      <c r="E537" s="51"/>
      <c r="F537" s="51"/>
      <c r="G537" s="51"/>
      <c r="H537" s="53" t="e">
        <f>+#REF!</f>
        <v>#REF!</v>
      </c>
      <c r="I537" s="55" t="e">
        <f>+#REF!</f>
        <v>#REF!</v>
      </c>
      <c r="J537" s="46" t="e">
        <f>+SUM(C537:G537)-(H537+I537)</f>
        <v>#REF!</v>
      </c>
      <c r="K537" s="156" t="e">
        <f>+J537=#REF!</f>
        <v>#REF!</v>
      </c>
      <c r="L537" s="5"/>
      <c r="M537" s="5"/>
      <c r="N537" s="5"/>
      <c r="O537" s="5"/>
      <c r="Q537" s="5"/>
    </row>
    <row r="538" spans="1:17">
      <c r="A538" s="130" t="s">
        <v>147</v>
      </c>
      <c r="B538" s="38" t="s">
        <v>64</v>
      </c>
      <c r="C538" s="133" t="e">
        <f>#REF!</f>
        <v>#REF!</v>
      </c>
      <c r="D538" s="51"/>
      <c r="E538" s="50"/>
      <c r="F538" s="50"/>
      <c r="G538" s="50"/>
      <c r="H538" s="33" t="e">
        <f>+#REF!</f>
        <v>#REF!</v>
      </c>
      <c r="I538" s="52" t="e">
        <f>+#REF!</f>
        <v>#REF!</v>
      </c>
      <c r="J538" s="46" t="e">
        <f>SUM(C538:G538)-(H538+I538)</f>
        <v>#REF!</v>
      </c>
      <c r="K538" s="156" t="e">
        <f>+J538=#REF!</f>
        <v>#REF!</v>
      </c>
      <c r="Q538" s="5"/>
    </row>
    <row r="539" spans="1:17" ht="15.75">
      <c r="C539" s="151" t="e">
        <f>SUM(C523:C538)</f>
        <v>#REF!</v>
      </c>
      <c r="I539" s="149" t="e">
        <f>SUM(I523:I538)</f>
        <v>#REF!</v>
      </c>
      <c r="J539" s="111" t="e">
        <f>+SUM(J523:J538)</f>
        <v>#REF!</v>
      </c>
      <c r="K539" s="5" t="e">
        <f>J539=#REF!</f>
        <v>#REF!</v>
      </c>
      <c r="Q539" s="5"/>
    </row>
    <row r="540" spans="1:17" s="171" customFormat="1" ht="16.5">
      <c r="A540" s="14"/>
      <c r="B540" s="175"/>
      <c r="C540" s="174"/>
      <c r="D540" s="174"/>
      <c r="E540" s="173"/>
      <c r="F540" s="174"/>
      <c r="G540" s="174" t="e">
        <f>+#REF!-J539</f>
        <v>#REF!</v>
      </c>
      <c r="H540" s="174"/>
      <c r="I540" s="174"/>
      <c r="L540" s="172"/>
      <c r="M540" s="172"/>
      <c r="N540" s="172"/>
      <c r="O540" s="172"/>
    </row>
    <row r="541" spans="1:17">
      <c r="A541" s="16" t="s">
        <v>52</v>
      </c>
      <c r="B541" s="16"/>
      <c r="C541" s="16"/>
      <c r="D541" s="17"/>
      <c r="E541" s="17"/>
      <c r="F541" s="17"/>
      <c r="G541" s="17"/>
      <c r="H541" s="17"/>
      <c r="I541" s="17"/>
      <c r="Q541" s="5"/>
    </row>
    <row r="542" spans="1:17">
      <c r="A542" s="18" t="s">
        <v>144</v>
      </c>
      <c r="B542" s="18"/>
      <c r="C542" s="18"/>
      <c r="D542" s="18"/>
      <c r="E542" s="18"/>
      <c r="F542" s="18"/>
      <c r="G542" s="18"/>
      <c r="H542" s="18"/>
      <c r="I542" s="18"/>
      <c r="J542" s="17"/>
      <c r="Q542" s="5"/>
    </row>
    <row r="543" spans="1:17">
      <c r="A543" s="19"/>
      <c r="B543" s="20"/>
      <c r="C543" s="21"/>
      <c r="D543" s="21"/>
      <c r="E543" s="21"/>
      <c r="F543" s="21"/>
      <c r="G543" s="21"/>
      <c r="H543" s="20"/>
      <c r="I543" s="20"/>
      <c r="J543" s="18"/>
      <c r="Q543" s="5"/>
    </row>
    <row r="544" spans="1:17">
      <c r="A544" s="451" t="s">
        <v>53</v>
      </c>
      <c r="B544" s="453" t="s">
        <v>54</v>
      </c>
      <c r="C544" s="455" t="s">
        <v>145</v>
      </c>
      <c r="D544" s="457" t="s">
        <v>55</v>
      </c>
      <c r="E544" s="458"/>
      <c r="F544" s="458"/>
      <c r="G544" s="459"/>
      <c r="H544" s="460" t="s">
        <v>56</v>
      </c>
      <c r="I544" s="462" t="s">
        <v>57</v>
      </c>
      <c r="J544" s="20"/>
      <c r="Q544" s="5"/>
    </row>
    <row r="545" spans="1:17">
      <c r="A545" s="452"/>
      <c r="B545" s="454"/>
      <c r="C545" s="456"/>
      <c r="D545" s="22" t="s">
        <v>24</v>
      </c>
      <c r="E545" s="22" t="s">
        <v>25</v>
      </c>
      <c r="F545" s="170" t="s">
        <v>123</v>
      </c>
      <c r="G545" s="22" t="s">
        <v>58</v>
      </c>
      <c r="H545" s="461"/>
      <c r="I545" s="463"/>
      <c r="J545" s="464" t="s">
        <v>146</v>
      </c>
      <c r="K545" s="155"/>
      <c r="Q545" s="5"/>
    </row>
    <row r="546" spans="1:17">
      <c r="A546" s="24"/>
      <c r="B546" s="25" t="s">
        <v>59</v>
      </c>
      <c r="C546" s="26"/>
      <c r="D546" s="26"/>
      <c r="E546" s="26"/>
      <c r="F546" s="26"/>
      <c r="G546" s="26"/>
      <c r="H546" s="26"/>
      <c r="I546" s="27"/>
      <c r="J546" s="465"/>
      <c r="K546" s="155"/>
      <c r="Q546" s="5"/>
    </row>
    <row r="547" spans="1:17">
      <c r="A547" s="130" t="s">
        <v>72</v>
      </c>
      <c r="B547" s="135" t="s">
        <v>47</v>
      </c>
      <c r="C547" s="33" t="e">
        <f>#REF!</f>
        <v>#REF!</v>
      </c>
      <c r="D547" s="32"/>
      <c r="E547" s="33">
        <v>970765</v>
      </c>
      <c r="F547" s="33"/>
      <c r="G547" s="33"/>
      <c r="H547" s="57">
        <v>0</v>
      </c>
      <c r="I547" s="33">
        <v>980165</v>
      </c>
      <c r="J547" s="31" t="e">
        <f t="shared" ref="J547:J548" si="289">+SUM(C547:G547)-(H547+I547)</f>
        <v>#REF!</v>
      </c>
      <c r="K547" s="156" t="e">
        <f>J547=#REF!</f>
        <v>#REF!</v>
      </c>
      <c r="Q547" s="5"/>
    </row>
    <row r="548" spans="1:17">
      <c r="A548" s="130" t="s">
        <v>72</v>
      </c>
      <c r="B548" s="135" t="s">
        <v>31</v>
      </c>
      <c r="C548" s="33" t="e">
        <f>#REF!</f>
        <v>#REF!</v>
      </c>
      <c r="D548" s="32"/>
      <c r="E548" s="33">
        <v>58000</v>
      </c>
      <c r="F548" s="33"/>
      <c r="G548" s="33"/>
      <c r="H548" s="33">
        <v>0</v>
      </c>
      <c r="I548" s="33">
        <v>59500</v>
      </c>
      <c r="J548" s="107" t="e">
        <f t="shared" si="289"/>
        <v>#REF!</v>
      </c>
      <c r="K548" s="156" t="e">
        <f>J548=#REF!</f>
        <v>#REF!</v>
      </c>
      <c r="Q548" s="5"/>
    </row>
    <row r="549" spans="1:17">
      <c r="A549" s="130" t="s">
        <v>72</v>
      </c>
      <c r="B549" s="136" t="s">
        <v>30</v>
      </c>
      <c r="C549" s="33" t="e">
        <f>#REF!</f>
        <v>#REF!</v>
      </c>
      <c r="D549" s="127"/>
      <c r="E549" s="53">
        <v>557150</v>
      </c>
      <c r="F549" s="53"/>
      <c r="G549" s="53"/>
      <c r="H549" s="53">
        <v>0</v>
      </c>
      <c r="I549" s="53">
        <v>556650</v>
      </c>
      <c r="J549" s="132" t="e">
        <f>+SUM(C549:G549)-(H549+I549)</f>
        <v>#REF!</v>
      </c>
      <c r="K549" s="156" t="e">
        <f>J549=#REF!</f>
        <v>#REF!</v>
      </c>
      <c r="Q549" s="5"/>
    </row>
    <row r="550" spans="1:17">
      <c r="A550" s="130" t="s">
        <v>72</v>
      </c>
      <c r="B550" s="137" t="s">
        <v>84</v>
      </c>
      <c r="C550" s="128" t="e">
        <f>#REF!</f>
        <v>#REF!</v>
      </c>
      <c r="D550" s="131"/>
      <c r="E550" s="146"/>
      <c r="F550" s="146"/>
      <c r="G550" s="146"/>
      <c r="H550" s="146">
        <v>0</v>
      </c>
      <c r="I550" s="146">
        <v>0</v>
      </c>
      <c r="J550" s="129" t="e">
        <f>+SUM(C550:G550)-(H550+I550)</f>
        <v>#REF!</v>
      </c>
      <c r="K550" s="156" t="e">
        <f>J550=#REF!</f>
        <v>#REF!</v>
      </c>
      <c r="Q550" s="5"/>
    </row>
    <row r="551" spans="1:17">
      <c r="A551" s="130" t="s">
        <v>72</v>
      </c>
      <c r="B551" s="137" t="s">
        <v>83</v>
      </c>
      <c r="C551" s="128" t="e">
        <f>#REF!</f>
        <v>#REF!</v>
      </c>
      <c r="D551" s="131"/>
      <c r="E551" s="146"/>
      <c r="F551" s="146"/>
      <c r="G551" s="146"/>
      <c r="H551" s="146">
        <v>0</v>
      </c>
      <c r="I551" s="146">
        <v>0</v>
      </c>
      <c r="J551" s="129" t="e">
        <f t="shared" ref="J551:J556" si="290">+SUM(C551:G551)-(H551+I551)</f>
        <v>#REF!</v>
      </c>
      <c r="K551" s="156" t="e">
        <f>J551=#REF!</f>
        <v>#REF!</v>
      </c>
      <c r="Q551" s="5"/>
    </row>
    <row r="552" spans="1:17">
      <c r="A552" s="130" t="s">
        <v>72</v>
      </c>
      <c r="B552" s="135" t="s">
        <v>35</v>
      </c>
      <c r="C552" s="33" t="e">
        <f>#REF!</f>
        <v>#REF!</v>
      </c>
      <c r="D552" s="32"/>
      <c r="E552" s="33">
        <v>941000</v>
      </c>
      <c r="F552" s="33"/>
      <c r="G552" s="110"/>
      <c r="H552" s="110">
        <v>0</v>
      </c>
      <c r="I552" s="33">
        <v>1084725</v>
      </c>
      <c r="J552" s="31" t="e">
        <f t="shared" si="290"/>
        <v>#REF!</v>
      </c>
      <c r="K552" s="156" t="e">
        <f>J552=#REF!</f>
        <v>#REF!</v>
      </c>
      <c r="Q552" s="5"/>
    </row>
    <row r="553" spans="1:17">
      <c r="A553" s="130" t="s">
        <v>72</v>
      </c>
      <c r="B553" s="135" t="s">
        <v>93</v>
      </c>
      <c r="C553" s="33" t="e">
        <f>#REF!</f>
        <v>#REF!</v>
      </c>
      <c r="D553" s="32"/>
      <c r="E553" s="33">
        <v>52000</v>
      </c>
      <c r="F553" s="110"/>
      <c r="G553" s="110"/>
      <c r="H553" s="110">
        <v>0</v>
      </c>
      <c r="I553" s="33">
        <v>67000</v>
      </c>
      <c r="J553" s="31" t="e">
        <f t="shared" si="290"/>
        <v>#REF!</v>
      </c>
      <c r="K553" s="156" t="e">
        <f>J553=#REF!</f>
        <v>#REF!</v>
      </c>
      <c r="Q553" s="5"/>
    </row>
    <row r="554" spans="1:17">
      <c r="A554" s="130" t="s">
        <v>72</v>
      </c>
      <c r="B554" s="135" t="s">
        <v>29</v>
      </c>
      <c r="C554" s="33" t="e">
        <f>#REF!</f>
        <v>#REF!</v>
      </c>
      <c r="D554" s="32"/>
      <c r="E554" s="33">
        <v>515000</v>
      </c>
      <c r="F554" s="110"/>
      <c r="G554" s="110"/>
      <c r="H554" s="110">
        <v>0</v>
      </c>
      <c r="I554" s="33">
        <v>655500</v>
      </c>
      <c r="J554" s="31" t="e">
        <f t="shared" si="290"/>
        <v>#REF!</v>
      </c>
      <c r="K554" s="156" t="e">
        <f>J554=#REF!</f>
        <v>#REF!</v>
      </c>
      <c r="Q554" s="5"/>
    </row>
    <row r="555" spans="1:17">
      <c r="A555" s="130" t="s">
        <v>72</v>
      </c>
      <c r="B555" s="135" t="s">
        <v>32</v>
      </c>
      <c r="C555" s="33" t="e">
        <f>#REF!</f>
        <v>#REF!</v>
      </c>
      <c r="D555" s="32"/>
      <c r="E555" s="33">
        <v>10000</v>
      </c>
      <c r="F555" s="110"/>
      <c r="G555" s="110"/>
      <c r="H555" s="33">
        <v>500</v>
      </c>
      <c r="I555" s="33">
        <v>15300</v>
      </c>
      <c r="J555" s="31" t="e">
        <f t="shared" si="290"/>
        <v>#REF!</v>
      </c>
      <c r="K555" s="156" t="e">
        <f>J555=#REF!</f>
        <v>#REF!</v>
      </c>
      <c r="Q555" s="5"/>
    </row>
    <row r="556" spans="1:17">
      <c r="A556" s="130" t="s">
        <v>72</v>
      </c>
      <c r="B556" s="136" t="s">
        <v>113</v>
      </c>
      <c r="C556" s="33" t="e">
        <f>#REF!</f>
        <v>#REF!</v>
      </c>
      <c r="D556" s="127"/>
      <c r="E556" s="53">
        <v>20000</v>
      </c>
      <c r="F556" s="53"/>
      <c r="G556" s="147"/>
      <c r="H556" s="53">
        <v>0</v>
      </c>
      <c r="I556" s="53">
        <v>28000</v>
      </c>
      <c r="J556" s="31" t="e">
        <f t="shared" si="290"/>
        <v>#REF!</v>
      </c>
      <c r="K556" s="156" t="e">
        <f>J556=#REF!</f>
        <v>#REF!</v>
      </c>
      <c r="Q556" s="5"/>
    </row>
    <row r="557" spans="1:17">
      <c r="A557" s="35" t="s">
        <v>60</v>
      </c>
      <c r="B557" s="36"/>
      <c r="C557" s="36"/>
      <c r="D557" s="36"/>
      <c r="E557" s="36"/>
      <c r="F557" s="36"/>
      <c r="G557" s="36"/>
      <c r="H557" s="36"/>
      <c r="I557" s="36"/>
      <c r="J557" s="37"/>
      <c r="K557" s="155"/>
      <c r="Q557" s="5"/>
    </row>
    <row r="558" spans="1:17">
      <c r="A558" s="130" t="s">
        <v>72</v>
      </c>
      <c r="B558" s="38" t="s">
        <v>61</v>
      </c>
      <c r="C558" s="39" t="e">
        <f>#REF!</f>
        <v>#REF!</v>
      </c>
      <c r="D558" s="51">
        <v>6000500</v>
      </c>
      <c r="E558" s="109"/>
      <c r="F558" s="51"/>
      <c r="G558" s="148"/>
      <c r="H558" s="53">
        <v>3123915</v>
      </c>
      <c r="I558" s="134">
        <v>3367697</v>
      </c>
      <c r="J558" s="46" t="e">
        <f>+SUM(C558:G558)-(H558+I558)</f>
        <v>#REF!</v>
      </c>
      <c r="K558" s="156" t="e">
        <f>J558=#REF!</f>
        <v>#REF!</v>
      </c>
      <c r="Q558" s="5"/>
    </row>
    <row r="559" spans="1:17">
      <c r="A559" s="44" t="s">
        <v>62</v>
      </c>
      <c r="B559" s="25"/>
      <c r="C559" s="36"/>
      <c r="D559" s="25"/>
      <c r="E559" s="25"/>
      <c r="F559" s="25"/>
      <c r="G559" s="25"/>
      <c r="H559" s="25"/>
      <c r="I559" s="25"/>
      <c r="J559" s="37"/>
      <c r="K559" s="155"/>
      <c r="Q559" s="5"/>
    </row>
    <row r="560" spans="1:17">
      <c r="A560" s="130" t="s">
        <v>72</v>
      </c>
      <c r="B560" s="38" t="s">
        <v>63</v>
      </c>
      <c r="C560" s="133" t="e">
        <f>#REF!</f>
        <v>#REF!</v>
      </c>
      <c r="D560" s="140"/>
      <c r="E560" s="51"/>
      <c r="F560" s="51"/>
      <c r="G560" s="51"/>
      <c r="H560" s="53">
        <v>2000000</v>
      </c>
      <c r="I560" s="55">
        <v>271244</v>
      </c>
      <c r="J560" s="46" t="e">
        <f>+SUM(C560:G560)-(H560+I560)</f>
        <v>#REF!</v>
      </c>
      <c r="K560" s="156" t="e">
        <f>+J560=#REF!</f>
        <v>#REF!</v>
      </c>
      <c r="Q560" s="5"/>
    </row>
    <row r="561" spans="1:17">
      <c r="A561" s="130" t="s">
        <v>72</v>
      </c>
      <c r="B561" s="38" t="s">
        <v>64</v>
      </c>
      <c r="C561" s="133" t="e">
        <f>#REF!</f>
        <v>#REF!</v>
      </c>
      <c r="D561" s="51">
        <v>31201251</v>
      </c>
      <c r="E561" s="50"/>
      <c r="F561" s="50"/>
      <c r="G561" s="50"/>
      <c r="H561" s="33">
        <v>4000000</v>
      </c>
      <c r="I561" s="52">
        <v>6204544</v>
      </c>
      <c r="J561" s="46" t="e">
        <f>SUM(C561:G561)-(H561+I561)</f>
        <v>#REF!</v>
      </c>
      <c r="K561" s="156" t="e">
        <f>+J561=#REF!</f>
        <v>#REF!</v>
      </c>
      <c r="Q561" s="5"/>
    </row>
    <row r="562" spans="1:17" ht="15.75">
      <c r="C562" s="151" t="e">
        <f>SUM(C547:C561)</f>
        <v>#REF!</v>
      </c>
      <c r="I562" s="149">
        <f>SUM(I547:I561)</f>
        <v>13290325</v>
      </c>
      <c r="J562" s="111" t="e">
        <f>+SUM(J547:J561)</f>
        <v>#REF!</v>
      </c>
      <c r="K562" s="5" t="e">
        <f>J562=#REF!</f>
        <v>#REF!</v>
      </c>
      <c r="Q562" s="5"/>
    </row>
    <row r="563" spans="1:17" s="171" customFormat="1" ht="16.5">
      <c r="A563" s="14"/>
      <c r="B563" s="175"/>
      <c r="C563" s="174"/>
      <c r="D563" s="174"/>
      <c r="E563" s="173"/>
      <c r="F563" s="174"/>
      <c r="G563" s="174" t="e">
        <f>+#REF!-J562</f>
        <v>#REF!</v>
      </c>
      <c r="H563" s="174"/>
      <c r="I563" s="174"/>
      <c r="L563" s="172"/>
      <c r="M563" s="172"/>
      <c r="N563" s="172"/>
      <c r="O563" s="172"/>
    </row>
    <row r="564" spans="1:17" ht="16.5">
      <c r="A564" s="14"/>
      <c r="B564" s="15"/>
      <c r="C564" s="12"/>
      <c r="D564" s="12"/>
      <c r="E564" s="13"/>
      <c r="F564" s="12"/>
      <c r="G564" s="12"/>
      <c r="H564" s="12"/>
      <c r="I564" s="12"/>
      <c r="Q564" s="5"/>
    </row>
    <row r="565" spans="1:17">
      <c r="A565" s="16" t="s">
        <v>52</v>
      </c>
      <c r="B565" s="16"/>
      <c r="C565" s="16"/>
      <c r="D565" s="17"/>
      <c r="E565" s="17"/>
      <c r="F565" s="17"/>
      <c r="G565" s="17"/>
      <c r="H565" s="17"/>
      <c r="I565" s="17"/>
      <c r="Q565" s="5"/>
    </row>
    <row r="566" spans="1:17">
      <c r="A566" s="18" t="s">
        <v>140</v>
      </c>
      <c r="B566" s="18"/>
      <c r="C566" s="18"/>
      <c r="D566" s="18"/>
      <c r="E566" s="18"/>
      <c r="F566" s="18"/>
      <c r="G566" s="18"/>
      <c r="H566" s="18"/>
      <c r="I566" s="18"/>
      <c r="J566" s="17"/>
      <c r="Q566" s="5"/>
    </row>
    <row r="567" spans="1:17">
      <c r="A567" s="19"/>
      <c r="B567" s="20"/>
      <c r="C567" s="21"/>
      <c r="D567" s="21"/>
      <c r="E567" s="21"/>
      <c r="F567" s="21"/>
      <c r="G567" s="21"/>
      <c r="H567" s="20"/>
      <c r="I567" s="20"/>
      <c r="J567" s="18"/>
      <c r="Q567" s="5"/>
    </row>
    <row r="568" spans="1:17">
      <c r="A568" s="451" t="s">
        <v>53</v>
      </c>
      <c r="B568" s="453" t="s">
        <v>54</v>
      </c>
      <c r="C568" s="455" t="s">
        <v>142</v>
      </c>
      <c r="D568" s="457" t="s">
        <v>55</v>
      </c>
      <c r="E568" s="458"/>
      <c r="F568" s="458"/>
      <c r="G568" s="459"/>
      <c r="H568" s="460" t="s">
        <v>56</v>
      </c>
      <c r="I568" s="462" t="s">
        <v>57</v>
      </c>
      <c r="J568" s="20"/>
      <c r="Q568" s="5"/>
    </row>
    <row r="569" spans="1:17">
      <c r="A569" s="452"/>
      <c r="B569" s="454"/>
      <c r="C569" s="456"/>
      <c r="D569" s="22" t="s">
        <v>24</v>
      </c>
      <c r="E569" s="22" t="s">
        <v>25</v>
      </c>
      <c r="F569" s="168" t="s">
        <v>123</v>
      </c>
      <c r="G569" s="22" t="s">
        <v>58</v>
      </c>
      <c r="H569" s="461"/>
      <c r="I569" s="463"/>
      <c r="J569" s="464" t="s">
        <v>141</v>
      </c>
      <c r="K569" s="155"/>
      <c r="Q569" s="5"/>
    </row>
    <row r="570" spans="1:17">
      <c r="A570" s="24"/>
      <c r="B570" s="25" t="s">
        <v>59</v>
      </c>
      <c r="C570" s="26"/>
      <c r="D570" s="26"/>
      <c r="E570" s="26"/>
      <c r="F570" s="26"/>
      <c r="G570" s="26"/>
      <c r="H570" s="26"/>
      <c r="I570" s="27"/>
      <c r="J570" s="465"/>
      <c r="K570" s="155"/>
      <c r="L570" s="5"/>
      <c r="M570" s="5"/>
      <c r="N570" s="5"/>
      <c r="O570" s="5"/>
      <c r="Q570" s="5"/>
    </row>
    <row r="571" spans="1:17">
      <c r="A571" s="130" t="s">
        <v>143</v>
      </c>
      <c r="B571" s="135" t="s">
        <v>76</v>
      </c>
      <c r="C571" s="33" t="e">
        <f>+#REF!</f>
        <v>#REF!</v>
      </c>
      <c r="D571" s="32"/>
      <c r="E571" s="33">
        <v>114000</v>
      </c>
      <c r="F571" s="33"/>
      <c r="G571" s="33"/>
      <c r="H571" s="57">
        <v>11050</v>
      </c>
      <c r="I571" s="33">
        <v>112000</v>
      </c>
      <c r="J571" s="31" t="e">
        <f>+SUM(C571:G571)-(H571+I571)</f>
        <v>#REF!</v>
      </c>
      <c r="K571" s="156" t="e">
        <f>J571=#REF!</f>
        <v>#REF!</v>
      </c>
      <c r="L571" s="5"/>
      <c r="M571" s="5"/>
      <c r="N571" s="5"/>
      <c r="O571" s="5"/>
      <c r="Q571" s="5"/>
    </row>
    <row r="572" spans="1:17">
      <c r="A572" s="130" t="s">
        <v>143</v>
      </c>
      <c r="B572" s="135" t="s">
        <v>47</v>
      </c>
      <c r="C572" s="33" t="e">
        <f t="shared" ref="C572:C582" si="291">+C549</f>
        <v>#REF!</v>
      </c>
      <c r="D572" s="32"/>
      <c r="E572" s="33">
        <v>87350</v>
      </c>
      <c r="F572" s="33">
        <f>60000+62000</f>
        <v>122000</v>
      </c>
      <c r="G572" s="33"/>
      <c r="H572" s="57">
        <v>161395</v>
      </c>
      <c r="I572" s="33">
        <v>281200</v>
      </c>
      <c r="J572" s="31" t="e">
        <f t="shared" ref="J572:J573" si="292">+SUM(C572:G572)-(H572+I572)</f>
        <v>#REF!</v>
      </c>
      <c r="K572" s="156" t="e">
        <f t="shared" ref="K572:K582" si="293">J572=I549</f>
        <v>#REF!</v>
      </c>
      <c r="L572" s="5"/>
      <c r="M572" s="5"/>
      <c r="N572" s="5"/>
      <c r="O572" s="5"/>
      <c r="Q572" s="5"/>
    </row>
    <row r="573" spans="1:17">
      <c r="A573" s="130" t="s">
        <v>143</v>
      </c>
      <c r="B573" s="135" t="s">
        <v>31</v>
      </c>
      <c r="C573" s="33" t="e">
        <f t="shared" si="291"/>
        <v>#REF!</v>
      </c>
      <c r="D573" s="32"/>
      <c r="E573" s="33">
        <v>371500</v>
      </c>
      <c r="F573" s="33"/>
      <c r="G573" s="33"/>
      <c r="H573" s="33">
        <f>62000+81500+137000</f>
        <v>280500</v>
      </c>
      <c r="I573" s="33">
        <v>177000</v>
      </c>
      <c r="J573" s="107" t="e">
        <f t="shared" si="292"/>
        <v>#REF!</v>
      </c>
      <c r="K573" s="156" t="e">
        <f t="shared" si="293"/>
        <v>#REF!</v>
      </c>
      <c r="L573" s="5"/>
      <c r="M573" s="5"/>
      <c r="N573" s="5"/>
      <c r="O573" s="5"/>
      <c r="Q573" s="5"/>
    </row>
    <row r="574" spans="1:17">
      <c r="A574" s="130" t="s">
        <v>143</v>
      </c>
      <c r="B574" s="135" t="s">
        <v>77</v>
      </c>
      <c r="C574" s="33" t="e">
        <f t="shared" si="291"/>
        <v>#REF!</v>
      </c>
      <c r="D574" s="110"/>
      <c r="E574" s="33">
        <v>35560</v>
      </c>
      <c r="F574" s="33">
        <f>10000+81500</f>
        <v>91500</v>
      </c>
      <c r="G574" s="33"/>
      <c r="H574" s="33">
        <v>35000</v>
      </c>
      <c r="I574" s="33">
        <v>159750</v>
      </c>
      <c r="J574" s="107" t="e">
        <f>+SUM(C574:G574)-(H574+I574)</f>
        <v>#REF!</v>
      </c>
      <c r="K574" s="156" t="e">
        <f t="shared" si="293"/>
        <v>#REF!</v>
      </c>
      <c r="L574" s="5"/>
      <c r="M574" s="5"/>
      <c r="N574" s="5"/>
      <c r="O574" s="5"/>
      <c r="Q574" s="5"/>
    </row>
    <row r="575" spans="1:17">
      <c r="A575" s="130" t="s">
        <v>143</v>
      </c>
      <c r="B575" s="136" t="s">
        <v>30</v>
      </c>
      <c r="C575" s="33" t="e">
        <f t="shared" si="291"/>
        <v>#REF!</v>
      </c>
      <c r="D575" s="127"/>
      <c r="E575" s="53">
        <v>372085</v>
      </c>
      <c r="F575" s="53"/>
      <c r="G575" s="53"/>
      <c r="H575" s="53"/>
      <c r="I575" s="53">
        <v>336400</v>
      </c>
      <c r="J575" s="132" t="e">
        <f>+SUM(C575:G575)-(H575+I575)</f>
        <v>#REF!</v>
      </c>
      <c r="K575" s="156" t="e">
        <f t="shared" si="293"/>
        <v>#REF!</v>
      </c>
      <c r="L575" s="5"/>
      <c r="M575" s="5"/>
      <c r="N575" s="5"/>
      <c r="O575" s="5"/>
      <c r="Q575" s="5"/>
    </row>
    <row r="576" spans="1:17">
      <c r="A576" s="130" t="s">
        <v>143</v>
      </c>
      <c r="B576" s="137" t="s">
        <v>84</v>
      </c>
      <c r="C576" s="128" t="e">
        <f t="shared" si="291"/>
        <v>#REF!</v>
      </c>
      <c r="D576" s="131"/>
      <c r="E576" s="146"/>
      <c r="F576" s="146"/>
      <c r="G576" s="146"/>
      <c r="H576" s="146"/>
      <c r="I576" s="146"/>
      <c r="J576" s="129" t="e">
        <f>+SUM(C576:G576)-(H576+I576)</f>
        <v>#REF!</v>
      </c>
      <c r="K576" s="156" t="e">
        <f t="shared" si="293"/>
        <v>#REF!</v>
      </c>
      <c r="L576" s="5"/>
      <c r="M576" s="5"/>
      <c r="N576" s="5"/>
      <c r="O576" s="5"/>
      <c r="Q576" s="5"/>
    </row>
    <row r="577" spans="1:17">
      <c r="A577" s="130" t="s">
        <v>143</v>
      </c>
      <c r="B577" s="137" t="s">
        <v>83</v>
      </c>
      <c r="C577" s="128" t="e">
        <f t="shared" si="291"/>
        <v>#REF!</v>
      </c>
      <c r="D577" s="131"/>
      <c r="E577" s="146"/>
      <c r="F577" s="146"/>
      <c r="G577" s="146"/>
      <c r="H577" s="146"/>
      <c r="I577" s="146"/>
      <c r="J577" s="129" t="e">
        <f t="shared" ref="J577:J582" si="294">+SUM(C577:G577)-(H577+I577)</f>
        <v>#REF!</v>
      </c>
      <c r="K577" s="156" t="e">
        <f t="shared" si="293"/>
        <v>#REF!</v>
      </c>
      <c r="L577" s="5"/>
      <c r="M577" s="5"/>
      <c r="N577" s="5"/>
      <c r="O577" s="5"/>
      <c r="Q577" s="5"/>
    </row>
    <row r="578" spans="1:17">
      <c r="A578" s="130" t="s">
        <v>143</v>
      </c>
      <c r="B578" s="135" t="s">
        <v>35</v>
      </c>
      <c r="C578" s="33" t="e">
        <f t="shared" si="291"/>
        <v>#REF!</v>
      </c>
      <c r="D578" s="32"/>
      <c r="E578" s="33">
        <v>400000</v>
      </c>
      <c r="F578" s="33">
        <v>137000</v>
      </c>
      <c r="G578" s="110"/>
      <c r="H578" s="110"/>
      <c r="I578" s="33">
        <v>563500</v>
      </c>
      <c r="J578" s="31" t="e">
        <f t="shared" si="294"/>
        <v>#REF!</v>
      </c>
      <c r="K578" s="156" t="e">
        <f t="shared" si="293"/>
        <v>#REF!</v>
      </c>
      <c r="L578" s="5"/>
      <c r="M578" s="5"/>
      <c r="N578" s="5"/>
      <c r="O578" s="5"/>
      <c r="Q578" s="5"/>
    </row>
    <row r="579" spans="1:17">
      <c r="A579" s="130" t="s">
        <v>143</v>
      </c>
      <c r="B579" s="135" t="s">
        <v>93</v>
      </c>
      <c r="C579" s="33" t="e">
        <f t="shared" si="291"/>
        <v>#REF!</v>
      </c>
      <c r="D579" s="32"/>
      <c r="E579" s="33">
        <v>35000</v>
      </c>
      <c r="F579" s="110"/>
      <c r="G579" s="110"/>
      <c r="H579" s="110"/>
      <c r="I579" s="33">
        <v>23500</v>
      </c>
      <c r="J579" s="31" t="e">
        <f t="shared" si="294"/>
        <v>#REF!</v>
      </c>
      <c r="K579" s="156" t="e">
        <f t="shared" si="293"/>
        <v>#REF!</v>
      </c>
      <c r="L579" s="5"/>
      <c r="M579" s="5"/>
      <c r="N579" s="5"/>
      <c r="O579" s="5"/>
      <c r="Q579" s="5"/>
    </row>
    <row r="580" spans="1:17">
      <c r="A580" s="130" t="s">
        <v>143</v>
      </c>
      <c r="B580" s="135" t="s">
        <v>29</v>
      </c>
      <c r="C580" s="33">
        <f t="shared" si="291"/>
        <v>0</v>
      </c>
      <c r="D580" s="32"/>
      <c r="E580" s="33">
        <v>454000</v>
      </c>
      <c r="F580" s="110"/>
      <c r="G580" s="110"/>
      <c r="H580" s="110"/>
      <c r="I580" s="33">
        <v>329100</v>
      </c>
      <c r="J580" s="31">
        <f t="shared" si="294"/>
        <v>124900</v>
      </c>
      <c r="K580" s="156" t="b">
        <f t="shared" si="293"/>
        <v>0</v>
      </c>
      <c r="L580" s="5"/>
      <c r="M580" s="5"/>
      <c r="N580" s="5"/>
      <c r="O580" s="5"/>
      <c r="Q580" s="5"/>
    </row>
    <row r="581" spans="1:17">
      <c r="A581" s="130" t="s">
        <v>143</v>
      </c>
      <c r="B581" s="135" t="s">
        <v>32</v>
      </c>
      <c r="C581" s="33" t="e">
        <f t="shared" si="291"/>
        <v>#REF!</v>
      </c>
      <c r="D581" s="32"/>
      <c r="E581" s="33"/>
      <c r="F581" s="110"/>
      <c r="G581" s="110"/>
      <c r="H581" s="33">
        <v>20000</v>
      </c>
      <c r="I581" s="33">
        <v>5000</v>
      </c>
      <c r="J581" s="31" t="e">
        <f t="shared" si="294"/>
        <v>#REF!</v>
      </c>
      <c r="K581" s="156" t="e">
        <f t="shared" si="293"/>
        <v>#REF!</v>
      </c>
      <c r="L581" s="5"/>
      <c r="M581" s="5"/>
      <c r="N581" s="5"/>
      <c r="O581" s="5"/>
      <c r="Q581" s="5"/>
    </row>
    <row r="582" spans="1:17">
      <c r="A582" s="130" t="s">
        <v>143</v>
      </c>
      <c r="B582" s="136" t="s">
        <v>113</v>
      </c>
      <c r="C582" s="33">
        <f t="shared" si="291"/>
        <v>0</v>
      </c>
      <c r="D582" s="127"/>
      <c r="E582" s="53">
        <v>231000</v>
      </c>
      <c r="F582" s="53"/>
      <c r="G582" s="147"/>
      <c r="H582" s="53">
        <v>90000</v>
      </c>
      <c r="I582" s="53">
        <v>180000</v>
      </c>
      <c r="J582" s="31">
        <f t="shared" si="294"/>
        <v>-39000</v>
      </c>
      <c r="K582" s="156" t="b">
        <f t="shared" si="293"/>
        <v>0</v>
      </c>
      <c r="L582" s="5"/>
      <c r="M582" s="5"/>
      <c r="N582" s="5"/>
      <c r="O582" s="5"/>
      <c r="Q582" s="5"/>
    </row>
    <row r="583" spans="1:17">
      <c r="A583" s="35" t="s">
        <v>60</v>
      </c>
      <c r="B583" s="36"/>
      <c r="C583" s="36"/>
      <c r="D583" s="36"/>
      <c r="E583" s="36"/>
      <c r="F583" s="36"/>
      <c r="G583" s="36"/>
      <c r="H583" s="36"/>
      <c r="I583" s="36"/>
      <c r="J583" s="37"/>
      <c r="K583" s="155"/>
      <c r="L583" s="5"/>
      <c r="M583" s="5"/>
      <c r="N583" s="5"/>
      <c r="O583" s="5"/>
      <c r="Q583" s="5"/>
    </row>
    <row r="584" spans="1:17">
      <c r="A584" s="130" t="s">
        <v>143</v>
      </c>
      <c r="B584" s="38" t="s">
        <v>61</v>
      </c>
      <c r="C584" s="39" t="e">
        <f>+C548</f>
        <v>#REF!</v>
      </c>
      <c r="D584" s="51">
        <v>5000000</v>
      </c>
      <c r="E584" s="109"/>
      <c r="F584" s="51">
        <v>217445</v>
      </c>
      <c r="G584" s="148"/>
      <c r="H584" s="139">
        <v>2070495</v>
      </c>
      <c r="I584" s="134">
        <v>3286349</v>
      </c>
      <c r="J584" s="46" t="e">
        <f>+SUM(C584:G584)-(H584+I584)</f>
        <v>#REF!</v>
      </c>
      <c r="K584" s="156" t="e">
        <f>J584=I548</f>
        <v>#REF!</v>
      </c>
      <c r="L584" s="5"/>
      <c r="M584" s="5"/>
      <c r="N584" s="5"/>
      <c r="O584" s="5"/>
      <c r="Q584" s="5"/>
    </row>
    <row r="585" spans="1:17">
      <c r="A585" s="44" t="s">
        <v>62</v>
      </c>
      <c r="B585" s="25"/>
      <c r="C585" s="36"/>
      <c r="D585" s="25"/>
      <c r="E585" s="25"/>
      <c r="F585" s="25"/>
      <c r="G585" s="25"/>
      <c r="H585" s="25"/>
      <c r="I585" s="25"/>
      <c r="J585" s="37"/>
      <c r="K585" s="155"/>
      <c r="L585" s="5"/>
      <c r="M585" s="5"/>
      <c r="N585" s="5"/>
      <c r="O585" s="5"/>
      <c r="Q585" s="5"/>
    </row>
    <row r="586" spans="1:17">
      <c r="A586" s="130" t="s">
        <v>143</v>
      </c>
      <c r="B586" s="38" t="s">
        <v>63</v>
      </c>
      <c r="C586" s="133" t="e">
        <f>+#REF!</f>
        <v>#REF!</v>
      </c>
      <c r="D586" s="140">
        <v>7900099</v>
      </c>
      <c r="E586" s="51"/>
      <c r="F586" s="51"/>
      <c r="G586" s="51"/>
      <c r="H586" s="53">
        <v>3000000</v>
      </c>
      <c r="I586" s="55">
        <v>379529</v>
      </c>
      <c r="J586" s="46" t="e">
        <f>+SUM(C586:G586)-(H586+I586)</f>
        <v>#REF!</v>
      </c>
      <c r="K586" s="156" t="e">
        <f>+J586=#REF!</f>
        <v>#REF!</v>
      </c>
      <c r="L586" s="5"/>
      <c r="M586" s="5"/>
      <c r="N586" s="5"/>
      <c r="O586" s="5"/>
      <c r="Q586" s="5"/>
    </row>
    <row r="587" spans="1:17">
      <c r="A587" s="130" t="s">
        <v>143</v>
      </c>
      <c r="B587" s="38" t="s">
        <v>64</v>
      </c>
      <c r="C587" s="133" t="e">
        <f>+C547</f>
        <v>#REF!</v>
      </c>
      <c r="D587" s="51"/>
      <c r="E587" s="50"/>
      <c r="F587" s="50"/>
      <c r="G587" s="50"/>
      <c r="H587" s="33">
        <v>2000000</v>
      </c>
      <c r="I587" s="52">
        <v>5392233</v>
      </c>
      <c r="J587" s="46" t="e">
        <f>SUM(C587:G587)-(H587+I587)</f>
        <v>#REF!</v>
      </c>
      <c r="K587" s="156" t="e">
        <f>+J587=I547</f>
        <v>#REF!</v>
      </c>
      <c r="L587" s="5"/>
      <c r="M587" s="5"/>
      <c r="N587" s="5"/>
      <c r="O587" s="5"/>
      <c r="Q587" s="5"/>
    </row>
    <row r="588" spans="1:17" ht="15.75">
      <c r="C588" s="151" t="e">
        <f>SUM(C571:C587)</f>
        <v>#REF!</v>
      </c>
      <c r="I588" s="149">
        <f>SUM(I571:I587)</f>
        <v>11225561</v>
      </c>
      <c r="J588" s="111" t="e">
        <f>+SUM(J571:J587)</f>
        <v>#REF!</v>
      </c>
      <c r="K588" s="5" t="e">
        <f>J588=I560</f>
        <v>#REF!</v>
      </c>
      <c r="L588" s="5"/>
      <c r="M588" s="5"/>
      <c r="N588" s="5"/>
      <c r="O588" s="5"/>
      <c r="Q588" s="5"/>
    </row>
    <row r="589" spans="1:17" ht="16.5">
      <c r="A589" s="14"/>
      <c r="B589" s="15"/>
      <c r="C589" s="12"/>
      <c r="D589" s="12"/>
      <c r="E589" s="13"/>
      <c r="F589" s="12"/>
      <c r="G589" s="12"/>
      <c r="H589" s="12"/>
      <c r="I589" s="12"/>
      <c r="L589" s="5"/>
      <c r="M589" s="5"/>
      <c r="N589" s="5"/>
      <c r="O589" s="5"/>
      <c r="Q589" s="5"/>
    </row>
    <row r="590" spans="1:17">
      <c r="A590" s="16" t="s">
        <v>52</v>
      </c>
      <c r="B590" s="16"/>
      <c r="C590" s="16"/>
      <c r="D590" s="17"/>
      <c r="E590" s="17"/>
      <c r="F590" s="17"/>
      <c r="G590" s="17"/>
      <c r="H590" s="17"/>
      <c r="I590" s="17"/>
      <c r="L590" s="5"/>
      <c r="M590" s="5"/>
      <c r="N590" s="5"/>
      <c r="O590" s="5"/>
      <c r="Q590" s="5"/>
    </row>
    <row r="591" spans="1:17">
      <c r="A591" s="18" t="s">
        <v>131</v>
      </c>
      <c r="B591" s="18"/>
      <c r="C591" s="18"/>
      <c r="D591" s="18"/>
      <c r="E591" s="18"/>
      <c r="F591" s="18"/>
      <c r="G591" s="18"/>
      <c r="H591" s="18"/>
      <c r="I591" s="18"/>
      <c r="J591" s="17"/>
      <c r="L591" s="5"/>
      <c r="M591" s="5"/>
      <c r="N591" s="5"/>
      <c r="O591" s="5"/>
      <c r="Q591" s="5"/>
    </row>
    <row r="592" spans="1:17">
      <c r="A592" s="19"/>
      <c r="B592" s="20"/>
      <c r="C592" s="21"/>
      <c r="D592" s="21"/>
      <c r="E592" s="21"/>
      <c r="F592" s="21"/>
      <c r="G592" s="21"/>
      <c r="H592" s="20"/>
      <c r="I592" s="20"/>
      <c r="J592" s="18"/>
      <c r="L592" s="5"/>
      <c r="M592" s="5"/>
      <c r="N592" s="5"/>
      <c r="O592" s="5"/>
      <c r="Q592" s="5"/>
    </row>
    <row r="593" spans="1:17">
      <c r="A593" s="451" t="s">
        <v>53</v>
      </c>
      <c r="B593" s="453" t="s">
        <v>54</v>
      </c>
      <c r="C593" s="455" t="s">
        <v>132</v>
      </c>
      <c r="D593" s="457" t="s">
        <v>55</v>
      </c>
      <c r="E593" s="458"/>
      <c r="F593" s="458"/>
      <c r="G593" s="459"/>
      <c r="H593" s="460" t="s">
        <v>56</v>
      </c>
      <c r="I593" s="462" t="s">
        <v>57</v>
      </c>
      <c r="J593" s="20"/>
      <c r="L593" s="5"/>
      <c r="M593" s="5"/>
      <c r="N593" s="5"/>
      <c r="O593" s="5"/>
      <c r="Q593" s="5"/>
    </row>
    <row r="594" spans="1:17">
      <c r="A594" s="452"/>
      <c r="B594" s="454"/>
      <c r="C594" s="456"/>
      <c r="D594" s="22" t="s">
        <v>24</v>
      </c>
      <c r="E594" s="22" t="s">
        <v>25</v>
      </c>
      <c r="F594" s="167" t="s">
        <v>123</v>
      </c>
      <c r="G594" s="22" t="s">
        <v>58</v>
      </c>
      <c r="H594" s="461"/>
      <c r="I594" s="463"/>
      <c r="J594" s="464" t="s">
        <v>133</v>
      </c>
      <c r="K594" s="155"/>
      <c r="L594" s="5"/>
      <c r="M594" s="5"/>
      <c r="N594" s="5"/>
      <c r="O594" s="5"/>
      <c r="Q594" s="5"/>
    </row>
    <row r="595" spans="1:17">
      <c r="A595" s="24"/>
      <c r="B595" s="25" t="s">
        <v>59</v>
      </c>
      <c r="C595" s="26"/>
      <c r="D595" s="26"/>
      <c r="E595" s="26"/>
      <c r="F595" s="26"/>
      <c r="G595" s="26"/>
      <c r="H595" s="26"/>
      <c r="I595" s="27"/>
      <c r="J595" s="465"/>
      <c r="K595" s="155"/>
      <c r="L595" s="5"/>
      <c r="M595" s="5"/>
      <c r="N595" s="5"/>
      <c r="O595" s="5"/>
      <c r="Q595" s="5"/>
    </row>
    <row r="596" spans="1:17">
      <c r="A596" s="130" t="s">
        <v>134</v>
      </c>
      <c r="B596" s="135" t="s">
        <v>76</v>
      </c>
      <c r="C596" s="33">
        <v>40050</v>
      </c>
      <c r="D596" s="32"/>
      <c r="E596" s="33">
        <v>104000</v>
      </c>
      <c r="F596" s="33"/>
      <c r="G596" s="33"/>
      <c r="H596" s="57">
        <v>54000</v>
      </c>
      <c r="I596" s="33">
        <v>81000</v>
      </c>
      <c r="J596" s="31">
        <f>+SUM(C596:G596)-(H596+I596)</f>
        <v>9050</v>
      </c>
      <c r="K596" s="156" t="e">
        <f>J596=#REF!</f>
        <v>#REF!</v>
      </c>
      <c r="L596" s="5"/>
      <c r="M596" s="5"/>
      <c r="N596" s="5"/>
      <c r="O596" s="5"/>
      <c r="Q596" s="5"/>
    </row>
    <row r="597" spans="1:17">
      <c r="A597" s="130" t="s">
        <v>134</v>
      </c>
      <c r="B597" s="135" t="s">
        <v>47</v>
      </c>
      <c r="C597" s="33">
        <v>38845</v>
      </c>
      <c r="D597" s="32"/>
      <c r="E597" s="33">
        <v>1550000</v>
      </c>
      <c r="F597" s="33"/>
      <c r="G597" s="33"/>
      <c r="H597" s="57">
        <v>311000</v>
      </c>
      <c r="I597" s="33">
        <v>1017400</v>
      </c>
      <c r="J597" s="31">
        <f t="shared" ref="J597:J598" si="295">+SUM(C597:G597)-(H597+I597)</f>
        <v>260445</v>
      </c>
      <c r="K597" s="156" t="b">
        <f>J597=I549</f>
        <v>0</v>
      </c>
      <c r="L597" s="5"/>
      <c r="M597" s="5"/>
      <c r="N597" s="5"/>
      <c r="O597" s="5"/>
      <c r="Q597" s="5"/>
    </row>
    <row r="598" spans="1:17">
      <c r="A598" s="130" t="s">
        <v>134</v>
      </c>
      <c r="B598" s="135" t="s">
        <v>31</v>
      </c>
      <c r="C598" s="33">
        <v>6895</v>
      </c>
      <c r="D598" s="32"/>
      <c r="E598" s="33">
        <v>581000</v>
      </c>
      <c r="F598" s="33"/>
      <c r="G598" s="33"/>
      <c r="H598" s="33"/>
      <c r="I598" s="33">
        <v>498900</v>
      </c>
      <c r="J598" s="107">
        <f t="shared" si="295"/>
        <v>88995</v>
      </c>
      <c r="K598" s="156" t="b">
        <f>J598=I550</f>
        <v>0</v>
      </c>
      <c r="L598" s="5"/>
      <c r="M598" s="5"/>
      <c r="N598" s="5"/>
      <c r="O598" s="5"/>
      <c r="Q598" s="5"/>
    </row>
    <row r="599" spans="1:17">
      <c r="A599" s="130" t="s">
        <v>134</v>
      </c>
      <c r="B599" s="135" t="s">
        <v>77</v>
      </c>
      <c r="C599" s="33">
        <v>28540</v>
      </c>
      <c r="D599" s="110"/>
      <c r="E599" s="33">
        <v>332000</v>
      </c>
      <c r="F599" s="33">
        <v>10000</v>
      </c>
      <c r="G599" s="33"/>
      <c r="H599" s="33"/>
      <c r="I599" s="33">
        <v>302850</v>
      </c>
      <c r="J599" s="107">
        <f>+SUM(C599:G599)-(H599+I599)</f>
        <v>67690</v>
      </c>
      <c r="K599" s="156" t="b">
        <f>J599=I551</f>
        <v>0</v>
      </c>
      <c r="L599" s="5"/>
      <c r="M599" s="5"/>
      <c r="N599" s="5"/>
      <c r="O599" s="5"/>
      <c r="Q599" s="5"/>
    </row>
    <row r="600" spans="1:17">
      <c r="A600" s="130" t="s">
        <v>134</v>
      </c>
      <c r="B600" s="135" t="s">
        <v>69</v>
      </c>
      <c r="C600" s="33">
        <v>184</v>
      </c>
      <c r="D600" s="110"/>
      <c r="E600" s="33"/>
      <c r="F600" s="33"/>
      <c r="G600" s="33"/>
      <c r="H600" s="33">
        <v>184</v>
      </c>
      <c r="I600" s="33"/>
      <c r="J600" s="107">
        <f t="shared" ref="J600" si="296">+SUM(C600:G600)-(H600+I600)</f>
        <v>0</v>
      </c>
      <c r="K600" s="156" t="e">
        <f>J600=#REF!</f>
        <v>#REF!</v>
      </c>
      <c r="L600" s="5"/>
      <c r="M600" s="5"/>
      <c r="N600" s="5"/>
      <c r="O600" s="5"/>
      <c r="Q600" s="5"/>
    </row>
    <row r="601" spans="1:17">
      <c r="A601" s="130" t="s">
        <v>134</v>
      </c>
      <c r="B601" s="136" t="s">
        <v>30</v>
      </c>
      <c r="C601" s="33">
        <v>68200</v>
      </c>
      <c r="D601" s="127"/>
      <c r="E601" s="53">
        <v>638000</v>
      </c>
      <c r="F601" s="53">
        <v>45000</v>
      </c>
      <c r="G601" s="53"/>
      <c r="H601" s="53"/>
      <c r="I601" s="53">
        <v>787385</v>
      </c>
      <c r="J601" s="132">
        <f>+SUM(C601:G601)-(H601+I601)</f>
        <v>-36185</v>
      </c>
      <c r="K601" s="156" t="b">
        <f t="shared" ref="K601:K608" si="297">J601=I552</f>
        <v>0</v>
      </c>
      <c r="L601" s="5"/>
      <c r="M601" s="5"/>
      <c r="N601" s="5"/>
      <c r="O601" s="5"/>
      <c r="Q601" s="5"/>
    </row>
    <row r="602" spans="1:17">
      <c r="A602" s="130" t="s">
        <v>134</v>
      </c>
      <c r="B602" s="137" t="s">
        <v>84</v>
      </c>
      <c r="C602" s="128">
        <v>233614</v>
      </c>
      <c r="D602" s="131"/>
      <c r="E602" s="146"/>
      <c r="F602" s="146"/>
      <c r="G602" s="146"/>
      <c r="H602" s="146"/>
      <c r="I602" s="146"/>
      <c r="J602" s="129">
        <f>+SUM(C602:G602)-(H602+I602)</f>
        <v>233614</v>
      </c>
      <c r="K602" s="156" t="b">
        <f t="shared" si="297"/>
        <v>0</v>
      </c>
      <c r="L602" s="5"/>
      <c r="M602" s="5"/>
      <c r="N602" s="5"/>
      <c r="O602" s="5"/>
      <c r="Q602" s="5"/>
    </row>
    <row r="603" spans="1:17">
      <c r="A603" s="130" t="s">
        <v>134</v>
      </c>
      <c r="B603" s="137" t="s">
        <v>83</v>
      </c>
      <c r="C603" s="128">
        <v>249769</v>
      </c>
      <c r="D603" s="131"/>
      <c r="E603" s="146"/>
      <c r="F603" s="146"/>
      <c r="G603" s="146"/>
      <c r="H603" s="146"/>
      <c r="I603" s="146"/>
      <c r="J603" s="129">
        <f t="shared" ref="J603:J608" si="298">+SUM(C603:G603)-(H603+I603)</f>
        <v>249769</v>
      </c>
      <c r="K603" s="156" t="b">
        <f t="shared" si="297"/>
        <v>0</v>
      </c>
      <c r="L603" s="5"/>
      <c r="M603" s="5"/>
      <c r="N603" s="5"/>
      <c r="O603" s="5"/>
      <c r="Q603" s="5"/>
    </row>
    <row r="604" spans="1:17">
      <c r="A604" s="130" t="s">
        <v>134</v>
      </c>
      <c r="B604" s="135" t="s">
        <v>35</v>
      </c>
      <c r="C604" s="33">
        <v>-4675</v>
      </c>
      <c r="D604" s="32"/>
      <c r="E604" s="33">
        <v>494000</v>
      </c>
      <c r="F604" s="33">
        <v>256000</v>
      </c>
      <c r="G604" s="110"/>
      <c r="H604" s="110">
        <v>6500</v>
      </c>
      <c r="I604" s="33">
        <v>607250</v>
      </c>
      <c r="J604" s="31">
        <f t="shared" si="298"/>
        <v>131575</v>
      </c>
      <c r="K604" s="156" t="b">
        <f t="shared" si="297"/>
        <v>0</v>
      </c>
      <c r="L604" s="5"/>
      <c r="M604" s="5"/>
      <c r="N604" s="5"/>
      <c r="O604" s="5"/>
      <c r="Q604" s="5"/>
    </row>
    <row r="605" spans="1:17">
      <c r="A605" s="130" t="s">
        <v>134</v>
      </c>
      <c r="B605" s="135" t="s">
        <v>93</v>
      </c>
      <c r="C605" s="33">
        <v>5000</v>
      </c>
      <c r="D605" s="32"/>
      <c r="E605" s="33">
        <v>30000</v>
      </c>
      <c r="F605" s="110"/>
      <c r="G605" s="110"/>
      <c r="H605" s="110"/>
      <c r="I605" s="33">
        <v>29500</v>
      </c>
      <c r="J605" s="31">
        <f t="shared" si="298"/>
        <v>5500</v>
      </c>
      <c r="K605" s="156" t="b">
        <f t="shared" si="297"/>
        <v>0</v>
      </c>
      <c r="L605" s="5"/>
      <c r="M605" s="5"/>
      <c r="N605" s="5"/>
      <c r="O605" s="5"/>
      <c r="Q605" s="5"/>
    </row>
    <row r="606" spans="1:17">
      <c r="A606" s="130" t="s">
        <v>134</v>
      </c>
      <c r="B606" s="135" t="s">
        <v>29</v>
      </c>
      <c r="C606" s="33">
        <v>72800</v>
      </c>
      <c r="D606" s="32"/>
      <c r="E606" s="33">
        <v>446000</v>
      </c>
      <c r="F606" s="110"/>
      <c r="G606" s="110"/>
      <c r="H606" s="110"/>
      <c r="I606" s="33">
        <v>512600</v>
      </c>
      <c r="J606" s="31">
        <f t="shared" si="298"/>
        <v>6200</v>
      </c>
      <c r="K606" s="156" t="b">
        <f t="shared" si="297"/>
        <v>0</v>
      </c>
      <c r="L606" s="5"/>
      <c r="M606" s="5"/>
      <c r="N606" s="5"/>
      <c r="O606" s="5"/>
      <c r="Q606" s="5"/>
    </row>
    <row r="607" spans="1:17">
      <c r="A607" s="130" t="s">
        <v>134</v>
      </c>
      <c r="B607" s="135" t="s">
        <v>32</v>
      </c>
      <c r="C607" s="33">
        <v>47300</v>
      </c>
      <c r="D607" s="32"/>
      <c r="E607" s="33">
        <v>5000</v>
      </c>
      <c r="F607" s="110">
        <v>6500</v>
      </c>
      <c r="G607" s="110"/>
      <c r="H607" s="33">
        <v>20000</v>
      </c>
      <c r="I607" s="33">
        <v>8000</v>
      </c>
      <c r="J607" s="31">
        <f t="shared" si="298"/>
        <v>30800</v>
      </c>
      <c r="K607" s="156" t="b">
        <f t="shared" si="297"/>
        <v>0</v>
      </c>
      <c r="L607" s="5"/>
      <c r="M607" s="5"/>
      <c r="N607" s="5"/>
      <c r="O607" s="5"/>
      <c r="Q607" s="5"/>
    </row>
    <row r="608" spans="1:17">
      <c r="A608" s="130" t="s">
        <v>134</v>
      </c>
      <c r="B608" s="136" t="s">
        <v>113</v>
      </c>
      <c r="C608" s="33">
        <v>79600</v>
      </c>
      <c r="D608" s="127"/>
      <c r="E608" s="53"/>
      <c r="F608" s="53"/>
      <c r="G608" s="147"/>
      <c r="H608" s="53"/>
      <c r="I608" s="53">
        <v>37707</v>
      </c>
      <c r="J608" s="31">
        <f t="shared" si="298"/>
        <v>41893</v>
      </c>
      <c r="K608" s="156" t="b">
        <f t="shared" si="297"/>
        <v>0</v>
      </c>
      <c r="L608" s="5"/>
      <c r="M608" s="5"/>
      <c r="N608" s="5"/>
      <c r="O608" s="5"/>
      <c r="Q608" s="5"/>
    </row>
    <row r="609" spans="1:17">
      <c r="A609" s="35" t="s">
        <v>60</v>
      </c>
      <c r="B609" s="36"/>
      <c r="C609" s="36"/>
      <c r="D609" s="36"/>
      <c r="E609" s="36"/>
      <c r="F609" s="36"/>
      <c r="G609" s="36"/>
      <c r="H609" s="36"/>
      <c r="I609" s="36"/>
      <c r="J609" s="37"/>
      <c r="K609" s="155"/>
      <c r="L609" s="5"/>
      <c r="M609" s="5"/>
      <c r="N609" s="5"/>
      <c r="O609" s="5"/>
      <c r="Q609" s="5"/>
    </row>
    <row r="610" spans="1:17">
      <c r="A610" s="130" t="s">
        <v>134</v>
      </c>
      <c r="B610" s="38" t="s">
        <v>61</v>
      </c>
      <c r="C610" s="39">
        <v>467929</v>
      </c>
      <c r="D610" s="51">
        <v>6310000</v>
      </c>
      <c r="E610" s="109"/>
      <c r="F610" s="51">
        <v>74184</v>
      </c>
      <c r="G610" s="148"/>
      <c r="H610" s="139">
        <v>4180000</v>
      </c>
      <c r="I610" s="134">
        <v>1710965</v>
      </c>
      <c r="J610" s="46">
        <f>+SUM(C610:G610)-(H610+I610)</f>
        <v>961148</v>
      </c>
      <c r="K610" s="156" t="b">
        <f>J610=I548</f>
        <v>0</v>
      </c>
      <c r="L610" s="5"/>
      <c r="M610" s="5"/>
      <c r="N610" s="5"/>
      <c r="O610" s="5"/>
      <c r="Q610" s="5"/>
    </row>
    <row r="611" spans="1:17">
      <c r="A611" s="44" t="s">
        <v>62</v>
      </c>
      <c r="B611" s="25"/>
      <c r="C611" s="36"/>
      <c r="D611" s="25"/>
      <c r="E611" s="25"/>
      <c r="F611" s="25"/>
      <c r="G611" s="25"/>
      <c r="H611" s="25"/>
      <c r="I611" s="25"/>
      <c r="J611" s="37"/>
      <c r="K611" s="155"/>
      <c r="L611" s="5"/>
      <c r="M611" s="5"/>
      <c r="N611" s="5"/>
      <c r="O611" s="5"/>
      <c r="Q611" s="5"/>
    </row>
    <row r="612" spans="1:17">
      <c r="A612" s="130" t="s">
        <v>134</v>
      </c>
      <c r="B612" s="38" t="s">
        <v>63</v>
      </c>
      <c r="C612" s="133">
        <v>7405927</v>
      </c>
      <c r="D612" s="140"/>
      <c r="E612" s="51"/>
      <c r="F612" s="51"/>
      <c r="G612" s="51"/>
      <c r="H612" s="53">
        <v>2000000</v>
      </c>
      <c r="I612" s="55">
        <v>1710232</v>
      </c>
      <c r="J612" s="46">
        <f>+SUM(C612:G612)-(H612+I612)</f>
        <v>3695695</v>
      </c>
      <c r="K612" s="156" t="e">
        <f>+J612=#REF!</f>
        <v>#REF!</v>
      </c>
      <c r="L612" s="5"/>
      <c r="M612" s="5"/>
      <c r="N612" s="5"/>
      <c r="O612" s="5"/>
      <c r="Q612" s="5"/>
    </row>
    <row r="613" spans="1:17">
      <c r="A613" s="130" t="s">
        <v>134</v>
      </c>
      <c r="B613" s="38" t="s">
        <v>64</v>
      </c>
      <c r="C613" s="133">
        <v>22972065</v>
      </c>
      <c r="D613" s="51"/>
      <c r="E613" s="50"/>
      <c r="F613" s="50"/>
      <c r="G613" s="50"/>
      <c r="H613" s="33">
        <v>4310000</v>
      </c>
      <c r="I613" s="52">
        <v>3055511</v>
      </c>
      <c r="J613" s="46">
        <f>SUM(C613:G613)-(H613+I613)</f>
        <v>15606554</v>
      </c>
      <c r="K613" s="156" t="b">
        <f>+J613=I547</f>
        <v>0</v>
      </c>
      <c r="L613" s="5"/>
      <c r="M613" s="5"/>
      <c r="N613" s="5"/>
      <c r="O613" s="5"/>
      <c r="Q613" s="5"/>
    </row>
    <row r="614" spans="1:17" ht="15.75">
      <c r="C614" s="151">
        <f>SUM(C596:C613)</f>
        <v>31712043</v>
      </c>
      <c r="I614" s="149">
        <f>SUM(I596:I613)</f>
        <v>10359300</v>
      </c>
      <c r="J614" s="111">
        <f>+SUM(J596:J613)</f>
        <v>21352743</v>
      </c>
      <c r="K614" s="5" t="b">
        <f>J614=I560</f>
        <v>0</v>
      </c>
      <c r="L614" s="5"/>
      <c r="M614" s="5"/>
      <c r="N614" s="5"/>
      <c r="O614" s="5"/>
      <c r="Q614" s="5"/>
    </row>
    <row r="615" spans="1:17" ht="16.5">
      <c r="A615" s="14"/>
      <c r="B615" s="15"/>
      <c r="C615" s="12"/>
      <c r="D615" s="12"/>
      <c r="E615" s="13"/>
      <c r="F615" s="12"/>
      <c r="G615" s="12"/>
      <c r="H615" s="12"/>
      <c r="I615" s="12"/>
      <c r="L615" s="5"/>
      <c r="M615" s="5"/>
      <c r="N615" s="5"/>
      <c r="O615" s="5"/>
      <c r="Q615" s="5"/>
    </row>
    <row r="616" spans="1:17">
      <c r="A616" s="16" t="s">
        <v>52</v>
      </c>
      <c r="B616" s="16"/>
      <c r="C616" s="16"/>
      <c r="D616" s="17"/>
      <c r="E616" s="17"/>
      <c r="F616" s="17"/>
      <c r="G616" s="17"/>
      <c r="H616" s="17"/>
      <c r="I616" s="17"/>
      <c r="L616" s="5"/>
      <c r="M616" s="5"/>
      <c r="N616" s="5"/>
      <c r="O616" s="5"/>
      <c r="Q616" s="5"/>
    </row>
    <row r="617" spans="1:17">
      <c r="A617" s="18" t="s">
        <v>124</v>
      </c>
      <c r="B617" s="18"/>
      <c r="C617" s="18"/>
      <c r="D617" s="18"/>
      <c r="E617" s="18"/>
      <c r="F617" s="18"/>
      <c r="G617" s="18"/>
      <c r="H617" s="18"/>
      <c r="I617" s="18"/>
      <c r="J617" s="17"/>
      <c r="L617" s="5"/>
      <c r="M617" s="5"/>
      <c r="N617" s="5"/>
      <c r="O617" s="5"/>
      <c r="Q617" s="5"/>
    </row>
    <row r="618" spans="1:17">
      <c r="A618" s="19"/>
      <c r="B618" s="20"/>
      <c r="C618" s="21"/>
      <c r="D618" s="21"/>
      <c r="E618" s="21"/>
      <c r="F618" s="21"/>
      <c r="G618" s="21"/>
      <c r="H618" s="20"/>
      <c r="I618" s="20"/>
      <c r="J618" s="18"/>
      <c r="L618" s="5"/>
      <c r="M618" s="5"/>
      <c r="N618" s="5"/>
      <c r="O618" s="5"/>
      <c r="Q618" s="5"/>
    </row>
    <row r="619" spans="1:17">
      <c r="A619" s="451" t="s">
        <v>53</v>
      </c>
      <c r="B619" s="453" t="s">
        <v>54</v>
      </c>
      <c r="C619" s="455" t="s">
        <v>125</v>
      </c>
      <c r="D619" s="457" t="s">
        <v>55</v>
      </c>
      <c r="E619" s="458"/>
      <c r="F619" s="458"/>
      <c r="G619" s="459"/>
      <c r="H619" s="460" t="s">
        <v>56</v>
      </c>
      <c r="I619" s="462" t="s">
        <v>57</v>
      </c>
      <c r="J619" s="20"/>
      <c r="L619" s="5"/>
      <c r="M619" s="5"/>
      <c r="N619" s="5"/>
      <c r="O619" s="5"/>
      <c r="Q619" s="5"/>
    </row>
    <row r="620" spans="1:17">
      <c r="A620" s="452"/>
      <c r="B620" s="454"/>
      <c r="C620" s="456"/>
      <c r="D620" s="22" t="s">
        <v>24</v>
      </c>
      <c r="E620" s="22" t="s">
        <v>25</v>
      </c>
      <c r="F620" s="166" t="s">
        <v>123</v>
      </c>
      <c r="G620" s="22" t="s">
        <v>58</v>
      </c>
      <c r="H620" s="461"/>
      <c r="I620" s="463"/>
      <c r="J620" s="464" t="s">
        <v>126</v>
      </c>
      <c r="K620" s="155"/>
      <c r="L620" s="5"/>
      <c r="M620" s="5"/>
      <c r="N620" s="5"/>
      <c r="O620" s="5"/>
      <c r="Q620" s="5"/>
    </row>
    <row r="621" spans="1:17">
      <c r="A621" s="24"/>
      <c r="B621" s="25" t="s">
        <v>59</v>
      </c>
      <c r="C621" s="26"/>
      <c r="D621" s="26"/>
      <c r="E621" s="26"/>
      <c r="F621" s="26"/>
      <c r="G621" s="26"/>
      <c r="H621" s="26"/>
      <c r="I621" s="27"/>
      <c r="J621" s="465"/>
      <c r="K621" s="155"/>
      <c r="L621" s="5"/>
      <c r="M621" s="5"/>
      <c r="N621" s="5"/>
      <c r="O621" s="5"/>
      <c r="Q621" s="5"/>
    </row>
    <row r="622" spans="1:17">
      <c r="A622" s="130" t="s">
        <v>127</v>
      </c>
      <c r="B622" s="135" t="s">
        <v>76</v>
      </c>
      <c r="C622" s="33">
        <v>-450</v>
      </c>
      <c r="D622" s="32"/>
      <c r="E622" s="33">
        <v>168000</v>
      </c>
      <c r="F622" s="33">
        <v>55000</v>
      </c>
      <c r="G622" s="33"/>
      <c r="H622" s="57"/>
      <c r="I622" s="33">
        <v>182500</v>
      </c>
      <c r="J622" s="31">
        <f>+SUM(C622:G622)-(H622+I622)</f>
        <v>40050</v>
      </c>
      <c r="K622" s="156"/>
      <c r="L622" s="5"/>
      <c r="M622" s="5"/>
      <c r="N622" s="5"/>
      <c r="O622" s="5"/>
      <c r="Q622" s="5"/>
    </row>
    <row r="623" spans="1:17">
      <c r="A623" s="130" t="s">
        <v>127</v>
      </c>
      <c r="B623" s="135" t="s">
        <v>47</v>
      </c>
      <c r="C623" s="33">
        <v>12510</v>
      </c>
      <c r="D623" s="32"/>
      <c r="E623" s="33">
        <v>303000</v>
      </c>
      <c r="F623" s="33"/>
      <c r="G623" s="33"/>
      <c r="H623" s="57"/>
      <c r="I623" s="33">
        <v>276665</v>
      </c>
      <c r="J623" s="31">
        <f t="shared" ref="J623:J624" si="299">+SUM(C623:G623)-(H623+I623)</f>
        <v>38845</v>
      </c>
      <c r="K623" s="156"/>
      <c r="L623" s="5"/>
      <c r="M623" s="5"/>
      <c r="N623" s="5"/>
      <c r="O623" s="5"/>
      <c r="Q623" s="5"/>
    </row>
    <row r="624" spans="1:17">
      <c r="A624" s="130" t="s">
        <v>127</v>
      </c>
      <c r="B624" s="135" t="s">
        <v>31</v>
      </c>
      <c r="C624" s="33">
        <v>2895</v>
      </c>
      <c r="D624" s="32"/>
      <c r="E624" s="33">
        <v>40000</v>
      </c>
      <c r="F624" s="33"/>
      <c r="G624" s="33"/>
      <c r="H624" s="33"/>
      <c r="I624" s="33">
        <v>36000</v>
      </c>
      <c r="J624" s="107">
        <f t="shared" si="299"/>
        <v>6895</v>
      </c>
      <c r="K624" s="156"/>
      <c r="L624" s="5"/>
      <c r="M624" s="5"/>
      <c r="N624" s="5"/>
      <c r="O624" s="5"/>
      <c r="Q624" s="5"/>
    </row>
    <row r="625" spans="1:17">
      <c r="A625" s="130" t="s">
        <v>127</v>
      </c>
      <c r="B625" s="135" t="s">
        <v>77</v>
      </c>
      <c r="C625" s="33">
        <v>62040</v>
      </c>
      <c r="D625" s="110"/>
      <c r="E625" s="33"/>
      <c r="F625" s="33"/>
      <c r="G625" s="33"/>
      <c r="H625" s="33">
        <v>25000</v>
      </c>
      <c r="I625" s="33">
        <v>8500</v>
      </c>
      <c r="J625" s="107">
        <f>+SUM(C625:G625)-(H625+I625)</f>
        <v>28540</v>
      </c>
      <c r="K625" s="156"/>
      <c r="L625" s="5"/>
      <c r="M625" s="5"/>
      <c r="N625" s="5"/>
      <c r="O625" s="5"/>
      <c r="Q625" s="5"/>
    </row>
    <row r="626" spans="1:17">
      <c r="A626" s="130" t="s">
        <v>127</v>
      </c>
      <c r="B626" s="135" t="s">
        <v>69</v>
      </c>
      <c r="C626" s="33">
        <v>184</v>
      </c>
      <c r="D626" s="110"/>
      <c r="E626" s="33">
        <v>0</v>
      </c>
      <c r="F626" s="33"/>
      <c r="G626" s="33"/>
      <c r="H626" s="33"/>
      <c r="I626" s="33">
        <v>0</v>
      </c>
      <c r="J626" s="107">
        <f t="shared" ref="J626" si="300">+SUM(C626:G626)-(H626+I626)</f>
        <v>184</v>
      </c>
      <c r="K626" s="156"/>
      <c r="L626" s="5"/>
      <c r="M626" s="5"/>
      <c r="N626" s="5"/>
      <c r="O626" s="5"/>
      <c r="Q626" s="5"/>
    </row>
    <row r="627" spans="1:17">
      <c r="A627" s="130" t="s">
        <v>127</v>
      </c>
      <c r="B627" s="136" t="s">
        <v>30</v>
      </c>
      <c r="C627" s="33">
        <v>-36500</v>
      </c>
      <c r="D627" s="127"/>
      <c r="E627" s="53">
        <v>523500</v>
      </c>
      <c r="F627" s="53"/>
      <c r="G627" s="53"/>
      <c r="H627" s="53"/>
      <c r="I627" s="53">
        <v>418800</v>
      </c>
      <c r="J627" s="132">
        <f>+SUM(C627:G627)-(H627+I627)</f>
        <v>68200</v>
      </c>
      <c r="K627" s="156"/>
      <c r="L627" s="5"/>
      <c r="M627" s="5"/>
      <c r="N627" s="5"/>
      <c r="O627" s="5"/>
      <c r="Q627" s="5"/>
    </row>
    <row r="628" spans="1:17">
      <c r="A628" s="130" t="s">
        <v>127</v>
      </c>
      <c r="B628" s="137" t="s">
        <v>84</v>
      </c>
      <c r="C628" s="128">
        <v>233614</v>
      </c>
      <c r="D628" s="131"/>
      <c r="E628" s="146"/>
      <c r="F628" s="146"/>
      <c r="G628" s="146"/>
      <c r="H628" s="146"/>
      <c r="I628" s="146"/>
      <c r="J628" s="129">
        <f>+SUM(C628:G628)-(H628+I628)</f>
        <v>233614</v>
      </c>
      <c r="K628" s="156"/>
      <c r="L628" s="5"/>
      <c r="M628" s="5"/>
      <c r="N628" s="5"/>
      <c r="O628" s="5"/>
      <c r="Q628" s="5"/>
    </row>
    <row r="629" spans="1:17">
      <c r="A629" s="130" t="s">
        <v>127</v>
      </c>
      <c r="B629" s="137" t="s">
        <v>83</v>
      </c>
      <c r="C629" s="128">
        <v>249769</v>
      </c>
      <c r="D629" s="131"/>
      <c r="E629" s="146"/>
      <c r="F629" s="146"/>
      <c r="G629" s="146"/>
      <c r="H629" s="146"/>
      <c r="I629" s="146"/>
      <c r="J629" s="129">
        <f t="shared" ref="J629:J634" si="301">+SUM(C629:G629)-(H629+I629)</f>
        <v>249769</v>
      </c>
      <c r="K629" s="156"/>
      <c r="L629" s="5"/>
      <c r="M629" s="5"/>
      <c r="N629" s="5"/>
      <c r="O629" s="5"/>
      <c r="Q629" s="5"/>
    </row>
    <row r="630" spans="1:17">
      <c r="A630" s="130" t="s">
        <v>127</v>
      </c>
      <c r="B630" s="135" t="s">
        <v>35</v>
      </c>
      <c r="C630" s="33">
        <v>71200</v>
      </c>
      <c r="D630" s="32"/>
      <c r="E630" s="33">
        <v>1056000</v>
      </c>
      <c r="F630" s="33"/>
      <c r="G630" s="110"/>
      <c r="H630" s="110">
        <v>55000</v>
      </c>
      <c r="I630" s="33">
        <v>1076875</v>
      </c>
      <c r="J630" s="31">
        <f t="shared" si="301"/>
        <v>-4675</v>
      </c>
      <c r="K630" s="156"/>
      <c r="L630" s="5"/>
      <c r="M630" s="5"/>
      <c r="N630" s="5"/>
      <c r="O630" s="5"/>
      <c r="Q630" s="5"/>
    </row>
    <row r="631" spans="1:17">
      <c r="A631" s="130" t="s">
        <v>127</v>
      </c>
      <c r="B631" s="135" t="s">
        <v>93</v>
      </c>
      <c r="C631" s="33">
        <v>6000</v>
      </c>
      <c r="D631" s="32"/>
      <c r="E631" s="33">
        <v>20000</v>
      </c>
      <c r="F631" s="110"/>
      <c r="G631" s="110"/>
      <c r="H631" s="110"/>
      <c r="I631" s="33">
        <v>21000</v>
      </c>
      <c r="J631" s="31">
        <f t="shared" si="301"/>
        <v>5000</v>
      </c>
      <c r="K631" s="156"/>
      <c r="L631" s="5"/>
      <c r="M631" s="5"/>
      <c r="N631" s="5"/>
      <c r="O631" s="5"/>
      <c r="Q631" s="5"/>
    </row>
    <row r="632" spans="1:17">
      <c r="A632" s="130" t="s">
        <v>127</v>
      </c>
      <c r="B632" s="135" t="s">
        <v>29</v>
      </c>
      <c r="C632" s="33">
        <v>167700</v>
      </c>
      <c r="D632" s="32"/>
      <c r="E632" s="33">
        <v>473000</v>
      </c>
      <c r="F632" s="110"/>
      <c r="G632" s="110"/>
      <c r="H632" s="110"/>
      <c r="I632" s="33">
        <v>567900</v>
      </c>
      <c r="J632" s="31">
        <f t="shared" si="301"/>
        <v>72800</v>
      </c>
      <c r="K632" s="156"/>
      <c r="L632" s="5"/>
      <c r="M632" s="5"/>
      <c r="N632" s="5"/>
      <c r="O632" s="5"/>
      <c r="Q632" s="5"/>
    </row>
    <row r="633" spans="1:17">
      <c r="A633" s="130" t="s">
        <v>127</v>
      </c>
      <c r="B633" s="135" t="s">
        <v>32</v>
      </c>
      <c r="C633" s="33">
        <v>65300</v>
      </c>
      <c r="D633" s="32"/>
      <c r="E633" s="33">
        <v>10000</v>
      </c>
      <c r="F633" s="110"/>
      <c r="G633" s="110"/>
      <c r="H633" s="110">
        <v>20000</v>
      </c>
      <c r="I633" s="33">
        <v>8000</v>
      </c>
      <c r="J633" s="31">
        <f t="shared" si="301"/>
        <v>47300</v>
      </c>
      <c r="K633" s="156"/>
      <c r="L633" s="5"/>
      <c r="M633" s="5"/>
      <c r="N633" s="5"/>
      <c r="O633" s="5"/>
      <c r="Q633" s="5"/>
    </row>
    <row r="634" spans="1:17">
      <c r="A634" s="130" t="s">
        <v>127</v>
      </c>
      <c r="B634" s="136" t="s">
        <v>113</v>
      </c>
      <c r="C634" s="33">
        <v>-11700</v>
      </c>
      <c r="D634" s="127"/>
      <c r="E634" s="53">
        <v>385800</v>
      </c>
      <c r="F634" s="53"/>
      <c r="G634" s="147"/>
      <c r="H634" s="53"/>
      <c r="I634" s="53">
        <v>294500</v>
      </c>
      <c r="J634" s="31">
        <f t="shared" si="301"/>
        <v>79600</v>
      </c>
      <c r="K634" s="156"/>
      <c r="L634" s="5"/>
      <c r="M634" s="5"/>
      <c r="N634" s="5"/>
      <c r="O634" s="5"/>
      <c r="Q634" s="5"/>
    </row>
    <row r="635" spans="1:17">
      <c r="A635" s="35" t="s">
        <v>60</v>
      </c>
      <c r="B635" s="36"/>
      <c r="C635" s="36"/>
      <c r="D635" s="36"/>
      <c r="E635" s="36"/>
      <c r="F635" s="36"/>
      <c r="G635" s="36"/>
      <c r="H635" s="36"/>
      <c r="I635" s="36"/>
      <c r="J635" s="37"/>
      <c r="K635" s="155"/>
      <c r="L635" s="5"/>
      <c r="M635" s="5"/>
      <c r="N635" s="5"/>
      <c r="O635" s="5"/>
      <c r="Q635" s="5"/>
    </row>
    <row r="636" spans="1:17">
      <c r="A636" s="130" t="s">
        <v>127</v>
      </c>
      <c r="B636" s="38" t="s">
        <v>61</v>
      </c>
      <c r="C636" s="39">
        <v>1672959</v>
      </c>
      <c r="D636" s="51">
        <v>3341000</v>
      </c>
      <c r="E636" s="109"/>
      <c r="F636" s="109">
        <v>45000</v>
      </c>
      <c r="G636" s="148"/>
      <c r="H636" s="139">
        <v>2979300</v>
      </c>
      <c r="I636" s="134">
        <v>1611730</v>
      </c>
      <c r="J636" s="46">
        <f>+SUM(C636:G636)-(H636+I636)</f>
        <v>467929</v>
      </c>
      <c r="K636" s="156"/>
      <c r="L636" s="5"/>
      <c r="M636" s="5"/>
      <c r="N636" s="5"/>
      <c r="O636" s="5"/>
      <c r="Q636" s="5"/>
    </row>
    <row r="637" spans="1:17">
      <c r="A637" s="44" t="s">
        <v>62</v>
      </c>
      <c r="B637" s="25"/>
      <c r="C637" s="36"/>
      <c r="D637" s="25"/>
      <c r="E637" s="25"/>
      <c r="F637" s="25"/>
      <c r="G637" s="25"/>
      <c r="H637" s="25"/>
      <c r="I637" s="25"/>
      <c r="J637" s="37"/>
      <c r="K637" s="155"/>
      <c r="L637" s="5"/>
      <c r="M637" s="5"/>
      <c r="N637" s="5"/>
      <c r="O637" s="5"/>
      <c r="Q637" s="5"/>
    </row>
    <row r="638" spans="1:17">
      <c r="A638" s="130" t="s">
        <v>127</v>
      </c>
      <c r="B638" s="38" t="s">
        <v>63</v>
      </c>
      <c r="C638" s="133">
        <v>2957378</v>
      </c>
      <c r="D638" s="140">
        <v>7828953</v>
      </c>
      <c r="E638" s="51"/>
      <c r="F638" s="51"/>
      <c r="G638" s="51"/>
      <c r="H638" s="53">
        <v>3000000</v>
      </c>
      <c r="I638" s="55">
        <v>380404</v>
      </c>
      <c r="J638" s="46">
        <f>+SUM(C638:G638)-(H638+I638)</f>
        <v>7405927</v>
      </c>
      <c r="K638" s="156"/>
      <c r="L638" s="5"/>
      <c r="M638" s="5"/>
      <c r="N638" s="5"/>
      <c r="O638" s="5"/>
      <c r="Q638" s="5"/>
    </row>
    <row r="639" spans="1:17">
      <c r="A639" s="130" t="s">
        <v>127</v>
      </c>
      <c r="B639" s="38" t="s">
        <v>64</v>
      </c>
      <c r="C639" s="133">
        <v>28018504</v>
      </c>
      <c r="D639" s="51"/>
      <c r="E639" s="50"/>
      <c r="F639" s="50"/>
      <c r="G639" s="50"/>
      <c r="H639" s="33">
        <v>341000</v>
      </c>
      <c r="I639" s="52">
        <v>4705439</v>
      </c>
      <c r="J639" s="46">
        <f>SUM(C639:G639)-(H639+I639)</f>
        <v>22972065</v>
      </c>
      <c r="K639" s="156"/>
      <c r="L639" s="5"/>
      <c r="M639" s="5"/>
      <c r="N639" s="5"/>
      <c r="O639" s="5"/>
      <c r="Q639" s="5"/>
    </row>
    <row r="640" spans="1:17" ht="15.75">
      <c r="C640" s="151">
        <f>SUM(C622:C639)</f>
        <v>33471403</v>
      </c>
      <c r="I640" s="149">
        <f>SUM(I622:I639)</f>
        <v>9588313</v>
      </c>
      <c r="J640" s="111">
        <f>+SUM(J622:J639)</f>
        <v>31712043</v>
      </c>
      <c r="L640" s="5"/>
      <c r="M640" s="5"/>
      <c r="N640" s="5"/>
      <c r="O640" s="5"/>
      <c r="Q640" s="5"/>
    </row>
    <row r="641" spans="1:17" ht="16.5">
      <c r="A641" s="14"/>
      <c r="B641" s="15"/>
      <c r="C641" s="12" t="e">
        <f>C640=C560</f>
        <v>#REF!</v>
      </c>
      <c r="D641" s="12"/>
      <c r="E641" s="13"/>
      <c r="F641" s="12"/>
      <c r="G641" s="12"/>
      <c r="H641" s="12"/>
      <c r="I641" s="12"/>
      <c r="L641" s="5"/>
      <c r="M641" s="5"/>
      <c r="N641" s="5"/>
      <c r="O641" s="5"/>
      <c r="Q641" s="5"/>
    </row>
    <row r="642" spans="1:17">
      <c r="A642" s="16" t="s">
        <v>52</v>
      </c>
      <c r="B642" s="16"/>
      <c r="C642" s="16"/>
      <c r="D642" s="17"/>
      <c r="E642" s="17"/>
      <c r="F642" s="17"/>
      <c r="G642" s="17"/>
      <c r="H642" s="17"/>
      <c r="I642" s="17"/>
      <c r="L642" s="5"/>
      <c r="M642" s="5"/>
      <c r="N642" s="5"/>
      <c r="O642" s="5"/>
      <c r="Q642" s="5"/>
    </row>
    <row r="643" spans="1:17">
      <c r="A643" s="18" t="s">
        <v>119</v>
      </c>
      <c r="B643" s="18"/>
      <c r="C643" s="18"/>
      <c r="D643" s="18"/>
      <c r="E643" s="18"/>
      <c r="F643" s="18"/>
      <c r="G643" s="18"/>
      <c r="H643" s="18"/>
      <c r="I643" s="18"/>
      <c r="J643" s="17"/>
      <c r="L643" s="5"/>
      <c r="M643" s="5"/>
      <c r="N643" s="5"/>
      <c r="O643" s="5"/>
      <c r="Q643" s="5"/>
    </row>
    <row r="644" spans="1:17">
      <c r="A644" s="19"/>
      <c r="B644" s="20"/>
      <c r="C644" s="21"/>
      <c r="D644" s="21"/>
      <c r="E644" s="21"/>
      <c r="F644" s="21"/>
      <c r="G644" s="21"/>
      <c r="H644" s="20"/>
      <c r="I644" s="20"/>
      <c r="J644" s="18"/>
      <c r="L644" s="5"/>
      <c r="M644" s="5"/>
      <c r="N644" s="5"/>
      <c r="O644" s="5"/>
      <c r="Q644" s="5"/>
    </row>
    <row r="645" spans="1:17">
      <c r="A645" s="451" t="s">
        <v>53</v>
      </c>
      <c r="B645" s="453" t="s">
        <v>54</v>
      </c>
      <c r="C645" s="455" t="s">
        <v>121</v>
      </c>
      <c r="D645" s="457" t="s">
        <v>55</v>
      </c>
      <c r="E645" s="458"/>
      <c r="F645" s="458"/>
      <c r="G645" s="459"/>
      <c r="H645" s="460" t="s">
        <v>56</v>
      </c>
      <c r="I645" s="462" t="s">
        <v>57</v>
      </c>
      <c r="J645" s="20"/>
      <c r="L645" s="5"/>
      <c r="M645" s="5"/>
      <c r="N645" s="5"/>
      <c r="O645" s="5"/>
      <c r="Q645" s="5"/>
    </row>
    <row r="646" spans="1:17">
      <c r="A646" s="452"/>
      <c r="B646" s="454"/>
      <c r="C646" s="456"/>
      <c r="D646" s="22" t="s">
        <v>24</v>
      </c>
      <c r="E646" s="22" t="s">
        <v>25</v>
      </c>
      <c r="F646" s="154" t="s">
        <v>123</v>
      </c>
      <c r="G646" s="22" t="s">
        <v>58</v>
      </c>
      <c r="H646" s="461"/>
      <c r="I646" s="463"/>
      <c r="J646" s="464" t="s">
        <v>122</v>
      </c>
      <c r="K646" s="155"/>
      <c r="L646" s="5"/>
      <c r="M646" s="5"/>
      <c r="N646" s="5"/>
      <c r="O646" s="5"/>
      <c r="Q646" s="5"/>
    </row>
    <row r="647" spans="1:17">
      <c r="A647" s="24"/>
      <c r="B647" s="25" t="s">
        <v>59</v>
      </c>
      <c r="C647" s="26"/>
      <c r="D647" s="26"/>
      <c r="E647" s="26"/>
      <c r="F647" s="26"/>
      <c r="G647" s="26"/>
      <c r="H647" s="26"/>
      <c r="I647" s="27"/>
      <c r="J647" s="465"/>
      <c r="K647" s="155"/>
      <c r="L647" s="5"/>
      <c r="M647" s="5"/>
      <c r="N647" s="5"/>
      <c r="O647" s="5"/>
      <c r="Q647" s="5"/>
    </row>
    <row r="648" spans="1:17">
      <c r="A648" s="130" t="s">
        <v>120</v>
      </c>
      <c r="B648" s="135" t="s">
        <v>76</v>
      </c>
      <c r="C648" s="33">
        <v>7670</v>
      </c>
      <c r="D648" s="32"/>
      <c r="E648" s="33">
        <v>438000</v>
      </c>
      <c r="F648" s="33"/>
      <c r="G648" s="33"/>
      <c r="H648" s="57">
        <v>40000</v>
      </c>
      <c r="I648" s="33">
        <v>406120</v>
      </c>
      <c r="J648" s="31">
        <f>+SUM(C648:G648)-(H648+I648)</f>
        <v>-450</v>
      </c>
      <c r="K648" s="156" t="e">
        <f>J648=#REF!</f>
        <v>#REF!</v>
      </c>
      <c r="L648" s="5"/>
      <c r="M648" s="5"/>
      <c r="N648" s="5"/>
      <c r="O648" s="5"/>
      <c r="Q648" s="5"/>
    </row>
    <row r="649" spans="1:17">
      <c r="A649" s="130" t="s">
        <v>120</v>
      </c>
      <c r="B649" s="135" t="s">
        <v>47</v>
      </c>
      <c r="C649" s="33">
        <v>4710</v>
      </c>
      <c r="D649" s="32"/>
      <c r="E649" s="33">
        <v>303000</v>
      </c>
      <c r="F649" s="33">
        <f>25000+91000+62000</f>
        <v>178000</v>
      </c>
      <c r="G649" s="33"/>
      <c r="H649" s="57">
        <v>29000</v>
      </c>
      <c r="I649" s="33">
        <v>444200</v>
      </c>
      <c r="J649" s="31">
        <f t="shared" ref="J649:J650" si="302">+SUM(C649:G649)-(H649+I649)</f>
        <v>12510</v>
      </c>
      <c r="K649" s="156" t="b">
        <f>J649=I549</f>
        <v>0</v>
      </c>
      <c r="L649" s="5"/>
      <c r="M649" s="5"/>
      <c r="N649" s="5"/>
      <c r="O649" s="5"/>
      <c r="Q649" s="5"/>
    </row>
    <row r="650" spans="1:17">
      <c r="A650" s="130" t="s">
        <v>120</v>
      </c>
      <c r="B650" s="135" t="s">
        <v>31</v>
      </c>
      <c r="C650" s="33">
        <v>9295</v>
      </c>
      <c r="D650" s="32"/>
      <c r="E650" s="33">
        <v>743000</v>
      </c>
      <c r="F650" s="33">
        <v>2000</v>
      </c>
      <c r="G650" s="33"/>
      <c r="H650" s="33">
        <f>103000+91000+137000+101000+91000</f>
        <v>523000</v>
      </c>
      <c r="I650" s="33">
        <v>228400</v>
      </c>
      <c r="J650" s="107">
        <f t="shared" si="302"/>
        <v>2895</v>
      </c>
      <c r="K650" s="156" t="b">
        <f>J650=I550</f>
        <v>0</v>
      </c>
      <c r="L650" s="5"/>
      <c r="M650" s="5"/>
      <c r="N650" s="5"/>
      <c r="O650" s="5"/>
      <c r="Q650" s="5"/>
    </row>
    <row r="651" spans="1:17">
      <c r="A651" s="130" t="s">
        <v>120</v>
      </c>
      <c r="B651" s="135" t="s">
        <v>77</v>
      </c>
      <c r="C651" s="33">
        <v>-25100</v>
      </c>
      <c r="D651" s="110"/>
      <c r="E651" s="33">
        <v>121100</v>
      </c>
      <c r="F651" s="33">
        <f>103000+1000+28000+137000</f>
        <v>269000</v>
      </c>
      <c r="G651" s="33"/>
      <c r="H651" s="33"/>
      <c r="I651" s="33">
        <v>302960</v>
      </c>
      <c r="J651" s="107">
        <f>+SUM(C651:G651)-(H651+I651)</f>
        <v>62040</v>
      </c>
      <c r="K651" s="156" t="b">
        <f>J651=I551</f>
        <v>0</v>
      </c>
      <c r="L651" s="5"/>
      <c r="M651" s="5"/>
      <c r="N651" s="5"/>
      <c r="O651" s="5"/>
      <c r="Q651" s="5"/>
    </row>
    <row r="652" spans="1:17">
      <c r="A652" s="130" t="s">
        <v>120</v>
      </c>
      <c r="B652" s="135" t="s">
        <v>69</v>
      </c>
      <c r="C652" s="33">
        <v>7384</v>
      </c>
      <c r="D652" s="110"/>
      <c r="E652" s="33">
        <v>319000</v>
      </c>
      <c r="F652" s="33">
        <v>101000</v>
      </c>
      <c r="G652" s="33"/>
      <c r="H652" s="33">
        <v>62000</v>
      </c>
      <c r="I652" s="33">
        <v>365200</v>
      </c>
      <c r="J652" s="107">
        <f t="shared" ref="J652" si="303">+SUM(C652:G652)-(H652+I652)</f>
        <v>184</v>
      </c>
      <c r="K652" s="156" t="e">
        <f>J652=#REF!</f>
        <v>#REF!</v>
      </c>
      <c r="L652" s="5"/>
      <c r="M652" s="5"/>
      <c r="N652" s="5"/>
      <c r="O652" s="5"/>
      <c r="Q652" s="5"/>
    </row>
    <row r="653" spans="1:17">
      <c r="A653" s="130" t="s">
        <v>120</v>
      </c>
      <c r="B653" s="136" t="s">
        <v>30</v>
      </c>
      <c r="C653" s="33">
        <v>61300</v>
      </c>
      <c r="D653" s="127"/>
      <c r="E653" s="53">
        <v>931200</v>
      </c>
      <c r="F653" s="53"/>
      <c r="G653" s="53"/>
      <c r="H653" s="53">
        <v>28000</v>
      </c>
      <c r="I653" s="53">
        <v>1001000</v>
      </c>
      <c r="J653" s="132">
        <f>+SUM(C653:G653)-(H653+I653)</f>
        <v>-36500</v>
      </c>
      <c r="K653" s="156" t="b">
        <f t="shared" ref="K653:K660" si="304">J653=I552</f>
        <v>0</v>
      </c>
      <c r="L653" s="5"/>
      <c r="M653" s="5"/>
      <c r="N653" s="5"/>
      <c r="O653" s="5"/>
      <c r="Q653" s="5"/>
    </row>
    <row r="654" spans="1:17">
      <c r="A654" s="130" t="s">
        <v>120</v>
      </c>
      <c r="B654" s="137" t="s">
        <v>84</v>
      </c>
      <c r="C654" s="128">
        <v>233614</v>
      </c>
      <c r="D654" s="131"/>
      <c r="E654" s="146"/>
      <c r="F654" s="146"/>
      <c r="G654" s="146"/>
      <c r="H654" s="146"/>
      <c r="I654" s="146"/>
      <c r="J654" s="129">
        <f>+SUM(C654:G654)-(H654+I654)</f>
        <v>233614</v>
      </c>
      <c r="K654" s="156" t="b">
        <f t="shared" si="304"/>
        <v>0</v>
      </c>
      <c r="L654" s="5"/>
      <c r="M654" s="5"/>
      <c r="N654" s="5"/>
      <c r="O654" s="5"/>
      <c r="Q654" s="5"/>
    </row>
    <row r="655" spans="1:17">
      <c r="A655" s="130" t="s">
        <v>120</v>
      </c>
      <c r="B655" s="137" t="s">
        <v>83</v>
      </c>
      <c r="C655" s="128">
        <v>249769</v>
      </c>
      <c r="D655" s="131"/>
      <c r="E655" s="146"/>
      <c r="F655" s="146"/>
      <c r="G655" s="146"/>
      <c r="H655" s="146"/>
      <c r="I655" s="146"/>
      <c r="J655" s="129">
        <f t="shared" ref="J655:J658" si="305">+SUM(C655:G655)-(H655+I655)</f>
        <v>249769</v>
      </c>
      <c r="K655" s="156" t="b">
        <f t="shared" si="304"/>
        <v>0</v>
      </c>
      <c r="L655" s="5"/>
      <c r="M655" s="5"/>
      <c r="N655" s="5"/>
      <c r="O655" s="5"/>
      <c r="Q655" s="5"/>
    </row>
    <row r="656" spans="1:17">
      <c r="A656" s="130" t="s">
        <v>120</v>
      </c>
      <c r="B656" s="135" t="s">
        <v>35</v>
      </c>
      <c r="C656" s="33">
        <v>4500</v>
      </c>
      <c r="D656" s="32"/>
      <c r="E656" s="33">
        <v>234000</v>
      </c>
      <c r="F656" s="33">
        <v>40000</v>
      </c>
      <c r="G656" s="110"/>
      <c r="H656" s="110"/>
      <c r="I656" s="33">
        <v>207300</v>
      </c>
      <c r="J656" s="31">
        <f t="shared" si="305"/>
        <v>71200</v>
      </c>
      <c r="K656" s="156" t="b">
        <f t="shared" si="304"/>
        <v>0</v>
      </c>
      <c r="L656" s="5"/>
      <c r="M656" s="5"/>
      <c r="N656" s="5"/>
      <c r="O656" s="5"/>
      <c r="Q656" s="5"/>
    </row>
    <row r="657" spans="1:17">
      <c r="A657" s="130" t="s">
        <v>120</v>
      </c>
      <c r="B657" s="135" t="s">
        <v>93</v>
      </c>
      <c r="C657" s="33">
        <v>-6000</v>
      </c>
      <c r="D657" s="32"/>
      <c r="E657" s="33">
        <v>61000</v>
      </c>
      <c r="F657" s="110"/>
      <c r="G657" s="110"/>
      <c r="H657" s="110"/>
      <c r="I657" s="33">
        <v>49000</v>
      </c>
      <c r="J657" s="31">
        <f t="shared" si="305"/>
        <v>6000</v>
      </c>
      <c r="K657" s="156" t="b">
        <f t="shared" si="304"/>
        <v>0</v>
      </c>
      <c r="L657" s="5"/>
      <c r="M657" s="5"/>
      <c r="N657" s="5"/>
      <c r="O657" s="5"/>
      <c r="Q657" s="5"/>
    </row>
    <row r="658" spans="1:17">
      <c r="A658" s="130" t="s">
        <v>120</v>
      </c>
      <c r="B658" s="135" t="s">
        <v>29</v>
      </c>
      <c r="C658" s="33">
        <v>72200</v>
      </c>
      <c r="D658" s="32"/>
      <c r="E658" s="33">
        <v>722000</v>
      </c>
      <c r="F658" s="110"/>
      <c r="G658" s="110"/>
      <c r="H658" s="110"/>
      <c r="I658" s="33">
        <v>626500</v>
      </c>
      <c r="J658" s="31">
        <f t="shared" si="305"/>
        <v>167700</v>
      </c>
      <c r="K658" s="156" t="b">
        <f t="shared" si="304"/>
        <v>0</v>
      </c>
      <c r="L658" s="5"/>
      <c r="M658" s="5"/>
      <c r="N658" s="5"/>
      <c r="O658" s="5"/>
      <c r="Q658" s="5"/>
    </row>
    <row r="659" spans="1:17">
      <c r="A659" s="130" t="s">
        <v>120</v>
      </c>
      <c r="B659" s="135" t="s">
        <v>32</v>
      </c>
      <c r="C659" s="33">
        <v>9300</v>
      </c>
      <c r="D659" s="32"/>
      <c r="E659" s="33">
        <v>60000</v>
      </c>
      <c r="F659" s="110"/>
      <c r="G659" s="110"/>
      <c r="H659" s="110"/>
      <c r="I659" s="33">
        <v>4000</v>
      </c>
      <c r="J659" s="31">
        <f t="shared" ref="J659:J660" si="306">+SUM(C659:G659)-(H659+I659)</f>
        <v>65300</v>
      </c>
      <c r="K659" s="156" t="b">
        <f t="shared" si="304"/>
        <v>0</v>
      </c>
      <c r="L659" s="5"/>
      <c r="M659" s="5"/>
      <c r="N659" s="5"/>
      <c r="O659" s="5"/>
      <c r="Q659" s="5"/>
    </row>
    <row r="660" spans="1:17">
      <c r="A660" s="130" t="s">
        <v>120</v>
      </c>
      <c r="B660" s="136" t="s">
        <v>113</v>
      </c>
      <c r="C660" s="33">
        <v>-14000</v>
      </c>
      <c r="D660" s="127"/>
      <c r="E660" s="53">
        <v>378000</v>
      </c>
      <c r="F660" s="53">
        <f>29000+91000</f>
        <v>120000</v>
      </c>
      <c r="G660" s="147"/>
      <c r="H660" s="53">
        <f>2000+1000+25000</f>
        <v>28000</v>
      </c>
      <c r="I660" s="53">
        <v>467700</v>
      </c>
      <c r="J660" s="31">
        <f t="shared" si="306"/>
        <v>-11700</v>
      </c>
      <c r="K660" s="156" t="b">
        <f t="shared" si="304"/>
        <v>0</v>
      </c>
      <c r="L660" s="5"/>
      <c r="M660" s="5"/>
      <c r="N660" s="5"/>
      <c r="O660" s="5"/>
      <c r="Q660" s="5"/>
    </row>
    <row r="661" spans="1:17">
      <c r="A661" s="35" t="s">
        <v>60</v>
      </c>
      <c r="B661" s="36"/>
      <c r="C661" s="36"/>
      <c r="D661" s="36"/>
      <c r="E661" s="36"/>
      <c r="F661" s="36"/>
      <c r="G661" s="36"/>
      <c r="H661" s="36"/>
      <c r="I661" s="36"/>
      <c r="J661" s="37"/>
      <c r="K661" s="155"/>
      <c r="L661" s="5"/>
      <c r="M661" s="5"/>
      <c r="N661" s="5"/>
      <c r="O661" s="5"/>
      <c r="Q661" s="5"/>
    </row>
    <row r="662" spans="1:17">
      <c r="A662" s="130" t="s">
        <v>120</v>
      </c>
      <c r="B662" s="38" t="s">
        <v>61</v>
      </c>
      <c r="C662" s="39">
        <v>1148337</v>
      </c>
      <c r="D662" s="51">
        <v>7000000</v>
      </c>
      <c r="E662" s="109"/>
      <c r="F662" s="109"/>
      <c r="G662" s="148"/>
      <c r="H662" s="139">
        <v>4310300</v>
      </c>
      <c r="I662" s="134">
        <v>2165078</v>
      </c>
      <c r="J662" s="46">
        <f>+SUM(C662:G662)-(H662+I662)</f>
        <v>1672959</v>
      </c>
      <c r="K662" s="156" t="b">
        <f>J662=I548</f>
        <v>0</v>
      </c>
      <c r="L662" s="5"/>
      <c r="M662" s="5"/>
      <c r="N662" s="5"/>
      <c r="O662" s="5"/>
      <c r="Q662" s="5"/>
    </row>
    <row r="663" spans="1:17">
      <c r="A663" s="44" t="s">
        <v>62</v>
      </c>
      <c r="B663" s="25"/>
      <c r="C663" s="36"/>
      <c r="D663" s="25"/>
      <c r="E663" s="25"/>
      <c r="F663" s="25"/>
      <c r="G663" s="25"/>
      <c r="H663" s="25"/>
      <c r="I663" s="25"/>
      <c r="J663" s="37"/>
      <c r="K663" s="155"/>
      <c r="L663" s="5"/>
      <c r="M663" s="5"/>
      <c r="N663" s="5"/>
      <c r="O663" s="5"/>
      <c r="Q663" s="5"/>
    </row>
    <row r="664" spans="1:17">
      <c r="A664" s="130" t="s">
        <v>120</v>
      </c>
      <c r="B664" s="38" t="s">
        <v>63</v>
      </c>
      <c r="C664" s="133">
        <v>10113263</v>
      </c>
      <c r="D664" s="140">
        <v>0</v>
      </c>
      <c r="E664" s="51"/>
      <c r="F664" s="51"/>
      <c r="G664" s="51"/>
      <c r="H664" s="53">
        <v>7000000</v>
      </c>
      <c r="I664" s="55">
        <v>155885</v>
      </c>
      <c r="J664" s="46">
        <f>+SUM(C664:G664)-(H664+I664)</f>
        <v>2957378</v>
      </c>
      <c r="K664" s="156" t="e">
        <f>+J664=#REF!</f>
        <v>#REF!</v>
      </c>
      <c r="L664" s="5"/>
      <c r="M664" s="5"/>
      <c r="N664" s="5"/>
      <c r="O664" s="5"/>
      <c r="Q664" s="5"/>
    </row>
    <row r="665" spans="1:17">
      <c r="A665" s="130" t="s">
        <v>120</v>
      </c>
      <c r="B665" s="38" t="s">
        <v>64</v>
      </c>
      <c r="C665" s="133">
        <v>6219904</v>
      </c>
      <c r="D665" s="51">
        <v>28506579</v>
      </c>
      <c r="E665" s="50"/>
      <c r="F665" s="50"/>
      <c r="G665" s="50"/>
      <c r="H665" s="33"/>
      <c r="I665" s="52">
        <v>6707979</v>
      </c>
      <c r="J665" s="46">
        <f>SUM(C665:G665)-(H665+I665)</f>
        <v>28018504</v>
      </c>
      <c r="K665" s="156" t="b">
        <f>+J665=I547</f>
        <v>0</v>
      </c>
      <c r="L665" s="5"/>
      <c r="M665" s="5"/>
      <c r="N665" s="5"/>
      <c r="O665" s="5"/>
      <c r="Q665" s="5"/>
    </row>
    <row r="666" spans="1:17" ht="15.75">
      <c r="C666" s="151">
        <f>SUM(C648:C665)</f>
        <v>18096146</v>
      </c>
      <c r="I666" s="149">
        <f>SUM(I648:I665)</f>
        <v>13131322</v>
      </c>
      <c r="J666" s="111">
        <f>+SUM(J648:J665)</f>
        <v>33471403</v>
      </c>
      <c r="K666" s="5" t="b">
        <f>J666=I560</f>
        <v>0</v>
      </c>
      <c r="L666" s="5"/>
      <c r="M666" s="5"/>
      <c r="N666" s="5"/>
      <c r="O666" s="5"/>
      <c r="Q666" s="5"/>
    </row>
    <row r="667" spans="1:17" ht="16.5">
      <c r="A667" s="14"/>
      <c r="B667" s="15"/>
      <c r="C667" s="12" t="e">
        <f>C666=C560</f>
        <v>#REF!</v>
      </c>
      <c r="D667" s="12"/>
      <c r="E667" s="13"/>
      <c r="F667" s="12"/>
      <c r="G667" s="12"/>
      <c r="H667" s="12"/>
      <c r="I667" s="12"/>
      <c r="L667" s="5"/>
      <c r="M667" s="5"/>
      <c r="N667" s="5"/>
      <c r="O667" s="5"/>
      <c r="Q667" s="5"/>
    </row>
    <row r="668" spans="1:17" ht="16.5">
      <c r="A668" s="14"/>
      <c r="B668" s="15"/>
      <c r="C668" s="12"/>
      <c r="D668" s="12"/>
      <c r="E668" s="13"/>
      <c r="F668" s="12"/>
      <c r="G668" s="12"/>
      <c r="H668" s="12"/>
      <c r="I668" s="12"/>
      <c r="L668" s="5"/>
      <c r="M668" s="5"/>
      <c r="N668" s="5"/>
      <c r="O668" s="5"/>
      <c r="Q668" s="5"/>
    </row>
    <row r="669" spans="1:17">
      <c r="A669" s="16" t="s">
        <v>52</v>
      </c>
      <c r="B669" s="16"/>
      <c r="C669" s="16"/>
      <c r="D669" s="17"/>
      <c r="E669" s="17"/>
      <c r="F669" s="17"/>
      <c r="G669" s="17"/>
      <c r="H669" s="17"/>
      <c r="I669" s="17"/>
      <c r="L669" s="5"/>
      <c r="M669" s="5"/>
      <c r="N669" s="5"/>
      <c r="O669" s="5"/>
      <c r="Q669" s="5"/>
    </row>
    <row r="670" spans="1:17">
      <c r="A670" s="18" t="s">
        <v>114</v>
      </c>
      <c r="B670" s="18"/>
      <c r="C670" s="18"/>
      <c r="D670" s="18"/>
      <c r="E670" s="18"/>
      <c r="F670" s="18"/>
      <c r="G670" s="18"/>
      <c r="H670" s="18"/>
      <c r="I670" s="18"/>
      <c r="J670" s="17"/>
      <c r="L670" s="5"/>
      <c r="M670" s="5"/>
      <c r="N670" s="5"/>
      <c r="O670" s="5"/>
      <c r="Q670" s="5"/>
    </row>
    <row r="671" spans="1:17">
      <c r="A671" s="19"/>
      <c r="B671" s="20"/>
      <c r="C671" s="21"/>
      <c r="D671" s="21"/>
      <c r="E671" s="21"/>
      <c r="F671" s="21"/>
      <c r="G671" s="21"/>
      <c r="H671" s="20"/>
      <c r="I671" s="20"/>
      <c r="J671" s="18"/>
      <c r="L671" s="5"/>
      <c r="M671" s="5"/>
      <c r="N671" s="5"/>
      <c r="O671" s="5"/>
      <c r="Q671" s="5"/>
    </row>
    <row r="672" spans="1:17">
      <c r="A672" s="451" t="s">
        <v>53</v>
      </c>
      <c r="B672" s="453" t="s">
        <v>54</v>
      </c>
      <c r="C672" s="455" t="s">
        <v>116</v>
      </c>
      <c r="D672" s="457" t="s">
        <v>55</v>
      </c>
      <c r="E672" s="458"/>
      <c r="F672" s="458"/>
      <c r="G672" s="459"/>
      <c r="H672" s="460" t="s">
        <v>56</v>
      </c>
      <c r="I672" s="462" t="s">
        <v>57</v>
      </c>
      <c r="J672" s="20"/>
      <c r="L672" s="5"/>
      <c r="M672" s="5"/>
      <c r="N672" s="5"/>
      <c r="O672" s="5"/>
      <c r="Q672" s="5"/>
    </row>
    <row r="673" spans="1:17">
      <c r="A673" s="452"/>
      <c r="B673" s="454"/>
      <c r="C673" s="456"/>
      <c r="D673" s="22" t="s">
        <v>24</v>
      </c>
      <c r="E673" s="22" t="s">
        <v>25</v>
      </c>
      <c r="F673" s="152" t="s">
        <v>118</v>
      </c>
      <c r="G673" s="22" t="s">
        <v>58</v>
      </c>
      <c r="H673" s="461"/>
      <c r="I673" s="463"/>
      <c r="J673" s="464" t="s">
        <v>117</v>
      </c>
      <c r="L673" s="5"/>
      <c r="M673" s="5"/>
      <c r="N673" s="5"/>
      <c r="O673" s="5"/>
      <c r="Q673" s="5"/>
    </row>
    <row r="674" spans="1:17">
      <c r="A674" s="24"/>
      <c r="B674" s="25" t="s">
        <v>59</v>
      </c>
      <c r="C674" s="26"/>
      <c r="D674" s="26"/>
      <c r="E674" s="26"/>
      <c r="F674" s="26"/>
      <c r="G674" s="26"/>
      <c r="H674" s="26"/>
      <c r="I674" s="27"/>
      <c r="J674" s="465"/>
      <c r="L674" s="5"/>
      <c r="M674" s="5"/>
      <c r="N674" s="5"/>
      <c r="O674" s="5"/>
      <c r="Q674" s="5"/>
    </row>
    <row r="675" spans="1:17">
      <c r="A675" s="130" t="s">
        <v>115</v>
      </c>
      <c r="B675" s="135" t="s">
        <v>76</v>
      </c>
      <c r="C675" s="33">
        <v>3670</v>
      </c>
      <c r="D675" s="32"/>
      <c r="E675" s="33">
        <v>118000</v>
      </c>
      <c r="F675" s="33">
        <v>4000</v>
      </c>
      <c r="G675" s="33"/>
      <c r="H675" s="57"/>
      <c r="I675" s="33">
        <v>118000</v>
      </c>
      <c r="J675" s="31">
        <f>+SUM(C675:G675)-(H675+I675)</f>
        <v>7670</v>
      </c>
      <c r="K675" s="153"/>
      <c r="L675" s="5"/>
      <c r="M675" s="5"/>
      <c r="N675" s="5"/>
      <c r="O675" s="5"/>
      <c r="Q675" s="5"/>
    </row>
    <row r="676" spans="1:17">
      <c r="A676" s="130" t="s">
        <v>115</v>
      </c>
      <c r="B676" s="135" t="s">
        <v>47</v>
      </c>
      <c r="C676" s="33">
        <v>-540</v>
      </c>
      <c r="D676" s="32"/>
      <c r="E676" s="33">
        <v>209750</v>
      </c>
      <c r="F676" s="33">
        <v>5000</v>
      </c>
      <c r="G676" s="33"/>
      <c r="H676" s="57"/>
      <c r="I676" s="33">
        <v>209500</v>
      </c>
      <c r="J676" s="31">
        <f t="shared" ref="J676:J677" si="307">+SUM(C676:G676)-(H676+I676)</f>
        <v>4710</v>
      </c>
      <c r="K676" s="153"/>
      <c r="L676" s="5"/>
      <c r="M676" s="5"/>
      <c r="N676" s="5"/>
      <c r="O676" s="5"/>
      <c r="Q676" s="5"/>
    </row>
    <row r="677" spans="1:17">
      <c r="A677" s="130" t="s">
        <v>115</v>
      </c>
      <c r="B677" s="135" t="s">
        <v>31</v>
      </c>
      <c r="C677" s="33">
        <v>2395</v>
      </c>
      <c r="D677" s="32"/>
      <c r="E677" s="33">
        <v>70000</v>
      </c>
      <c r="F677" s="33">
        <v>4000</v>
      </c>
      <c r="G677" s="33"/>
      <c r="H677" s="33"/>
      <c r="I677" s="33">
        <v>67100</v>
      </c>
      <c r="J677" s="107">
        <f t="shared" si="307"/>
        <v>9295</v>
      </c>
      <c r="K677" s="153"/>
      <c r="L677" s="5"/>
      <c r="M677" s="5"/>
      <c r="N677" s="5"/>
      <c r="O677" s="5"/>
      <c r="Q677" s="5"/>
    </row>
    <row r="678" spans="1:17">
      <c r="A678" s="130" t="s">
        <v>115</v>
      </c>
      <c r="B678" s="135" t="s">
        <v>77</v>
      </c>
      <c r="C678" s="33">
        <v>96100</v>
      </c>
      <c r="D678" s="110"/>
      <c r="E678" s="33">
        <v>488100</v>
      </c>
      <c r="F678" s="33">
        <v>4000</v>
      </c>
      <c r="G678" s="33"/>
      <c r="H678" s="33">
        <v>61600</v>
      </c>
      <c r="I678" s="33">
        <v>551700</v>
      </c>
      <c r="J678" s="107">
        <f>+SUM(C678:G678)-(H678+I678)</f>
        <v>-25100</v>
      </c>
      <c r="K678" s="153"/>
      <c r="L678" s="5"/>
      <c r="M678" s="5"/>
      <c r="N678" s="5"/>
      <c r="O678" s="5"/>
      <c r="Q678" s="5"/>
    </row>
    <row r="679" spans="1:17">
      <c r="A679" s="130" t="s">
        <v>115</v>
      </c>
      <c r="B679" s="135" t="s">
        <v>69</v>
      </c>
      <c r="C679" s="33">
        <v>13884</v>
      </c>
      <c r="D679" s="110"/>
      <c r="E679" s="33">
        <v>194000</v>
      </c>
      <c r="F679" s="33"/>
      <c r="G679" s="33"/>
      <c r="H679" s="33">
        <v>17000</v>
      </c>
      <c r="I679" s="33">
        <v>183500</v>
      </c>
      <c r="J679" s="107">
        <f t="shared" ref="J679" si="308">+SUM(C679:G679)-(H679+I679)</f>
        <v>7384</v>
      </c>
      <c r="K679" s="153"/>
      <c r="L679" s="5"/>
      <c r="M679" s="5"/>
      <c r="N679" s="5"/>
      <c r="O679" s="5"/>
      <c r="Q679" s="5"/>
    </row>
    <row r="680" spans="1:17">
      <c r="A680" s="130" t="s">
        <v>115</v>
      </c>
      <c r="B680" s="136" t="s">
        <v>30</v>
      </c>
      <c r="C680" s="33">
        <v>72400</v>
      </c>
      <c r="D680" s="127"/>
      <c r="E680" s="53">
        <v>599900</v>
      </c>
      <c r="F680" s="53"/>
      <c r="G680" s="53"/>
      <c r="H680" s="53"/>
      <c r="I680" s="53">
        <v>611000</v>
      </c>
      <c r="J680" s="132">
        <f>+SUM(C680:G680)-(H680+I680)</f>
        <v>61300</v>
      </c>
      <c r="K680" s="153"/>
      <c r="L680" s="5"/>
      <c r="M680" s="5"/>
      <c r="N680" s="5"/>
      <c r="O680" s="5"/>
      <c r="Q680" s="5"/>
    </row>
    <row r="681" spans="1:17">
      <c r="A681" s="130" t="s">
        <v>115</v>
      </c>
      <c r="B681" s="137" t="s">
        <v>84</v>
      </c>
      <c r="C681" s="128">
        <v>233614</v>
      </c>
      <c r="D681" s="131"/>
      <c r="E681" s="146"/>
      <c r="F681" s="146"/>
      <c r="G681" s="146"/>
      <c r="H681" s="146"/>
      <c r="I681" s="146"/>
      <c r="J681" s="129">
        <f>+SUM(C681:G681)-(H681+I681)</f>
        <v>233614</v>
      </c>
      <c r="K681" s="153"/>
      <c r="L681" s="5"/>
      <c r="M681" s="5"/>
      <c r="N681" s="5"/>
      <c r="O681" s="5"/>
      <c r="Q681" s="5"/>
    </row>
    <row r="682" spans="1:17">
      <c r="A682" s="130" t="s">
        <v>115</v>
      </c>
      <c r="B682" s="137" t="s">
        <v>83</v>
      </c>
      <c r="C682" s="128">
        <v>249769</v>
      </c>
      <c r="D682" s="131"/>
      <c r="E682" s="146"/>
      <c r="F682" s="146"/>
      <c r="G682" s="146"/>
      <c r="H682" s="146"/>
      <c r="I682" s="146"/>
      <c r="J682" s="129">
        <f t="shared" ref="J682:J689" si="309">+SUM(C682:G682)-(H682+I682)</f>
        <v>249769</v>
      </c>
      <c r="K682" s="153"/>
      <c r="L682" s="5"/>
      <c r="M682" s="5"/>
      <c r="N682" s="5"/>
      <c r="O682" s="5"/>
      <c r="Q682" s="5"/>
    </row>
    <row r="683" spans="1:17">
      <c r="A683" s="130" t="s">
        <v>115</v>
      </c>
      <c r="B683" s="135" t="s">
        <v>35</v>
      </c>
      <c r="C683" s="33">
        <v>18490</v>
      </c>
      <c r="D683" s="32"/>
      <c r="E683" s="33">
        <v>796460</v>
      </c>
      <c r="F683" s="33">
        <v>61600</v>
      </c>
      <c r="G683" s="110"/>
      <c r="H683" s="110"/>
      <c r="I683" s="33">
        <v>872050</v>
      </c>
      <c r="J683" s="31">
        <f t="shared" si="309"/>
        <v>4500</v>
      </c>
      <c r="K683" s="153"/>
      <c r="L683" s="5"/>
      <c r="M683" s="5"/>
      <c r="N683" s="5"/>
      <c r="O683" s="5"/>
      <c r="Q683" s="5"/>
    </row>
    <row r="684" spans="1:17">
      <c r="A684" s="130" t="s">
        <v>115</v>
      </c>
      <c r="B684" s="135" t="s">
        <v>93</v>
      </c>
      <c r="C684" s="33">
        <v>4500</v>
      </c>
      <c r="D684" s="32"/>
      <c r="E684" s="33">
        <v>40000</v>
      </c>
      <c r="F684" s="110"/>
      <c r="G684" s="110"/>
      <c r="H684" s="110"/>
      <c r="I684" s="33">
        <v>50500</v>
      </c>
      <c r="J684" s="31">
        <f t="shared" si="309"/>
        <v>-6000</v>
      </c>
      <c r="K684" s="153"/>
      <c r="L684" s="5"/>
      <c r="M684" s="5"/>
      <c r="N684" s="5"/>
      <c r="O684" s="5"/>
      <c r="Q684" s="5"/>
    </row>
    <row r="685" spans="1:17">
      <c r="A685" s="130" t="s">
        <v>115</v>
      </c>
      <c r="B685" s="135" t="s">
        <v>29</v>
      </c>
      <c r="C685" s="33">
        <v>44200</v>
      </c>
      <c r="D685" s="32"/>
      <c r="E685" s="33">
        <v>60000</v>
      </c>
      <c r="F685" s="110"/>
      <c r="G685" s="110"/>
      <c r="H685" s="110"/>
      <c r="I685" s="33">
        <v>32000</v>
      </c>
      <c r="J685" s="31">
        <f t="shared" si="309"/>
        <v>72200</v>
      </c>
      <c r="K685" s="153"/>
      <c r="L685" s="5"/>
      <c r="M685" s="5"/>
      <c r="N685" s="5"/>
      <c r="O685" s="5"/>
      <c r="Q685" s="5"/>
    </row>
    <row r="686" spans="1:17">
      <c r="A686" s="130" t="s">
        <v>115</v>
      </c>
      <c r="B686" s="135" t="s">
        <v>94</v>
      </c>
      <c r="C686" s="33">
        <v>-851709</v>
      </c>
      <c r="D686" s="32"/>
      <c r="E686" s="33">
        <v>851709</v>
      </c>
      <c r="F686" s="110"/>
      <c r="G686" s="110"/>
      <c r="H686" s="110"/>
      <c r="I686" s="33"/>
      <c r="J686" s="31">
        <f>+SUM(C686:G686)-(H686+I686)</f>
        <v>0</v>
      </c>
      <c r="K686" s="153"/>
      <c r="L686" s="5"/>
      <c r="M686" s="5"/>
      <c r="N686" s="5"/>
      <c r="O686" s="5"/>
      <c r="Q686" s="5"/>
    </row>
    <row r="687" spans="1:17">
      <c r="A687" s="130" t="s">
        <v>115</v>
      </c>
      <c r="B687" s="135" t="s">
        <v>101</v>
      </c>
      <c r="C687" s="33">
        <v>90300</v>
      </c>
      <c r="D687" s="32"/>
      <c r="E687" s="33">
        <v>69200</v>
      </c>
      <c r="F687" s="110"/>
      <c r="G687" s="110"/>
      <c r="H687" s="110"/>
      <c r="I687" s="33">
        <v>159500</v>
      </c>
      <c r="J687" s="31">
        <f t="shared" si="309"/>
        <v>0</v>
      </c>
      <c r="K687" s="153"/>
      <c r="L687" s="5"/>
      <c r="M687" s="5"/>
      <c r="N687" s="5"/>
      <c r="O687" s="5"/>
      <c r="Q687" s="5"/>
    </row>
    <row r="688" spans="1:17">
      <c r="A688" s="130" t="s">
        <v>115</v>
      </c>
      <c r="B688" s="135" t="s">
        <v>32</v>
      </c>
      <c r="C688" s="33">
        <v>300</v>
      </c>
      <c r="D688" s="32"/>
      <c r="E688" s="33">
        <v>20000</v>
      </c>
      <c r="F688" s="110"/>
      <c r="G688" s="110"/>
      <c r="H688" s="110"/>
      <c r="I688" s="33">
        <v>11000</v>
      </c>
      <c r="J688" s="31">
        <f t="shared" si="309"/>
        <v>9300</v>
      </c>
      <c r="K688" s="153"/>
      <c r="L688" s="5"/>
      <c r="M688" s="5"/>
      <c r="N688" s="5"/>
      <c r="O688" s="5"/>
      <c r="Q688" s="5"/>
    </row>
    <row r="689" spans="1:17">
      <c r="A689" s="130" t="s">
        <v>115</v>
      </c>
      <c r="B689" s="136" t="s">
        <v>113</v>
      </c>
      <c r="C689" s="33">
        <v>0</v>
      </c>
      <c r="D689" s="127"/>
      <c r="E689" s="145"/>
      <c r="F689" s="145"/>
      <c r="G689" s="147"/>
      <c r="H689" s="145"/>
      <c r="I689" s="53">
        <v>14000</v>
      </c>
      <c r="J689" s="31">
        <f t="shared" si="309"/>
        <v>-14000</v>
      </c>
      <c r="K689" s="153"/>
      <c r="L689" s="5"/>
      <c r="M689" s="5"/>
      <c r="N689" s="5"/>
      <c r="O689" s="5"/>
      <c r="Q689" s="5"/>
    </row>
    <row r="690" spans="1:17">
      <c r="A690" s="35" t="s">
        <v>60</v>
      </c>
      <c r="B690" s="36"/>
      <c r="C690" s="36"/>
      <c r="D690" s="36"/>
      <c r="E690" s="36"/>
      <c r="F690" s="36"/>
      <c r="G690" s="36"/>
      <c r="H690" s="36"/>
      <c r="I690" s="36"/>
      <c r="J690" s="37"/>
      <c r="L690" s="5"/>
      <c r="M690" s="5"/>
      <c r="N690" s="5"/>
      <c r="O690" s="5"/>
      <c r="Q690" s="5"/>
    </row>
    <row r="691" spans="1:17">
      <c r="A691" s="130" t="s">
        <v>115</v>
      </c>
      <c r="B691" s="38" t="s">
        <v>61</v>
      </c>
      <c r="C691" s="39" t="e">
        <f>C548</f>
        <v>#REF!</v>
      </c>
      <c r="D691" s="51">
        <v>5872000</v>
      </c>
      <c r="E691" s="109"/>
      <c r="F691" s="109"/>
      <c r="G691" s="148"/>
      <c r="H691" s="139">
        <v>3517119</v>
      </c>
      <c r="I691" s="134">
        <v>1523260</v>
      </c>
      <c r="J691" s="46" t="e">
        <f>+SUM(C691:G691)-(H691+I691)</f>
        <v>#REF!</v>
      </c>
      <c r="K691" s="153"/>
      <c r="L691" s="5"/>
      <c r="M691" s="5"/>
      <c r="N691" s="5"/>
      <c r="O691" s="5"/>
      <c r="Q691" s="5"/>
    </row>
    <row r="692" spans="1:17">
      <c r="A692" s="44" t="s">
        <v>62</v>
      </c>
      <c r="B692" s="25"/>
      <c r="C692" s="36"/>
      <c r="D692" s="25"/>
      <c r="E692" s="25"/>
      <c r="F692" s="25"/>
      <c r="G692" s="25"/>
      <c r="H692" s="25"/>
      <c r="I692" s="25"/>
      <c r="J692" s="37"/>
      <c r="L692" s="5"/>
      <c r="M692" s="5"/>
      <c r="N692" s="5"/>
      <c r="O692" s="5"/>
      <c r="Q692" s="5"/>
    </row>
    <row r="693" spans="1:17">
      <c r="A693" s="130" t="s">
        <v>115</v>
      </c>
      <c r="B693" s="38" t="s">
        <v>63</v>
      </c>
      <c r="C693" s="133" t="e">
        <f>#REF!</f>
        <v>#REF!</v>
      </c>
      <c r="D693" s="140">
        <v>10380044</v>
      </c>
      <c r="E693" s="51"/>
      <c r="F693" s="51"/>
      <c r="G693" s="51"/>
      <c r="H693" s="53">
        <v>5500000</v>
      </c>
      <c r="I693" s="55">
        <v>277455</v>
      </c>
      <c r="J693" s="46" t="e">
        <f>+SUM(C693:G693)-(H693+I693)</f>
        <v>#REF!</v>
      </c>
      <c r="K693" s="153"/>
      <c r="L693" s="5"/>
      <c r="M693" s="5"/>
      <c r="N693" s="5"/>
      <c r="O693" s="5"/>
      <c r="Q693" s="5"/>
    </row>
    <row r="694" spans="1:17">
      <c r="A694" s="130" t="s">
        <v>115</v>
      </c>
      <c r="B694" s="38" t="s">
        <v>64</v>
      </c>
      <c r="C694" s="133" t="e">
        <f>C547</f>
        <v>#REF!</v>
      </c>
      <c r="D694" s="51"/>
      <c r="E694" s="50"/>
      <c r="F694" s="50"/>
      <c r="G694" s="50"/>
      <c r="H694" s="33">
        <v>372000</v>
      </c>
      <c r="I694" s="52">
        <v>4601760</v>
      </c>
      <c r="J694" s="46" t="e">
        <f>SUM(C694:G694)-(H694+I694)</f>
        <v>#REF!</v>
      </c>
      <c r="K694" s="153"/>
      <c r="L694" s="5"/>
      <c r="M694" s="5"/>
      <c r="N694" s="5"/>
      <c r="O694" s="5"/>
      <c r="Q694" s="5"/>
    </row>
    <row r="695" spans="1:17" ht="15.75">
      <c r="C695" s="151" t="e">
        <f>SUM(C675:C694)</f>
        <v>#REF!</v>
      </c>
      <c r="I695" s="149">
        <f>SUM(I675:I694)</f>
        <v>9282325</v>
      </c>
      <c r="J695" s="111" t="e">
        <f>+SUM(J675:J694)</f>
        <v>#REF!</v>
      </c>
      <c r="L695" s="5"/>
      <c r="M695" s="5"/>
      <c r="N695" s="5"/>
      <c r="O695" s="5"/>
      <c r="Q695" s="5"/>
    </row>
    <row r="696" spans="1:17" ht="16.5">
      <c r="A696" s="14"/>
      <c r="B696" s="15"/>
      <c r="C696" s="12"/>
      <c r="D696" s="12"/>
      <c r="E696" s="13"/>
      <c r="F696" s="12"/>
      <c r="G696" s="12"/>
      <c r="H696" s="12"/>
      <c r="I696" s="12"/>
      <c r="L696" s="5"/>
      <c r="M696" s="5"/>
      <c r="N696" s="5"/>
      <c r="O696" s="5"/>
      <c r="Q696" s="5"/>
    </row>
    <row r="697" spans="1:17">
      <c r="A697" s="16" t="s">
        <v>52</v>
      </c>
      <c r="B697" s="16"/>
      <c r="C697" s="16"/>
      <c r="D697" s="17"/>
      <c r="E697" s="17"/>
      <c r="F697" s="17"/>
      <c r="G697" s="17"/>
      <c r="H697" s="17"/>
      <c r="I697" s="17"/>
      <c r="L697" s="5"/>
      <c r="M697" s="5"/>
      <c r="N697" s="5"/>
      <c r="O697" s="5"/>
      <c r="Q697" s="5"/>
    </row>
    <row r="698" spans="1:17">
      <c r="A698" s="18" t="s">
        <v>109</v>
      </c>
      <c r="B698" s="18"/>
      <c r="C698" s="18"/>
      <c r="D698" s="18"/>
      <c r="E698" s="18"/>
      <c r="F698" s="18"/>
      <c r="G698" s="18"/>
      <c r="H698" s="18"/>
      <c r="I698" s="18"/>
      <c r="J698" s="17"/>
      <c r="L698" s="5"/>
      <c r="M698" s="5"/>
      <c r="N698" s="5"/>
      <c r="O698" s="5"/>
      <c r="Q698" s="5"/>
    </row>
    <row r="699" spans="1:17">
      <c r="A699" s="19"/>
      <c r="B699" s="20"/>
      <c r="C699" s="21"/>
      <c r="D699" s="21"/>
      <c r="E699" s="21"/>
      <c r="F699" s="21"/>
      <c r="G699" s="21"/>
      <c r="H699" s="20"/>
      <c r="I699" s="20"/>
      <c r="J699" s="18"/>
      <c r="L699" s="5"/>
      <c r="M699" s="5"/>
      <c r="N699" s="5"/>
      <c r="O699" s="5"/>
      <c r="Q699" s="5"/>
    </row>
    <row r="700" spans="1:17">
      <c r="A700" s="451" t="s">
        <v>53</v>
      </c>
      <c r="B700" s="453" t="s">
        <v>54</v>
      </c>
      <c r="C700" s="455" t="s">
        <v>110</v>
      </c>
      <c r="D700" s="457" t="s">
        <v>55</v>
      </c>
      <c r="E700" s="458"/>
      <c r="F700" s="458"/>
      <c r="G700" s="459"/>
      <c r="H700" s="460" t="s">
        <v>56</v>
      </c>
      <c r="I700" s="462" t="s">
        <v>57</v>
      </c>
      <c r="J700" s="20"/>
      <c r="L700" s="5"/>
      <c r="M700" s="5"/>
      <c r="N700" s="5"/>
      <c r="O700" s="5"/>
      <c r="Q700" s="5"/>
    </row>
    <row r="701" spans="1:17">
      <c r="A701" s="452"/>
      <c r="B701" s="454"/>
      <c r="C701" s="456"/>
      <c r="D701" s="22" t="s">
        <v>24</v>
      </c>
      <c r="E701" s="22" t="s">
        <v>25</v>
      </c>
      <c r="F701" s="150" t="s">
        <v>112</v>
      </c>
      <c r="G701" s="22" t="s">
        <v>58</v>
      </c>
      <c r="H701" s="461"/>
      <c r="I701" s="463"/>
      <c r="J701" s="464" t="s">
        <v>111</v>
      </c>
      <c r="L701" s="5"/>
      <c r="M701" s="5"/>
      <c r="N701" s="5"/>
      <c r="O701" s="5"/>
      <c r="Q701" s="5"/>
    </row>
    <row r="702" spans="1:17">
      <c r="A702" s="24"/>
      <c r="B702" s="25" t="s">
        <v>59</v>
      </c>
      <c r="C702" s="26"/>
      <c r="D702" s="26"/>
      <c r="E702" s="26"/>
      <c r="F702" s="26"/>
      <c r="G702" s="26"/>
      <c r="H702" s="26"/>
      <c r="I702" s="27"/>
      <c r="J702" s="465"/>
      <c r="L702" s="5"/>
      <c r="M702" s="5"/>
      <c r="N702" s="5"/>
      <c r="O702" s="5"/>
      <c r="Q702" s="5"/>
    </row>
    <row r="703" spans="1:17">
      <c r="A703" s="130" t="s">
        <v>108</v>
      </c>
      <c r="B703" s="135" t="s">
        <v>76</v>
      </c>
      <c r="C703" s="33">
        <v>-11330</v>
      </c>
      <c r="D703" s="32"/>
      <c r="E703" s="33">
        <v>201400</v>
      </c>
      <c r="F703" s="33">
        <v>184300</v>
      </c>
      <c r="G703" s="33"/>
      <c r="H703" s="57"/>
      <c r="I703" s="33">
        <v>370700</v>
      </c>
      <c r="J703" s="31">
        <f>+SUM(C703:G703)-(H703+I703)</f>
        <v>3670</v>
      </c>
      <c r="K703" s="70"/>
      <c r="L703" s="5"/>
      <c r="M703" s="5"/>
      <c r="N703" s="5"/>
      <c r="O703" s="5"/>
      <c r="Q703" s="5"/>
    </row>
    <row r="704" spans="1:17">
      <c r="A704" s="130" t="s">
        <v>108</v>
      </c>
      <c r="B704" s="135" t="s">
        <v>47</v>
      </c>
      <c r="C704" s="33">
        <v>8260</v>
      </c>
      <c r="D704" s="32"/>
      <c r="E704" s="33">
        <v>357900</v>
      </c>
      <c r="F704" s="33"/>
      <c r="G704" s="33"/>
      <c r="H704" s="57">
        <v>50000</v>
      </c>
      <c r="I704" s="33">
        <v>316700</v>
      </c>
      <c r="J704" s="31">
        <f t="shared" ref="J704:J705" si="310">+SUM(C704:G704)-(H704+I704)</f>
        <v>-540</v>
      </c>
      <c r="K704" s="70"/>
      <c r="L704" s="5"/>
      <c r="M704" s="5"/>
      <c r="N704" s="5"/>
      <c r="O704" s="5"/>
      <c r="Q704" s="5"/>
    </row>
    <row r="705" spans="1:17">
      <c r="A705" s="130" t="s">
        <v>108</v>
      </c>
      <c r="B705" s="135" t="s">
        <v>31</v>
      </c>
      <c r="C705" s="33">
        <v>3795</v>
      </c>
      <c r="D705" s="32"/>
      <c r="E705" s="33">
        <v>20000</v>
      </c>
      <c r="F705" s="33"/>
      <c r="G705" s="33"/>
      <c r="H705" s="33"/>
      <c r="I705" s="33">
        <v>21400</v>
      </c>
      <c r="J705" s="107">
        <f t="shared" si="310"/>
        <v>2395</v>
      </c>
      <c r="K705" s="70"/>
      <c r="L705" s="5"/>
      <c r="M705" s="5"/>
      <c r="N705" s="5"/>
      <c r="O705" s="5"/>
      <c r="Q705" s="5"/>
    </row>
    <row r="706" spans="1:17">
      <c r="A706" s="130" t="s">
        <v>108</v>
      </c>
      <c r="B706" s="135" t="s">
        <v>77</v>
      </c>
      <c r="C706" s="33">
        <v>-83100</v>
      </c>
      <c r="D706" s="110"/>
      <c r="E706" s="33">
        <v>699200</v>
      </c>
      <c r="F706" s="33"/>
      <c r="G706" s="33"/>
      <c r="H706" s="33"/>
      <c r="I706" s="33">
        <v>520000</v>
      </c>
      <c r="J706" s="107">
        <f>+SUM(C706:G706)-(H706+I706)</f>
        <v>96100</v>
      </c>
      <c r="K706" s="70"/>
      <c r="L706" s="5"/>
      <c r="M706" s="5"/>
      <c r="N706" s="5"/>
      <c r="O706" s="5"/>
      <c r="Q706" s="5"/>
    </row>
    <row r="707" spans="1:17">
      <c r="A707" s="130" t="s">
        <v>108</v>
      </c>
      <c r="B707" s="135" t="s">
        <v>69</v>
      </c>
      <c r="C707" s="33">
        <v>1784</v>
      </c>
      <c r="D707" s="110"/>
      <c r="E707" s="33">
        <v>568600</v>
      </c>
      <c r="F707" s="33">
        <v>50000</v>
      </c>
      <c r="G707" s="33"/>
      <c r="H707" s="33">
        <v>184300</v>
      </c>
      <c r="I707" s="33">
        <v>422200</v>
      </c>
      <c r="J707" s="107">
        <f t="shared" ref="J707" si="311">+SUM(C707:G707)-(H707+I707)</f>
        <v>13884</v>
      </c>
      <c r="K707" s="70"/>
      <c r="L707" s="5"/>
      <c r="M707" s="5"/>
      <c r="N707" s="5"/>
      <c r="O707" s="5"/>
      <c r="Q707" s="5"/>
    </row>
    <row r="708" spans="1:17">
      <c r="A708" s="130" t="s">
        <v>108</v>
      </c>
      <c r="B708" s="136" t="s">
        <v>30</v>
      </c>
      <c r="C708" s="33">
        <v>88800</v>
      </c>
      <c r="D708" s="127"/>
      <c r="E708" s="53">
        <v>694600</v>
      </c>
      <c r="F708" s="53"/>
      <c r="G708" s="53"/>
      <c r="H708" s="53"/>
      <c r="I708" s="53">
        <v>711000</v>
      </c>
      <c r="J708" s="132">
        <f>+SUM(C708:G708)-(H708+I708)</f>
        <v>72400</v>
      </c>
      <c r="K708" s="70"/>
      <c r="L708" s="5"/>
      <c r="M708" s="5"/>
      <c r="N708" s="5"/>
      <c r="O708" s="5"/>
      <c r="Q708" s="5"/>
    </row>
    <row r="709" spans="1:17">
      <c r="A709" s="130" t="s">
        <v>108</v>
      </c>
      <c r="B709" s="137" t="s">
        <v>84</v>
      </c>
      <c r="C709" s="128">
        <v>233614</v>
      </c>
      <c r="D709" s="131"/>
      <c r="E709" s="146"/>
      <c r="F709" s="146"/>
      <c r="G709" s="146"/>
      <c r="H709" s="146"/>
      <c r="I709" s="146"/>
      <c r="J709" s="129">
        <f>+SUM(C709:G709)-(H709+I709)</f>
        <v>233614</v>
      </c>
      <c r="K709" s="70"/>
      <c r="L709" s="5"/>
      <c r="M709" s="5"/>
      <c r="N709" s="5"/>
      <c r="O709" s="5"/>
      <c r="Q709" s="5"/>
    </row>
    <row r="710" spans="1:17">
      <c r="A710" s="130" t="s">
        <v>108</v>
      </c>
      <c r="B710" s="137" t="s">
        <v>83</v>
      </c>
      <c r="C710" s="128">
        <v>249769</v>
      </c>
      <c r="D710" s="131"/>
      <c r="E710" s="146"/>
      <c r="F710" s="146"/>
      <c r="G710" s="146"/>
      <c r="H710" s="146"/>
      <c r="I710" s="146"/>
      <c r="J710" s="129">
        <f t="shared" ref="J710:J714" si="312">+SUM(C710:G710)-(H710+I710)</f>
        <v>249769</v>
      </c>
      <c r="K710" s="70"/>
      <c r="L710" s="5"/>
      <c r="M710" s="5"/>
      <c r="N710" s="5"/>
      <c r="O710" s="5"/>
      <c r="Q710" s="5"/>
    </row>
    <row r="711" spans="1:17">
      <c r="A711" s="130" t="s">
        <v>108</v>
      </c>
      <c r="B711" s="135" t="s">
        <v>35</v>
      </c>
      <c r="C711" s="33">
        <v>7890</v>
      </c>
      <c r="D711" s="32"/>
      <c r="E711" s="33">
        <v>135600</v>
      </c>
      <c r="F711" s="110"/>
      <c r="G711" s="110"/>
      <c r="H711" s="110"/>
      <c r="I711" s="33">
        <v>125000</v>
      </c>
      <c r="J711" s="31">
        <f t="shared" si="312"/>
        <v>18490</v>
      </c>
      <c r="K711" s="70"/>
      <c r="L711" s="5"/>
      <c r="M711" s="5"/>
      <c r="N711" s="5"/>
      <c r="O711" s="5"/>
      <c r="Q711" s="5"/>
    </row>
    <row r="712" spans="1:17">
      <c r="A712" s="130" t="s">
        <v>108</v>
      </c>
      <c r="B712" s="135" t="s">
        <v>93</v>
      </c>
      <c r="C712" s="33">
        <v>5000</v>
      </c>
      <c r="D712" s="32"/>
      <c r="E712" s="33">
        <v>30000</v>
      </c>
      <c r="F712" s="110"/>
      <c r="G712" s="110"/>
      <c r="H712" s="110"/>
      <c r="I712" s="33">
        <v>30500</v>
      </c>
      <c r="J712" s="31">
        <f t="shared" si="312"/>
        <v>4500</v>
      </c>
      <c r="K712" s="70"/>
      <c r="L712" s="5"/>
      <c r="M712" s="5"/>
      <c r="N712" s="5"/>
      <c r="O712" s="5"/>
      <c r="Q712" s="5"/>
    </row>
    <row r="713" spans="1:17">
      <c r="A713" s="130" t="s">
        <v>108</v>
      </c>
      <c r="B713" s="135" t="s">
        <v>29</v>
      </c>
      <c r="C713" s="33">
        <v>57700</v>
      </c>
      <c r="D713" s="32"/>
      <c r="E713" s="33">
        <v>639000</v>
      </c>
      <c r="F713" s="110"/>
      <c r="G713" s="110"/>
      <c r="H713" s="110"/>
      <c r="I713" s="33">
        <v>652500</v>
      </c>
      <c r="J713" s="31">
        <f t="shared" si="312"/>
        <v>44200</v>
      </c>
      <c r="K713" s="70"/>
      <c r="L713" s="5"/>
      <c r="M713" s="5"/>
      <c r="N713" s="5"/>
      <c r="O713" s="5"/>
      <c r="Q713" s="5"/>
    </row>
    <row r="714" spans="1:17">
      <c r="A714" s="130" t="s">
        <v>108</v>
      </c>
      <c r="B714" s="135" t="s">
        <v>94</v>
      </c>
      <c r="C714" s="33">
        <v>-32081</v>
      </c>
      <c r="D714" s="32"/>
      <c r="E714" s="110"/>
      <c r="F714" s="110"/>
      <c r="G714" s="110"/>
      <c r="H714" s="110"/>
      <c r="I714" s="33">
        <v>819628</v>
      </c>
      <c r="J714" s="31">
        <f t="shared" si="312"/>
        <v>-851709</v>
      </c>
      <c r="K714" s="70"/>
      <c r="L714" s="5"/>
      <c r="M714" s="5"/>
      <c r="N714" s="5"/>
      <c r="O714" s="5"/>
      <c r="Q714" s="5"/>
    </row>
    <row r="715" spans="1:17">
      <c r="A715" s="130" t="s">
        <v>108</v>
      </c>
      <c r="B715" s="135" t="s">
        <v>101</v>
      </c>
      <c r="C715" s="33">
        <v>62000</v>
      </c>
      <c r="D715" s="32"/>
      <c r="E715" s="33">
        <v>622600</v>
      </c>
      <c r="F715" s="110"/>
      <c r="G715" s="110"/>
      <c r="H715" s="110"/>
      <c r="I715" s="33">
        <v>594300</v>
      </c>
      <c r="J715" s="31">
        <f>+SUM(C715:G715)-(H715+I715)</f>
        <v>90300</v>
      </c>
      <c r="K715" s="70"/>
      <c r="L715" s="5"/>
      <c r="M715" s="5"/>
      <c r="N715" s="5"/>
      <c r="O715" s="5"/>
      <c r="Q715" s="5"/>
    </row>
    <row r="716" spans="1:17">
      <c r="A716" s="130" t="s">
        <v>108</v>
      </c>
      <c r="B716" s="136" t="s">
        <v>32</v>
      </c>
      <c r="C716" s="33">
        <v>4300</v>
      </c>
      <c r="D716" s="127"/>
      <c r="E716" s="145"/>
      <c r="F716" s="145"/>
      <c r="G716" s="147"/>
      <c r="H716" s="145"/>
      <c r="I716" s="53">
        <v>4000</v>
      </c>
      <c r="J716" s="31">
        <f t="shared" ref="J716" si="313">+SUM(C716:G716)-(H716+I716)</f>
        <v>300</v>
      </c>
      <c r="K716" s="70"/>
      <c r="L716" s="5"/>
      <c r="M716" s="5"/>
      <c r="N716" s="5"/>
      <c r="O716" s="5"/>
      <c r="Q716" s="5"/>
    </row>
    <row r="717" spans="1:17">
      <c r="A717" s="35" t="s">
        <v>60</v>
      </c>
      <c r="B717" s="36"/>
      <c r="C717" s="36"/>
      <c r="D717" s="36"/>
      <c r="E717" s="36"/>
      <c r="F717" s="36"/>
      <c r="G717" s="36"/>
      <c r="H717" s="36"/>
      <c r="I717" s="36"/>
      <c r="J717" s="37"/>
      <c r="K717" s="70"/>
      <c r="L717" s="5"/>
      <c r="M717" s="5"/>
      <c r="N717" s="5"/>
      <c r="O717" s="5"/>
      <c r="Q717" s="5"/>
    </row>
    <row r="718" spans="1:17">
      <c r="A718" s="130" t="s">
        <v>108</v>
      </c>
      <c r="B718" s="38" t="s">
        <v>61</v>
      </c>
      <c r="C718" s="39">
        <v>62150</v>
      </c>
      <c r="D718" s="51">
        <v>5500000</v>
      </c>
      <c r="E718" s="109"/>
      <c r="F718" s="109"/>
      <c r="G718" s="148"/>
      <c r="H718" s="139">
        <v>3968900</v>
      </c>
      <c r="I718" s="134">
        <v>1276534</v>
      </c>
      <c r="J718" s="46">
        <f>+SUM(C718:G718)-(H718+I718)</f>
        <v>316716</v>
      </c>
      <c r="K718" s="70"/>
      <c r="L718" s="5"/>
      <c r="M718" s="5"/>
      <c r="N718" s="5"/>
      <c r="O718" s="5"/>
      <c r="Q718" s="5"/>
    </row>
    <row r="719" spans="1:17">
      <c r="A719" s="44" t="s">
        <v>62</v>
      </c>
      <c r="B719" s="25"/>
      <c r="C719" s="36"/>
      <c r="D719" s="25"/>
      <c r="E719" s="25"/>
      <c r="F719" s="25"/>
      <c r="G719" s="25"/>
      <c r="H719" s="25"/>
      <c r="I719" s="25"/>
      <c r="J719" s="37"/>
      <c r="L719" s="5"/>
      <c r="M719" s="5"/>
      <c r="N719" s="5"/>
      <c r="O719" s="5"/>
      <c r="Q719" s="5"/>
    </row>
    <row r="720" spans="1:17">
      <c r="A720" s="130" t="s">
        <v>108</v>
      </c>
      <c r="B720" s="38" t="s">
        <v>63</v>
      </c>
      <c r="C720" s="133">
        <v>11284555</v>
      </c>
      <c r="D720" s="140"/>
      <c r="E720" s="51"/>
      <c r="F720" s="51"/>
      <c r="G720" s="51"/>
      <c r="H720" s="53">
        <v>5500000</v>
      </c>
      <c r="I720" s="55">
        <v>273881</v>
      </c>
      <c r="J720" s="46">
        <f>+SUM(C720:G720)-(H720+I720)</f>
        <v>5510674</v>
      </c>
      <c r="K720" s="70"/>
      <c r="L720" s="5"/>
      <c r="M720" s="5"/>
      <c r="N720" s="5"/>
      <c r="O720" s="5"/>
      <c r="Q720" s="5"/>
    </row>
    <row r="721" spans="1:17">
      <c r="A721" s="130" t="s">
        <v>108</v>
      </c>
      <c r="B721" s="38" t="s">
        <v>64</v>
      </c>
      <c r="C721" s="133">
        <v>2158645</v>
      </c>
      <c r="D721" s="51">
        <v>15435980</v>
      </c>
      <c r="E721" s="50"/>
      <c r="F721" s="50"/>
      <c r="G721" s="50"/>
      <c r="H721" s="33"/>
      <c r="I721" s="52">
        <v>6400961</v>
      </c>
      <c r="J721" s="46">
        <f>SUM(C721:G721)-(H721+I721)</f>
        <v>11193664</v>
      </c>
      <c r="K721" s="70"/>
      <c r="L721" s="5"/>
      <c r="M721" s="5"/>
      <c r="N721" s="5"/>
      <c r="O721" s="5"/>
      <c r="Q721" s="5"/>
    </row>
    <row r="722" spans="1:17" ht="15.75">
      <c r="C722" s="151">
        <f>SUM(C703:C721)</f>
        <v>14101751</v>
      </c>
      <c r="I722" s="149">
        <f>SUM(I703:I721)</f>
        <v>12539304</v>
      </c>
      <c r="J722" s="111">
        <f>+SUM(J703:J721)</f>
        <v>16998427</v>
      </c>
      <c r="L722" s="5"/>
      <c r="M722" s="5"/>
      <c r="N722" s="5"/>
      <c r="O722" s="5"/>
      <c r="Q722" s="5"/>
    </row>
    <row r="723" spans="1:17" ht="16.5">
      <c r="A723" s="10"/>
      <c r="B723" s="11"/>
      <c r="C723" s="12"/>
      <c r="D723" s="12"/>
      <c r="E723" s="12"/>
      <c r="F723" s="12"/>
      <c r="G723" s="12"/>
      <c r="H723" s="12"/>
      <c r="I723" s="12"/>
      <c r="J723" s="141"/>
      <c r="L723" s="5"/>
      <c r="M723" s="5"/>
      <c r="N723" s="5"/>
      <c r="O723" s="5"/>
      <c r="Q723" s="5"/>
    </row>
    <row r="724" spans="1:17" ht="16.5">
      <c r="A724" s="14"/>
      <c r="B724" s="15"/>
      <c r="C724" s="12"/>
      <c r="D724" s="12"/>
      <c r="E724" s="13"/>
      <c r="F724" s="12"/>
      <c r="G724" s="12"/>
      <c r="H724" s="12"/>
      <c r="I724" s="12"/>
      <c r="L724" s="5"/>
      <c r="M724" s="5"/>
      <c r="N724" s="5"/>
      <c r="O724" s="5"/>
      <c r="Q724" s="5"/>
    </row>
    <row r="725" spans="1:17">
      <c r="A725" s="16" t="s">
        <v>52</v>
      </c>
      <c r="B725" s="16"/>
      <c r="C725" s="16"/>
      <c r="D725" s="17"/>
      <c r="E725" s="17"/>
      <c r="F725" s="17"/>
      <c r="G725" s="17"/>
      <c r="H725" s="17"/>
      <c r="I725" s="17"/>
      <c r="L725" s="5"/>
      <c r="M725" s="5"/>
      <c r="N725" s="5"/>
      <c r="O725" s="5"/>
      <c r="Q725" s="5"/>
    </row>
    <row r="726" spans="1:17">
      <c r="A726" s="18" t="s">
        <v>106</v>
      </c>
      <c r="B726" s="18"/>
      <c r="C726" s="18"/>
      <c r="D726" s="18"/>
      <c r="E726" s="18"/>
      <c r="F726" s="18"/>
      <c r="G726" s="18"/>
      <c r="H726" s="18"/>
      <c r="I726" s="18"/>
      <c r="J726" s="17"/>
      <c r="L726" s="5"/>
      <c r="M726" s="5"/>
      <c r="N726" s="5"/>
      <c r="O726" s="5"/>
      <c r="Q726" s="5"/>
    </row>
    <row r="727" spans="1:17">
      <c r="A727" s="19"/>
      <c r="B727" s="20"/>
      <c r="C727" s="21"/>
      <c r="D727" s="21"/>
      <c r="E727" s="21"/>
      <c r="F727" s="21"/>
      <c r="G727" s="21"/>
      <c r="H727" s="20"/>
      <c r="I727" s="20"/>
      <c r="J727" s="18"/>
      <c r="L727" s="5"/>
      <c r="M727" s="5"/>
      <c r="N727" s="5"/>
      <c r="O727" s="5"/>
      <c r="Q727" s="5"/>
    </row>
    <row r="728" spans="1:17">
      <c r="A728" s="451" t="s">
        <v>53</v>
      </c>
      <c r="B728" s="453" t="s">
        <v>54</v>
      </c>
      <c r="C728" s="455" t="s">
        <v>104</v>
      </c>
      <c r="D728" s="457" t="s">
        <v>55</v>
      </c>
      <c r="E728" s="458"/>
      <c r="F728" s="458"/>
      <c r="G728" s="459"/>
      <c r="H728" s="460" t="s">
        <v>56</v>
      </c>
      <c r="I728" s="462" t="s">
        <v>57</v>
      </c>
      <c r="J728" s="20"/>
      <c r="L728" s="5"/>
      <c r="M728" s="5"/>
      <c r="N728" s="5"/>
      <c r="O728" s="5"/>
      <c r="Q728" s="5"/>
    </row>
    <row r="729" spans="1:17">
      <c r="A729" s="452"/>
      <c r="B729" s="454"/>
      <c r="C729" s="456"/>
      <c r="D729" s="22" t="s">
        <v>24</v>
      </c>
      <c r="E729" s="22" t="s">
        <v>25</v>
      </c>
      <c r="F729" s="142" t="s">
        <v>107</v>
      </c>
      <c r="G729" s="22" t="s">
        <v>58</v>
      </c>
      <c r="H729" s="461"/>
      <c r="I729" s="463"/>
      <c r="J729" s="464" t="s">
        <v>105</v>
      </c>
      <c r="L729" s="5"/>
      <c r="M729" s="5"/>
      <c r="N729" s="5"/>
      <c r="O729" s="5"/>
      <c r="Q729" s="5"/>
    </row>
    <row r="730" spans="1:17">
      <c r="A730" s="24"/>
      <c r="B730" s="25" t="s">
        <v>59</v>
      </c>
      <c r="C730" s="26"/>
      <c r="D730" s="26"/>
      <c r="E730" s="26"/>
      <c r="F730" s="26"/>
      <c r="G730" s="26"/>
      <c r="H730" s="26"/>
      <c r="I730" s="27"/>
      <c r="J730" s="465"/>
      <c r="L730" s="5"/>
      <c r="M730" s="5"/>
      <c r="N730" s="5"/>
      <c r="O730" s="5"/>
      <c r="Q730" s="5"/>
    </row>
    <row r="731" spans="1:17">
      <c r="A731" s="130" t="s">
        <v>103</v>
      </c>
      <c r="B731" s="135" t="s">
        <v>76</v>
      </c>
      <c r="C731" s="33">
        <v>22200</v>
      </c>
      <c r="D731" s="32"/>
      <c r="E731" s="33">
        <v>439970</v>
      </c>
      <c r="F731" s="110"/>
      <c r="G731" s="110"/>
      <c r="H731" s="144"/>
      <c r="I731" s="33">
        <v>473500</v>
      </c>
      <c r="J731" s="31">
        <f>+SUM(C731:G731)-(H731+I731)</f>
        <v>-11330</v>
      </c>
      <c r="K731" s="70"/>
      <c r="L731" s="5"/>
      <c r="M731" s="5"/>
      <c r="N731" s="5"/>
      <c r="O731" s="5"/>
      <c r="Q731" s="5"/>
    </row>
    <row r="732" spans="1:17">
      <c r="A732" s="130" t="s">
        <v>103</v>
      </c>
      <c r="B732" s="135" t="s">
        <v>47</v>
      </c>
      <c r="C732" s="33">
        <v>3060</v>
      </c>
      <c r="D732" s="32"/>
      <c r="E732" s="33">
        <v>157200</v>
      </c>
      <c r="F732" s="33"/>
      <c r="G732" s="33"/>
      <c r="H732" s="57"/>
      <c r="I732" s="33">
        <v>152000</v>
      </c>
      <c r="J732" s="31">
        <f t="shared" ref="J732:J733" si="314">+SUM(C732:G732)-(H732+I732)</f>
        <v>8260</v>
      </c>
      <c r="K732" s="70"/>
      <c r="L732" s="5"/>
      <c r="M732" s="5"/>
      <c r="N732" s="5"/>
      <c r="O732" s="5"/>
      <c r="Q732" s="5"/>
    </row>
    <row r="733" spans="1:17">
      <c r="A733" s="130" t="s">
        <v>103</v>
      </c>
      <c r="B733" s="135" t="s">
        <v>31</v>
      </c>
      <c r="C733" s="33">
        <v>3795</v>
      </c>
      <c r="D733" s="32"/>
      <c r="E733" s="33">
        <v>45000</v>
      </c>
      <c r="F733" s="33"/>
      <c r="G733" s="33"/>
      <c r="H733" s="33"/>
      <c r="I733" s="33">
        <v>45000</v>
      </c>
      <c r="J733" s="107">
        <f t="shared" si="314"/>
        <v>3795</v>
      </c>
      <c r="K733" s="70"/>
      <c r="L733" s="5"/>
      <c r="M733" s="5"/>
      <c r="N733" s="5"/>
      <c r="O733" s="5"/>
      <c r="Q733" s="5"/>
    </row>
    <row r="734" spans="1:17">
      <c r="A734" s="130" t="s">
        <v>103</v>
      </c>
      <c r="B734" s="135" t="s">
        <v>77</v>
      </c>
      <c r="C734" s="33">
        <v>2300</v>
      </c>
      <c r="D734" s="110"/>
      <c r="E734" s="33">
        <v>266600</v>
      </c>
      <c r="F734" s="33">
        <v>159900</v>
      </c>
      <c r="G734" s="33"/>
      <c r="H734" s="33">
        <v>25000</v>
      </c>
      <c r="I734" s="33">
        <v>486900</v>
      </c>
      <c r="J734" s="107">
        <f>+SUM(C734:G734)-(H734+I734)</f>
        <v>-83100</v>
      </c>
      <c r="K734" s="70"/>
      <c r="L734" s="5"/>
      <c r="M734" s="5"/>
      <c r="N734" s="5"/>
      <c r="O734" s="5"/>
      <c r="Q734" s="5"/>
    </row>
    <row r="735" spans="1:17">
      <c r="A735" s="130" t="s">
        <v>103</v>
      </c>
      <c r="B735" s="135" t="s">
        <v>69</v>
      </c>
      <c r="C735" s="33">
        <v>-14216</v>
      </c>
      <c r="D735" s="110"/>
      <c r="E735" s="33">
        <v>622600</v>
      </c>
      <c r="F735" s="33">
        <v>25000</v>
      </c>
      <c r="G735" s="33"/>
      <c r="H735" s="33">
        <v>260700</v>
      </c>
      <c r="I735" s="33">
        <v>370900</v>
      </c>
      <c r="J735" s="107">
        <f>+SUM(C735:G735)-(H735+I735)</f>
        <v>1784</v>
      </c>
      <c r="K735" s="70"/>
      <c r="L735" s="5"/>
      <c r="M735" s="5"/>
      <c r="N735" s="5"/>
      <c r="O735" s="5"/>
      <c r="Q735" s="5"/>
    </row>
    <row r="736" spans="1:17">
      <c r="A736" s="130" t="s">
        <v>103</v>
      </c>
      <c r="B736" s="136" t="s">
        <v>30</v>
      </c>
      <c r="C736" s="53">
        <v>143300</v>
      </c>
      <c r="D736" s="127"/>
      <c r="E736" s="53">
        <v>466500</v>
      </c>
      <c r="F736" s="145"/>
      <c r="G736" s="145"/>
      <c r="H736" s="145"/>
      <c r="I736" s="53">
        <v>521000</v>
      </c>
      <c r="J736" s="132">
        <f>+SUM(C736:G736)-(H736+I736)</f>
        <v>88800</v>
      </c>
      <c r="K736" s="70"/>
      <c r="L736" s="5"/>
      <c r="M736" s="5"/>
      <c r="N736" s="5"/>
      <c r="O736" s="5"/>
      <c r="Q736" s="5"/>
    </row>
    <row r="737" spans="1:17">
      <c r="A737" s="130" t="s">
        <v>103</v>
      </c>
      <c r="B737" s="137" t="s">
        <v>84</v>
      </c>
      <c r="C737" s="128">
        <v>233614</v>
      </c>
      <c r="D737" s="131"/>
      <c r="E737" s="146"/>
      <c r="F737" s="146"/>
      <c r="G737" s="146"/>
      <c r="H737" s="146"/>
      <c r="I737" s="146"/>
      <c r="J737" s="129">
        <f>+SUM(C737:G737)-(H737+I737)</f>
        <v>233614</v>
      </c>
      <c r="K737" s="70"/>
      <c r="L737" s="5"/>
      <c r="M737" s="5"/>
      <c r="N737" s="5"/>
      <c r="O737" s="5"/>
      <c r="Q737" s="5"/>
    </row>
    <row r="738" spans="1:17">
      <c r="A738" s="130" t="s">
        <v>103</v>
      </c>
      <c r="B738" s="137" t="s">
        <v>83</v>
      </c>
      <c r="C738" s="128">
        <v>249768</v>
      </c>
      <c r="D738" s="131"/>
      <c r="E738" s="146"/>
      <c r="F738" s="146"/>
      <c r="G738" s="146"/>
      <c r="H738" s="146"/>
      <c r="I738" s="146"/>
      <c r="J738" s="129">
        <f t="shared" ref="J738:J744" si="315">+SUM(C738:G738)-(H738+I738)</f>
        <v>249768</v>
      </c>
      <c r="K738" s="70"/>
      <c r="L738" s="5"/>
      <c r="M738" s="5"/>
      <c r="N738" s="5"/>
      <c r="O738" s="5"/>
      <c r="Q738" s="5"/>
    </row>
    <row r="739" spans="1:17">
      <c r="A739" s="130" t="s">
        <v>103</v>
      </c>
      <c r="B739" s="135" t="s">
        <v>35</v>
      </c>
      <c r="C739" s="33">
        <v>55090</v>
      </c>
      <c r="D739" s="32"/>
      <c r="E739" s="33">
        <v>143000</v>
      </c>
      <c r="F739" s="33">
        <v>70800</v>
      </c>
      <c r="G739" s="110"/>
      <c r="H739" s="110"/>
      <c r="I739" s="33">
        <v>261000</v>
      </c>
      <c r="J739" s="31">
        <f t="shared" si="315"/>
        <v>7890</v>
      </c>
      <c r="K739" s="70"/>
      <c r="L739" s="5"/>
      <c r="M739" s="5"/>
      <c r="N739" s="5"/>
      <c r="O739" s="5"/>
      <c r="Q739" s="5"/>
    </row>
    <row r="740" spans="1:17">
      <c r="A740" s="130" t="s">
        <v>103</v>
      </c>
      <c r="B740" s="135" t="s">
        <v>93</v>
      </c>
      <c r="C740" s="33">
        <v>0</v>
      </c>
      <c r="D740" s="32"/>
      <c r="E740" s="33">
        <v>30000</v>
      </c>
      <c r="F740" s="110"/>
      <c r="G740" s="110"/>
      <c r="H740" s="110"/>
      <c r="I740" s="33">
        <v>25000</v>
      </c>
      <c r="J740" s="31">
        <f t="shared" si="315"/>
        <v>5000</v>
      </c>
      <c r="K740" s="70"/>
      <c r="L740" s="5"/>
      <c r="M740" s="5"/>
      <c r="N740" s="5"/>
      <c r="O740" s="5"/>
      <c r="Q740" s="5"/>
    </row>
    <row r="741" spans="1:17">
      <c r="A741" s="130" t="s">
        <v>103</v>
      </c>
      <c r="B741" s="135" t="s">
        <v>29</v>
      </c>
      <c r="C741" s="33">
        <v>110700</v>
      </c>
      <c r="D741" s="32"/>
      <c r="E741" s="33">
        <v>375000</v>
      </c>
      <c r="F741" s="33">
        <v>30000</v>
      </c>
      <c r="G741" s="110"/>
      <c r="H741" s="110"/>
      <c r="I741" s="33">
        <v>458000</v>
      </c>
      <c r="J741" s="31">
        <f t="shared" si="315"/>
        <v>57700</v>
      </c>
      <c r="K741" s="70"/>
      <c r="L741" s="5"/>
      <c r="M741" s="5"/>
      <c r="N741" s="5"/>
      <c r="O741" s="5"/>
      <c r="Q741" s="5"/>
    </row>
    <row r="742" spans="1:17">
      <c r="A742" s="130" t="s">
        <v>103</v>
      </c>
      <c r="B742" s="135" t="s">
        <v>94</v>
      </c>
      <c r="C742" s="33">
        <v>-32081</v>
      </c>
      <c r="D742" s="32"/>
      <c r="E742" s="110">
        <v>0</v>
      </c>
      <c r="F742" s="110"/>
      <c r="G742" s="110"/>
      <c r="H742" s="110"/>
      <c r="I742" s="110">
        <v>0</v>
      </c>
      <c r="J742" s="31">
        <f t="shared" si="315"/>
        <v>-32081</v>
      </c>
      <c r="K742" s="70"/>
      <c r="L742" s="5"/>
      <c r="M742" s="5"/>
      <c r="N742" s="5"/>
      <c r="O742" s="5"/>
      <c r="Q742" s="5"/>
    </row>
    <row r="743" spans="1:17">
      <c r="A743" s="130" t="s">
        <v>103</v>
      </c>
      <c r="B743" s="135" t="s">
        <v>101</v>
      </c>
      <c r="C743" s="33">
        <v>0</v>
      </c>
      <c r="D743" s="32"/>
      <c r="E743" s="33">
        <v>82000</v>
      </c>
      <c r="F743" s="110"/>
      <c r="G743" s="110"/>
      <c r="H743" s="110"/>
      <c r="I743" s="33">
        <v>20000</v>
      </c>
      <c r="J743" s="31">
        <f>+SUM(C743:G743)-(H743+I743)</f>
        <v>62000</v>
      </c>
      <c r="K743" s="70"/>
      <c r="L743" s="5"/>
      <c r="M743" s="5"/>
      <c r="N743" s="5"/>
      <c r="O743" s="5"/>
      <c r="Q743" s="5"/>
    </row>
    <row r="744" spans="1:17">
      <c r="A744" s="130" t="s">
        <v>103</v>
      </c>
      <c r="B744" s="136" t="s">
        <v>32</v>
      </c>
      <c r="C744" s="53">
        <v>7300</v>
      </c>
      <c r="D744" s="127"/>
      <c r="E744" s="145"/>
      <c r="F744" s="145"/>
      <c r="G744" s="147"/>
      <c r="H744" s="145"/>
      <c r="I744" s="53">
        <v>3000</v>
      </c>
      <c r="J744" s="31">
        <f t="shared" si="315"/>
        <v>4300</v>
      </c>
      <c r="K744" s="70"/>
      <c r="L744" s="5"/>
      <c r="M744" s="5"/>
      <c r="N744" s="5"/>
      <c r="O744" s="5"/>
      <c r="Q744" s="5"/>
    </row>
    <row r="745" spans="1:17">
      <c r="A745" s="35" t="s">
        <v>60</v>
      </c>
      <c r="B745" s="36"/>
      <c r="C745" s="36"/>
      <c r="D745" s="36"/>
      <c r="E745" s="36"/>
      <c r="F745" s="36"/>
      <c r="G745" s="36"/>
      <c r="H745" s="36"/>
      <c r="I745" s="36"/>
      <c r="J745" s="37"/>
      <c r="K745" s="70"/>
      <c r="L745" s="5"/>
      <c r="M745" s="5"/>
      <c r="N745" s="5"/>
      <c r="O745" s="5"/>
      <c r="Q745" s="5"/>
    </row>
    <row r="746" spans="1:17">
      <c r="A746" s="130" t="s">
        <v>103</v>
      </c>
      <c r="B746" s="38" t="s">
        <v>61</v>
      </c>
      <c r="C746" s="39">
        <v>817769</v>
      </c>
      <c r="D746" s="51">
        <v>3000000</v>
      </c>
      <c r="E746" s="109"/>
      <c r="F746" s="109"/>
      <c r="G746" s="148"/>
      <c r="H746" s="139">
        <v>2627870</v>
      </c>
      <c r="I746" s="134">
        <v>1127749</v>
      </c>
      <c r="J746" s="46">
        <f>+SUM(C746:G746)-(H746+I746)</f>
        <v>62150</v>
      </c>
      <c r="K746" s="70"/>
      <c r="L746" s="5"/>
      <c r="M746" s="5"/>
      <c r="N746" s="5"/>
      <c r="O746" s="5"/>
      <c r="Q746" s="5"/>
    </row>
    <row r="747" spans="1:17">
      <c r="A747" s="44" t="s">
        <v>62</v>
      </c>
      <c r="B747" s="25"/>
      <c r="C747" s="36"/>
      <c r="D747" s="25"/>
      <c r="E747" s="25"/>
      <c r="F747" s="25"/>
      <c r="G747" s="25"/>
      <c r="H747" s="25"/>
      <c r="I747" s="25"/>
      <c r="J747" s="37"/>
      <c r="L747" s="5"/>
      <c r="M747" s="5"/>
      <c r="N747" s="5"/>
      <c r="O747" s="5"/>
      <c r="Q747" s="5"/>
    </row>
    <row r="748" spans="1:17">
      <c r="A748" s="130" t="s">
        <v>103</v>
      </c>
      <c r="B748" s="38" t="s">
        <v>63</v>
      </c>
      <c r="C748" s="133">
        <v>14712920</v>
      </c>
      <c r="D748" s="140"/>
      <c r="E748" s="51"/>
      <c r="F748" s="51"/>
      <c r="G748" s="51"/>
      <c r="H748" s="53">
        <v>3000000</v>
      </c>
      <c r="I748" s="55">
        <v>428365</v>
      </c>
      <c r="J748" s="46">
        <f>+SUM(C748:G748)-(H748+I748)</f>
        <v>11284555</v>
      </c>
      <c r="K748" s="70"/>
      <c r="L748" s="5"/>
      <c r="M748" s="5"/>
      <c r="N748" s="5"/>
      <c r="O748" s="5"/>
      <c r="Q748" s="5"/>
    </row>
    <row r="749" spans="1:17">
      <c r="A749" s="130" t="s">
        <v>103</v>
      </c>
      <c r="B749" s="38" t="s">
        <v>64</v>
      </c>
      <c r="C749" s="133">
        <v>8361083</v>
      </c>
      <c r="D749" s="51"/>
      <c r="E749" s="50"/>
      <c r="F749" s="50"/>
      <c r="G749" s="50"/>
      <c r="H749" s="33"/>
      <c r="I749" s="52">
        <v>6202438</v>
      </c>
      <c r="J749" s="46">
        <f>SUM(C749:G749)-(H749+I749)</f>
        <v>2158645</v>
      </c>
      <c r="K749" s="70"/>
      <c r="L749" s="5"/>
      <c r="M749" s="5"/>
      <c r="N749" s="5"/>
      <c r="O749" s="5"/>
      <c r="Q749" s="5"/>
    </row>
    <row r="750" spans="1:17" ht="15.75">
      <c r="C750" s="9"/>
      <c r="I750" s="149">
        <f>SUM(I731:I749)</f>
        <v>10574852</v>
      </c>
      <c r="J750" s="111">
        <f>+SUM(J731:J749)</f>
        <v>14101750</v>
      </c>
      <c r="K750" s="9">
        <f>J750-C722</f>
        <v>-1</v>
      </c>
      <c r="L750" s="5"/>
      <c r="M750" s="5"/>
      <c r="N750" s="5"/>
      <c r="O750" s="5"/>
      <c r="Q750" s="5"/>
    </row>
    <row r="751" spans="1:17" ht="16.5">
      <c r="A751" s="10"/>
      <c r="B751" s="11"/>
      <c r="C751" s="12"/>
      <c r="D751" s="12"/>
      <c r="E751" s="12"/>
      <c r="F751" s="12"/>
      <c r="G751" s="12"/>
      <c r="H751" s="12"/>
      <c r="I751" s="12"/>
      <c r="J751" s="141"/>
      <c r="L751" s="5"/>
      <c r="M751" s="5"/>
      <c r="N751" s="5"/>
      <c r="O751" s="5"/>
      <c r="Q751" s="5"/>
    </row>
    <row r="752" spans="1:17">
      <c r="A752" s="16" t="s">
        <v>52</v>
      </c>
      <c r="B752" s="16"/>
      <c r="C752" s="16"/>
      <c r="D752" s="17"/>
      <c r="E752" s="17"/>
      <c r="F752" s="17"/>
      <c r="G752" s="17"/>
      <c r="H752" s="17"/>
      <c r="I752" s="17"/>
      <c r="L752" s="5"/>
      <c r="M752" s="5"/>
      <c r="N752" s="5"/>
      <c r="O752" s="5"/>
      <c r="Q752" s="5"/>
    </row>
    <row r="753" spans="1:17">
      <c r="A753" s="18" t="s">
        <v>95</v>
      </c>
      <c r="B753" s="18"/>
      <c r="C753" s="18"/>
      <c r="D753" s="18"/>
      <c r="E753" s="18"/>
      <c r="F753" s="18"/>
      <c r="G753" s="18"/>
      <c r="H753" s="18"/>
      <c r="I753" s="18"/>
      <c r="J753" s="17"/>
      <c r="L753" s="5"/>
      <c r="M753" s="5"/>
      <c r="N753" s="5"/>
      <c r="O753" s="5"/>
      <c r="Q753" s="5"/>
    </row>
    <row r="754" spans="1:17">
      <c r="A754" s="19"/>
      <c r="B754" s="20"/>
      <c r="C754" s="21"/>
      <c r="D754" s="21"/>
      <c r="E754" s="21"/>
      <c r="F754" s="21"/>
      <c r="G754" s="21"/>
      <c r="H754" s="20"/>
      <c r="I754" s="20"/>
      <c r="J754" s="18"/>
      <c r="L754" s="5"/>
      <c r="M754" s="5"/>
      <c r="N754" s="5"/>
      <c r="O754" s="5"/>
      <c r="Q754" s="5"/>
    </row>
    <row r="755" spans="1:17" ht="15" customHeight="1">
      <c r="A755" s="451" t="s">
        <v>53</v>
      </c>
      <c r="B755" s="453" t="s">
        <v>54</v>
      </c>
      <c r="C755" s="455" t="s">
        <v>96</v>
      </c>
      <c r="D755" s="457" t="s">
        <v>55</v>
      </c>
      <c r="E755" s="458"/>
      <c r="F755" s="458"/>
      <c r="G755" s="459"/>
      <c r="H755" s="460" t="s">
        <v>56</v>
      </c>
      <c r="I755" s="462" t="s">
        <v>57</v>
      </c>
      <c r="J755" s="20"/>
      <c r="L755" s="5"/>
      <c r="M755" s="5"/>
      <c r="N755" s="5"/>
      <c r="O755" s="5"/>
      <c r="Q755" s="5"/>
    </row>
    <row r="756" spans="1:17" ht="15" customHeight="1">
      <c r="A756" s="452"/>
      <c r="B756" s="454"/>
      <c r="C756" s="456"/>
      <c r="D756" s="22" t="s">
        <v>24</v>
      </c>
      <c r="E756" s="22" t="s">
        <v>25</v>
      </c>
      <c r="F756" s="122" t="s">
        <v>99</v>
      </c>
      <c r="G756" s="22" t="s">
        <v>58</v>
      </c>
      <c r="H756" s="461"/>
      <c r="I756" s="463"/>
      <c r="J756" s="464" t="s">
        <v>97</v>
      </c>
      <c r="L756" s="5"/>
      <c r="M756" s="5"/>
      <c r="N756" s="5"/>
      <c r="O756" s="5"/>
      <c r="Q756" s="5"/>
    </row>
    <row r="757" spans="1:17">
      <c r="A757" s="24"/>
      <c r="B757" s="25" t="s">
        <v>59</v>
      </c>
      <c r="C757" s="26"/>
      <c r="D757" s="26"/>
      <c r="E757" s="26"/>
      <c r="F757" s="26"/>
      <c r="G757" s="26"/>
      <c r="H757" s="26"/>
      <c r="I757" s="27"/>
      <c r="J757" s="465"/>
      <c r="L757" s="5"/>
      <c r="M757" s="5"/>
      <c r="N757" s="5"/>
      <c r="O757" s="5"/>
      <c r="Q757" s="5"/>
    </row>
    <row r="758" spans="1:17">
      <c r="A758" s="130" t="s">
        <v>98</v>
      </c>
      <c r="B758" s="135" t="s">
        <v>76</v>
      </c>
      <c r="C758" s="33">
        <v>-10750</v>
      </c>
      <c r="D758" s="32"/>
      <c r="E758" s="32">
        <v>170625</v>
      </c>
      <c r="F758" s="32">
        <v>301700</v>
      </c>
      <c r="G758" s="32"/>
      <c r="H758" s="57">
        <v>27000</v>
      </c>
      <c r="I758" s="33">
        <v>412375</v>
      </c>
      <c r="J758" s="31">
        <f>+SUM(C758:G758)-(H758+I758)</f>
        <v>22200</v>
      </c>
      <c r="K758" s="70"/>
      <c r="L758" s="5"/>
      <c r="M758" s="5"/>
      <c r="N758" s="5"/>
      <c r="O758" s="5"/>
      <c r="Q758" s="5"/>
    </row>
    <row r="759" spans="1:17">
      <c r="A759" s="130" t="s">
        <v>98</v>
      </c>
      <c r="B759" s="135" t="s">
        <v>47</v>
      </c>
      <c r="C759" s="33">
        <v>9060</v>
      </c>
      <c r="D759" s="32"/>
      <c r="E759" s="32">
        <v>0</v>
      </c>
      <c r="F759" s="32"/>
      <c r="G759" s="32"/>
      <c r="H759" s="57"/>
      <c r="I759" s="33">
        <v>6000</v>
      </c>
      <c r="J759" s="31">
        <f t="shared" ref="J759:J760" si="316">+SUM(C759:G759)-(H759+I759)</f>
        <v>3060</v>
      </c>
      <c r="K759" s="70"/>
      <c r="L759" s="5"/>
      <c r="M759" s="5"/>
      <c r="N759" s="5"/>
      <c r="O759" s="5"/>
      <c r="Q759" s="5"/>
    </row>
    <row r="760" spans="1:17">
      <c r="A760" s="130" t="s">
        <v>98</v>
      </c>
      <c r="B760" s="135" t="s">
        <v>31</v>
      </c>
      <c r="C760" s="33">
        <v>1195</v>
      </c>
      <c r="D760" s="32"/>
      <c r="E760" s="32">
        <v>75000</v>
      </c>
      <c r="F760" s="33"/>
      <c r="G760" s="33"/>
      <c r="H760" s="33"/>
      <c r="I760" s="33">
        <v>72400</v>
      </c>
      <c r="J760" s="107">
        <f t="shared" si="316"/>
        <v>3795</v>
      </c>
      <c r="K760" s="70"/>
      <c r="L760" s="5"/>
      <c r="M760" s="5"/>
      <c r="N760" s="5"/>
      <c r="O760" s="5"/>
      <c r="Q760" s="5"/>
    </row>
    <row r="761" spans="1:17">
      <c r="A761" s="130" t="s">
        <v>98</v>
      </c>
      <c r="B761" s="135" t="s">
        <v>77</v>
      </c>
      <c r="C761" s="33">
        <v>-8600</v>
      </c>
      <c r="D761" s="110"/>
      <c r="E761" s="32">
        <v>596900</v>
      </c>
      <c r="F761" s="33"/>
      <c r="G761" s="33"/>
      <c r="H761" s="33"/>
      <c r="I761" s="33">
        <v>586000</v>
      </c>
      <c r="J761" s="107">
        <f>+SUM(C761:G761)-(H761+I761)</f>
        <v>2300</v>
      </c>
      <c r="K761" s="70"/>
      <c r="L761" s="5"/>
      <c r="M761" s="5"/>
      <c r="N761" s="5"/>
      <c r="O761" s="5"/>
      <c r="Q761" s="5"/>
    </row>
    <row r="762" spans="1:17">
      <c r="A762" s="130" t="s">
        <v>98</v>
      </c>
      <c r="B762" s="135" t="s">
        <v>69</v>
      </c>
      <c r="C762" s="33">
        <v>8884</v>
      </c>
      <c r="D762" s="110"/>
      <c r="E762" s="32">
        <v>618600</v>
      </c>
      <c r="F762" s="33">
        <v>27000</v>
      </c>
      <c r="G762" s="33"/>
      <c r="H762" s="33">
        <v>301700</v>
      </c>
      <c r="I762" s="33">
        <v>367000</v>
      </c>
      <c r="J762" s="107">
        <f t="shared" ref="J762" si="317">+SUM(C762:G762)-(H762+I762)</f>
        <v>-14216</v>
      </c>
      <c r="K762" s="70"/>
      <c r="L762" s="5"/>
      <c r="M762" s="5"/>
      <c r="N762" s="5"/>
      <c r="O762" s="5"/>
      <c r="Q762" s="5"/>
    </row>
    <row r="763" spans="1:17">
      <c r="A763" s="127" t="s">
        <v>98</v>
      </c>
      <c r="B763" s="136" t="s">
        <v>30</v>
      </c>
      <c r="C763" s="53">
        <v>191600</v>
      </c>
      <c r="D763" s="127"/>
      <c r="E763" s="127">
        <v>777000</v>
      </c>
      <c r="F763" s="53"/>
      <c r="G763" s="53"/>
      <c r="H763" s="53"/>
      <c r="I763" s="53">
        <v>825300</v>
      </c>
      <c r="J763" s="132">
        <f>+SUM(C763:G763)-(H763+I763)</f>
        <v>143300</v>
      </c>
      <c r="K763" s="70"/>
      <c r="L763" s="5"/>
      <c r="M763" s="5"/>
      <c r="N763" s="5"/>
      <c r="O763" s="5"/>
      <c r="Q763" s="5"/>
    </row>
    <row r="764" spans="1:17">
      <c r="A764" s="131" t="s">
        <v>98</v>
      </c>
      <c r="B764" s="137" t="s">
        <v>84</v>
      </c>
      <c r="C764" s="128">
        <v>233614</v>
      </c>
      <c r="D764" s="131"/>
      <c r="E764" s="131"/>
      <c r="F764" s="131"/>
      <c r="G764" s="131"/>
      <c r="H764" s="128"/>
      <c r="I764" s="128"/>
      <c r="J764" s="129">
        <f>+SUM(C764:G764)-(H764+I764)</f>
        <v>233614</v>
      </c>
      <c r="K764" s="70"/>
      <c r="L764" s="5"/>
      <c r="M764" s="5"/>
      <c r="N764" s="5"/>
      <c r="O764" s="5"/>
      <c r="Q764" s="5"/>
    </row>
    <row r="765" spans="1:17">
      <c r="A765" s="131" t="s">
        <v>98</v>
      </c>
      <c r="B765" s="137" t="s">
        <v>83</v>
      </c>
      <c r="C765" s="128">
        <v>249769</v>
      </c>
      <c r="D765" s="131"/>
      <c r="E765" s="131"/>
      <c r="F765" s="131"/>
      <c r="G765" s="131"/>
      <c r="H765" s="128"/>
      <c r="I765" s="128"/>
      <c r="J765" s="129">
        <f t="shared" ref="J765:J770" si="318">+SUM(C765:G765)-(H765+I765)</f>
        <v>249769</v>
      </c>
      <c r="K765" s="70"/>
      <c r="L765" s="5"/>
      <c r="M765" s="5"/>
      <c r="N765" s="5"/>
      <c r="O765" s="5"/>
      <c r="Q765" s="5"/>
    </row>
    <row r="766" spans="1:17">
      <c r="A766" s="130" t="s">
        <v>98</v>
      </c>
      <c r="B766" s="135" t="s">
        <v>35</v>
      </c>
      <c r="C766" s="33">
        <v>-3510</v>
      </c>
      <c r="D766" s="32"/>
      <c r="E766" s="32">
        <v>240100</v>
      </c>
      <c r="F766" s="32"/>
      <c r="G766" s="32"/>
      <c r="H766" s="33"/>
      <c r="I766" s="33">
        <v>181500</v>
      </c>
      <c r="J766" s="31">
        <f t="shared" si="318"/>
        <v>55090</v>
      </c>
      <c r="K766" s="70"/>
      <c r="L766" s="5"/>
      <c r="M766" s="5"/>
      <c r="N766" s="5"/>
      <c r="O766" s="5"/>
      <c r="Q766" s="5"/>
    </row>
    <row r="767" spans="1:17">
      <c r="A767" s="130" t="s">
        <v>98</v>
      </c>
      <c r="B767" s="135" t="s">
        <v>93</v>
      </c>
      <c r="C767" s="33">
        <v>0</v>
      </c>
      <c r="D767" s="32"/>
      <c r="E767" s="32">
        <v>5000</v>
      </c>
      <c r="F767" s="32"/>
      <c r="G767" s="32"/>
      <c r="H767" s="33"/>
      <c r="I767" s="33">
        <v>5000</v>
      </c>
      <c r="J767" s="31">
        <f t="shared" si="318"/>
        <v>0</v>
      </c>
      <c r="K767" s="70"/>
      <c r="L767" s="5"/>
      <c r="M767" s="5"/>
      <c r="N767" s="5"/>
      <c r="O767" s="5"/>
      <c r="Q767" s="5"/>
    </row>
    <row r="768" spans="1:17">
      <c r="A768" s="130" t="s">
        <v>98</v>
      </c>
      <c r="B768" s="135" t="s">
        <v>29</v>
      </c>
      <c r="C768" s="33">
        <v>111200</v>
      </c>
      <c r="D768" s="32"/>
      <c r="E768" s="32">
        <v>704000</v>
      </c>
      <c r="F768" s="32"/>
      <c r="G768" s="32"/>
      <c r="H768" s="33"/>
      <c r="I768" s="33">
        <v>704500</v>
      </c>
      <c r="J768" s="31">
        <f t="shared" si="318"/>
        <v>110700</v>
      </c>
      <c r="K768" s="70"/>
      <c r="L768" s="5"/>
      <c r="M768" s="5"/>
      <c r="N768" s="5"/>
      <c r="O768" s="5"/>
      <c r="Q768" s="5"/>
    </row>
    <row r="769" spans="1:17">
      <c r="A769" s="130" t="s">
        <v>98</v>
      </c>
      <c r="B769" s="135" t="s">
        <v>94</v>
      </c>
      <c r="C769" s="33">
        <v>-32081</v>
      </c>
      <c r="D769" s="32"/>
      <c r="E769" s="32">
        <v>0</v>
      </c>
      <c r="F769" s="32"/>
      <c r="G769" s="32"/>
      <c r="H769" s="33"/>
      <c r="I769" s="33">
        <v>0</v>
      </c>
      <c r="J769" s="31">
        <f t="shared" si="318"/>
        <v>-32081</v>
      </c>
      <c r="K769" s="70"/>
      <c r="L769" s="5"/>
      <c r="M769" s="5"/>
      <c r="N769" s="5"/>
      <c r="O769" s="5"/>
      <c r="Q769" s="5"/>
    </row>
    <row r="770" spans="1:17">
      <c r="A770" s="130" t="s">
        <v>98</v>
      </c>
      <c r="B770" s="136" t="s">
        <v>32</v>
      </c>
      <c r="C770" s="53">
        <v>5300</v>
      </c>
      <c r="D770" s="127"/>
      <c r="E770" s="127">
        <v>10000</v>
      </c>
      <c r="F770" s="127"/>
      <c r="G770" s="138"/>
      <c r="H770" s="53"/>
      <c r="I770" s="53">
        <v>8000</v>
      </c>
      <c r="J770" s="31">
        <f t="shared" si="318"/>
        <v>7300</v>
      </c>
      <c r="K770" s="70"/>
      <c r="L770" s="5"/>
      <c r="M770" s="5"/>
      <c r="N770" s="5"/>
      <c r="O770" s="5"/>
      <c r="Q770" s="5"/>
    </row>
    <row r="771" spans="1:17">
      <c r="A771" s="35" t="s">
        <v>60</v>
      </c>
      <c r="B771" s="36"/>
      <c r="C771" s="36"/>
      <c r="D771" s="36"/>
      <c r="E771" s="36"/>
      <c r="F771" s="36"/>
      <c r="G771" s="36"/>
      <c r="H771" s="36"/>
      <c r="I771" s="36"/>
      <c r="J771" s="37"/>
      <c r="K771" s="70"/>
      <c r="L771" s="5"/>
      <c r="M771" s="5"/>
      <c r="N771" s="5"/>
      <c r="O771" s="5"/>
      <c r="Q771" s="5"/>
    </row>
    <row r="772" spans="1:17">
      <c r="A772" s="28" t="s">
        <v>98</v>
      </c>
      <c r="B772" s="38" t="s">
        <v>61</v>
      </c>
      <c r="C772" s="39">
        <v>733034</v>
      </c>
      <c r="D772" s="40">
        <v>4293000</v>
      </c>
      <c r="E772" s="40"/>
      <c r="F772" s="40"/>
      <c r="G772" s="133"/>
      <c r="H772" s="139">
        <v>3197225</v>
      </c>
      <c r="I772" s="134">
        <v>1011040</v>
      </c>
      <c r="J772" s="46">
        <f>+SUM(C772:G772)-(H772+I772)</f>
        <v>817769</v>
      </c>
      <c r="K772" s="70"/>
      <c r="L772" s="5"/>
      <c r="M772" s="5"/>
      <c r="N772" s="5"/>
      <c r="O772" s="5"/>
      <c r="Q772" s="5"/>
    </row>
    <row r="773" spans="1:17">
      <c r="A773" s="44" t="s">
        <v>62</v>
      </c>
      <c r="B773" s="25"/>
      <c r="C773" s="36"/>
      <c r="D773" s="25"/>
      <c r="E773" s="25"/>
      <c r="F773" s="25"/>
      <c r="G773" s="25"/>
      <c r="H773" s="25"/>
      <c r="I773" s="25"/>
      <c r="J773" s="37"/>
      <c r="L773" s="5"/>
      <c r="M773" s="5"/>
      <c r="N773" s="5"/>
      <c r="O773" s="5"/>
      <c r="Q773" s="5"/>
    </row>
    <row r="774" spans="1:17">
      <c r="A774" s="28" t="s">
        <v>98</v>
      </c>
      <c r="B774" s="38" t="s">
        <v>63</v>
      </c>
      <c r="C774" s="133">
        <v>19184971</v>
      </c>
      <c r="D774" s="140"/>
      <c r="E774" s="51"/>
      <c r="F774" s="51"/>
      <c r="G774" s="51"/>
      <c r="H774" s="53">
        <v>4000000</v>
      </c>
      <c r="I774" s="55">
        <v>472051</v>
      </c>
      <c r="J774" s="46">
        <f>+SUM(C774:G774)-(H774+I774)</f>
        <v>14712920</v>
      </c>
      <c r="K774" s="70"/>
      <c r="L774" s="5"/>
      <c r="M774" s="5"/>
      <c r="N774" s="5"/>
      <c r="O774" s="5"/>
      <c r="Q774" s="5"/>
    </row>
    <row r="775" spans="1:17">
      <c r="A775" s="28" t="s">
        <v>98</v>
      </c>
      <c r="B775" s="38" t="s">
        <v>64</v>
      </c>
      <c r="C775" s="133">
        <v>14419055</v>
      </c>
      <c r="D775" s="51"/>
      <c r="E775" s="50"/>
      <c r="F775" s="50"/>
      <c r="G775" s="50"/>
      <c r="H775" s="33">
        <v>293000</v>
      </c>
      <c r="I775" s="52">
        <v>5764972</v>
      </c>
      <c r="J775" s="46">
        <f>SUM(C775:G775)-(H775+I775)</f>
        <v>8361083</v>
      </c>
      <c r="K775" s="70"/>
      <c r="L775" s="5"/>
      <c r="M775" s="5"/>
      <c r="N775" s="5"/>
      <c r="O775" s="5"/>
      <c r="Q775" s="5"/>
    </row>
    <row r="776" spans="1:17" ht="15.75">
      <c r="C776" s="9"/>
      <c r="I776" s="9"/>
      <c r="J776" s="111">
        <f>+SUM(J758:J775)</f>
        <v>24676603</v>
      </c>
      <c r="L776" s="5"/>
      <c r="M776" s="5"/>
      <c r="N776" s="5"/>
      <c r="O776" s="5"/>
      <c r="Q776" s="5"/>
    </row>
    <row r="777" spans="1:17" ht="16.5">
      <c r="A777" s="10"/>
      <c r="B777" s="11"/>
      <c r="C777" s="12"/>
      <c r="D777" s="12"/>
      <c r="E777" s="12"/>
      <c r="F777" s="12"/>
      <c r="G777" s="12"/>
      <c r="H777" s="12"/>
      <c r="I777" s="12"/>
      <c r="J777" s="141"/>
      <c r="L777" s="5"/>
      <c r="M777" s="5"/>
      <c r="N777" s="5"/>
      <c r="O777" s="5"/>
      <c r="Q777" s="5"/>
    </row>
    <row r="778" spans="1:17">
      <c r="A778" s="16" t="s">
        <v>52</v>
      </c>
      <c r="B778" s="16"/>
      <c r="C778" s="16"/>
      <c r="D778" s="17"/>
      <c r="E778" s="17"/>
      <c r="F778" s="17"/>
      <c r="G778" s="17"/>
      <c r="H778" s="17"/>
      <c r="I778" s="17"/>
      <c r="L778" s="5"/>
      <c r="M778" s="5"/>
      <c r="N778" s="5"/>
      <c r="O778" s="5"/>
      <c r="Q778" s="5"/>
    </row>
    <row r="779" spans="1:17">
      <c r="A779" s="18" t="s">
        <v>87</v>
      </c>
      <c r="B779" s="18"/>
      <c r="C779" s="18"/>
      <c r="D779" s="18"/>
      <c r="E779" s="18"/>
      <c r="F779" s="18"/>
      <c r="G779" s="18"/>
      <c r="H779" s="18"/>
      <c r="I779" s="18"/>
      <c r="J779" s="17"/>
      <c r="L779" s="5"/>
      <c r="M779" s="5"/>
      <c r="N779" s="5"/>
      <c r="O779" s="5"/>
      <c r="Q779" s="5"/>
    </row>
    <row r="780" spans="1:17" ht="15" customHeight="1">
      <c r="A780" s="19"/>
      <c r="B780" s="20"/>
      <c r="C780" s="21"/>
      <c r="D780" s="21"/>
      <c r="E780" s="21"/>
      <c r="F780" s="21"/>
      <c r="G780" s="21"/>
      <c r="H780" s="20"/>
      <c r="I780" s="20"/>
      <c r="J780" s="18"/>
      <c r="L780" s="5"/>
      <c r="M780" s="5"/>
      <c r="N780" s="5"/>
      <c r="O780" s="5"/>
      <c r="Q780" s="5"/>
    </row>
    <row r="781" spans="1:17" ht="15" customHeight="1">
      <c r="A781" s="451" t="s">
        <v>53</v>
      </c>
      <c r="B781" s="453" t="s">
        <v>54</v>
      </c>
      <c r="C781" s="455" t="s">
        <v>88</v>
      </c>
      <c r="D781" s="457" t="s">
        <v>55</v>
      </c>
      <c r="E781" s="458"/>
      <c r="F781" s="458"/>
      <c r="G781" s="459"/>
      <c r="H781" s="460" t="s">
        <v>56</v>
      </c>
      <c r="I781" s="462" t="s">
        <v>57</v>
      </c>
      <c r="J781" s="20"/>
      <c r="L781" s="5"/>
      <c r="M781" s="5"/>
      <c r="N781" s="5"/>
      <c r="O781" s="5"/>
      <c r="Q781" s="5"/>
    </row>
    <row r="782" spans="1:17" ht="15" customHeight="1">
      <c r="A782" s="452"/>
      <c r="B782" s="454"/>
      <c r="C782" s="456"/>
      <c r="D782" s="22" t="s">
        <v>24</v>
      </c>
      <c r="E782" s="22" t="s">
        <v>25</v>
      </c>
      <c r="F782" s="112" t="s">
        <v>91</v>
      </c>
      <c r="G782" s="22" t="s">
        <v>58</v>
      </c>
      <c r="H782" s="461"/>
      <c r="I782" s="463"/>
      <c r="J782" s="464" t="s">
        <v>89</v>
      </c>
      <c r="L782" s="5"/>
      <c r="M782" s="5"/>
      <c r="N782" s="5"/>
      <c r="O782" s="5"/>
      <c r="Q782" s="5"/>
    </row>
    <row r="783" spans="1:17">
      <c r="A783" s="24"/>
      <c r="B783" s="25" t="s">
        <v>59</v>
      </c>
      <c r="C783" s="26"/>
      <c r="D783" s="26"/>
      <c r="E783" s="26"/>
      <c r="F783" s="26"/>
      <c r="G783" s="26"/>
      <c r="H783" s="26"/>
      <c r="I783" s="27"/>
      <c r="J783" s="465"/>
      <c r="L783" s="5"/>
      <c r="M783" s="5"/>
      <c r="N783" s="5"/>
      <c r="O783" s="5"/>
      <c r="Q783" s="5"/>
    </row>
    <row r="784" spans="1:17" ht="16.5">
      <c r="A784" s="28" t="s">
        <v>90</v>
      </c>
      <c r="B784" s="8" t="s">
        <v>76</v>
      </c>
      <c r="C784" s="29" t="e">
        <f>+#REF!</f>
        <v>#REF!</v>
      </c>
      <c r="D784" s="30"/>
      <c r="E784" s="30">
        <v>271100</v>
      </c>
      <c r="F784" s="30">
        <f>112800+126500</f>
        <v>239300</v>
      </c>
      <c r="G784" s="30"/>
      <c r="H784" s="57"/>
      <c r="I784" s="34">
        <v>521950</v>
      </c>
      <c r="J784" s="31" t="e">
        <f>+SUM(C784:G784)-(H784+I784)</f>
        <v>#REF!</v>
      </c>
      <c r="L784" s="5"/>
      <c r="M784" s="5"/>
      <c r="N784" s="5"/>
      <c r="O784" s="5"/>
      <c r="Q784" s="5"/>
    </row>
    <row r="785" spans="1:17" ht="16.5">
      <c r="A785" s="28" t="s">
        <v>90</v>
      </c>
      <c r="B785" s="8" t="s">
        <v>47</v>
      </c>
      <c r="C785" s="29" t="e">
        <f>+C549</f>
        <v>#REF!</v>
      </c>
      <c r="D785" s="30"/>
      <c r="E785" s="30">
        <v>625000</v>
      </c>
      <c r="F785" s="30"/>
      <c r="G785" s="30"/>
      <c r="H785" s="57">
        <v>247500</v>
      </c>
      <c r="I785" s="34">
        <v>371500</v>
      </c>
      <c r="J785" s="31" t="e">
        <f t="shared" ref="J785:J786" si="319">+SUM(C785:G785)-(H785+I785)</f>
        <v>#REF!</v>
      </c>
      <c r="L785" s="5"/>
      <c r="M785" s="5"/>
      <c r="N785" s="5"/>
      <c r="O785" s="5"/>
      <c r="Q785" s="5"/>
    </row>
    <row r="786" spans="1:17" ht="16.5">
      <c r="A786" s="28" t="s">
        <v>90</v>
      </c>
      <c r="B786" s="8" t="s">
        <v>31</v>
      </c>
      <c r="C786" s="29" t="e">
        <f>+C550</f>
        <v>#REF!</v>
      </c>
      <c r="D786" s="30"/>
      <c r="E786" s="30">
        <v>60000</v>
      </c>
      <c r="F786" s="106"/>
      <c r="G786" s="106"/>
      <c r="H786" s="33"/>
      <c r="I786" s="56">
        <v>67200</v>
      </c>
      <c r="J786" s="107" t="e">
        <f t="shared" si="319"/>
        <v>#REF!</v>
      </c>
      <c r="L786" s="5"/>
      <c r="M786" s="5"/>
      <c r="N786" s="5"/>
      <c r="O786" s="5"/>
      <c r="Q786" s="5"/>
    </row>
    <row r="787" spans="1:17" ht="15.75" customHeight="1">
      <c r="A787" s="28" t="s">
        <v>90</v>
      </c>
      <c r="B787" s="8" t="s">
        <v>77</v>
      </c>
      <c r="C787" s="29" t="e">
        <f>+C551</f>
        <v>#REF!</v>
      </c>
      <c r="D787" s="58"/>
      <c r="E787" s="30">
        <v>140000</v>
      </c>
      <c r="F787" s="106">
        <v>270500</v>
      </c>
      <c r="G787" s="106"/>
      <c r="H787" s="33"/>
      <c r="I787" s="33">
        <v>417300</v>
      </c>
      <c r="J787" s="107" t="e">
        <f>+SUM(C787:G787)-(H787+I787)</f>
        <v>#REF!</v>
      </c>
      <c r="L787" s="5"/>
      <c r="M787" s="5"/>
      <c r="N787" s="5"/>
      <c r="O787" s="5"/>
      <c r="Q787" s="5"/>
    </row>
    <row r="788" spans="1:17" ht="16.5">
      <c r="A788" s="28" t="s">
        <v>90</v>
      </c>
      <c r="B788" s="8" t="s">
        <v>69</v>
      </c>
      <c r="C788" s="29">
        <v>15984</v>
      </c>
      <c r="D788" s="58"/>
      <c r="E788" s="30">
        <v>256400</v>
      </c>
      <c r="F788" s="106"/>
      <c r="G788" s="106"/>
      <c r="H788" s="33"/>
      <c r="I788" s="34">
        <v>263500</v>
      </c>
      <c r="J788" s="107">
        <f t="shared" ref="J788" si="320">+SUM(C788:G788)-(H788+I788)</f>
        <v>8884</v>
      </c>
      <c r="L788" s="5"/>
      <c r="M788" s="5"/>
      <c r="N788" s="5"/>
      <c r="O788" s="5"/>
      <c r="Q788" s="5"/>
    </row>
    <row r="789" spans="1:17" ht="16.5">
      <c r="A789" s="28" t="s">
        <v>90</v>
      </c>
      <c r="B789" s="8" t="s">
        <v>30</v>
      </c>
      <c r="C789" s="29" t="e">
        <f t="shared" ref="C789:C793" si="321">+C552</f>
        <v>#REF!</v>
      </c>
      <c r="D789" s="30"/>
      <c r="E789" s="30">
        <v>858500</v>
      </c>
      <c r="F789" s="106"/>
      <c r="G789" s="106"/>
      <c r="H789" s="33"/>
      <c r="I789" s="34">
        <v>645000</v>
      </c>
      <c r="J789" s="107" t="e">
        <f>+SUM(C789:G789)-(H789+I789)</f>
        <v>#REF!</v>
      </c>
      <c r="L789" s="5"/>
      <c r="M789" s="5"/>
      <c r="N789" s="5"/>
      <c r="O789" s="5"/>
      <c r="Q789" s="5"/>
    </row>
    <row r="790" spans="1:17" ht="16.5">
      <c r="A790" s="28" t="s">
        <v>90</v>
      </c>
      <c r="B790" s="8" t="s">
        <v>35</v>
      </c>
      <c r="C790" s="29" t="e">
        <f t="shared" si="321"/>
        <v>#REF!</v>
      </c>
      <c r="D790" s="30"/>
      <c r="E790" s="30">
        <v>800700</v>
      </c>
      <c r="F790" s="30"/>
      <c r="G790" s="30"/>
      <c r="H790" s="33">
        <v>262300</v>
      </c>
      <c r="I790" s="34">
        <v>543600</v>
      </c>
      <c r="J790" s="31" t="e">
        <f>+SUM(C790:G790)-(H790+I790)</f>
        <v>#REF!</v>
      </c>
      <c r="L790" s="5"/>
      <c r="M790" s="5"/>
      <c r="N790" s="5"/>
      <c r="O790" s="5"/>
      <c r="Q790" s="5"/>
    </row>
    <row r="791" spans="1:17" ht="16.5">
      <c r="A791" s="28" t="s">
        <v>90</v>
      </c>
      <c r="B791" s="8" t="s">
        <v>29</v>
      </c>
      <c r="C791" s="29" t="e">
        <f t="shared" si="321"/>
        <v>#REF!</v>
      </c>
      <c r="D791" s="30"/>
      <c r="E791" s="30">
        <v>971600</v>
      </c>
      <c r="F791" s="30"/>
      <c r="G791" s="30"/>
      <c r="H791" s="33">
        <v>200000</v>
      </c>
      <c r="I791" s="34">
        <v>639450</v>
      </c>
      <c r="J791" s="31" t="e">
        <f t="shared" ref="J791:J792" si="322">+SUM(C791:G791)-(H791+I791)</f>
        <v>#REF!</v>
      </c>
      <c r="L791" s="5"/>
      <c r="M791" s="5"/>
      <c r="N791" s="5"/>
      <c r="O791" s="5"/>
      <c r="Q791" s="5"/>
    </row>
    <row r="792" spans="1:17" ht="16.5">
      <c r="A792" s="28" t="s">
        <v>90</v>
      </c>
      <c r="B792" s="8" t="s">
        <v>5</v>
      </c>
      <c r="C792" s="29" t="e">
        <f t="shared" si="321"/>
        <v>#REF!</v>
      </c>
      <c r="D792" s="30"/>
      <c r="E792" s="30"/>
      <c r="F792" s="30"/>
      <c r="G792" s="30"/>
      <c r="H792" s="33"/>
      <c r="I792" s="56">
        <v>23000</v>
      </c>
      <c r="J792" s="31" t="e">
        <f t="shared" si="322"/>
        <v>#REF!</v>
      </c>
      <c r="L792" s="5"/>
      <c r="M792" s="5"/>
      <c r="N792" s="5"/>
      <c r="O792" s="5"/>
      <c r="Q792" s="5"/>
    </row>
    <row r="793" spans="1:17" ht="16.5">
      <c r="A793" s="28" t="s">
        <v>90</v>
      </c>
      <c r="B793" s="8" t="s">
        <v>32</v>
      </c>
      <c r="C793" s="29" t="e">
        <f t="shared" si="321"/>
        <v>#REF!</v>
      </c>
      <c r="D793" s="30"/>
      <c r="E793" s="30"/>
      <c r="F793" s="30"/>
      <c r="G793" s="30"/>
      <c r="H793" s="33"/>
      <c r="I793" s="34">
        <v>0</v>
      </c>
      <c r="J793" s="31" t="e">
        <f>+SUM(C793:G793)-(H793+I793)</f>
        <v>#REF!</v>
      </c>
      <c r="L793" s="5"/>
      <c r="M793" s="5"/>
      <c r="N793" s="5"/>
      <c r="O793" s="5"/>
      <c r="Q793" s="5"/>
    </row>
    <row r="794" spans="1:17" ht="16.5">
      <c r="A794" s="114" t="s">
        <v>90</v>
      </c>
      <c r="B794" s="115" t="s">
        <v>92</v>
      </c>
      <c r="C794" s="116">
        <v>3721074</v>
      </c>
      <c r="D794" s="117"/>
      <c r="E794" s="118"/>
      <c r="F794" s="117"/>
      <c r="G794" s="119"/>
      <c r="H794" s="116">
        <v>3721074</v>
      </c>
      <c r="I794" s="120"/>
      <c r="J794" s="121">
        <f>+SUM(C794:G794)-(H794+I794)</f>
        <v>0</v>
      </c>
      <c r="L794" s="5"/>
      <c r="M794" s="5"/>
      <c r="N794" s="5"/>
      <c r="O794" s="5"/>
      <c r="Q794" s="5"/>
    </row>
    <row r="795" spans="1:17">
      <c r="A795" s="35" t="s">
        <v>60</v>
      </c>
      <c r="B795" s="36"/>
      <c r="C795" s="36"/>
      <c r="D795" s="36"/>
      <c r="E795" s="36"/>
      <c r="F795" s="36"/>
      <c r="G795" s="36"/>
      <c r="H795" s="36"/>
      <c r="I795" s="36"/>
      <c r="J795" s="37"/>
      <c r="L795" s="5"/>
      <c r="M795" s="5"/>
      <c r="N795" s="5"/>
      <c r="O795" s="5"/>
      <c r="Q795" s="5"/>
    </row>
    <row r="796" spans="1:17">
      <c r="A796" s="28" t="s">
        <v>90</v>
      </c>
      <c r="B796" s="38" t="s">
        <v>61</v>
      </c>
      <c r="C796" s="39" t="e">
        <f>+C548</f>
        <v>#REF!</v>
      </c>
      <c r="D796" s="40">
        <v>5000000</v>
      </c>
      <c r="E796" s="40"/>
      <c r="F796" s="40"/>
      <c r="G796" s="41">
        <v>200000</v>
      </c>
      <c r="H796" s="49">
        <v>3983300</v>
      </c>
      <c r="I796" s="42">
        <v>776245</v>
      </c>
      <c r="J796" s="43" t="e">
        <f>+SUM(C796:G796)-(H796+I796)</f>
        <v>#REF!</v>
      </c>
      <c r="L796" s="5"/>
      <c r="M796" s="5"/>
      <c r="N796" s="5"/>
      <c r="O796" s="5"/>
      <c r="Q796" s="5"/>
    </row>
    <row r="797" spans="1:17">
      <c r="A797" s="44" t="s">
        <v>62</v>
      </c>
      <c r="B797" s="25"/>
      <c r="C797" s="36"/>
      <c r="D797" s="25"/>
      <c r="E797" s="25"/>
      <c r="F797" s="25"/>
      <c r="G797" s="25"/>
      <c r="H797" s="25"/>
      <c r="I797" s="25"/>
      <c r="J797" s="37"/>
      <c r="L797" s="5"/>
      <c r="M797" s="5"/>
      <c r="N797" s="5"/>
      <c r="O797" s="5"/>
      <c r="Q797" s="5"/>
    </row>
    <row r="798" spans="1:17">
      <c r="A798" s="28" t="s">
        <v>90</v>
      </c>
      <c r="B798" s="38" t="s">
        <v>63</v>
      </c>
      <c r="C798" s="45" t="e">
        <f>+#REF!</f>
        <v>#REF!</v>
      </c>
      <c r="D798" s="54">
        <v>19826114</v>
      </c>
      <c r="E798" s="51"/>
      <c r="F798" s="51"/>
      <c r="G798" s="51"/>
      <c r="H798" s="53">
        <v>5000000</v>
      </c>
      <c r="I798" s="55">
        <v>455737</v>
      </c>
      <c r="J798" s="46" t="e">
        <f>+SUM(C798:G798)-(H798+I798)</f>
        <v>#REF!</v>
      </c>
      <c r="L798" s="5"/>
      <c r="M798" s="5"/>
      <c r="N798" s="5"/>
      <c r="O798" s="5"/>
      <c r="Q798" s="5"/>
    </row>
    <row r="799" spans="1:17">
      <c r="A799" s="28" t="s">
        <v>90</v>
      </c>
      <c r="B799" s="38" t="s">
        <v>64</v>
      </c>
      <c r="C799" s="45" t="e">
        <f>+C547</f>
        <v>#REF!</v>
      </c>
      <c r="D799" s="51">
        <v>13119140</v>
      </c>
      <c r="E799" s="50"/>
      <c r="F799" s="50"/>
      <c r="G799" s="50"/>
      <c r="H799" s="33"/>
      <c r="I799" s="52">
        <v>3445919</v>
      </c>
      <c r="J799" s="46" t="e">
        <f>SUM(C799:G799)-(H799+I799)</f>
        <v>#REF!</v>
      </c>
      <c r="L799" s="5"/>
      <c r="M799" s="5"/>
      <c r="N799" s="5"/>
      <c r="O799" s="5"/>
      <c r="Q799" s="5"/>
    </row>
    <row r="800" spans="1:17">
      <c r="A800" s="162" t="s">
        <v>90</v>
      </c>
      <c r="B800" s="158" t="s">
        <v>83</v>
      </c>
      <c r="C800" s="163">
        <v>249769</v>
      </c>
      <c r="D800" s="51"/>
      <c r="E800" s="51"/>
      <c r="F800" s="51"/>
      <c r="G800" s="51"/>
      <c r="H800" s="33"/>
      <c r="I800" s="52"/>
      <c r="J800" s="164">
        <f>SUM(C800:G800)-(H800+I800)</f>
        <v>249769</v>
      </c>
      <c r="L800" s="5"/>
      <c r="M800" s="5"/>
      <c r="N800" s="5"/>
      <c r="O800" s="5"/>
      <c r="Q800" s="5"/>
    </row>
    <row r="801" spans="1:17">
      <c r="A801" s="162" t="s">
        <v>90</v>
      </c>
      <c r="B801" s="160" t="s">
        <v>84</v>
      </c>
      <c r="C801" s="163">
        <v>233614</v>
      </c>
      <c r="D801" s="51"/>
      <c r="E801" s="51"/>
      <c r="F801" s="51"/>
      <c r="G801" s="51"/>
      <c r="H801" s="33"/>
      <c r="I801" s="52"/>
      <c r="J801" s="164">
        <f>SUM(C801:G801)-(H801+I801)</f>
        <v>233614</v>
      </c>
      <c r="L801" s="5"/>
      <c r="M801" s="5"/>
      <c r="N801" s="5"/>
      <c r="O801" s="5"/>
      <c r="Q801" s="5"/>
    </row>
    <row r="802" spans="1:17">
      <c r="A802" s="162" t="s">
        <v>90</v>
      </c>
      <c r="B802" s="161" t="s">
        <v>85</v>
      </c>
      <c r="C802" s="163">
        <v>330169</v>
      </c>
      <c r="D802" s="165"/>
      <c r="E802" s="165"/>
      <c r="F802" s="165"/>
      <c r="G802" s="165"/>
      <c r="H802" s="165"/>
      <c r="I802" s="165"/>
      <c r="J802" s="164">
        <f>SUM(C802:G802)-(H802+I802)</f>
        <v>330169</v>
      </c>
      <c r="L802" s="5"/>
      <c r="M802" s="5"/>
      <c r="N802" s="5"/>
      <c r="O802" s="5"/>
      <c r="Q802" s="5"/>
    </row>
    <row r="803" spans="1:17" ht="15.75">
      <c r="C803" s="9"/>
      <c r="I803" s="9"/>
      <c r="J803" s="111" t="e">
        <f>+SUM(J784:J802)</f>
        <v>#REF!</v>
      </c>
      <c r="K803" s="113" t="e">
        <f>+J803-I560</f>
        <v>#REF!</v>
      </c>
      <c r="L803" s="5"/>
      <c r="M803" s="5"/>
      <c r="N803" s="5"/>
      <c r="O803" s="5"/>
      <c r="Q803" s="5"/>
    </row>
    <row r="805" spans="1:17">
      <c r="A805" s="16" t="s">
        <v>52</v>
      </c>
      <c r="B805" s="16"/>
      <c r="C805" s="16"/>
      <c r="D805" s="17"/>
      <c r="E805" s="17"/>
      <c r="F805" s="17"/>
      <c r="G805" s="17"/>
      <c r="H805" s="17"/>
      <c r="I805" s="17"/>
      <c r="L805" s="5"/>
      <c r="M805" s="5"/>
      <c r="N805" s="5"/>
      <c r="O805" s="5"/>
      <c r="Q805" s="5"/>
    </row>
    <row r="806" spans="1:17">
      <c r="A806" s="18" t="s">
        <v>78</v>
      </c>
      <c r="B806" s="18"/>
      <c r="C806" s="18"/>
      <c r="D806" s="18"/>
      <c r="E806" s="18"/>
      <c r="F806" s="18"/>
      <c r="G806" s="18"/>
      <c r="H806" s="18"/>
      <c r="I806" s="18"/>
      <c r="J806" s="17"/>
      <c r="L806" s="5"/>
      <c r="M806" s="5"/>
      <c r="N806" s="5"/>
      <c r="O806" s="5"/>
      <c r="Q806" s="5"/>
    </row>
    <row r="807" spans="1:17">
      <c r="A807" s="19"/>
      <c r="B807" s="20"/>
      <c r="C807" s="21"/>
      <c r="D807" s="21"/>
      <c r="E807" s="21"/>
      <c r="F807" s="21"/>
      <c r="G807" s="21"/>
      <c r="H807" s="20"/>
      <c r="I807" s="20"/>
      <c r="J807" s="18"/>
      <c r="L807" s="5"/>
      <c r="M807" s="5"/>
      <c r="N807" s="5"/>
      <c r="O807" s="5"/>
      <c r="Q807" s="5"/>
    </row>
    <row r="808" spans="1:17">
      <c r="A808" s="451" t="s">
        <v>53</v>
      </c>
      <c r="B808" s="453" t="s">
        <v>54</v>
      </c>
      <c r="C808" s="455" t="s">
        <v>80</v>
      </c>
      <c r="D808" s="457" t="s">
        <v>55</v>
      </c>
      <c r="E808" s="458"/>
      <c r="F808" s="458"/>
      <c r="G808" s="459"/>
      <c r="H808" s="460" t="s">
        <v>56</v>
      </c>
      <c r="I808" s="462" t="s">
        <v>57</v>
      </c>
      <c r="J808" s="20"/>
      <c r="L808" s="5"/>
      <c r="M808" s="5"/>
      <c r="N808" s="5"/>
      <c r="O808" s="5"/>
      <c r="Q808" s="5"/>
    </row>
    <row r="809" spans="1:17" ht="36.75" customHeight="1">
      <c r="A809" s="452"/>
      <c r="B809" s="454"/>
      <c r="C809" s="456"/>
      <c r="D809" s="22" t="s">
        <v>24</v>
      </c>
      <c r="E809" s="22" t="s">
        <v>25</v>
      </c>
      <c r="F809" s="23" t="s">
        <v>69</v>
      </c>
      <c r="G809" s="22" t="s">
        <v>58</v>
      </c>
      <c r="H809" s="461"/>
      <c r="I809" s="463"/>
      <c r="J809" s="464" t="s">
        <v>86</v>
      </c>
      <c r="L809" s="5"/>
      <c r="M809" s="5"/>
      <c r="N809" s="5"/>
      <c r="O809" s="5"/>
      <c r="Q809" s="5"/>
    </row>
    <row r="810" spans="1:17">
      <c r="A810" s="24"/>
      <c r="B810" s="25" t="s">
        <v>59</v>
      </c>
      <c r="C810" s="26"/>
      <c r="D810" s="26"/>
      <c r="E810" s="26"/>
      <c r="F810" s="26"/>
      <c r="G810" s="26"/>
      <c r="H810" s="26"/>
      <c r="I810" s="27"/>
      <c r="J810" s="465"/>
      <c r="L810" s="5"/>
      <c r="M810" s="5"/>
      <c r="N810" s="5"/>
      <c r="O810" s="5"/>
      <c r="Q810" s="5"/>
    </row>
    <row r="811" spans="1:17" ht="16.5">
      <c r="A811" s="28" t="s">
        <v>79</v>
      </c>
      <c r="B811" s="8" t="s">
        <v>76</v>
      </c>
      <c r="C811" s="29">
        <v>0</v>
      </c>
      <c r="D811" s="30"/>
      <c r="E811" s="30">
        <v>40000</v>
      </c>
      <c r="F811" s="30"/>
      <c r="G811" s="30"/>
      <c r="H811" s="57"/>
      <c r="I811" s="34">
        <v>39200</v>
      </c>
      <c r="J811" s="31">
        <f>+SUM(C811:G811)-(H811+I811)</f>
        <v>800</v>
      </c>
      <c r="L811" s="5"/>
      <c r="M811" s="5"/>
      <c r="N811" s="5"/>
      <c r="O811" s="5"/>
      <c r="Q811" s="5"/>
    </row>
    <row r="812" spans="1:17" ht="16.5">
      <c r="A812" s="28" t="s">
        <v>79</v>
      </c>
      <c r="B812" s="8" t="str">
        <f>+A549</f>
        <v>JUILLET</v>
      </c>
      <c r="C812" s="29">
        <v>19060</v>
      </c>
      <c r="D812" s="30"/>
      <c r="E812" s="30">
        <v>20000</v>
      </c>
      <c r="F812" s="30"/>
      <c r="G812" s="30"/>
      <c r="H812" s="57"/>
      <c r="I812" s="34">
        <v>36000</v>
      </c>
      <c r="J812" s="31">
        <f t="shared" ref="J812:J819" si="323">+SUM(C812:G812)-(H812+I812)</f>
        <v>3060</v>
      </c>
      <c r="L812" s="5"/>
      <c r="M812" s="5"/>
      <c r="N812" s="5"/>
      <c r="O812" s="5"/>
      <c r="Q812" s="5"/>
    </row>
    <row r="813" spans="1:17" ht="16.5">
      <c r="A813" s="28" t="s">
        <v>79</v>
      </c>
      <c r="B813" s="8" t="str">
        <f>+A550</f>
        <v>JUILLET</v>
      </c>
      <c r="C813" s="29">
        <v>8395</v>
      </c>
      <c r="D813" s="30"/>
      <c r="E813" s="30">
        <v>20000</v>
      </c>
      <c r="F813" s="106"/>
      <c r="G813" s="106"/>
      <c r="H813" s="33"/>
      <c r="I813" s="56">
        <v>20000</v>
      </c>
      <c r="J813" s="107">
        <f t="shared" si="323"/>
        <v>8395</v>
      </c>
      <c r="L813" s="5"/>
      <c r="M813" s="5"/>
      <c r="N813" s="5"/>
      <c r="O813" s="5"/>
      <c r="Q813" s="5"/>
    </row>
    <row r="814" spans="1:17" ht="16.5">
      <c r="A814" s="28" t="s">
        <v>79</v>
      </c>
      <c r="B814" s="8" t="str">
        <f>+A551</f>
        <v>JUILLET</v>
      </c>
      <c r="C814" s="29">
        <v>0</v>
      </c>
      <c r="D814" s="58"/>
      <c r="E814" s="30">
        <v>100000</v>
      </c>
      <c r="F814" s="106">
        <v>102200</v>
      </c>
      <c r="G814" s="106"/>
      <c r="H814" s="33"/>
      <c r="I814" s="33">
        <v>204000</v>
      </c>
      <c r="J814" s="107">
        <f>+SUM(C814:G814)-(H814+I814)</f>
        <v>-1800</v>
      </c>
      <c r="L814" s="5"/>
      <c r="M814" s="5"/>
      <c r="N814" s="5"/>
      <c r="O814" s="5"/>
      <c r="Q814" s="5"/>
    </row>
    <row r="815" spans="1:17" ht="16.5">
      <c r="A815" s="28" t="s">
        <v>79</v>
      </c>
      <c r="B815" s="8" t="e">
        <f>+#REF!</f>
        <v>#REF!</v>
      </c>
      <c r="C815" s="29">
        <v>7559</v>
      </c>
      <c r="D815" s="58"/>
      <c r="E815" s="30">
        <v>866200</v>
      </c>
      <c r="F815" s="106"/>
      <c r="G815" s="106"/>
      <c r="H815" s="33">
        <v>252200</v>
      </c>
      <c r="I815" s="34">
        <v>605575</v>
      </c>
      <c r="J815" s="107">
        <f t="shared" si="323"/>
        <v>15984</v>
      </c>
      <c r="L815" s="5"/>
      <c r="M815" s="5"/>
      <c r="N815" s="5"/>
      <c r="O815" s="5"/>
      <c r="Q815" s="5"/>
    </row>
    <row r="816" spans="1:17" ht="16.5">
      <c r="A816" s="28" t="s">
        <v>79</v>
      </c>
      <c r="B816" s="8" t="str">
        <f t="shared" ref="B816:B819" si="324">+A552</f>
        <v>JUILLET</v>
      </c>
      <c r="C816" s="29">
        <v>214000</v>
      </c>
      <c r="D816" s="30"/>
      <c r="E816" s="30">
        <v>724100</v>
      </c>
      <c r="F816" s="106"/>
      <c r="G816" s="106"/>
      <c r="H816" s="33"/>
      <c r="I816" s="34">
        <v>960000</v>
      </c>
      <c r="J816" s="107">
        <f>+SUM(C816:G816)-(H816+I816)</f>
        <v>-21900</v>
      </c>
      <c r="L816" s="5"/>
      <c r="M816" s="5"/>
      <c r="N816" s="5"/>
      <c r="O816" s="5"/>
      <c r="Q816" s="5"/>
    </row>
    <row r="817" spans="1:17" ht="16.5">
      <c r="A817" s="28" t="s">
        <v>79</v>
      </c>
      <c r="B817" s="8" t="str">
        <f t="shared" si="324"/>
        <v>JUILLET</v>
      </c>
      <c r="C817" s="29">
        <v>-13805</v>
      </c>
      <c r="D817" s="30"/>
      <c r="E817" s="30">
        <v>333400</v>
      </c>
      <c r="F817" s="30">
        <v>150000</v>
      </c>
      <c r="G817" s="30"/>
      <c r="H817" s="33">
        <v>129000</v>
      </c>
      <c r="I817" s="34">
        <v>338905</v>
      </c>
      <c r="J817" s="31">
        <f>+SUM(C817:G817)-(H817+I817)</f>
        <v>1690</v>
      </c>
      <c r="L817" s="5"/>
      <c r="M817" s="5"/>
      <c r="N817" s="5"/>
      <c r="O817" s="5"/>
      <c r="Q817" s="5"/>
    </row>
    <row r="818" spans="1:17" ht="16.5">
      <c r="A818" s="28" t="s">
        <v>79</v>
      </c>
      <c r="B818" s="8" t="str">
        <f t="shared" si="324"/>
        <v>JUILLET</v>
      </c>
      <c r="C818" s="29">
        <v>84350</v>
      </c>
      <c r="D818" s="30"/>
      <c r="E818" s="30">
        <v>669400</v>
      </c>
      <c r="F818" s="30"/>
      <c r="G818" s="30"/>
      <c r="H818" s="33">
        <v>100000</v>
      </c>
      <c r="I818" s="34">
        <v>674700</v>
      </c>
      <c r="J818" s="31">
        <f>+SUM(C818:G818)-(H818+I818)</f>
        <v>-20950</v>
      </c>
      <c r="L818" s="5"/>
      <c r="M818" s="5"/>
      <c r="N818" s="5"/>
      <c r="O818" s="5"/>
      <c r="Q818" s="5"/>
    </row>
    <row r="819" spans="1:17" ht="16.5">
      <c r="A819" s="28" t="s">
        <v>79</v>
      </c>
      <c r="B819" s="8" t="str">
        <f t="shared" si="324"/>
        <v>JUILLET</v>
      </c>
      <c r="C819" s="29">
        <v>-216251</v>
      </c>
      <c r="D819" s="30"/>
      <c r="E819" s="30">
        <v>242000</v>
      </c>
      <c r="F819" s="30"/>
      <c r="G819" s="30"/>
      <c r="H819" s="33"/>
      <c r="I819" s="56">
        <v>34830</v>
      </c>
      <c r="J819" s="31">
        <f t="shared" si="323"/>
        <v>-9081</v>
      </c>
      <c r="L819" s="5"/>
      <c r="M819" s="5"/>
      <c r="N819" s="5"/>
      <c r="O819" s="5"/>
      <c r="Q819" s="5"/>
    </row>
    <row r="820" spans="1:17" ht="16.5">
      <c r="A820" s="28" t="s">
        <v>79</v>
      </c>
      <c r="B820" s="8" t="s">
        <v>33</v>
      </c>
      <c r="C820" s="29">
        <v>2025</v>
      </c>
      <c r="D820" s="30"/>
      <c r="E820" s="30">
        <v>25000</v>
      </c>
      <c r="F820" s="30"/>
      <c r="G820" s="30"/>
      <c r="H820" s="33">
        <v>3025</v>
      </c>
      <c r="I820" s="34">
        <v>24000</v>
      </c>
      <c r="J820" s="31">
        <f>+SUM(C820:G820)-(H820+I820)</f>
        <v>0</v>
      </c>
      <c r="L820" s="5"/>
      <c r="M820" s="5"/>
      <c r="N820" s="5"/>
      <c r="O820" s="5"/>
      <c r="Q820" s="5"/>
    </row>
    <row r="821" spans="1:17" ht="16.5">
      <c r="A821" s="28" t="s">
        <v>79</v>
      </c>
      <c r="B821" s="8" t="s">
        <v>32</v>
      </c>
      <c r="C821" s="29">
        <v>10000</v>
      </c>
      <c r="D821" s="32"/>
      <c r="E821" s="30">
        <v>0</v>
      </c>
      <c r="F821" s="32"/>
      <c r="G821" s="32"/>
      <c r="H821" s="33"/>
      <c r="I821" s="34">
        <v>4700</v>
      </c>
      <c r="J821" s="31">
        <f>+SUM(C821:G821)-(H821+I821)</f>
        <v>5300</v>
      </c>
      <c r="L821" s="5"/>
      <c r="M821" s="5"/>
      <c r="N821" s="5"/>
      <c r="O821" s="5"/>
      <c r="Q821" s="5"/>
    </row>
    <row r="822" spans="1:17">
      <c r="A822" s="35" t="s">
        <v>60</v>
      </c>
      <c r="B822" s="36"/>
      <c r="C822" s="36"/>
      <c r="D822" s="36"/>
      <c r="E822" s="36"/>
      <c r="F822" s="36"/>
      <c r="G822" s="36"/>
      <c r="H822" s="36"/>
      <c r="I822" s="36"/>
      <c r="J822" s="37"/>
      <c r="L822" s="5"/>
      <c r="M822" s="5"/>
      <c r="N822" s="5"/>
      <c r="O822" s="5"/>
      <c r="Q822" s="5"/>
    </row>
    <row r="823" spans="1:17">
      <c r="A823" s="28" t="s">
        <v>79</v>
      </c>
      <c r="B823" s="38" t="s">
        <v>61</v>
      </c>
      <c r="C823" s="39">
        <v>791675</v>
      </c>
      <c r="D823" s="40">
        <v>3185100</v>
      </c>
      <c r="E823" s="40"/>
      <c r="F823" s="40"/>
      <c r="G823" s="41">
        <v>237025</v>
      </c>
      <c r="H823" s="49">
        <v>3045100</v>
      </c>
      <c r="I823" s="42">
        <v>876121</v>
      </c>
      <c r="J823" s="43">
        <f>+SUM(C823:G823)-(H823+I823)</f>
        <v>292579</v>
      </c>
      <c r="L823" s="5"/>
      <c r="M823" s="5"/>
      <c r="N823" s="5"/>
      <c r="O823" s="5"/>
      <c r="Q823" s="5"/>
    </row>
    <row r="824" spans="1:17">
      <c r="A824" s="44" t="s">
        <v>62</v>
      </c>
      <c r="B824" s="25"/>
      <c r="C824" s="36"/>
      <c r="D824" s="25"/>
      <c r="E824" s="25"/>
      <c r="F824" s="25"/>
      <c r="G824" s="25"/>
      <c r="H824" s="25"/>
      <c r="I824" s="25"/>
      <c r="J824" s="37"/>
      <c r="L824" s="5"/>
      <c r="M824" s="5"/>
      <c r="N824" s="5"/>
      <c r="O824" s="5"/>
      <c r="Q824" s="5"/>
    </row>
    <row r="825" spans="1:17">
      <c r="A825" s="28" t="s">
        <v>79</v>
      </c>
      <c r="B825" s="38" t="s">
        <v>63</v>
      </c>
      <c r="C825" s="45">
        <v>8039273</v>
      </c>
      <c r="D825" s="54">
        <v>0</v>
      </c>
      <c r="E825" s="51"/>
      <c r="F825" s="51"/>
      <c r="G825" s="51"/>
      <c r="H825" s="53">
        <v>3000000</v>
      </c>
      <c r="I825" s="55">
        <v>224679</v>
      </c>
      <c r="J825" s="46">
        <f>+SUM(C825:G825)-(H825+I825)</f>
        <v>4814594</v>
      </c>
      <c r="L825" s="5"/>
      <c r="M825" s="5"/>
      <c r="N825" s="5"/>
      <c r="O825" s="5"/>
      <c r="Q825" s="5"/>
    </row>
    <row r="826" spans="1:17">
      <c r="A826" s="28" t="s">
        <v>79</v>
      </c>
      <c r="B826" s="38" t="s">
        <v>64</v>
      </c>
      <c r="C826" s="45">
        <v>13283340</v>
      </c>
      <c r="D826" s="51">
        <v>0</v>
      </c>
      <c r="E826" s="50"/>
      <c r="F826" s="50"/>
      <c r="G826" s="50"/>
      <c r="H826" s="33">
        <v>185100</v>
      </c>
      <c r="I826" s="52">
        <v>8352406</v>
      </c>
      <c r="J826" s="46">
        <f>SUM(C826:G826)-(H826+I826)</f>
        <v>4745834</v>
      </c>
      <c r="Q826" s="5"/>
    </row>
    <row r="827" spans="1:17">
      <c r="A827" s="157" t="s">
        <v>79</v>
      </c>
      <c r="B827" s="158" t="s">
        <v>82</v>
      </c>
      <c r="C827" s="45">
        <v>3721074</v>
      </c>
      <c r="D827" s="157"/>
      <c r="E827" s="157"/>
      <c r="F827" s="157"/>
      <c r="G827" s="157"/>
      <c r="H827" s="157"/>
      <c r="I827" s="157"/>
      <c r="J827" s="159">
        <f>SUM(C827:G827)-(H827+I827)</f>
        <v>3721074</v>
      </c>
      <c r="Q827" s="5"/>
    </row>
    <row r="828" spans="1:17">
      <c r="A828" s="157" t="s">
        <v>79</v>
      </c>
      <c r="B828" s="158" t="s">
        <v>83</v>
      </c>
      <c r="C828" s="45">
        <v>249769</v>
      </c>
      <c r="D828" s="51"/>
      <c r="E828" s="51"/>
      <c r="F828" s="51"/>
      <c r="G828" s="51"/>
      <c r="H828" s="33"/>
      <c r="I828" s="52"/>
      <c r="J828" s="159">
        <f>SUM(C828:G828)-(H828+I828)</f>
        <v>249769</v>
      </c>
      <c r="Q828" s="5"/>
    </row>
    <row r="829" spans="1:17">
      <c r="A829" s="157" t="s">
        <v>79</v>
      </c>
      <c r="B829" s="160" t="s">
        <v>84</v>
      </c>
      <c r="C829" s="45">
        <v>233614</v>
      </c>
      <c r="D829" s="51"/>
      <c r="E829" s="51"/>
      <c r="F829" s="51"/>
      <c r="G829" s="51"/>
      <c r="H829" s="33"/>
      <c r="I829" s="52"/>
      <c r="J829" s="159">
        <f>SUM(C829:G829)-(H829+I829)</f>
        <v>233614</v>
      </c>
      <c r="Q829" s="5"/>
    </row>
    <row r="830" spans="1:17">
      <c r="A830" s="157" t="s">
        <v>79</v>
      </c>
      <c r="B830" s="161" t="s">
        <v>85</v>
      </c>
      <c r="C830" s="45">
        <v>330169</v>
      </c>
      <c r="D830" s="157"/>
      <c r="E830" s="157"/>
      <c r="F830" s="157"/>
      <c r="G830" s="157"/>
      <c r="H830" s="157"/>
      <c r="I830" s="157"/>
      <c r="J830" s="159">
        <f>SUM(C830:G830)-(H830+I830)</f>
        <v>330169</v>
      </c>
      <c r="Q830" s="5"/>
    </row>
    <row r="831" spans="1:17" ht="15.75">
      <c r="C831" s="9"/>
      <c r="I831" s="9"/>
      <c r="J831" s="111">
        <f>+SUM(J811:J830)</f>
        <v>14369131</v>
      </c>
      <c r="Q831" s="5"/>
    </row>
    <row r="832" spans="1:17">
      <c r="C832" s="9"/>
      <c r="I832" s="9"/>
      <c r="J832" s="9"/>
      <c r="Q832" s="5"/>
    </row>
    <row r="833" spans="1:15" s="74" customFormat="1">
      <c r="A833" s="72" t="s">
        <v>65</v>
      </c>
      <c r="B833" s="72"/>
      <c r="C833" s="72"/>
      <c r="D833" s="72"/>
      <c r="E833" s="72"/>
      <c r="F833" s="72"/>
      <c r="G833" s="72"/>
      <c r="H833" s="72"/>
      <c r="I833" s="72"/>
      <c r="J833" s="73"/>
      <c r="L833" s="75"/>
      <c r="M833" s="75"/>
      <c r="N833" s="75"/>
      <c r="O833" s="75"/>
    </row>
    <row r="834" spans="1:15" s="74" customFormat="1">
      <c r="A834" s="76"/>
      <c r="B834" s="73"/>
      <c r="C834" s="77"/>
      <c r="D834" s="77"/>
      <c r="E834" s="77"/>
      <c r="F834" s="77"/>
      <c r="G834" s="77"/>
      <c r="H834" s="73"/>
      <c r="I834" s="73"/>
      <c r="J834" s="72"/>
      <c r="L834" s="75"/>
      <c r="M834" s="75"/>
      <c r="N834" s="75"/>
      <c r="O834" s="75"/>
    </row>
    <row r="835" spans="1:15" s="74" customFormat="1">
      <c r="A835" s="451" t="s">
        <v>53</v>
      </c>
      <c r="B835" s="453" t="s">
        <v>54</v>
      </c>
      <c r="C835" s="455" t="s">
        <v>67</v>
      </c>
      <c r="D835" s="478" t="s">
        <v>55</v>
      </c>
      <c r="E835" s="479"/>
      <c r="F835" s="479"/>
      <c r="G835" s="480"/>
      <c r="H835" s="481" t="s">
        <v>56</v>
      </c>
      <c r="I835" s="483" t="s">
        <v>57</v>
      </c>
      <c r="J835" s="73"/>
      <c r="L835" s="75"/>
      <c r="M835" s="75"/>
      <c r="N835" s="75"/>
      <c r="O835" s="75"/>
    </row>
    <row r="836" spans="1:15" s="74" customFormat="1">
      <c r="A836" s="452"/>
      <c r="B836" s="454"/>
      <c r="C836" s="456"/>
      <c r="D836" s="22" t="s">
        <v>24</v>
      </c>
      <c r="E836" s="22" t="s">
        <v>25</v>
      </c>
      <c r="F836" s="71" t="s">
        <v>69</v>
      </c>
      <c r="G836" s="22" t="s">
        <v>58</v>
      </c>
      <c r="H836" s="482"/>
      <c r="I836" s="484"/>
      <c r="J836" s="464" t="s">
        <v>68</v>
      </c>
      <c r="L836" s="75"/>
      <c r="M836" s="75"/>
      <c r="N836" s="75"/>
      <c r="O836" s="75"/>
    </row>
    <row r="837" spans="1:15" s="74" customFormat="1">
      <c r="A837" s="78"/>
      <c r="B837" s="79" t="s">
        <v>59</v>
      </c>
      <c r="C837" s="80"/>
      <c r="D837" s="80"/>
      <c r="E837" s="80"/>
      <c r="F837" s="80"/>
      <c r="G837" s="80"/>
      <c r="H837" s="80"/>
      <c r="I837" s="81"/>
      <c r="J837" s="465"/>
      <c r="L837" s="75"/>
      <c r="M837" s="75"/>
      <c r="N837" s="75"/>
      <c r="O837" s="75"/>
    </row>
    <row r="838" spans="1:15" s="74" customFormat="1" ht="16.5">
      <c r="A838" s="82" t="s">
        <v>66</v>
      </c>
      <c r="B838" s="8" t="s">
        <v>47</v>
      </c>
      <c r="C838" s="83">
        <v>40560</v>
      </c>
      <c r="D838" s="30"/>
      <c r="E838" s="30">
        <v>0</v>
      </c>
      <c r="F838" s="30"/>
      <c r="G838" s="30"/>
      <c r="H838" s="84"/>
      <c r="I838" s="85">
        <f>+SUM([1]COMPTA_CREPIN!$F$3050:$F$3066)</f>
        <v>21500</v>
      </c>
      <c r="J838" s="31">
        <f>+SUM(C838:G838)-(H838+I838)</f>
        <v>19060</v>
      </c>
      <c r="L838" s="75"/>
      <c r="M838" s="75"/>
      <c r="N838" s="75"/>
      <c r="O838" s="75"/>
    </row>
    <row r="839" spans="1:15" s="74" customFormat="1" ht="16.5">
      <c r="A839" s="82" t="s">
        <v>66</v>
      </c>
      <c r="B839" s="8" t="s">
        <v>28</v>
      </c>
      <c r="C839" s="83">
        <v>227975</v>
      </c>
      <c r="D839" s="30"/>
      <c r="E839" s="30">
        <f>+'[2]Compta Dalia (2)'!$E$1908+'[2]Compta Dalia (2)'!$E$1909+'[2]Compta Dalia (2)'!$E$1911+'[2]Compta Dalia (2)'!$E$1917</f>
        <v>119600</v>
      </c>
      <c r="F839" s="30"/>
      <c r="G839" s="30"/>
      <c r="H839" s="84">
        <f>+'[2]Compta Dalia (2)'!$F$1919</f>
        <v>1635</v>
      </c>
      <c r="I839" s="85">
        <v>345940</v>
      </c>
      <c r="J839" s="31">
        <f t="shared" ref="J839:J846" si="325">+SUM(C839:G839)-(H839+I839)</f>
        <v>0</v>
      </c>
      <c r="L839" s="75"/>
      <c r="M839" s="75"/>
      <c r="N839" s="75"/>
      <c r="O839" s="75"/>
    </row>
    <row r="840" spans="1:15" s="74" customFormat="1" ht="16.5">
      <c r="A840" s="82" t="s">
        <v>66</v>
      </c>
      <c r="B840" s="8" t="s">
        <v>31</v>
      </c>
      <c r="C840" s="83">
        <v>-605</v>
      </c>
      <c r="D840" s="30"/>
      <c r="E840" s="30">
        <f>+'[3]compta (3)'!$E$2556+'[3]compta (3)'!$E$2557+'[3]compta (3)'!$E$2558</f>
        <v>30000</v>
      </c>
      <c r="F840" s="30"/>
      <c r="G840" s="30"/>
      <c r="H840" s="86"/>
      <c r="I840" s="87">
        <f>'[3]compta (3)'!$F$2559</f>
        <v>21000</v>
      </c>
      <c r="J840" s="31">
        <f t="shared" si="325"/>
        <v>8395</v>
      </c>
      <c r="L840" s="75"/>
      <c r="M840" s="75"/>
      <c r="N840" s="75"/>
      <c r="O840" s="75"/>
    </row>
    <row r="841" spans="1:15" s="74" customFormat="1" ht="16.5">
      <c r="A841" s="82" t="s">
        <v>66</v>
      </c>
      <c r="B841" s="105" t="s">
        <v>26</v>
      </c>
      <c r="C841" s="83">
        <v>264659</v>
      </c>
      <c r="D841" s="106"/>
      <c r="E841" s="106">
        <f>+'[4]compta (2)'!$E$2521+'[4]compta (2)'!$E$2525+'[4]compta (2)'!$E$2527+'[4]compta (2)'!$E$2529</f>
        <v>325000</v>
      </c>
      <c r="F841" s="106"/>
      <c r="G841" s="106"/>
      <c r="H841" s="33">
        <f>'[4]compta (2)'!$F$2528+60000</f>
        <v>75000</v>
      </c>
      <c r="I841" s="33">
        <f>'[4]compta (2)'!$F$2522+'[4]compta (2)'!$F$2523+'[4]compta (2)'!$F$2524+'[4]compta (2)'!$F$2526+'[4]compta (2)'!$F$2530+'[4]compta (2)'!$F$2532+'[4]compta (2)'!$F$2533+'[4]compta (2)'!$F$2534</f>
        <v>507100</v>
      </c>
      <c r="J841" s="107">
        <f t="shared" si="325"/>
        <v>7559</v>
      </c>
      <c r="L841" s="75"/>
      <c r="M841" s="75"/>
      <c r="N841" s="75"/>
      <c r="O841" s="75"/>
    </row>
    <row r="842" spans="1:15" s="74" customFormat="1" ht="16.5">
      <c r="A842" s="82" t="s">
        <v>66</v>
      </c>
      <c r="B842" s="105" t="s">
        <v>48</v>
      </c>
      <c r="C842" s="83">
        <v>272500</v>
      </c>
      <c r="D842" s="106"/>
      <c r="E842" s="106">
        <f>+'[5]COMPTA_I23C (2)'!$E$4171+'[5]COMPTA_I23C (2)'!$E$4172+'[5]COMPTA_I23C (2)'!$E$4174+'[5]COMPTA_I23C (2)'!$E$4178+'[5]COMPTA_I23C (2)'!$E$4180+'[5]COMPTA_I23C (2)'!$E$4181</f>
        <v>695000</v>
      </c>
      <c r="F842" s="106"/>
      <c r="G842" s="106"/>
      <c r="H842" s="33"/>
      <c r="I842" s="83">
        <v>753500</v>
      </c>
      <c r="J842" s="107">
        <f t="shared" si="325"/>
        <v>214000</v>
      </c>
      <c r="L842" s="75"/>
      <c r="M842" s="75"/>
      <c r="N842" s="75"/>
      <c r="O842" s="75"/>
    </row>
    <row r="843" spans="1:15" s="74" customFormat="1" ht="16.5">
      <c r="A843" s="82" t="s">
        <v>66</v>
      </c>
      <c r="B843" s="8" t="s">
        <v>35</v>
      </c>
      <c r="C843" s="83">
        <v>284595</v>
      </c>
      <c r="D843" s="30"/>
      <c r="E843" s="30">
        <f>+'[6]Feuil1 (2)'!$E$2684+'[6]Feuil1 (2)'!$E$2689+'[6]Feuil1 (2)'!$E$2691</f>
        <v>275000</v>
      </c>
      <c r="F843" s="30">
        <f>'[4]compta (2)'!$F$2531</f>
        <v>60000</v>
      </c>
      <c r="G843" s="30"/>
      <c r="H843" s="86"/>
      <c r="I843" s="85">
        <v>633400</v>
      </c>
      <c r="J843" s="31">
        <f t="shared" si="325"/>
        <v>-13805</v>
      </c>
      <c r="L843" s="75"/>
      <c r="M843" s="75"/>
      <c r="N843" s="75"/>
      <c r="O843" s="75"/>
    </row>
    <row r="844" spans="1:15" s="74" customFormat="1" ht="16.5">
      <c r="A844" s="82" t="s">
        <v>66</v>
      </c>
      <c r="B844" s="8" t="s">
        <v>27</v>
      </c>
      <c r="C844" s="83">
        <v>-1750</v>
      </c>
      <c r="D844" s="30"/>
      <c r="E844" s="30">
        <f>+'[7]Compta Jospin (2)'!$E$1583+'[7]Compta Jospin (2)'!$E$1584+'[7]Compta Jospin (2)'!$E$1587</f>
        <v>96400</v>
      </c>
      <c r="F844" s="30"/>
      <c r="G844" s="30"/>
      <c r="H844" s="86">
        <f>+'[7]Compta Jospin (2)'!$F$1592</f>
        <v>950</v>
      </c>
      <c r="I844" s="85">
        <v>93700</v>
      </c>
      <c r="J844" s="31">
        <f t="shared" si="325"/>
        <v>0</v>
      </c>
      <c r="L844" s="75"/>
      <c r="M844" s="75"/>
      <c r="N844" s="75"/>
      <c r="O844" s="75"/>
    </row>
    <row r="845" spans="1:15" s="74" customFormat="1" ht="16.5">
      <c r="A845" s="82" t="s">
        <v>66</v>
      </c>
      <c r="B845" s="8" t="s">
        <v>29</v>
      </c>
      <c r="C845" s="83">
        <v>265600</v>
      </c>
      <c r="D845" s="30"/>
      <c r="E845" s="30">
        <f>+'[8]COMPT-P29 (2)'!$E$190+'[8]COMPT-P29 (2)'!$E$191+'[8]COMPT-P29 (2)'!$E$196+'[8]COMPT-P29 (2)'!$E$201+'[8]COMPT-P29 (2)'!$E$202+'[8]COMPT-P29 (2)'!$E$204+'[8]COMPT-P29 (2)'!$E$207+'[8]COMPT-P29 (2)'!$E$215</f>
        <v>855600</v>
      </c>
      <c r="F845" s="30"/>
      <c r="G845" s="30"/>
      <c r="H845" s="86"/>
      <c r="I845" s="85">
        <v>1036850</v>
      </c>
      <c r="J845" s="31">
        <f t="shared" si="325"/>
        <v>84350</v>
      </c>
      <c r="L845" s="75"/>
      <c r="M845" s="75"/>
      <c r="N845" s="75"/>
      <c r="O845" s="75"/>
    </row>
    <row r="846" spans="1:15" s="74" customFormat="1" ht="16.5">
      <c r="A846" s="82" t="s">
        <v>66</v>
      </c>
      <c r="B846" s="8" t="s">
        <v>49</v>
      </c>
      <c r="C846" s="83">
        <f t="shared" ref="C846" si="326">+C819</f>
        <v>-216251</v>
      </c>
      <c r="D846" s="30"/>
      <c r="E846" s="30">
        <v>0</v>
      </c>
      <c r="F846" s="30"/>
      <c r="G846" s="30"/>
      <c r="H846" s="86"/>
      <c r="I846" s="87">
        <v>0</v>
      </c>
      <c r="J846" s="31">
        <f t="shared" si="325"/>
        <v>-216251</v>
      </c>
      <c r="L846" s="75"/>
      <c r="M846" s="75"/>
      <c r="N846" s="75"/>
      <c r="O846" s="75"/>
    </row>
    <row r="847" spans="1:15" s="74" customFormat="1" ht="16.5">
      <c r="A847" s="82" t="s">
        <v>66</v>
      </c>
      <c r="B847" s="8" t="s">
        <v>33</v>
      </c>
      <c r="C847" s="83">
        <v>1025</v>
      </c>
      <c r="D847" s="30"/>
      <c r="E847" s="30">
        <f>+'[9]compta shely'!$E$90+'[9]compta shely'!$E$97+'[9]compta shely'!$E$100</f>
        <v>25000</v>
      </c>
      <c r="F847" s="30"/>
      <c r="G847" s="30"/>
      <c r="H847" s="86"/>
      <c r="I847" s="85">
        <v>24000</v>
      </c>
      <c r="J847" s="31">
        <f>+SUM(C847:G847)-(H847+I847)</f>
        <v>2025</v>
      </c>
      <c r="L847" s="75"/>
      <c r="M847" s="75"/>
      <c r="N847" s="75"/>
      <c r="O847" s="75"/>
    </row>
    <row r="848" spans="1:15" s="74" customFormat="1" ht="16.5">
      <c r="A848" s="32" t="s">
        <v>66</v>
      </c>
      <c r="B848" s="8" t="s">
        <v>32</v>
      </c>
      <c r="C848" s="83">
        <v>0</v>
      </c>
      <c r="D848" s="32"/>
      <c r="E848" s="32">
        <f>+'[10]compta ted'!$E$11</f>
        <v>10000</v>
      </c>
      <c r="F848" s="32"/>
      <c r="G848" s="32"/>
      <c r="H848" s="86"/>
      <c r="I848" s="85">
        <v>0</v>
      </c>
      <c r="J848" s="31">
        <f>+SUM(C848:G848)-(H848+I848)</f>
        <v>10000</v>
      </c>
      <c r="L848" s="75"/>
      <c r="M848" s="75"/>
      <c r="N848" s="75"/>
      <c r="O848" s="75"/>
    </row>
    <row r="849" spans="1:17" s="74" customFormat="1">
      <c r="A849" s="88" t="s">
        <v>60</v>
      </c>
      <c r="B849" s="89"/>
      <c r="C849" s="89"/>
      <c r="D849" s="89"/>
      <c r="E849" s="89"/>
      <c r="F849" s="89"/>
      <c r="G849" s="89"/>
      <c r="H849" s="89"/>
      <c r="I849" s="89"/>
      <c r="J849" s="90"/>
      <c r="L849" s="75"/>
      <c r="M849" s="75"/>
      <c r="N849" s="75"/>
      <c r="O849" s="75"/>
    </row>
    <row r="850" spans="1:17" s="74" customFormat="1">
      <c r="A850" s="32" t="s">
        <v>66</v>
      </c>
      <c r="B850" s="38" t="s">
        <v>61</v>
      </c>
      <c r="C850" s="39">
        <v>954796</v>
      </c>
      <c r="D850" s="30">
        <v>3000000</v>
      </c>
      <c r="E850" s="30"/>
      <c r="F850" s="30"/>
      <c r="G850" s="91">
        <v>17585</v>
      </c>
      <c r="H850" s="92">
        <v>2431600</v>
      </c>
      <c r="I850" s="93">
        <v>749106</v>
      </c>
      <c r="J850" s="94">
        <f>+SUM(C850:G850)-(H850+I850)</f>
        <v>791675</v>
      </c>
      <c r="L850" s="75"/>
      <c r="M850" s="75"/>
      <c r="N850" s="75"/>
      <c r="O850" s="75"/>
    </row>
    <row r="851" spans="1:17" s="74" customFormat="1">
      <c r="A851" s="95" t="s">
        <v>62</v>
      </c>
      <c r="B851" s="79"/>
      <c r="C851" s="89"/>
      <c r="D851" s="79"/>
      <c r="E851" s="79"/>
      <c r="F851" s="79"/>
      <c r="G851" s="79"/>
      <c r="H851" s="79"/>
      <c r="I851" s="79"/>
      <c r="J851" s="90"/>
      <c r="L851" s="75"/>
      <c r="M851" s="75"/>
      <c r="N851" s="75"/>
      <c r="O851" s="75"/>
    </row>
    <row r="852" spans="1:17" s="74" customFormat="1">
      <c r="A852" s="32" t="s">
        <v>66</v>
      </c>
      <c r="B852" s="38" t="s">
        <v>63</v>
      </c>
      <c r="C852" s="83">
        <v>705838</v>
      </c>
      <c r="D852" s="96">
        <v>10801800</v>
      </c>
      <c r="E852" s="97"/>
      <c r="F852" s="97"/>
      <c r="G852" s="97"/>
      <c r="H852" s="98">
        <v>3000000</v>
      </c>
      <c r="I852" s="99">
        <v>468365</v>
      </c>
      <c r="J852" s="31">
        <f>+SUM(C852:G852)-(H852+I852)</f>
        <v>8039273</v>
      </c>
      <c r="L852" s="75"/>
      <c r="M852" s="75"/>
      <c r="N852" s="75"/>
      <c r="O852" s="75"/>
    </row>
    <row r="853" spans="1:17" s="74" customFormat="1">
      <c r="A853" s="32" t="s">
        <v>66</v>
      </c>
      <c r="B853" s="38" t="s">
        <v>64</v>
      </c>
      <c r="C853" s="83">
        <v>14874402</v>
      </c>
      <c r="D853" s="97">
        <v>3279785</v>
      </c>
      <c r="E853" s="100"/>
      <c r="F853" s="100"/>
      <c r="G853" s="100"/>
      <c r="H853" s="101"/>
      <c r="I853" s="102">
        <v>4870847</v>
      </c>
      <c r="J853" s="31">
        <f>SUM(C853:G853)-(H853+I853)</f>
        <v>13283340</v>
      </c>
      <c r="L853" s="75"/>
      <c r="M853" s="75"/>
      <c r="N853" s="75"/>
      <c r="O853" s="75"/>
    </row>
    <row r="854" spans="1:17" s="74" customFormat="1">
      <c r="L854" s="75"/>
      <c r="M854" s="75"/>
      <c r="N854" s="75"/>
      <c r="O854" s="75"/>
    </row>
    <row r="855" spans="1:17" s="74" customFormat="1">
      <c r="C855" s="103">
        <f>+SUM(C838:C853)</f>
        <v>17673344</v>
      </c>
      <c r="I855" s="103">
        <f>SUM(I838:I853)</f>
        <v>9525308</v>
      </c>
      <c r="J855" s="103">
        <f>+SUM(J838:J853)</f>
        <v>22229621</v>
      </c>
      <c r="L855" s="75"/>
      <c r="M855" s="75"/>
      <c r="N855" s="75"/>
      <c r="O855" s="75"/>
    </row>
    <row r="856" spans="1:17">
      <c r="C856" s="9"/>
      <c r="I856" s="9"/>
      <c r="J856" s="9"/>
      <c r="Q856" s="5"/>
    </row>
    <row r="857" spans="1:17">
      <c r="A857" s="64" t="s">
        <v>70</v>
      </c>
      <c r="B857" s="64"/>
      <c r="Q857" s="5"/>
    </row>
    <row r="858" spans="1:17">
      <c r="A858" s="65" t="s">
        <v>71</v>
      </c>
      <c r="B858" s="65"/>
      <c r="C858" s="65"/>
      <c r="D858" s="65"/>
      <c r="E858" s="65"/>
      <c r="F858" s="65"/>
      <c r="G858" s="65"/>
      <c r="H858" s="65"/>
      <c r="I858" s="65"/>
      <c r="J858" s="65"/>
      <c r="L858" s="5"/>
      <c r="M858" s="5"/>
      <c r="N858" s="5"/>
      <c r="O858" s="5"/>
      <c r="Q858" s="5"/>
    </row>
    <row r="860" spans="1:17" ht="15" customHeight="1">
      <c r="A860" s="466" t="s">
        <v>53</v>
      </c>
      <c r="B860" s="466" t="s">
        <v>54</v>
      </c>
      <c r="C860" s="477" t="s">
        <v>73</v>
      </c>
      <c r="D860" s="472" t="s">
        <v>55</v>
      </c>
      <c r="E860" s="472"/>
      <c r="F860" s="472"/>
      <c r="G860" s="472"/>
      <c r="H860" s="473" t="s">
        <v>56</v>
      </c>
      <c r="I860" s="475" t="s">
        <v>57</v>
      </c>
      <c r="J860" s="468" t="s">
        <v>74</v>
      </c>
      <c r="K860" s="469"/>
      <c r="L860" s="5"/>
      <c r="M860" s="5"/>
      <c r="N860" s="5"/>
      <c r="O860" s="5"/>
      <c r="Q860" s="5"/>
    </row>
    <row r="861" spans="1:17" ht="28.5" customHeight="1">
      <c r="A861" s="467"/>
      <c r="B861" s="467"/>
      <c r="C861" s="467"/>
      <c r="D861" s="69" t="s">
        <v>24</v>
      </c>
      <c r="E861" s="66" t="s">
        <v>25</v>
      </c>
      <c r="F861" s="66" t="s">
        <v>27</v>
      </c>
      <c r="G861" s="66" t="s">
        <v>58</v>
      </c>
      <c r="H861" s="474"/>
      <c r="I861" s="476"/>
      <c r="J861" s="470"/>
      <c r="K861" s="471"/>
      <c r="L861" s="5"/>
      <c r="M861" s="5"/>
      <c r="N861" s="5"/>
      <c r="O861" s="5"/>
      <c r="Q861" s="5"/>
    </row>
    <row r="862" spans="1:17">
      <c r="A862" s="47"/>
      <c r="B862" s="47" t="s">
        <v>59</v>
      </c>
      <c r="C862" s="49"/>
      <c r="D862" s="49"/>
      <c r="E862" s="49"/>
      <c r="F862" s="49"/>
      <c r="G862" s="49"/>
      <c r="H862" s="49"/>
      <c r="I862" s="49"/>
      <c r="J862" s="49"/>
      <c r="K862" s="47"/>
      <c r="L862" s="5"/>
      <c r="M862" s="5"/>
      <c r="N862" s="5"/>
      <c r="O862" s="5"/>
      <c r="Q862" s="5"/>
    </row>
    <row r="863" spans="1:17">
      <c r="A863" s="47" t="s">
        <v>72</v>
      </c>
      <c r="B863" s="47" t="s">
        <v>47</v>
      </c>
      <c r="C863" s="49">
        <v>89360</v>
      </c>
      <c r="D863" s="49"/>
      <c r="E863" s="49">
        <v>13000</v>
      </c>
      <c r="F863" s="49"/>
      <c r="G863" s="49"/>
      <c r="H863" s="49"/>
      <c r="I863" s="49">
        <v>61800</v>
      </c>
      <c r="J863" s="49">
        <v>40560</v>
      </c>
      <c r="K863" s="47"/>
      <c r="L863" s="5"/>
      <c r="M863" s="5"/>
      <c r="N863" s="5"/>
      <c r="O863" s="5"/>
      <c r="Q863" s="5"/>
    </row>
    <row r="864" spans="1:17">
      <c r="A864" s="47" t="s">
        <v>72</v>
      </c>
      <c r="B864" s="47" t="s">
        <v>28</v>
      </c>
      <c r="C864" s="49">
        <v>-1025</v>
      </c>
      <c r="D864" s="49"/>
      <c r="E864" s="49">
        <v>684500</v>
      </c>
      <c r="F864" s="49"/>
      <c r="G864" s="49"/>
      <c r="H864" s="49"/>
      <c r="I864" s="49">
        <v>455500</v>
      </c>
      <c r="J864" s="49">
        <v>227975</v>
      </c>
      <c r="K864" s="47"/>
      <c r="L864" s="5"/>
      <c r="M864" s="5"/>
      <c r="N864" s="5"/>
      <c r="O864" s="5"/>
      <c r="Q864" s="5"/>
    </row>
    <row r="865" spans="1:17">
      <c r="A865" s="47" t="s">
        <v>72</v>
      </c>
      <c r="B865" s="47" t="s">
        <v>31</v>
      </c>
      <c r="C865" s="49">
        <v>14395</v>
      </c>
      <c r="D865" s="49"/>
      <c r="E865" s="49">
        <v>40000</v>
      </c>
      <c r="F865" s="49"/>
      <c r="G865" s="49"/>
      <c r="H865" s="49"/>
      <c r="I865" s="49">
        <v>55000</v>
      </c>
      <c r="J865" s="49">
        <v>-605</v>
      </c>
      <c r="K865" s="47"/>
      <c r="L865" s="5"/>
      <c r="M865" s="5"/>
      <c r="N865" s="5"/>
      <c r="O865" s="5"/>
      <c r="Q865" s="5"/>
    </row>
    <row r="866" spans="1:17">
      <c r="A866" s="47" t="s">
        <v>72</v>
      </c>
      <c r="B866" s="47" t="s">
        <v>26</v>
      </c>
      <c r="C866" s="49">
        <v>8559</v>
      </c>
      <c r="D866" s="49"/>
      <c r="E866" s="49">
        <v>428750</v>
      </c>
      <c r="F866" s="49">
        <v>280200</v>
      </c>
      <c r="G866" s="49"/>
      <c r="H866" s="49"/>
      <c r="I866" s="49">
        <v>452850</v>
      </c>
      <c r="J866" s="49">
        <v>264659</v>
      </c>
      <c r="K866" s="47"/>
      <c r="L866" s="5"/>
      <c r="M866" s="5"/>
      <c r="N866" s="5"/>
      <c r="O866" s="5"/>
      <c r="Q866" s="5"/>
    </row>
    <row r="867" spans="1:17">
      <c r="A867" s="47" t="s">
        <v>72</v>
      </c>
      <c r="B867" s="47" t="s">
        <v>48</v>
      </c>
      <c r="C867" s="49">
        <v>-5750</v>
      </c>
      <c r="D867" s="49"/>
      <c r="E867" s="49">
        <v>1161750</v>
      </c>
      <c r="F867" s="49"/>
      <c r="G867" s="49"/>
      <c r="H867" s="49">
        <v>124000</v>
      </c>
      <c r="I867" s="49">
        <v>759500</v>
      </c>
      <c r="J867" s="49">
        <v>272500</v>
      </c>
      <c r="K867" s="47"/>
      <c r="L867" s="5"/>
      <c r="M867" s="5"/>
      <c r="N867" s="5"/>
      <c r="O867" s="5"/>
      <c r="Q867" s="5"/>
    </row>
    <row r="868" spans="1:17">
      <c r="A868" s="47" t="s">
        <v>72</v>
      </c>
      <c r="B868" s="47" t="s">
        <v>35</v>
      </c>
      <c r="C868" s="49">
        <v>12995</v>
      </c>
      <c r="D868" s="49"/>
      <c r="E868" s="49">
        <v>726000</v>
      </c>
      <c r="F868" s="49"/>
      <c r="G868" s="49"/>
      <c r="H868" s="49"/>
      <c r="I868" s="49">
        <v>454400</v>
      </c>
      <c r="J868" s="49">
        <v>284595</v>
      </c>
      <c r="K868" s="47"/>
      <c r="L868" s="5"/>
      <c r="M868" s="5"/>
      <c r="N868" s="5"/>
      <c r="O868" s="5"/>
      <c r="Q868" s="5"/>
    </row>
    <row r="869" spans="1:17">
      <c r="A869" s="47" t="s">
        <v>72</v>
      </c>
      <c r="B869" s="47" t="s">
        <v>27</v>
      </c>
      <c r="C869" s="49">
        <v>6050</v>
      </c>
      <c r="D869" s="49"/>
      <c r="E869" s="49">
        <v>736300</v>
      </c>
      <c r="F869" s="49"/>
      <c r="G869" s="49"/>
      <c r="H869" s="49">
        <v>405200</v>
      </c>
      <c r="I869" s="49">
        <v>338900</v>
      </c>
      <c r="J869" s="49">
        <v>-1750</v>
      </c>
      <c r="K869" s="47"/>
      <c r="L869" s="5"/>
      <c r="M869" s="5"/>
      <c r="N869" s="5"/>
      <c r="O869" s="5"/>
      <c r="Q869" s="5"/>
    </row>
    <row r="870" spans="1:17">
      <c r="A870" s="47" t="s">
        <v>72</v>
      </c>
      <c r="B870" s="47" t="s">
        <v>29</v>
      </c>
      <c r="C870" s="49">
        <v>142400</v>
      </c>
      <c r="D870" s="49"/>
      <c r="E870" s="49">
        <v>1014000</v>
      </c>
      <c r="F870" s="49"/>
      <c r="G870" s="49"/>
      <c r="H870" s="49">
        <v>100000</v>
      </c>
      <c r="I870" s="49">
        <v>790800</v>
      </c>
      <c r="J870" s="49">
        <v>265600</v>
      </c>
      <c r="K870" s="47"/>
      <c r="L870" s="5"/>
      <c r="M870" s="5"/>
      <c r="N870" s="5"/>
      <c r="O870" s="5"/>
      <c r="Q870" s="5"/>
    </row>
    <row r="871" spans="1:17">
      <c r="A871" s="47" t="s">
        <v>72</v>
      </c>
      <c r="B871" s="47" t="s">
        <v>49</v>
      </c>
      <c r="C871" s="49">
        <v>-221251.00072999997</v>
      </c>
      <c r="D871" s="49"/>
      <c r="E871" s="49">
        <v>485000</v>
      </c>
      <c r="F871" s="49"/>
      <c r="G871" s="49"/>
      <c r="H871" s="49">
        <v>5000</v>
      </c>
      <c r="I871" s="49">
        <v>475000</v>
      </c>
      <c r="J871" s="49">
        <v>-216251.00072999997</v>
      </c>
      <c r="K871" s="47"/>
      <c r="L871" s="5"/>
      <c r="M871" s="5"/>
      <c r="N871" s="5"/>
      <c r="O871" s="5"/>
      <c r="Q871" s="5"/>
    </row>
    <row r="872" spans="1:17">
      <c r="A872" s="47" t="s">
        <v>72</v>
      </c>
      <c r="B872" s="47" t="s">
        <v>33</v>
      </c>
      <c r="C872" s="49">
        <v>14225</v>
      </c>
      <c r="D872" s="49"/>
      <c r="E872" s="49">
        <v>30000</v>
      </c>
      <c r="F872" s="49"/>
      <c r="G872" s="49"/>
      <c r="H872" s="49"/>
      <c r="I872" s="49">
        <v>43200</v>
      </c>
      <c r="J872" s="49">
        <v>1025</v>
      </c>
      <c r="K872" s="47"/>
      <c r="L872" s="5"/>
      <c r="M872" s="5"/>
      <c r="N872" s="5"/>
      <c r="O872" s="5"/>
      <c r="Q872" s="5"/>
    </row>
    <row r="873" spans="1:17">
      <c r="A873" s="67" t="s">
        <v>60</v>
      </c>
      <c r="B873" s="67"/>
      <c r="C873" s="68"/>
      <c r="D873" s="68"/>
      <c r="E873" s="68"/>
      <c r="F873" s="68"/>
      <c r="G873" s="68"/>
      <c r="H873" s="68"/>
      <c r="I873" s="68"/>
      <c r="J873" s="68"/>
      <c r="K873" s="67"/>
      <c r="L873" s="5"/>
      <c r="M873" s="5"/>
      <c r="N873" s="5"/>
      <c r="O873" s="5"/>
      <c r="Q873" s="5"/>
    </row>
    <row r="874" spans="1:17">
      <c r="A874" s="47" t="s">
        <v>72</v>
      </c>
      <c r="B874" s="47" t="s">
        <v>61</v>
      </c>
      <c r="C874" s="49">
        <v>494738</v>
      </c>
      <c r="D874" s="49">
        <v>6000000</v>
      </c>
      <c r="E874" s="49"/>
      <c r="F874" s="49"/>
      <c r="G874" s="49">
        <v>105000</v>
      </c>
      <c r="H874" s="49">
        <v>5070300</v>
      </c>
      <c r="I874" s="49">
        <v>574642</v>
      </c>
      <c r="J874" s="49">
        <v>954796</v>
      </c>
      <c r="K874" s="47"/>
      <c r="L874" s="5"/>
      <c r="M874" s="5"/>
      <c r="N874" s="5"/>
      <c r="O874" s="5"/>
      <c r="Q874" s="5"/>
    </row>
    <row r="875" spans="1:17">
      <c r="A875" s="67" t="s">
        <v>62</v>
      </c>
      <c r="B875" s="67"/>
      <c r="C875" s="68"/>
      <c r="D875" s="68"/>
      <c r="E875" s="68"/>
      <c r="F875" s="68"/>
      <c r="G875" s="68"/>
      <c r="H875" s="68"/>
      <c r="I875" s="68"/>
      <c r="J875" s="68"/>
      <c r="K875" s="67"/>
      <c r="L875" s="5"/>
      <c r="M875" s="5"/>
      <c r="N875" s="5"/>
      <c r="O875" s="5"/>
      <c r="Q875" s="5"/>
    </row>
    <row r="876" spans="1:17">
      <c r="A876" s="47" t="s">
        <v>72</v>
      </c>
      <c r="B876" s="47" t="s">
        <v>63</v>
      </c>
      <c r="C876" s="49">
        <v>11363703</v>
      </c>
      <c r="D876" s="49"/>
      <c r="E876" s="49"/>
      <c r="F876" s="49"/>
      <c r="G876" s="49"/>
      <c r="H876" s="49">
        <v>10000000</v>
      </c>
      <c r="I876" s="49">
        <v>657865</v>
      </c>
      <c r="J876" s="49">
        <v>705838</v>
      </c>
      <c r="K876" s="47"/>
      <c r="L876" s="5"/>
      <c r="M876" s="5"/>
      <c r="N876" s="5"/>
      <c r="O876" s="5"/>
      <c r="Q876" s="5"/>
    </row>
    <row r="877" spans="1:17">
      <c r="A877" s="47" t="s">
        <v>72</v>
      </c>
      <c r="B877" s="47" t="s">
        <v>64</v>
      </c>
      <c r="C877" s="49">
        <v>4902843</v>
      </c>
      <c r="D877" s="49">
        <v>17119140</v>
      </c>
      <c r="E877" s="49"/>
      <c r="F877" s="49"/>
      <c r="G877" s="49"/>
      <c r="H877" s="49"/>
      <c r="I877" s="49">
        <v>7147581</v>
      </c>
      <c r="J877" s="49">
        <v>14874402</v>
      </c>
      <c r="K877" s="47"/>
      <c r="L877" s="5"/>
      <c r="M877" s="5"/>
      <c r="N877" s="5"/>
      <c r="O877" s="5"/>
      <c r="Q877" s="5"/>
    </row>
    <row r="878" spans="1:17">
      <c r="A878" s="47"/>
      <c r="B878" s="47"/>
      <c r="C878" s="49"/>
      <c r="D878" s="49"/>
      <c r="E878" s="49"/>
      <c r="F878" s="49"/>
      <c r="G878" s="49"/>
      <c r="H878" s="49"/>
      <c r="I878" s="49"/>
      <c r="J878" s="49"/>
      <c r="K878" s="47"/>
      <c r="L878" s="5"/>
      <c r="M878" s="5"/>
      <c r="N878" s="5"/>
      <c r="O878" s="5"/>
      <c r="Q878" s="5"/>
    </row>
    <row r="879" spans="1:17">
      <c r="A879" s="47"/>
      <c r="B879" s="47"/>
      <c r="C879" s="49"/>
      <c r="D879" s="49"/>
      <c r="E879" s="49"/>
      <c r="F879" s="49"/>
      <c r="G879" s="49"/>
      <c r="H879" s="49"/>
      <c r="I879" s="49">
        <v>12267038</v>
      </c>
      <c r="J879" s="49">
        <v>17673343.99927</v>
      </c>
      <c r="K879" s="47" t="b">
        <v>1</v>
      </c>
      <c r="L879" s="5"/>
      <c r="M879" s="5"/>
      <c r="N879" s="5"/>
      <c r="O879" s="5"/>
      <c r="Q879" s="5"/>
    </row>
    <row r="880" spans="1:17">
      <c r="J880" s="70" t="b">
        <f>J879=[11]TABLEAU!$I$16</f>
        <v>1</v>
      </c>
      <c r="L880" s="5"/>
      <c r="M880" s="5"/>
      <c r="N880" s="5"/>
      <c r="O880" s="5"/>
      <c r="Q880" s="5"/>
    </row>
  </sheetData>
  <mergeCells count="133">
    <mergeCell ref="I619:I620"/>
    <mergeCell ref="J620:J621"/>
    <mergeCell ref="A619:A620"/>
    <mergeCell ref="B619:B620"/>
    <mergeCell ref="C619:C620"/>
    <mergeCell ref="D619:G619"/>
    <mergeCell ref="H619:H620"/>
    <mergeCell ref="A472:A473"/>
    <mergeCell ref="B472:B473"/>
    <mergeCell ref="C472:C473"/>
    <mergeCell ref="D472:G472"/>
    <mergeCell ref="H472:H473"/>
    <mergeCell ref="I472:I473"/>
    <mergeCell ref="J473:J474"/>
    <mergeCell ref="I544:I545"/>
    <mergeCell ref="J545:J546"/>
    <mergeCell ref="A544:A545"/>
    <mergeCell ref="A593:A594"/>
    <mergeCell ref="I568:I569"/>
    <mergeCell ref="I593:I594"/>
    <mergeCell ref="J569:J570"/>
    <mergeCell ref="J594:J595"/>
    <mergeCell ref="D520:G520"/>
    <mergeCell ref="H520:H521"/>
    <mergeCell ref="I755:I756"/>
    <mergeCell ref="J756:J757"/>
    <mergeCell ref="A755:A756"/>
    <mergeCell ref="B755:B756"/>
    <mergeCell ref="C755:C756"/>
    <mergeCell ref="D755:G755"/>
    <mergeCell ref="H755:H756"/>
    <mergeCell ref="I700:I701"/>
    <mergeCell ref="J701:J702"/>
    <mergeCell ref="A700:A701"/>
    <mergeCell ref="B700:B701"/>
    <mergeCell ref="C700:C701"/>
    <mergeCell ref="D700:G700"/>
    <mergeCell ref="H700:H701"/>
    <mergeCell ref="I728:I729"/>
    <mergeCell ref="J729:J730"/>
    <mergeCell ref="A728:A729"/>
    <mergeCell ref="I645:I646"/>
    <mergeCell ref="J646:J647"/>
    <mergeCell ref="A645:A646"/>
    <mergeCell ref="B645:B646"/>
    <mergeCell ref="C645:C646"/>
    <mergeCell ref="D645:G645"/>
    <mergeCell ref="J782:J783"/>
    <mergeCell ref="A781:A782"/>
    <mergeCell ref="B781:B782"/>
    <mergeCell ref="C781:C782"/>
    <mergeCell ref="D781:G781"/>
    <mergeCell ref="H781:H782"/>
    <mergeCell ref="I672:I673"/>
    <mergeCell ref="J673:J674"/>
    <mergeCell ref="A672:A673"/>
    <mergeCell ref="B672:B673"/>
    <mergeCell ref="C672:C673"/>
    <mergeCell ref="D672:G672"/>
    <mergeCell ref="H672:H673"/>
    <mergeCell ref="B728:B729"/>
    <mergeCell ref="C728:C729"/>
    <mergeCell ref="D728:G728"/>
    <mergeCell ref="H728:H729"/>
    <mergeCell ref="I781:I782"/>
    <mergeCell ref="A860:A861"/>
    <mergeCell ref="J809:J810"/>
    <mergeCell ref="A808:A809"/>
    <mergeCell ref="B808:B809"/>
    <mergeCell ref="C808:C809"/>
    <mergeCell ref="D808:G808"/>
    <mergeCell ref="H808:H809"/>
    <mergeCell ref="I808:I809"/>
    <mergeCell ref="B860:B861"/>
    <mergeCell ref="J860:K861"/>
    <mergeCell ref="D860:G860"/>
    <mergeCell ref="H860:H861"/>
    <mergeCell ref="I860:I861"/>
    <mergeCell ref="C860:C861"/>
    <mergeCell ref="B835:B836"/>
    <mergeCell ref="C835:C836"/>
    <mergeCell ref="A835:A836"/>
    <mergeCell ref="D835:G835"/>
    <mergeCell ref="H835:H836"/>
    <mergeCell ref="J836:J837"/>
    <mergeCell ref="I835:I836"/>
    <mergeCell ref="B544:B545"/>
    <mergeCell ref="C544:C545"/>
    <mergeCell ref="D544:G544"/>
    <mergeCell ref="H544:H545"/>
    <mergeCell ref="H645:H646"/>
    <mergeCell ref="B593:B594"/>
    <mergeCell ref="C593:C594"/>
    <mergeCell ref="D593:G593"/>
    <mergeCell ref="H593:H594"/>
    <mergeCell ref="A447:A448"/>
    <mergeCell ref="B447:B448"/>
    <mergeCell ref="C447:C448"/>
    <mergeCell ref="D447:G447"/>
    <mergeCell ref="H447:H448"/>
    <mergeCell ref="I447:I448"/>
    <mergeCell ref="J448:J449"/>
    <mergeCell ref="A568:A569"/>
    <mergeCell ref="B568:B569"/>
    <mergeCell ref="C568:C569"/>
    <mergeCell ref="D568:G568"/>
    <mergeCell ref="H568:H569"/>
    <mergeCell ref="I497:I498"/>
    <mergeCell ref="J498:J499"/>
    <mergeCell ref="A497:A498"/>
    <mergeCell ref="B497:B498"/>
    <mergeCell ref="C497:C498"/>
    <mergeCell ref="D497:G497"/>
    <mergeCell ref="H497:H498"/>
    <mergeCell ref="I520:I521"/>
    <mergeCell ref="J521:J522"/>
    <mergeCell ref="A520:A521"/>
    <mergeCell ref="B520:B521"/>
    <mergeCell ref="C520:C521"/>
    <mergeCell ref="A399:A400"/>
    <mergeCell ref="B399:B400"/>
    <mergeCell ref="C399:C400"/>
    <mergeCell ref="D399:G399"/>
    <mergeCell ref="H399:H400"/>
    <mergeCell ref="I399:I400"/>
    <mergeCell ref="J400:J401"/>
    <mergeCell ref="A352:A353"/>
    <mergeCell ref="B352:B353"/>
    <mergeCell ref="C352:C353"/>
    <mergeCell ref="D352:G352"/>
    <mergeCell ref="H352:H353"/>
    <mergeCell ref="I352:I353"/>
    <mergeCell ref="J353:J3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0"/>
  <sheetViews>
    <sheetView workbookViewId="0">
      <selection activeCell="G10" sqref="G10"/>
    </sheetView>
  </sheetViews>
  <sheetFormatPr baseColWidth="10" defaultRowHeight="15"/>
  <cols>
    <col min="1" max="1" width="21" customWidth="1"/>
    <col min="2" max="2" width="23.85546875" customWidth="1"/>
    <col min="3" max="3" width="8" customWidth="1"/>
    <col min="4" max="4" width="12.5703125" bestFit="1" customWidth="1"/>
  </cols>
  <sheetData>
    <row r="3" spans="1:4">
      <c r="A3" s="1" t="s">
        <v>128</v>
      </c>
      <c r="B3" t="s">
        <v>135</v>
      </c>
    </row>
    <row r="4" spans="1:4">
      <c r="A4" s="2" t="s">
        <v>102</v>
      </c>
      <c r="B4" s="169">
        <v>5839014</v>
      </c>
    </row>
    <row r="5" spans="1:4">
      <c r="A5" s="2" t="s">
        <v>165</v>
      </c>
      <c r="B5" s="169">
        <v>3351056</v>
      </c>
    </row>
    <row r="6" spans="1:4">
      <c r="A6" s="2" t="s">
        <v>547</v>
      </c>
      <c r="B6" s="169"/>
    </row>
    <row r="7" spans="1:4">
      <c r="A7" s="2" t="s">
        <v>129</v>
      </c>
      <c r="B7" s="169">
        <v>9190070</v>
      </c>
    </row>
    <row r="13" spans="1:4">
      <c r="A13" s="1" t="s">
        <v>135</v>
      </c>
      <c r="B13" s="1" t="s">
        <v>130</v>
      </c>
    </row>
    <row r="14" spans="1:4">
      <c r="A14" s="1" t="s">
        <v>128</v>
      </c>
      <c r="B14" t="s">
        <v>102</v>
      </c>
      <c r="C14" t="s">
        <v>165</v>
      </c>
      <c r="D14" t="s">
        <v>129</v>
      </c>
    </row>
    <row r="15" spans="1:4">
      <c r="A15" s="2" t="s">
        <v>208</v>
      </c>
      <c r="B15" s="169"/>
      <c r="C15" s="169">
        <v>1209211</v>
      </c>
      <c r="D15" s="169">
        <v>1209211</v>
      </c>
    </row>
    <row r="16" spans="1:4">
      <c r="A16" s="2" t="s">
        <v>209</v>
      </c>
      <c r="B16" s="169">
        <v>5839014</v>
      </c>
      <c r="C16" s="404">
        <v>2141845</v>
      </c>
      <c r="D16" s="169">
        <v>7980859</v>
      </c>
    </row>
    <row r="17" spans="1:4">
      <c r="A17" s="2" t="s">
        <v>129</v>
      </c>
      <c r="B17" s="169">
        <v>5839014</v>
      </c>
      <c r="C17" s="169">
        <v>3351056</v>
      </c>
      <c r="D17" s="169">
        <v>9190070</v>
      </c>
    </row>
    <row r="19" spans="1:4">
      <c r="B19" s="231">
        <f>(B16*100%)/D16</f>
        <v>0.73162725967217312</v>
      </c>
      <c r="C19" s="232" t="s">
        <v>210</v>
      </c>
    </row>
    <row r="20" spans="1:4">
      <c r="B20" s="231">
        <f>(C16*100%)/D16</f>
        <v>0.26837274032782688</v>
      </c>
      <c r="C20" s="232" t="s">
        <v>211</v>
      </c>
    </row>
  </sheetData>
  <pageMargins left="0.7" right="0.7" top="0.75" bottom="0.75" header="0.3" footer="0.3"/>
  <pageSetup paperSize="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U18"/>
  <sheetViews>
    <sheetView workbookViewId="0">
      <pane xSplit="1" topLeftCell="AM1" activePane="topRight" state="frozen"/>
      <selection pane="topRight" activeCell="AQ22" sqref="AQ22"/>
    </sheetView>
  </sheetViews>
  <sheetFormatPr baseColWidth="10" defaultRowHeight="15"/>
  <cols>
    <col min="1" max="1" width="21" customWidth="1"/>
    <col min="2" max="2" width="23.85546875" bestFit="1" customWidth="1"/>
    <col min="3" max="3" width="19.140625" customWidth="1"/>
    <col min="4" max="4" width="16.140625" customWidth="1"/>
    <col min="5" max="5" width="19.140625" customWidth="1"/>
    <col min="6" max="6" width="16.140625" customWidth="1"/>
    <col min="7" max="7" width="19.140625" customWidth="1"/>
    <col min="8" max="8" width="16.140625" customWidth="1"/>
    <col min="9" max="9" width="19.140625" customWidth="1"/>
    <col min="10" max="10" width="16.140625" customWidth="1"/>
    <col min="11" max="11" width="19.140625" customWidth="1"/>
    <col min="12" max="12" width="16.140625" customWidth="1"/>
    <col min="13" max="13" width="19.140625" customWidth="1"/>
    <col min="14" max="14" width="16.140625" customWidth="1"/>
    <col min="15" max="15" width="19.140625" customWidth="1"/>
    <col min="16" max="16" width="16.140625" customWidth="1"/>
    <col min="17" max="17" width="19.140625" customWidth="1"/>
    <col min="18" max="18" width="16.140625" customWidth="1"/>
    <col min="19" max="19" width="19.140625" customWidth="1"/>
    <col min="20" max="20" width="16.140625" customWidth="1"/>
    <col min="21" max="21" width="19.140625" customWidth="1"/>
    <col min="22" max="22" width="16.140625" customWidth="1"/>
    <col min="23" max="23" width="19.140625" customWidth="1"/>
    <col min="24" max="24" width="16.140625" customWidth="1"/>
    <col min="25" max="25" width="19.140625" customWidth="1"/>
    <col min="26" max="26" width="16.140625" customWidth="1"/>
    <col min="27" max="27" width="19.140625" customWidth="1"/>
    <col min="28" max="28" width="16.140625" customWidth="1"/>
    <col min="29" max="29" width="19.140625" customWidth="1"/>
    <col min="30" max="30" width="16.140625" customWidth="1"/>
    <col min="31" max="31" width="19.140625" customWidth="1"/>
    <col min="32" max="32" width="16.140625" customWidth="1"/>
    <col min="33" max="33" width="19.140625" customWidth="1"/>
    <col min="34" max="34" width="17.5703125" bestFit="1" customWidth="1"/>
    <col min="35" max="35" width="19.140625" customWidth="1"/>
    <col min="36" max="36" width="16.140625" customWidth="1"/>
    <col min="37" max="37" width="19.140625" customWidth="1"/>
    <col min="38" max="38" width="16.140625" customWidth="1"/>
    <col min="39" max="39" width="19.140625" customWidth="1"/>
    <col min="40" max="40" width="21" customWidth="1"/>
    <col min="41" max="41" width="24.140625" customWidth="1"/>
    <col min="42" max="42" width="21" customWidth="1"/>
    <col min="43" max="43" width="17.140625" customWidth="1"/>
    <col min="44" max="44" width="16" customWidth="1"/>
  </cols>
  <sheetData>
    <row r="3" spans="1:47">
      <c r="B3" s="1" t="s">
        <v>130</v>
      </c>
    </row>
    <row r="4" spans="1:47">
      <c r="B4" t="s">
        <v>306</v>
      </c>
      <c r="D4" t="s">
        <v>244</v>
      </c>
      <c r="F4" t="s">
        <v>327</v>
      </c>
      <c r="H4" t="s">
        <v>308</v>
      </c>
      <c r="J4" t="s">
        <v>139</v>
      </c>
      <c r="L4" t="s">
        <v>343</v>
      </c>
      <c r="N4" t="s">
        <v>225</v>
      </c>
      <c r="P4" t="s">
        <v>282</v>
      </c>
      <c r="R4" t="s">
        <v>180</v>
      </c>
      <c r="T4" t="s">
        <v>298</v>
      </c>
      <c r="V4" t="s">
        <v>184</v>
      </c>
      <c r="X4" t="s">
        <v>3</v>
      </c>
      <c r="Z4" t="s">
        <v>181</v>
      </c>
      <c r="AB4" t="s">
        <v>224</v>
      </c>
      <c r="AD4" t="s">
        <v>34</v>
      </c>
      <c r="AF4" t="s">
        <v>329</v>
      </c>
      <c r="AH4" t="s">
        <v>156</v>
      </c>
      <c r="AJ4" t="s">
        <v>226</v>
      </c>
      <c r="AL4" t="s">
        <v>75</v>
      </c>
      <c r="AN4" t="s">
        <v>138</v>
      </c>
      <c r="AO4" t="s">
        <v>136</v>
      </c>
    </row>
    <row r="5" spans="1:47">
      <c r="A5" s="1" t="s">
        <v>128</v>
      </c>
      <c r="B5" t="s">
        <v>135</v>
      </c>
      <c r="C5" t="s">
        <v>137</v>
      </c>
      <c r="D5" t="s">
        <v>135</v>
      </c>
      <c r="E5" t="s">
        <v>137</v>
      </c>
      <c r="F5" t="s">
        <v>135</v>
      </c>
      <c r="G5" t="s">
        <v>137</v>
      </c>
      <c r="H5" t="s">
        <v>135</v>
      </c>
      <c r="I5" t="s">
        <v>137</v>
      </c>
      <c r="J5" t="s">
        <v>135</v>
      </c>
      <c r="K5" t="s">
        <v>137</v>
      </c>
      <c r="L5" t="s">
        <v>135</v>
      </c>
      <c r="M5" t="s">
        <v>137</v>
      </c>
      <c r="N5" t="s">
        <v>135</v>
      </c>
      <c r="O5" t="s">
        <v>137</v>
      </c>
      <c r="P5" t="s">
        <v>135</v>
      </c>
      <c r="Q5" t="s">
        <v>137</v>
      </c>
      <c r="R5" t="s">
        <v>135</v>
      </c>
      <c r="S5" t="s">
        <v>137</v>
      </c>
      <c r="T5" t="s">
        <v>135</v>
      </c>
      <c r="U5" t="s">
        <v>137</v>
      </c>
      <c r="V5" t="s">
        <v>135</v>
      </c>
      <c r="W5" t="s">
        <v>137</v>
      </c>
      <c r="X5" t="s">
        <v>135</v>
      </c>
      <c r="Y5" t="s">
        <v>137</v>
      </c>
      <c r="Z5" t="s">
        <v>135</v>
      </c>
      <c r="AA5" t="s">
        <v>137</v>
      </c>
      <c r="AB5" t="s">
        <v>135</v>
      </c>
      <c r="AC5" t="s">
        <v>137</v>
      </c>
      <c r="AD5" t="s">
        <v>135</v>
      </c>
      <c r="AE5" t="s">
        <v>137</v>
      </c>
      <c r="AF5" t="s">
        <v>135</v>
      </c>
      <c r="AG5" t="s">
        <v>137</v>
      </c>
      <c r="AH5" t="s">
        <v>135</v>
      </c>
      <c r="AI5" t="s">
        <v>137</v>
      </c>
      <c r="AJ5" t="s">
        <v>135</v>
      </c>
      <c r="AK5" t="s">
        <v>137</v>
      </c>
      <c r="AL5" t="s">
        <v>135</v>
      </c>
      <c r="AM5" t="s">
        <v>137</v>
      </c>
      <c r="AR5" s="47" t="s">
        <v>42</v>
      </c>
      <c r="AS5" s="47" t="s">
        <v>43</v>
      </c>
      <c r="AT5" s="47" t="s">
        <v>44</v>
      </c>
      <c r="AU5" s="47" t="s">
        <v>45</v>
      </c>
    </row>
    <row r="6" spans="1:47">
      <c r="A6" s="2" t="s">
        <v>24</v>
      </c>
      <c r="B6" s="169">
        <v>26008</v>
      </c>
      <c r="C6" s="169"/>
      <c r="D6" s="169"/>
      <c r="E6" s="169"/>
      <c r="F6" s="169"/>
      <c r="G6" s="169"/>
      <c r="H6" s="169"/>
      <c r="I6" s="169">
        <v>24938480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>
        <v>260000</v>
      </c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>
        <v>1000000</v>
      </c>
      <c r="AM6" s="169"/>
      <c r="AN6" s="169">
        <v>1286008</v>
      </c>
      <c r="AO6" s="169">
        <v>24938480</v>
      </c>
      <c r="AQ6" s="383" t="str">
        <f>+A6</f>
        <v>BCI</v>
      </c>
      <c r="AR6" s="49">
        <f>AM6</f>
        <v>0</v>
      </c>
      <c r="AS6" s="49">
        <f>+AL6</f>
        <v>1000000</v>
      </c>
      <c r="AT6" s="49">
        <f>AN6-AS6</f>
        <v>286008</v>
      </c>
      <c r="AU6" s="49">
        <f>+I6</f>
        <v>24938480</v>
      </c>
    </row>
    <row r="7" spans="1:47">
      <c r="A7" s="2" t="s">
        <v>157</v>
      </c>
      <c r="B7" s="169">
        <v>17364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>
        <v>3435865</v>
      </c>
      <c r="S7" s="169"/>
      <c r="T7" s="169"/>
      <c r="U7" s="169"/>
      <c r="V7" s="169">
        <v>1000000</v>
      </c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>
        <v>2600000</v>
      </c>
      <c r="AM7" s="169"/>
      <c r="AN7" s="169">
        <v>7053229</v>
      </c>
      <c r="AO7" s="169"/>
      <c r="AQ7" s="383" t="str">
        <f t="shared" ref="AQ7:AQ15" si="0">+A7</f>
        <v>BCI-Sous Compte</v>
      </c>
      <c r="AR7" s="49">
        <f t="shared" ref="AR7:AR15" si="1">AM7</f>
        <v>0</v>
      </c>
      <c r="AS7" s="49">
        <f t="shared" ref="AS7:AS15" si="2">+AL7</f>
        <v>2600000</v>
      </c>
      <c r="AT7" s="49">
        <f t="shared" ref="AT7:AT15" si="3">AN7-AS7</f>
        <v>4453229</v>
      </c>
      <c r="AU7" s="49">
        <v>0</v>
      </c>
    </row>
    <row r="8" spans="1:47">
      <c r="A8" s="2" t="s">
        <v>25</v>
      </c>
      <c r="B8" s="169"/>
      <c r="C8" s="169"/>
      <c r="D8" s="169">
        <v>65000</v>
      </c>
      <c r="E8" s="169"/>
      <c r="F8" s="169"/>
      <c r="G8" s="169"/>
      <c r="H8" s="169"/>
      <c r="I8" s="169"/>
      <c r="J8" s="169">
        <v>45050</v>
      </c>
      <c r="K8" s="169"/>
      <c r="L8" s="169"/>
      <c r="M8" s="169"/>
      <c r="N8" s="169">
        <v>97000</v>
      </c>
      <c r="O8" s="169"/>
      <c r="P8" s="169">
        <v>58500</v>
      </c>
      <c r="Q8" s="169"/>
      <c r="R8" s="169"/>
      <c r="S8" s="169"/>
      <c r="T8" s="169">
        <v>50000</v>
      </c>
      <c r="U8" s="169"/>
      <c r="V8" s="169">
        <v>20750</v>
      </c>
      <c r="W8" s="169"/>
      <c r="X8" s="169">
        <v>431250</v>
      </c>
      <c r="Y8" s="169"/>
      <c r="Z8" s="169">
        <v>206000</v>
      </c>
      <c r="AA8" s="169"/>
      <c r="AB8" s="169">
        <v>20740</v>
      </c>
      <c r="AC8" s="169"/>
      <c r="AD8" s="169"/>
      <c r="AE8" s="169"/>
      <c r="AF8" s="169"/>
      <c r="AG8" s="169"/>
      <c r="AH8" s="169"/>
      <c r="AI8" s="169"/>
      <c r="AJ8" s="169"/>
      <c r="AK8" s="169"/>
      <c r="AL8" s="169">
        <v>2075250</v>
      </c>
      <c r="AM8" s="169">
        <v>3946550</v>
      </c>
      <c r="AN8" s="169">
        <v>3069540</v>
      </c>
      <c r="AO8" s="169">
        <v>3946550</v>
      </c>
      <c r="AQ8" s="383" t="str">
        <f t="shared" si="0"/>
        <v>Caisse</v>
      </c>
      <c r="AR8" s="49">
        <f t="shared" si="1"/>
        <v>3946550</v>
      </c>
      <c r="AS8" s="49">
        <f t="shared" si="2"/>
        <v>2075250</v>
      </c>
      <c r="AT8" s="49">
        <f t="shared" si="3"/>
        <v>994290</v>
      </c>
      <c r="AU8" s="49">
        <v>0</v>
      </c>
    </row>
    <row r="9" spans="1:47">
      <c r="A9" s="2" t="s">
        <v>47</v>
      </c>
      <c r="B9" s="169"/>
      <c r="C9" s="169"/>
      <c r="D9" s="169">
        <v>80000</v>
      </c>
      <c r="E9" s="169"/>
      <c r="F9" s="169"/>
      <c r="G9" s="169"/>
      <c r="H9" s="169"/>
      <c r="I9" s="169"/>
      <c r="J9" s="169"/>
      <c r="K9" s="169"/>
      <c r="L9" s="169">
        <v>41000</v>
      </c>
      <c r="M9" s="169"/>
      <c r="N9" s="169"/>
      <c r="O9" s="169"/>
      <c r="P9" s="169">
        <v>14200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>
        <v>120750</v>
      </c>
      <c r="AE9" s="169"/>
      <c r="AF9" s="169"/>
      <c r="AG9" s="169"/>
      <c r="AH9" s="169">
        <v>165750</v>
      </c>
      <c r="AI9" s="169"/>
      <c r="AJ9" s="169"/>
      <c r="AK9" s="169"/>
      <c r="AL9" s="169">
        <v>107000</v>
      </c>
      <c r="AM9" s="169">
        <v>600250</v>
      </c>
      <c r="AN9" s="169">
        <v>528700</v>
      </c>
      <c r="AO9" s="169">
        <v>600250</v>
      </c>
      <c r="AQ9" s="383" t="str">
        <f t="shared" si="0"/>
        <v>Crépin</v>
      </c>
      <c r="AR9" s="49">
        <f t="shared" si="1"/>
        <v>600250</v>
      </c>
      <c r="AS9" s="49">
        <f t="shared" si="2"/>
        <v>107000</v>
      </c>
      <c r="AT9" s="49">
        <f t="shared" si="3"/>
        <v>421700</v>
      </c>
      <c r="AU9" s="49">
        <v>0</v>
      </c>
    </row>
    <row r="10" spans="1:47">
      <c r="A10" s="2" t="s">
        <v>151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>
        <v>7000</v>
      </c>
      <c r="AE10" s="169"/>
      <c r="AF10" s="169"/>
      <c r="AG10" s="169"/>
      <c r="AH10" s="169"/>
      <c r="AI10" s="169"/>
      <c r="AJ10" s="169"/>
      <c r="AK10" s="169"/>
      <c r="AL10" s="169"/>
      <c r="AM10" s="169">
        <v>105000</v>
      </c>
      <c r="AN10" s="169">
        <v>7000</v>
      </c>
      <c r="AO10" s="169">
        <v>105000</v>
      </c>
      <c r="AQ10" s="383" t="str">
        <f t="shared" si="0"/>
        <v>Grace</v>
      </c>
      <c r="AR10" s="49">
        <f t="shared" si="1"/>
        <v>105000</v>
      </c>
      <c r="AS10" s="49">
        <f t="shared" si="2"/>
        <v>0</v>
      </c>
      <c r="AT10" s="49">
        <f t="shared" si="3"/>
        <v>7000</v>
      </c>
      <c r="AU10" s="49">
        <v>0</v>
      </c>
    </row>
    <row r="11" spans="1:47">
      <c r="A11" s="2" t="s">
        <v>207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>
        <v>37300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>
        <v>51500</v>
      </c>
      <c r="AE11" s="169"/>
      <c r="AF11" s="169"/>
      <c r="AG11" s="169"/>
      <c r="AH11" s="169">
        <v>125000</v>
      </c>
      <c r="AI11" s="169"/>
      <c r="AJ11" s="169"/>
      <c r="AK11" s="169"/>
      <c r="AL11" s="169">
        <v>88000</v>
      </c>
      <c r="AM11" s="169">
        <v>266000</v>
      </c>
      <c r="AN11" s="169">
        <v>301800</v>
      </c>
      <c r="AO11" s="169">
        <v>266000</v>
      </c>
      <c r="AQ11" s="383" t="str">
        <f t="shared" si="0"/>
        <v>Hurielle</v>
      </c>
      <c r="AR11" s="49">
        <f t="shared" si="1"/>
        <v>266000</v>
      </c>
      <c r="AS11" s="49">
        <f t="shared" si="2"/>
        <v>88000</v>
      </c>
      <c r="AT11" s="49">
        <f t="shared" si="3"/>
        <v>213800</v>
      </c>
      <c r="AU11" s="49">
        <v>0</v>
      </c>
    </row>
    <row r="12" spans="1:47">
      <c r="A12" s="2" t="s">
        <v>48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>
        <v>181000</v>
      </c>
      <c r="AE12" s="169"/>
      <c r="AF12" s="169"/>
      <c r="AG12" s="169"/>
      <c r="AH12" s="169">
        <v>275000</v>
      </c>
      <c r="AI12" s="169"/>
      <c r="AJ12" s="169">
        <v>28000</v>
      </c>
      <c r="AK12" s="169"/>
      <c r="AL12" s="169">
        <v>101550</v>
      </c>
      <c r="AM12" s="169">
        <v>506000</v>
      </c>
      <c r="AN12" s="169">
        <v>585550</v>
      </c>
      <c r="AO12" s="169">
        <v>506000</v>
      </c>
      <c r="AQ12" s="383" t="str">
        <f t="shared" si="0"/>
        <v>i23c</v>
      </c>
      <c r="AR12" s="49">
        <f t="shared" si="1"/>
        <v>506000</v>
      </c>
      <c r="AS12" s="49">
        <f t="shared" si="2"/>
        <v>101550</v>
      </c>
      <c r="AT12" s="49">
        <f t="shared" si="3"/>
        <v>484000</v>
      </c>
      <c r="AU12" s="49">
        <v>0</v>
      </c>
    </row>
    <row r="13" spans="1:47">
      <c r="A13" s="2" t="s">
        <v>93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>
        <v>19000</v>
      </c>
      <c r="AE13" s="169"/>
      <c r="AF13" s="169"/>
      <c r="AG13" s="169"/>
      <c r="AH13" s="169"/>
      <c r="AI13" s="169"/>
      <c r="AJ13" s="169"/>
      <c r="AK13" s="169"/>
      <c r="AL13" s="169"/>
      <c r="AM13" s="169">
        <v>20000</v>
      </c>
      <c r="AN13" s="169">
        <v>19000</v>
      </c>
      <c r="AO13" s="169">
        <v>20000</v>
      </c>
      <c r="AQ13" s="383" t="str">
        <f t="shared" si="0"/>
        <v>Merveille</v>
      </c>
      <c r="AR13" s="49">
        <f t="shared" si="1"/>
        <v>20000</v>
      </c>
      <c r="AS13" s="49">
        <f t="shared" si="2"/>
        <v>0</v>
      </c>
      <c r="AT13" s="49">
        <f t="shared" si="3"/>
        <v>19000</v>
      </c>
      <c r="AU13" s="49">
        <v>0</v>
      </c>
    </row>
    <row r="14" spans="1:47">
      <c r="A14" s="2" t="s">
        <v>29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>
        <v>171800</v>
      </c>
      <c r="AE14" s="169"/>
      <c r="AF14" s="169"/>
      <c r="AG14" s="169"/>
      <c r="AH14" s="169">
        <v>325000</v>
      </c>
      <c r="AI14" s="169"/>
      <c r="AJ14" s="169">
        <v>37000</v>
      </c>
      <c r="AK14" s="169"/>
      <c r="AL14" s="169">
        <v>50000</v>
      </c>
      <c r="AM14" s="169">
        <v>578000</v>
      </c>
      <c r="AN14" s="169">
        <v>583800</v>
      </c>
      <c r="AO14" s="169">
        <v>578000</v>
      </c>
      <c r="AQ14" s="383" t="str">
        <f t="shared" si="0"/>
        <v>P29</v>
      </c>
      <c r="AR14" s="49">
        <f t="shared" si="1"/>
        <v>578000</v>
      </c>
      <c r="AS14" s="49">
        <f t="shared" si="2"/>
        <v>50000</v>
      </c>
      <c r="AT14" s="49">
        <f t="shared" si="3"/>
        <v>533800</v>
      </c>
      <c r="AU14" s="49">
        <v>0</v>
      </c>
    </row>
    <row r="15" spans="1:47">
      <c r="A15" s="2" t="s">
        <v>113</v>
      </c>
      <c r="B15" s="169"/>
      <c r="C15" s="169"/>
      <c r="D15" s="169"/>
      <c r="E15" s="169"/>
      <c r="F15" s="169">
        <v>1750592</v>
      </c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>
        <v>2000</v>
      </c>
      <c r="AE15" s="169"/>
      <c r="AF15" s="169">
        <v>24651</v>
      </c>
      <c r="AG15" s="169"/>
      <c r="AH15" s="169"/>
      <c r="AI15" s="169"/>
      <c r="AJ15" s="169"/>
      <c r="AK15" s="169"/>
      <c r="AL15" s="169"/>
      <c r="AM15" s="169"/>
      <c r="AN15" s="169">
        <v>1777243</v>
      </c>
      <c r="AO15" s="169"/>
      <c r="AQ15" s="383" t="str">
        <f t="shared" si="0"/>
        <v>Tiffany</v>
      </c>
      <c r="AR15" s="49">
        <f t="shared" si="1"/>
        <v>0</v>
      </c>
      <c r="AS15" s="49">
        <f t="shared" si="2"/>
        <v>0</v>
      </c>
      <c r="AT15" s="49">
        <f t="shared" si="3"/>
        <v>1777243</v>
      </c>
      <c r="AU15" s="49">
        <v>0</v>
      </c>
    </row>
    <row r="16" spans="1:47">
      <c r="A16" s="2" t="s">
        <v>129</v>
      </c>
      <c r="B16" s="169">
        <v>43372</v>
      </c>
      <c r="C16" s="169"/>
      <c r="D16" s="169">
        <v>145000</v>
      </c>
      <c r="E16" s="169"/>
      <c r="F16" s="169">
        <v>1750592</v>
      </c>
      <c r="G16" s="169"/>
      <c r="H16" s="169"/>
      <c r="I16" s="169">
        <v>24938480</v>
      </c>
      <c r="J16" s="169">
        <v>45050</v>
      </c>
      <c r="K16" s="169"/>
      <c r="L16" s="169">
        <v>78300</v>
      </c>
      <c r="M16" s="169"/>
      <c r="N16" s="169">
        <v>97000</v>
      </c>
      <c r="O16" s="169"/>
      <c r="P16" s="169">
        <v>72700</v>
      </c>
      <c r="Q16" s="169"/>
      <c r="R16" s="169">
        <v>3435865</v>
      </c>
      <c r="S16" s="169"/>
      <c r="T16" s="169">
        <v>50000</v>
      </c>
      <c r="U16" s="169"/>
      <c r="V16" s="169">
        <v>1020750</v>
      </c>
      <c r="W16" s="169"/>
      <c r="X16" s="169">
        <v>691250</v>
      </c>
      <c r="Y16" s="169"/>
      <c r="Z16" s="169">
        <v>206000</v>
      </c>
      <c r="AA16" s="169"/>
      <c r="AB16" s="169">
        <v>20740</v>
      </c>
      <c r="AC16" s="169"/>
      <c r="AD16" s="169">
        <v>553050</v>
      </c>
      <c r="AE16" s="169"/>
      <c r="AF16" s="169">
        <v>24651</v>
      </c>
      <c r="AG16" s="169"/>
      <c r="AH16" s="169">
        <v>890750</v>
      </c>
      <c r="AI16" s="169"/>
      <c r="AJ16" s="169">
        <v>65000</v>
      </c>
      <c r="AK16" s="169"/>
      <c r="AL16" s="169">
        <v>6021800</v>
      </c>
      <c r="AM16" s="169">
        <v>6021800</v>
      </c>
      <c r="AN16" s="169">
        <v>15211870</v>
      </c>
      <c r="AO16" s="169">
        <v>30960280</v>
      </c>
      <c r="AR16" s="49">
        <f>+SUM(AR6:AR15)</f>
        <v>6021800</v>
      </c>
      <c r="AS16" s="49">
        <f>+SUM(AS6:AS15)</f>
        <v>6021800</v>
      </c>
      <c r="AT16" s="49">
        <f>+SUM(AT6:AT15)</f>
        <v>9190070</v>
      </c>
      <c r="AU16" s="49">
        <f>+SUM(AU6:AU15)</f>
        <v>24938480</v>
      </c>
    </row>
    <row r="18" spans="44:45">
      <c r="AR18" s="203">
        <f>+AS16-AR16</f>
        <v>0</v>
      </c>
      <c r="AS18" s="403" t="b">
        <f>+AT16=GETPIVOTDATA("Spent",Donateurs!$A$3)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P711"/>
  <sheetViews>
    <sheetView tabSelected="1" zoomScale="62" zoomScaleNormal="62" workbookViewId="0">
      <pane ySplit="11" topLeftCell="A235" activePane="bottomLeft" state="frozen"/>
      <selection pane="bottomLeft" activeCell="A12" sqref="A12:XFD235"/>
    </sheetView>
  </sheetViews>
  <sheetFormatPr baseColWidth="10" defaultColWidth="11.42578125" defaultRowHeight="15.75"/>
  <cols>
    <col min="1" max="1" width="15.85546875" style="214" customWidth="1"/>
    <col min="2" max="2" width="100.5703125" style="178" customWidth="1"/>
    <col min="3" max="3" width="21.85546875" style="177" customWidth="1"/>
    <col min="4" max="4" width="15" style="177" customWidth="1"/>
    <col min="5" max="5" width="16.28515625" style="366" customWidth="1"/>
    <col min="6" max="6" width="18.5703125" style="307" customWidth="1"/>
    <col min="7" max="7" width="16.7109375" style="193" customWidth="1"/>
    <col min="8" max="8" width="17.7109375" style="178" customWidth="1"/>
    <col min="9" max="9" width="13.5703125" style="183" customWidth="1"/>
    <col min="10" max="10" width="19" style="183" customWidth="1"/>
    <col min="11" max="11" width="14.28515625" style="178" customWidth="1"/>
    <col min="12" max="12" width="10.5703125" style="178" customWidth="1"/>
    <col min="13" max="13" width="19.28515625" style="178" customWidth="1"/>
    <col min="14" max="14" width="16.28515625" style="177" customWidth="1"/>
    <col min="15" max="15" width="70.5703125" style="204" customWidth="1"/>
    <col min="16" max="16384" width="11.42578125" style="178"/>
  </cols>
  <sheetData>
    <row r="1" spans="1:15" s="190" customFormat="1" ht="26.25" customHeight="1">
      <c r="A1" s="485" t="s">
        <v>254</v>
      </c>
      <c r="B1" s="485"/>
      <c r="C1" s="485"/>
      <c r="D1" s="485"/>
      <c r="E1" s="486"/>
      <c r="F1" s="487"/>
      <c r="G1" s="485"/>
      <c r="H1" s="485"/>
      <c r="I1" s="488"/>
      <c r="J1" s="485"/>
      <c r="K1" s="485"/>
      <c r="L1" s="485"/>
      <c r="M1" s="485"/>
      <c r="N1" s="485"/>
      <c r="O1" s="489"/>
    </row>
    <row r="2" spans="1:15">
      <c r="B2" s="191" t="s">
        <v>253</v>
      </c>
      <c r="C2" s="272">
        <v>23525884</v>
      </c>
    </row>
    <row r="4" spans="1:15">
      <c r="B4" s="194" t="s">
        <v>6</v>
      </c>
      <c r="C4" s="266" t="s">
        <v>7</v>
      </c>
    </row>
    <row r="5" spans="1:15">
      <c r="B5" s="178" t="s">
        <v>8</v>
      </c>
      <c r="C5" s="267">
        <f>SUM(E13:E1112)</f>
        <v>30960280</v>
      </c>
      <c r="E5" s="367" t="s">
        <v>100</v>
      </c>
      <c r="H5" s="195"/>
    </row>
    <row r="6" spans="1:15">
      <c r="B6" s="178" t="s">
        <v>9</v>
      </c>
      <c r="C6" s="267">
        <f>SUM(F13:F1113)</f>
        <v>15211870</v>
      </c>
      <c r="E6" s="368">
        <f>+C7-Récapitulatif!I17</f>
        <v>0</v>
      </c>
      <c r="J6" s="200"/>
      <c r="K6" s="189"/>
    </row>
    <row r="7" spans="1:15">
      <c r="B7" s="213" t="s">
        <v>10</v>
      </c>
      <c r="C7" s="268">
        <f>C2+C5-C6</f>
        <v>39274294</v>
      </c>
      <c r="D7" s="269">
        <f>C7-Récapitulatif!I17</f>
        <v>0</v>
      </c>
      <c r="K7" s="189"/>
    </row>
    <row r="9" spans="1:15">
      <c r="B9" s="188"/>
    </row>
    <row r="11" spans="1:15">
      <c r="A11" s="215" t="s">
        <v>0</v>
      </c>
      <c r="B11" s="196" t="s">
        <v>11</v>
      </c>
      <c r="C11" s="202" t="s">
        <v>12</v>
      </c>
      <c r="D11" s="202" t="s">
        <v>13</v>
      </c>
      <c r="E11" s="369" t="s">
        <v>14</v>
      </c>
      <c r="F11" s="308" t="s">
        <v>15</v>
      </c>
      <c r="G11" s="197" t="s">
        <v>16</v>
      </c>
      <c r="H11" s="196" t="s">
        <v>17</v>
      </c>
      <c r="I11" s="198" t="s">
        <v>18</v>
      </c>
      <c r="J11" s="198" t="s">
        <v>19</v>
      </c>
      <c r="K11" s="196" t="s">
        <v>20</v>
      </c>
      <c r="L11" s="196" t="s">
        <v>21</v>
      </c>
      <c r="M11" s="196" t="s">
        <v>81</v>
      </c>
      <c r="N11" s="202" t="s">
        <v>23</v>
      </c>
      <c r="O11" s="196" t="s">
        <v>22</v>
      </c>
    </row>
    <row r="12" spans="1:15" s="183" customFormat="1" ht="15.75" customHeight="1">
      <c r="A12" s="333">
        <v>44774</v>
      </c>
      <c r="B12" s="183" t="s">
        <v>253</v>
      </c>
      <c r="E12" s="375"/>
      <c r="F12" s="192"/>
      <c r="G12" s="351">
        <f>+C2</f>
        <v>23525884</v>
      </c>
    </row>
    <row r="13" spans="1:15" s="183" customFormat="1" ht="15" customHeight="1">
      <c r="A13" s="333">
        <v>44774</v>
      </c>
      <c r="B13" s="183" t="s">
        <v>255</v>
      </c>
      <c r="C13" s="183" t="s">
        <v>75</v>
      </c>
      <c r="E13" s="375">
        <v>600000</v>
      </c>
      <c r="F13" s="389"/>
      <c r="G13" s="334">
        <f t="shared" ref="G13:G76" si="0">+G12+E13-F13</f>
        <v>24125884</v>
      </c>
      <c r="H13" s="183" t="s">
        <v>25</v>
      </c>
    </row>
    <row r="14" spans="1:15" s="183" customFormat="1" ht="15" customHeight="1">
      <c r="A14" s="333">
        <v>44774</v>
      </c>
      <c r="B14" s="183" t="s">
        <v>47</v>
      </c>
      <c r="C14" s="183" t="s">
        <v>75</v>
      </c>
      <c r="E14" s="375"/>
      <c r="F14" s="389">
        <v>291250</v>
      </c>
      <c r="G14" s="334">
        <f t="shared" si="0"/>
        <v>23834634</v>
      </c>
      <c r="H14" s="183" t="s">
        <v>25</v>
      </c>
    </row>
    <row r="15" spans="1:15" s="183" customFormat="1" ht="15" customHeight="1">
      <c r="A15" s="333">
        <v>44774</v>
      </c>
      <c r="B15" s="183" t="s">
        <v>256</v>
      </c>
      <c r="C15" s="183" t="s">
        <v>224</v>
      </c>
      <c r="D15" s="183" t="s">
        <v>257</v>
      </c>
      <c r="E15" s="375"/>
      <c r="F15" s="422">
        <v>9790</v>
      </c>
      <c r="G15" s="334">
        <f t="shared" si="0"/>
        <v>23824844</v>
      </c>
      <c r="H15" s="183" t="s">
        <v>25</v>
      </c>
      <c r="I15" s="183" t="s">
        <v>259</v>
      </c>
      <c r="J15" s="183" t="s">
        <v>165</v>
      </c>
      <c r="K15" s="183" t="s">
        <v>209</v>
      </c>
      <c r="L15" s="183" t="s">
        <v>414</v>
      </c>
      <c r="M15" s="178" t="s">
        <v>444</v>
      </c>
      <c r="N15" s="183" t="s">
        <v>415</v>
      </c>
    </row>
    <row r="16" spans="1:15" s="183" customFormat="1" ht="15" customHeight="1">
      <c r="A16" s="333">
        <v>44774</v>
      </c>
      <c r="B16" s="183" t="s">
        <v>258</v>
      </c>
      <c r="C16" s="331" t="s">
        <v>3</v>
      </c>
      <c r="D16" s="183" t="s">
        <v>257</v>
      </c>
      <c r="E16" s="375"/>
      <c r="F16" s="389">
        <v>75625</v>
      </c>
      <c r="G16" s="334">
        <f t="shared" si="0"/>
        <v>23749219</v>
      </c>
      <c r="H16" s="183" t="s">
        <v>25</v>
      </c>
      <c r="I16" s="183" t="s">
        <v>259</v>
      </c>
      <c r="J16" s="183" t="s">
        <v>165</v>
      </c>
      <c r="K16" s="183" t="s">
        <v>208</v>
      </c>
      <c r="L16" s="183" t="s">
        <v>414</v>
      </c>
    </row>
    <row r="17" spans="1:15" s="183" customFormat="1" ht="15" customHeight="1">
      <c r="A17" s="333">
        <v>44774</v>
      </c>
      <c r="B17" s="183" t="s">
        <v>260</v>
      </c>
      <c r="C17" s="183" t="s">
        <v>75</v>
      </c>
      <c r="E17" s="178">
        <v>30000</v>
      </c>
      <c r="F17" s="362"/>
      <c r="G17" s="334">
        <f t="shared" si="0"/>
        <v>23779219</v>
      </c>
      <c r="H17" s="183" t="s">
        <v>25</v>
      </c>
    </row>
    <row r="18" spans="1:15" s="183" customFormat="1" ht="15" customHeight="1">
      <c r="A18" s="330">
        <v>44774</v>
      </c>
      <c r="B18" s="331" t="s">
        <v>261</v>
      </c>
      <c r="C18" s="183" t="s">
        <v>75</v>
      </c>
      <c r="E18" s="374">
        <v>50000</v>
      </c>
      <c r="F18" s="418"/>
      <c r="G18" s="334">
        <f t="shared" si="0"/>
        <v>23829219</v>
      </c>
      <c r="H18" s="332" t="s">
        <v>25</v>
      </c>
    </row>
    <row r="19" spans="1:15" s="183" customFormat="1" ht="15" customHeight="1">
      <c r="A19" s="330">
        <v>44774</v>
      </c>
      <c r="B19" s="183" t="s">
        <v>262</v>
      </c>
      <c r="C19" s="183" t="s">
        <v>181</v>
      </c>
      <c r="D19" s="183" t="s">
        <v>263</v>
      </c>
      <c r="E19" s="366"/>
      <c r="F19" s="422">
        <v>22000</v>
      </c>
      <c r="G19" s="334">
        <f t="shared" si="0"/>
        <v>23807219</v>
      </c>
      <c r="H19" s="183" t="s">
        <v>25</v>
      </c>
      <c r="I19" s="183" t="s">
        <v>259</v>
      </c>
      <c r="J19" s="183" t="s">
        <v>165</v>
      </c>
      <c r="K19" s="183" t="s">
        <v>209</v>
      </c>
      <c r="L19" s="183" t="s">
        <v>414</v>
      </c>
      <c r="M19" s="178" t="s">
        <v>445</v>
      </c>
      <c r="N19" s="183" t="s">
        <v>429</v>
      </c>
    </row>
    <row r="20" spans="1:15" s="183" customFormat="1" ht="15" customHeight="1">
      <c r="A20" s="427">
        <v>44774</v>
      </c>
      <c r="B20" s="183" t="s">
        <v>264</v>
      </c>
      <c r="C20" s="183" t="s">
        <v>181</v>
      </c>
      <c r="D20" s="437" t="s">
        <v>163</v>
      </c>
      <c r="E20" s="178"/>
      <c r="F20" s="362">
        <v>32000</v>
      </c>
      <c r="G20" s="334">
        <f t="shared" si="0"/>
        <v>23775219</v>
      </c>
      <c r="H20" s="183" t="s">
        <v>25</v>
      </c>
      <c r="I20" s="183" t="s">
        <v>259</v>
      </c>
      <c r="J20" s="183" t="s">
        <v>165</v>
      </c>
      <c r="K20" s="183" t="s">
        <v>209</v>
      </c>
      <c r="L20" s="183" t="s">
        <v>414</v>
      </c>
      <c r="M20" s="178" t="s">
        <v>446</v>
      </c>
      <c r="N20" s="183" t="s">
        <v>429</v>
      </c>
    </row>
    <row r="21" spans="1:15" s="183" customFormat="1" ht="15" customHeight="1">
      <c r="A21" s="330">
        <v>44774</v>
      </c>
      <c r="B21" s="183" t="s">
        <v>265</v>
      </c>
      <c r="C21" s="183" t="s">
        <v>181</v>
      </c>
      <c r="D21" s="183" t="s">
        <v>4</v>
      </c>
      <c r="E21" s="366"/>
      <c r="F21" s="192">
        <v>20000</v>
      </c>
      <c r="G21" s="334">
        <f t="shared" si="0"/>
        <v>23755219</v>
      </c>
      <c r="H21" s="183" t="s">
        <v>25</v>
      </c>
      <c r="I21" s="183" t="s">
        <v>259</v>
      </c>
      <c r="J21" s="183" t="s">
        <v>165</v>
      </c>
      <c r="K21" s="183" t="s">
        <v>209</v>
      </c>
      <c r="L21" s="183" t="s">
        <v>414</v>
      </c>
      <c r="M21" s="178" t="s">
        <v>447</v>
      </c>
      <c r="N21" s="183" t="s">
        <v>429</v>
      </c>
    </row>
    <row r="22" spans="1:15" s="183" customFormat="1" ht="15" customHeight="1">
      <c r="A22" s="333">
        <v>44774</v>
      </c>
      <c r="B22" s="183" t="s">
        <v>266</v>
      </c>
      <c r="C22" s="183" t="s">
        <v>181</v>
      </c>
      <c r="D22" s="183" t="s">
        <v>263</v>
      </c>
      <c r="E22" s="178"/>
      <c r="F22" s="387">
        <v>10000</v>
      </c>
      <c r="G22" s="334">
        <f t="shared" si="0"/>
        <v>23745219</v>
      </c>
      <c r="H22" s="183" t="s">
        <v>25</v>
      </c>
      <c r="I22" s="183" t="s">
        <v>259</v>
      </c>
      <c r="J22" s="183" t="s">
        <v>165</v>
      </c>
      <c r="K22" s="183" t="s">
        <v>209</v>
      </c>
      <c r="L22" s="183" t="s">
        <v>414</v>
      </c>
      <c r="M22" s="178" t="s">
        <v>448</v>
      </c>
      <c r="N22" s="183" t="s">
        <v>429</v>
      </c>
    </row>
    <row r="23" spans="1:15" s="183" customFormat="1" ht="15" customHeight="1">
      <c r="A23" s="333">
        <v>44774</v>
      </c>
      <c r="B23" s="183" t="s">
        <v>267</v>
      </c>
      <c r="C23" s="183" t="s">
        <v>181</v>
      </c>
      <c r="D23" s="183" t="s">
        <v>163</v>
      </c>
      <c r="E23" s="178"/>
      <c r="F23" s="362">
        <v>10000</v>
      </c>
      <c r="G23" s="334">
        <f t="shared" si="0"/>
        <v>23735219</v>
      </c>
      <c r="H23" s="183" t="s">
        <v>25</v>
      </c>
      <c r="I23" s="183" t="s">
        <v>259</v>
      </c>
      <c r="J23" s="183" t="s">
        <v>165</v>
      </c>
      <c r="K23" s="183" t="s">
        <v>209</v>
      </c>
      <c r="L23" s="183" t="s">
        <v>414</v>
      </c>
      <c r="M23" s="178" t="s">
        <v>449</v>
      </c>
      <c r="N23" s="183" t="s">
        <v>429</v>
      </c>
    </row>
    <row r="24" spans="1:15" s="183" customFormat="1" ht="15" customHeight="1">
      <c r="A24" s="333">
        <v>44774</v>
      </c>
      <c r="B24" s="183" t="s">
        <v>268</v>
      </c>
      <c r="C24" s="183" t="s">
        <v>181</v>
      </c>
      <c r="D24" s="183" t="s">
        <v>4</v>
      </c>
      <c r="E24" s="375"/>
      <c r="F24" s="362">
        <v>32000</v>
      </c>
      <c r="G24" s="334">
        <f t="shared" si="0"/>
        <v>23703219</v>
      </c>
      <c r="H24" s="183" t="s">
        <v>25</v>
      </c>
      <c r="I24" s="183" t="s">
        <v>259</v>
      </c>
      <c r="J24" s="183" t="s">
        <v>165</v>
      </c>
      <c r="K24" s="183" t="s">
        <v>209</v>
      </c>
      <c r="L24" s="183" t="s">
        <v>414</v>
      </c>
      <c r="M24" s="178" t="s">
        <v>450</v>
      </c>
      <c r="N24" s="183" t="s">
        <v>429</v>
      </c>
    </row>
    <row r="25" spans="1:15" s="183" customFormat="1" ht="15" customHeight="1">
      <c r="A25" s="333">
        <v>44774</v>
      </c>
      <c r="B25" s="183" t="s">
        <v>29</v>
      </c>
      <c r="C25" s="183" t="s">
        <v>75</v>
      </c>
      <c r="E25" s="375"/>
      <c r="F25" s="422">
        <v>25000</v>
      </c>
      <c r="G25" s="334">
        <f t="shared" si="0"/>
        <v>23678219</v>
      </c>
      <c r="H25" s="183" t="s">
        <v>25</v>
      </c>
    </row>
    <row r="26" spans="1:15" s="183" customFormat="1" ht="15" customHeight="1">
      <c r="A26" s="333">
        <v>44774</v>
      </c>
      <c r="B26" s="183" t="s">
        <v>311</v>
      </c>
      <c r="C26" s="183" t="s">
        <v>75</v>
      </c>
      <c r="D26" s="423"/>
      <c r="E26" s="178"/>
      <c r="F26" s="362">
        <v>600000</v>
      </c>
      <c r="G26" s="334">
        <f t="shared" si="0"/>
        <v>23078219</v>
      </c>
      <c r="H26" s="183" t="s">
        <v>157</v>
      </c>
      <c r="I26" s="183">
        <v>3667230</v>
      </c>
    </row>
    <row r="27" spans="1:15" s="183" customFormat="1" ht="15" customHeight="1">
      <c r="A27" s="333">
        <v>44774</v>
      </c>
      <c r="B27" s="183" t="s">
        <v>312</v>
      </c>
      <c r="C27" s="183" t="s">
        <v>180</v>
      </c>
      <c r="D27" s="334" t="s">
        <v>163</v>
      </c>
      <c r="E27" s="178"/>
      <c r="F27" s="362">
        <v>357982</v>
      </c>
      <c r="G27" s="334">
        <f t="shared" si="0"/>
        <v>22720237</v>
      </c>
      <c r="H27" s="183" t="s">
        <v>157</v>
      </c>
      <c r="I27" s="183">
        <v>3667213</v>
      </c>
      <c r="J27" s="183" t="s">
        <v>102</v>
      </c>
      <c r="K27" s="183" t="s">
        <v>209</v>
      </c>
      <c r="L27" s="183" t="s">
        <v>414</v>
      </c>
      <c r="M27" s="178" t="s">
        <v>451</v>
      </c>
      <c r="N27" s="183" t="s">
        <v>422</v>
      </c>
    </row>
    <row r="28" spans="1:15" s="183" customFormat="1" ht="15" customHeight="1">
      <c r="A28" s="330">
        <v>44774</v>
      </c>
      <c r="B28" s="183" t="s">
        <v>313</v>
      </c>
      <c r="C28" s="183" t="s">
        <v>180</v>
      </c>
      <c r="D28" s="183" t="s">
        <v>2</v>
      </c>
      <c r="E28" s="178"/>
      <c r="F28" s="362">
        <v>350000</v>
      </c>
      <c r="G28" s="334">
        <f t="shared" si="0"/>
        <v>22370237</v>
      </c>
      <c r="H28" s="183" t="s">
        <v>157</v>
      </c>
      <c r="I28" s="183">
        <v>3667214</v>
      </c>
      <c r="J28" s="183" t="s">
        <v>102</v>
      </c>
      <c r="K28" s="183" t="s">
        <v>209</v>
      </c>
      <c r="L28" s="183" t="s">
        <v>414</v>
      </c>
      <c r="M28" s="178" t="s">
        <v>452</v>
      </c>
      <c r="N28" s="183" t="s">
        <v>423</v>
      </c>
      <c r="O28" s="428"/>
    </row>
    <row r="29" spans="1:15" s="183" customFormat="1" ht="15" customHeight="1">
      <c r="A29" s="330">
        <v>44774</v>
      </c>
      <c r="B29" s="437" t="s">
        <v>314</v>
      </c>
      <c r="C29" s="183" t="s">
        <v>180</v>
      </c>
      <c r="D29" s="434" t="s">
        <v>163</v>
      </c>
      <c r="E29" s="178"/>
      <c r="F29" s="362">
        <v>200000</v>
      </c>
      <c r="G29" s="334">
        <f t="shared" si="0"/>
        <v>22170237</v>
      </c>
      <c r="H29" s="183" t="s">
        <v>157</v>
      </c>
      <c r="I29" s="183">
        <v>3667215</v>
      </c>
      <c r="J29" s="183" t="s">
        <v>102</v>
      </c>
      <c r="K29" s="183" t="s">
        <v>209</v>
      </c>
      <c r="L29" s="183" t="s">
        <v>414</v>
      </c>
      <c r="M29" s="178" t="s">
        <v>453</v>
      </c>
      <c r="N29" s="183" t="s">
        <v>422</v>
      </c>
    </row>
    <row r="30" spans="1:15" s="183" customFormat="1" ht="15" customHeight="1">
      <c r="A30" s="442">
        <v>44774</v>
      </c>
      <c r="B30" s="183" t="s">
        <v>315</v>
      </c>
      <c r="C30" s="183" t="s">
        <v>180</v>
      </c>
      <c r="D30" s="183" t="s">
        <v>2</v>
      </c>
      <c r="E30" s="178"/>
      <c r="F30" s="362">
        <v>300000</v>
      </c>
      <c r="G30" s="334">
        <f t="shared" si="0"/>
        <v>21870237</v>
      </c>
      <c r="H30" s="183" t="s">
        <v>157</v>
      </c>
      <c r="I30" s="183">
        <v>3667216</v>
      </c>
      <c r="J30" s="183" t="s">
        <v>102</v>
      </c>
      <c r="K30" s="183" t="s">
        <v>209</v>
      </c>
      <c r="L30" s="183" t="s">
        <v>414</v>
      </c>
      <c r="M30" s="178" t="s">
        <v>454</v>
      </c>
      <c r="N30" s="183" t="s">
        <v>423</v>
      </c>
    </row>
    <row r="31" spans="1:15" s="183" customFormat="1" ht="15" customHeight="1">
      <c r="A31" s="333">
        <v>44774</v>
      </c>
      <c r="B31" s="437" t="s">
        <v>316</v>
      </c>
      <c r="C31" s="183" t="s">
        <v>180</v>
      </c>
      <c r="D31" s="200" t="s">
        <v>164</v>
      </c>
      <c r="E31" s="178"/>
      <c r="F31" s="362">
        <v>344901</v>
      </c>
      <c r="G31" s="334">
        <f t="shared" si="0"/>
        <v>21525336</v>
      </c>
      <c r="H31" s="183" t="s">
        <v>157</v>
      </c>
      <c r="I31" s="183">
        <v>3667217</v>
      </c>
      <c r="J31" s="183" t="s">
        <v>102</v>
      </c>
      <c r="K31" s="183" t="s">
        <v>209</v>
      </c>
      <c r="L31" s="183" t="s">
        <v>414</v>
      </c>
      <c r="M31" s="178" t="s">
        <v>455</v>
      </c>
      <c r="N31" s="183" t="s">
        <v>424</v>
      </c>
    </row>
    <row r="32" spans="1:15" s="183" customFormat="1" ht="15" customHeight="1">
      <c r="A32" s="333">
        <v>44774</v>
      </c>
      <c r="B32" s="183" t="s">
        <v>317</v>
      </c>
      <c r="C32" s="183" t="s">
        <v>180</v>
      </c>
      <c r="D32" s="183" t="s">
        <v>4</v>
      </c>
      <c r="E32" s="178"/>
      <c r="F32" s="362">
        <v>225000</v>
      </c>
      <c r="G32" s="334">
        <f t="shared" si="0"/>
        <v>21300336</v>
      </c>
      <c r="H32" s="183" t="s">
        <v>157</v>
      </c>
      <c r="I32" s="183">
        <v>3667218</v>
      </c>
      <c r="J32" s="183" t="s">
        <v>102</v>
      </c>
      <c r="K32" s="183" t="s">
        <v>209</v>
      </c>
      <c r="L32" s="183" t="s">
        <v>414</v>
      </c>
      <c r="M32" s="178" t="s">
        <v>456</v>
      </c>
      <c r="N32" s="183" t="s">
        <v>425</v>
      </c>
    </row>
    <row r="33" spans="1:16" s="183" customFormat="1" ht="15" customHeight="1">
      <c r="A33" s="333">
        <v>44774</v>
      </c>
      <c r="B33" s="183" t="s">
        <v>318</v>
      </c>
      <c r="C33" s="183" t="s">
        <v>180</v>
      </c>
      <c r="D33" s="183" t="s">
        <v>4</v>
      </c>
      <c r="E33" s="178"/>
      <c r="F33" s="362">
        <v>450000</v>
      </c>
      <c r="G33" s="334">
        <f t="shared" si="0"/>
        <v>20850336</v>
      </c>
      <c r="H33" s="183" t="s">
        <v>157</v>
      </c>
      <c r="I33" s="183">
        <v>3667219</v>
      </c>
      <c r="J33" s="183" t="s">
        <v>102</v>
      </c>
      <c r="K33" s="183" t="s">
        <v>209</v>
      </c>
      <c r="L33" s="183" t="s">
        <v>414</v>
      </c>
      <c r="M33" s="178" t="s">
        <v>457</v>
      </c>
      <c r="N33" s="183" t="s">
        <v>425</v>
      </c>
    </row>
    <row r="34" spans="1:16" s="183" customFormat="1" ht="15" customHeight="1">
      <c r="A34" s="333">
        <v>44774</v>
      </c>
      <c r="B34" s="183" t="s">
        <v>319</v>
      </c>
      <c r="C34" s="490" t="s">
        <v>306</v>
      </c>
      <c r="D34" s="183" t="s">
        <v>257</v>
      </c>
      <c r="E34" s="178"/>
      <c r="F34" s="362">
        <f>14701+2663</f>
        <v>17364</v>
      </c>
      <c r="G34" s="334">
        <f t="shared" si="0"/>
        <v>20832972</v>
      </c>
      <c r="H34" s="183" t="s">
        <v>157</v>
      </c>
      <c r="I34" s="183" t="s">
        <v>304</v>
      </c>
      <c r="J34" s="183" t="s">
        <v>102</v>
      </c>
      <c r="K34" s="183" t="s">
        <v>209</v>
      </c>
      <c r="L34" s="183" t="s">
        <v>414</v>
      </c>
      <c r="M34" s="178" t="s">
        <v>458</v>
      </c>
      <c r="N34" s="183" t="s">
        <v>415</v>
      </c>
    </row>
    <row r="35" spans="1:16" s="183" customFormat="1" ht="15" customHeight="1">
      <c r="A35" s="330">
        <v>44774</v>
      </c>
      <c r="B35" s="183" t="s">
        <v>331</v>
      </c>
      <c r="C35" s="183" t="s">
        <v>75</v>
      </c>
      <c r="E35" s="366">
        <v>291250</v>
      </c>
      <c r="F35" s="422"/>
      <c r="G35" s="334">
        <f t="shared" si="0"/>
        <v>21124222</v>
      </c>
      <c r="H35" s="183" t="s">
        <v>47</v>
      </c>
    </row>
    <row r="36" spans="1:16" s="183" customFormat="1" ht="15.75" customHeight="1">
      <c r="A36" s="333">
        <v>44774</v>
      </c>
      <c r="B36" s="183" t="s">
        <v>435</v>
      </c>
      <c r="C36" s="183" t="s">
        <v>282</v>
      </c>
      <c r="D36" s="183" t="s">
        <v>163</v>
      </c>
      <c r="E36" s="375"/>
      <c r="F36" s="422">
        <v>5000</v>
      </c>
      <c r="G36" s="334">
        <f t="shared" si="0"/>
        <v>21119222</v>
      </c>
      <c r="H36" s="183" t="s">
        <v>47</v>
      </c>
      <c r="I36" s="183" t="s">
        <v>259</v>
      </c>
      <c r="J36" s="183" t="s">
        <v>165</v>
      </c>
      <c r="K36" s="183" t="s">
        <v>208</v>
      </c>
      <c r="L36" s="183" t="s">
        <v>414</v>
      </c>
    </row>
    <row r="37" spans="1:16" s="183" customFormat="1" ht="15" customHeight="1">
      <c r="A37" s="333">
        <v>44774</v>
      </c>
      <c r="B37" s="183" t="s">
        <v>332</v>
      </c>
      <c r="C37" s="183" t="s">
        <v>282</v>
      </c>
      <c r="D37" s="437" t="s">
        <v>163</v>
      </c>
      <c r="E37" s="178"/>
      <c r="F37" s="362">
        <v>3200</v>
      </c>
      <c r="G37" s="334">
        <f t="shared" si="0"/>
        <v>21116022</v>
      </c>
      <c r="H37" s="183" t="s">
        <v>47</v>
      </c>
      <c r="I37" s="183" t="s">
        <v>259</v>
      </c>
      <c r="J37" s="183" t="s">
        <v>165</v>
      </c>
      <c r="K37" s="183" t="s">
        <v>208</v>
      </c>
      <c r="L37" s="183" t="s">
        <v>414</v>
      </c>
    </row>
    <row r="38" spans="1:16" s="183" customFormat="1" ht="15.75" customHeight="1">
      <c r="A38" s="333">
        <v>44774</v>
      </c>
      <c r="B38" s="183" t="s">
        <v>437</v>
      </c>
      <c r="C38" s="183" t="s">
        <v>282</v>
      </c>
      <c r="D38" s="183" t="s">
        <v>163</v>
      </c>
      <c r="E38" s="375"/>
      <c r="F38" s="389">
        <v>6000</v>
      </c>
      <c r="G38" s="334">
        <f t="shared" si="0"/>
        <v>21110022</v>
      </c>
      <c r="H38" s="183" t="s">
        <v>47</v>
      </c>
      <c r="I38" s="183" t="s">
        <v>259</v>
      </c>
      <c r="J38" s="183" t="s">
        <v>165</v>
      </c>
      <c r="K38" s="183" t="s">
        <v>208</v>
      </c>
      <c r="L38" s="183" t="s">
        <v>414</v>
      </c>
    </row>
    <row r="39" spans="1:16" s="183" customFormat="1" ht="15.75" customHeight="1">
      <c r="A39" s="427">
        <v>44774</v>
      </c>
      <c r="B39" s="331" t="s">
        <v>436</v>
      </c>
      <c r="C39" s="183" t="s">
        <v>34</v>
      </c>
      <c r="D39" s="428" t="s">
        <v>333</v>
      </c>
      <c r="E39" s="374"/>
      <c r="F39" s="400">
        <v>71250</v>
      </c>
      <c r="G39" s="334">
        <f t="shared" si="0"/>
        <v>21038772</v>
      </c>
      <c r="H39" s="331" t="s">
        <v>47</v>
      </c>
      <c r="I39" s="183" t="s">
        <v>259</v>
      </c>
      <c r="J39" s="183" t="s">
        <v>165</v>
      </c>
      <c r="K39" s="183" t="s">
        <v>208</v>
      </c>
      <c r="L39" s="183" t="s">
        <v>414</v>
      </c>
      <c r="O39" s="428"/>
    </row>
    <row r="40" spans="1:16" s="183" customFormat="1" ht="15.75" customHeight="1">
      <c r="A40" s="330">
        <v>44774</v>
      </c>
      <c r="B40" s="183" t="s">
        <v>438</v>
      </c>
      <c r="C40" s="183" t="s">
        <v>156</v>
      </c>
      <c r="D40" s="423" t="s">
        <v>333</v>
      </c>
      <c r="E40" s="178"/>
      <c r="F40" s="362">
        <v>9250</v>
      </c>
      <c r="G40" s="334">
        <f t="shared" si="0"/>
        <v>21029522</v>
      </c>
      <c r="H40" s="183" t="s">
        <v>47</v>
      </c>
      <c r="I40" s="183" t="s">
        <v>259</v>
      </c>
      <c r="J40" s="183" t="s">
        <v>165</v>
      </c>
      <c r="K40" s="183" t="s">
        <v>208</v>
      </c>
      <c r="L40" s="183" t="s">
        <v>414</v>
      </c>
    </row>
    <row r="41" spans="1:16" s="183" customFormat="1" ht="15.75" customHeight="1">
      <c r="A41" s="427">
        <v>44774</v>
      </c>
      <c r="B41" s="183" t="s">
        <v>354</v>
      </c>
      <c r="C41" s="183" t="s">
        <v>75</v>
      </c>
      <c r="D41" s="429"/>
      <c r="E41" s="430"/>
      <c r="F41" s="362">
        <v>30000</v>
      </c>
      <c r="G41" s="334">
        <f t="shared" si="0"/>
        <v>20999522</v>
      </c>
      <c r="H41" s="183" t="s">
        <v>207</v>
      </c>
      <c r="O41" s="428"/>
    </row>
    <row r="42" spans="1:16" s="491" customFormat="1" ht="15.75" customHeight="1">
      <c r="A42" s="333">
        <v>44774</v>
      </c>
      <c r="B42" s="183" t="s">
        <v>392</v>
      </c>
      <c r="C42" s="183" t="s">
        <v>75</v>
      </c>
      <c r="D42" s="183"/>
      <c r="E42" s="375"/>
      <c r="F42" s="422">
        <v>50000</v>
      </c>
      <c r="G42" s="334">
        <f t="shared" si="0"/>
        <v>20949522</v>
      </c>
      <c r="H42" s="183" t="s">
        <v>29</v>
      </c>
      <c r="I42" s="183"/>
      <c r="J42" s="183"/>
      <c r="K42" s="183"/>
      <c r="L42" s="183"/>
      <c r="M42" s="183"/>
      <c r="N42" s="183"/>
      <c r="O42" s="183"/>
      <c r="P42" s="183"/>
    </row>
    <row r="43" spans="1:16" s="183" customFormat="1" ht="15.75" customHeight="1">
      <c r="A43" s="333">
        <v>44774</v>
      </c>
      <c r="B43" s="183" t="s">
        <v>393</v>
      </c>
      <c r="C43" s="183" t="s">
        <v>75</v>
      </c>
      <c r="E43" s="431">
        <v>25000</v>
      </c>
      <c r="F43" s="362"/>
      <c r="G43" s="334">
        <f t="shared" si="0"/>
        <v>20974522</v>
      </c>
      <c r="H43" s="183" t="s">
        <v>29</v>
      </c>
    </row>
    <row r="44" spans="1:16" s="183" customFormat="1" ht="15.75" customHeight="1">
      <c r="A44" s="333">
        <v>44775</v>
      </c>
      <c r="B44" s="183" t="s">
        <v>269</v>
      </c>
      <c r="C44" s="183" t="s">
        <v>244</v>
      </c>
      <c r="D44" s="183" t="s">
        <v>163</v>
      </c>
      <c r="E44" s="375"/>
      <c r="F44" s="422">
        <v>15000</v>
      </c>
      <c r="G44" s="334">
        <f t="shared" si="0"/>
        <v>20959522</v>
      </c>
      <c r="H44" s="183" t="s">
        <v>25</v>
      </c>
      <c r="I44" s="183" t="s">
        <v>270</v>
      </c>
      <c r="J44" s="183" t="s">
        <v>165</v>
      </c>
      <c r="K44" s="183" t="s">
        <v>208</v>
      </c>
      <c r="L44" s="183" t="s">
        <v>414</v>
      </c>
    </row>
    <row r="45" spans="1:16" s="183" customFormat="1" ht="15.75" customHeight="1">
      <c r="A45" s="333">
        <v>44775</v>
      </c>
      <c r="B45" s="183" t="s">
        <v>439</v>
      </c>
      <c r="C45" s="183" t="s">
        <v>34</v>
      </c>
      <c r="D45" s="428" t="s">
        <v>333</v>
      </c>
      <c r="E45" s="178"/>
      <c r="F45" s="422">
        <v>2500</v>
      </c>
      <c r="G45" s="334">
        <f t="shared" si="0"/>
        <v>20957022</v>
      </c>
      <c r="H45" s="183" t="s">
        <v>47</v>
      </c>
      <c r="I45" s="183" t="s">
        <v>259</v>
      </c>
      <c r="J45" s="183" t="s">
        <v>165</v>
      </c>
      <c r="K45" s="183" t="s">
        <v>208</v>
      </c>
      <c r="L45" s="183" t="s">
        <v>414</v>
      </c>
    </row>
    <row r="46" spans="1:16" s="183" customFormat="1" ht="15" customHeight="1">
      <c r="A46" s="333">
        <v>44775</v>
      </c>
      <c r="B46" s="183" t="s">
        <v>334</v>
      </c>
      <c r="C46" s="183" t="s">
        <v>156</v>
      </c>
      <c r="D46" s="429" t="s">
        <v>333</v>
      </c>
      <c r="E46" s="178"/>
      <c r="F46" s="362">
        <v>21500</v>
      </c>
      <c r="G46" s="334">
        <f t="shared" si="0"/>
        <v>20935522</v>
      </c>
      <c r="H46" s="183" t="s">
        <v>47</v>
      </c>
      <c r="I46" s="183" t="s">
        <v>259</v>
      </c>
      <c r="J46" s="183" t="s">
        <v>165</v>
      </c>
      <c r="K46" s="183" t="s">
        <v>208</v>
      </c>
      <c r="L46" s="183" t="s">
        <v>414</v>
      </c>
    </row>
    <row r="47" spans="1:16" s="183" customFormat="1" ht="15" customHeight="1">
      <c r="A47" s="333">
        <v>44775</v>
      </c>
      <c r="B47" s="183" t="s">
        <v>335</v>
      </c>
      <c r="C47" s="183" t="s">
        <v>244</v>
      </c>
      <c r="D47" s="183" t="s">
        <v>333</v>
      </c>
      <c r="E47" s="178"/>
      <c r="F47" s="387">
        <v>50000</v>
      </c>
      <c r="G47" s="334">
        <f t="shared" si="0"/>
        <v>20885522</v>
      </c>
      <c r="H47" s="183" t="s">
        <v>47</v>
      </c>
      <c r="I47" s="183" t="s">
        <v>259</v>
      </c>
      <c r="J47" s="183" t="s">
        <v>165</v>
      </c>
      <c r="K47" s="183" t="s">
        <v>208</v>
      </c>
      <c r="L47" s="183" t="s">
        <v>414</v>
      </c>
    </row>
    <row r="48" spans="1:16" s="183" customFormat="1" ht="15" customHeight="1">
      <c r="A48" s="333">
        <v>44775</v>
      </c>
      <c r="B48" s="183" t="s">
        <v>336</v>
      </c>
      <c r="C48" s="183" t="s">
        <v>244</v>
      </c>
      <c r="D48" s="183" t="s">
        <v>333</v>
      </c>
      <c r="E48" s="178"/>
      <c r="F48" s="387">
        <v>30000</v>
      </c>
      <c r="G48" s="334">
        <f t="shared" si="0"/>
        <v>20855522</v>
      </c>
      <c r="H48" s="183" t="s">
        <v>47</v>
      </c>
      <c r="I48" s="183" t="s">
        <v>259</v>
      </c>
      <c r="J48" s="183" t="s">
        <v>165</v>
      </c>
      <c r="K48" s="183" t="s">
        <v>208</v>
      </c>
      <c r="L48" s="183" t="s">
        <v>414</v>
      </c>
    </row>
    <row r="49" spans="1:16" s="183" customFormat="1" ht="15" customHeight="1">
      <c r="A49" s="333">
        <v>44776</v>
      </c>
      <c r="B49" s="183" t="s">
        <v>47</v>
      </c>
      <c r="C49" s="183" t="s">
        <v>75</v>
      </c>
      <c r="E49" s="178"/>
      <c r="F49" s="387">
        <v>28000</v>
      </c>
      <c r="G49" s="334">
        <f t="shared" si="0"/>
        <v>20827522</v>
      </c>
      <c r="H49" s="183" t="s">
        <v>25</v>
      </c>
    </row>
    <row r="50" spans="1:16" s="183" customFormat="1" ht="15" customHeight="1">
      <c r="A50" s="427">
        <v>44776</v>
      </c>
      <c r="B50" s="183" t="s">
        <v>256</v>
      </c>
      <c r="C50" s="183" t="s">
        <v>224</v>
      </c>
      <c r="D50" s="183" t="s">
        <v>257</v>
      </c>
      <c r="E50" s="366"/>
      <c r="F50" s="422">
        <v>840</v>
      </c>
      <c r="G50" s="334">
        <f t="shared" si="0"/>
        <v>20826682</v>
      </c>
      <c r="H50" s="432" t="s">
        <v>25</v>
      </c>
      <c r="I50" s="183" t="s">
        <v>259</v>
      </c>
      <c r="J50" s="183" t="s">
        <v>102</v>
      </c>
      <c r="K50" s="183" t="s">
        <v>209</v>
      </c>
      <c r="L50" s="183" t="s">
        <v>414</v>
      </c>
      <c r="M50" s="178" t="s">
        <v>459</v>
      </c>
      <c r="N50" s="183" t="s">
        <v>415</v>
      </c>
      <c r="O50" s="428"/>
    </row>
    <row r="51" spans="1:16" s="183" customFormat="1" ht="15" customHeight="1">
      <c r="A51" s="427">
        <v>44776</v>
      </c>
      <c r="B51" s="183" t="s">
        <v>29</v>
      </c>
      <c r="C51" s="183" t="s">
        <v>75</v>
      </c>
      <c r="E51" s="366"/>
      <c r="F51" s="422">
        <v>93000</v>
      </c>
      <c r="G51" s="334">
        <f t="shared" si="0"/>
        <v>20733682</v>
      </c>
      <c r="H51" s="432" t="s">
        <v>25</v>
      </c>
      <c r="O51" s="428"/>
    </row>
    <row r="52" spans="1:16" s="183" customFormat="1" ht="15" customHeight="1">
      <c r="A52" s="427">
        <v>44776</v>
      </c>
      <c r="B52" s="183" t="s">
        <v>30</v>
      </c>
      <c r="C52" s="183" t="s">
        <v>75</v>
      </c>
      <c r="E52" s="366"/>
      <c r="F52" s="422">
        <v>83000</v>
      </c>
      <c r="G52" s="334">
        <f t="shared" si="0"/>
        <v>20650682</v>
      </c>
      <c r="H52" s="432" t="s">
        <v>25</v>
      </c>
      <c r="O52" s="428"/>
    </row>
    <row r="53" spans="1:16" s="183" customFormat="1" ht="15" customHeight="1">
      <c r="A53" s="333">
        <v>44776</v>
      </c>
      <c r="B53" s="183" t="s">
        <v>331</v>
      </c>
      <c r="C53" s="183" t="s">
        <v>75</v>
      </c>
      <c r="D53" s="429"/>
      <c r="E53" s="178">
        <v>28000</v>
      </c>
      <c r="F53" s="362"/>
      <c r="G53" s="334">
        <f t="shared" si="0"/>
        <v>20678682</v>
      </c>
      <c r="H53" s="183" t="s">
        <v>47</v>
      </c>
      <c r="P53" s="428"/>
    </row>
    <row r="54" spans="1:16" s="183" customFormat="1" ht="15" customHeight="1">
      <c r="A54" s="333">
        <v>44776</v>
      </c>
      <c r="B54" s="183" t="s">
        <v>441</v>
      </c>
      <c r="C54" s="183" t="s">
        <v>34</v>
      </c>
      <c r="D54" s="183" t="s">
        <v>4</v>
      </c>
      <c r="E54" s="178"/>
      <c r="F54" s="422">
        <v>10000</v>
      </c>
      <c r="G54" s="334">
        <f t="shared" si="0"/>
        <v>20668682</v>
      </c>
      <c r="H54" s="183" t="s">
        <v>48</v>
      </c>
      <c r="I54" s="183" t="s">
        <v>259</v>
      </c>
      <c r="J54" s="183" t="s">
        <v>102</v>
      </c>
      <c r="K54" s="183" t="s">
        <v>209</v>
      </c>
      <c r="L54" s="183" t="s">
        <v>414</v>
      </c>
      <c r="M54" s="178" t="s">
        <v>460</v>
      </c>
      <c r="N54" s="183" t="s">
        <v>430</v>
      </c>
    </row>
    <row r="55" spans="1:16" s="183" customFormat="1" ht="15" customHeight="1">
      <c r="A55" s="333">
        <v>44776</v>
      </c>
      <c r="B55" s="183" t="s">
        <v>368</v>
      </c>
      <c r="C55" s="183" t="s">
        <v>75</v>
      </c>
      <c r="E55" s="178">
        <v>83000</v>
      </c>
      <c r="F55" s="362"/>
      <c r="G55" s="334">
        <f t="shared" si="0"/>
        <v>20751682</v>
      </c>
      <c r="H55" s="183" t="s">
        <v>48</v>
      </c>
    </row>
    <row r="56" spans="1:16" s="183" customFormat="1" ht="15" customHeight="1">
      <c r="A56" s="330">
        <v>44776</v>
      </c>
      <c r="B56" s="331" t="s">
        <v>393</v>
      </c>
      <c r="C56" s="183" t="s">
        <v>75</v>
      </c>
      <c r="E56" s="374">
        <v>93000</v>
      </c>
      <c r="F56" s="418"/>
      <c r="G56" s="334">
        <f t="shared" si="0"/>
        <v>20844682</v>
      </c>
      <c r="H56" s="332" t="s">
        <v>29</v>
      </c>
    </row>
    <row r="57" spans="1:16" s="183" customFormat="1" ht="15" customHeight="1">
      <c r="A57" s="333">
        <v>44776</v>
      </c>
      <c r="B57" s="331" t="s">
        <v>394</v>
      </c>
      <c r="C57" s="183" t="s">
        <v>34</v>
      </c>
      <c r="D57" s="183" t="s">
        <v>4</v>
      </c>
      <c r="E57" s="178"/>
      <c r="F57" s="362">
        <v>10000</v>
      </c>
      <c r="G57" s="334">
        <f t="shared" si="0"/>
        <v>20834682</v>
      </c>
      <c r="H57" s="183" t="s">
        <v>29</v>
      </c>
      <c r="I57" s="183" t="s">
        <v>259</v>
      </c>
      <c r="J57" s="183" t="s">
        <v>102</v>
      </c>
      <c r="K57" s="183" t="s">
        <v>209</v>
      </c>
      <c r="L57" s="183" t="s">
        <v>414</v>
      </c>
      <c r="M57" s="178" t="s">
        <v>461</v>
      </c>
      <c r="N57" s="183" t="s">
        <v>430</v>
      </c>
    </row>
    <row r="58" spans="1:16" s="183" customFormat="1" ht="15" customHeight="1">
      <c r="A58" s="330">
        <v>44777</v>
      </c>
      <c r="B58" s="331" t="s">
        <v>271</v>
      </c>
      <c r="C58" s="183" t="s">
        <v>75</v>
      </c>
      <c r="E58" s="374">
        <v>2000000</v>
      </c>
      <c r="F58" s="388"/>
      <c r="G58" s="334">
        <f t="shared" si="0"/>
        <v>22834682</v>
      </c>
      <c r="H58" s="332" t="s">
        <v>25</v>
      </c>
    </row>
    <row r="59" spans="1:16" s="183" customFormat="1" ht="15" customHeight="1">
      <c r="A59" s="333">
        <v>44777</v>
      </c>
      <c r="B59" s="183" t="s">
        <v>337</v>
      </c>
      <c r="C59" s="183" t="s">
        <v>34</v>
      </c>
      <c r="D59" s="183" t="s">
        <v>2</v>
      </c>
      <c r="E59" s="178"/>
      <c r="F59" s="387">
        <v>10000</v>
      </c>
      <c r="G59" s="334">
        <f t="shared" si="0"/>
        <v>22824682</v>
      </c>
      <c r="H59" s="183" t="s">
        <v>47</v>
      </c>
      <c r="I59" s="183" t="s">
        <v>259</v>
      </c>
      <c r="J59" s="183" t="s">
        <v>102</v>
      </c>
      <c r="K59" s="183" t="s">
        <v>209</v>
      </c>
      <c r="L59" s="183" t="s">
        <v>414</v>
      </c>
      <c r="M59" s="178" t="s">
        <v>462</v>
      </c>
      <c r="N59" s="183" t="s">
        <v>430</v>
      </c>
    </row>
    <row r="60" spans="1:16" s="183" customFormat="1" ht="15" customHeight="1">
      <c r="A60" s="333">
        <v>44777</v>
      </c>
      <c r="B60" s="183" t="s">
        <v>338</v>
      </c>
      <c r="C60" s="183" t="s">
        <v>156</v>
      </c>
      <c r="D60" s="183" t="s">
        <v>2</v>
      </c>
      <c r="E60" s="178"/>
      <c r="F60" s="387">
        <v>60000</v>
      </c>
      <c r="G60" s="334">
        <f t="shared" si="0"/>
        <v>22764682</v>
      </c>
      <c r="H60" s="183" t="s">
        <v>47</v>
      </c>
      <c r="I60" s="183" t="s">
        <v>259</v>
      </c>
      <c r="J60" s="183" t="s">
        <v>102</v>
      </c>
      <c r="K60" s="183" t="s">
        <v>209</v>
      </c>
      <c r="L60" s="183" t="s">
        <v>414</v>
      </c>
      <c r="M60" s="178" t="s">
        <v>463</v>
      </c>
      <c r="N60" s="183" t="s">
        <v>431</v>
      </c>
    </row>
    <row r="61" spans="1:16" s="183" customFormat="1" ht="15" customHeight="1">
      <c r="A61" s="333">
        <v>44777</v>
      </c>
      <c r="B61" s="183" t="s">
        <v>369</v>
      </c>
      <c r="C61" s="183" t="s">
        <v>156</v>
      </c>
      <c r="D61" s="183" t="s">
        <v>4</v>
      </c>
      <c r="E61" s="375"/>
      <c r="F61" s="422">
        <v>20000</v>
      </c>
      <c r="G61" s="334">
        <f t="shared" si="0"/>
        <v>22744682</v>
      </c>
      <c r="H61" s="183" t="s">
        <v>48</v>
      </c>
      <c r="I61" s="183" t="s">
        <v>270</v>
      </c>
      <c r="J61" s="183" t="s">
        <v>102</v>
      </c>
      <c r="K61" s="183" t="s">
        <v>209</v>
      </c>
      <c r="L61" s="183" t="s">
        <v>414</v>
      </c>
      <c r="M61" s="178" t="s">
        <v>464</v>
      </c>
      <c r="N61" s="183" t="s">
        <v>431</v>
      </c>
    </row>
    <row r="62" spans="1:16" s="183" customFormat="1" ht="15" customHeight="1">
      <c r="A62" s="333">
        <v>44777</v>
      </c>
      <c r="B62" s="183" t="s">
        <v>395</v>
      </c>
      <c r="C62" s="183" t="s">
        <v>156</v>
      </c>
      <c r="D62" s="183" t="s">
        <v>4</v>
      </c>
      <c r="E62" s="178"/>
      <c r="F62" s="422">
        <v>20000</v>
      </c>
      <c r="G62" s="334">
        <f t="shared" si="0"/>
        <v>22724682</v>
      </c>
      <c r="H62" s="183" t="s">
        <v>29</v>
      </c>
      <c r="I62" s="183" t="s">
        <v>270</v>
      </c>
      <c r="J62" s="183" t="s">
        <v>102</v>
      </c>
      <c r="K62" s="183" t="s">
        <v>209</v>
      </c>
      <c r="L62" s="183" t="s">
        <v>414</v>
      </c>
      <c r="M62" s="178" t="s">
        <v>465</v>
      </c>
      <c r="N62" s="183" t="s">
        <v>431</v>
      </c>
    </row>
    <row r="63" spans="1:16" s="183" customFormat="1" ht="15" customHeight="1">
      <c r="A63" s="333">
        <v>44778</v>
      </c>
      <c r="B63" s="183" t="s">
        <v>93</v>
      </c>
      <c r="C63" s="183" t="s">
        <v>75</v>
      </c>
      <c r="E63" s="375"/>
      <c r="F63" s="389">
        <v>10000</v>
      </c>
      <c r="G63" s="334">
        <f t="shared" si="0"/>
        <v>22714682</v>
      </c>
      <c r="H63" s="183" t="s">
        <v>25</v>
      </c>
    </row>
    <row r="64" spans="1:16" s="183" customFormat="1" ht="15" customHeight="1">
      <c r="A64" s="333">
        <v>44778</v>
      </c>
      <c r="B64" s="183" t="s">
        <v>272</v>
      </c>
      <c r="C64" s="331" t="s">
        <v>3</v>
      </c>
      <c r="D64" s="183" t="s">
        <v>257</v>
      </c>
      <c r="E64" s="375"/>
      <c r="F64" s="389">
        <v>260000</v>
      </c>
      <c r="G64" s="334">
        <f t="shared" si="0"/>
        <v>22454682</v>
      </c>
      <c r="H64" s="183" t="s">
        <v>25</v>
      </c>
      <c r="I64" s="183" t="s">
        <v>259</v>
      </c>
      <c r="J64" s="183" t="s">
        <v>165</v>
      </c>
      <c r="K64" s="183" t="s">
        <v>208</v>
      </c>
      <c r="L64" s="183" t="s">
        <v>414</v>
      </c>
    </row>
    <row r="65" spans="1:16" s="183" customFormat="1" ht="15" customHeight="1">
      <c r="A65" s="333">
        <v>44778</v>
      </c>
      <c r="B65" s="183" t="s">
        <v>273</v>
      </c>
      <c r="C65" s="183" t="s">
        <v>244</v>
      </c>
      <c r="D65" s="183" t="s">
        <v>163</v>
      </c>
      <c r="E65" s="375"/>
      <c r="F65" s="422">
        <v>50000</v>
      </c>
      <c r="G65" s="334">
        <f t="shared" si="0"/>
        <v>22404682</v>
      </c>
      <c r="H65" s="183" t="s">
        <v>25</v>
      </c>
      <c r="I65" s="183" t="s">
        <v>270</v>
      </c>
      <c r="J65" s="183" t="s">
        <v>165</v>
      </c>
      <c r="K65" s="183" t="s">
        <v>208</v>
      </c>
      <c r="L65" s="183" t="s">
        <v>414</v>
      </c>
    </row>
    <row r="66" spans="1:16" s="183" customFormat="1" ht="15" customHeight="1">
      <c r="A66" s="333">
        <v>44778</v>
      </c>
      <c r="B66" s="183" t="s">
        <v>207</v>
      </c>
      <c r="C66" s="183" t="s">
        <v>75</v>
      </c>
      <c r="E66" s="375"/>
      <c r="F66" s="422">
        <v>260000</v>
      </c>
      <c r="G66" s="334">
        <f t="shared" si="0"/>
        <v>22144682</v>
      </c>
      <c r="H66" s="183" t="s">
        <v>25</v>
      </c>
    </row>
    <row r="67" spans="1:16" s="183" customFormat="1" ht="15" customHeight="1">
      <c r="A67" s="330">
        <v>44778</v>
      </c>
      <c r="B67" s="331" t="s">
        <v>151</v>
      </c>
      <c r="C67" s="183" t="s">
        <v>75</v>
      </c>
      <c r="E67" s="178"/>
      <c r="F67" s="362">
        <v>5000</v>
      </c>
      <c r="G67" s="334">
        <f t="shared" si="0"/>
        <v>22139682</v>
      </c>
      <c r="H67" s="332" t="s">
        <v>25</v>
      </c>
    </row>
    <row r="68" spans="1:16" s="183" customFormat="1" ht="15" customHeight="1">
      <c r="A68" s="333">
        <v>44778</v>
      </c>
      <c r="B68" s="183" t="s">
        <v>320</v>
      </c>
      <c r="C68" s="183" t="s">
        <v>75</v>
      </c>
      <c r="E68" s="178"/>
      <c r="F68" s="362">
        <v>2000000</v>
      </c>
      <c r="G68" s="334">
        <f t="shared" si="0"/>
        <v>20139682</v>
      </c>
      <c r="H68" s="183" t="s">
        <v>157</v>
      </c>
      <c r="I68" s="183">
        <v>3667231</v>
      </c>
    </row>
    <row r="69" spans="1:16" s="183" customFormat="1" ht="15" customHeight="1">
      <c r="A69" s="333">
        <v>44778</v>
      </c>
      <c r="B69" s="183" t="s">
        <v>349</v>
      </c>
      <c r="C69" s="183" t="s">
        <v>75</v>
      </c>
      <c r="E69" s="374">
        <v>5000</v>
      </c>
      <c r="F69" s="389"/>
      <c r="G69" s="334">
        <f t="shared" si="0"/>
        <v>20144682</v>
      </c>
      <c r="H69" s="183" t="s">
        <v>151</v>
      </c>
    </row>
    <row r="70" spans="1:16" s="183" customFormat="1" ht="15" customHeight="1">
      <c r="A70" s="330">
        <v>44778</v>
      </c>
      <c r="B70" s="183" t="s">
        <v>352</v>
      </c>
      <c r="C70" s="183" t="s">
        <v>75</v>
      </c>
      <c r="D70" s="434"/>
      <c r="E70" s="435">
        <v>10000</v>
      </c>
      <c r="F70" s="362"/>
      <c r="G70" s="334">
        <f t="shared" si="0"/>
        <v>20154682</v>
      </c>
      <c r="H70" s="183" t="s">
        <v>93</v>
      </c>
    </row>
    <row r="71" spans="1:16" s="183" customFormat="1" ht="15" customHeight="1">
      <c r="A71" s="333">
        <v>44778</v>
      </c>
      <c r="B71" s="183" t="s">
        <v>355</v>
      </c>
      <c r="C71" s="183" t="s">
        <v>75</v>
      </c>
      <c r="E71" s="178">
        <v>260000</v>
      </c>
      <c r="F71" s="362"/>
      <c r="G71" s="334">
        <f t="shared" si="0"/>
        <v>20414682</v>
      </c>
      <c r="H71" s="183" t="s">
        <v>207</v>
      </c>
    </row>
    <row r="72" spans="1:16" s="183" customFormat="1" ht="15" customHeight="1">
      <c r="A72" s="427">
        <v>44778</v>
      </c>
      <c r="B72" s="331" t="s">
        <v>396</v>
      </c>
      <c r="C72" s="183" t="s">
        <v>34</v>
      </c>
      <c r="D72" s="183" t="s">
        <v>4</v>
      </c>
      <c r="E72" s="374"/>
      <c r="F72" s="388">
        <v>5000</v>
      </c>
      <c r="G72" s="334">
        <f t="shared" si="0"/>
        <v>20409682</v>
      </c>
      <c r="H72" s="331" t="s">
        <v>29</v>
      </c>
      <c r="I72" s="183" t="s">
        <v>259</v>
      </c>
      <c r="J72" s="183" t="s">
        <v>102</v>
      </c>
      <c r="K72" s="183" t="s">
        <v>209</v>
      </c>
      <c r="L72" s="183" t="s">
        <v>414</v>
      </c>
      <c r="M72" s="178" t="s">
        <v>466</v>
      </c>
      <c r="N72" s="183" t="s">
        <v>430</v>
      </c>
      <c r="O72" s="428"/>
    </row>
    <row r="73" spans="1:16" s="183" customFormat="1" ht="15" customHeight="1">
      <c r="A73" s="333">
        <v>44778</v>
      </c>
      <c r="B73" s="183" t="s">
        <v>397</v>
      </c>
      <c r="C73" s="183" t="s">
        <v>34</v>
      </c>
      <c r="D73" s="183" t="s">
        <v>4</v>
      </c>
      <c r="E73" s="178"/>
      <c r="F73" s="362">
        <v>5000</v>
      </c>
      <c r="G73" s="334">
        <f t="shared" si="0"/>
        <v>20404682</v>
      </c>
      <c r="H73" s="183" t="s">
        <v>29</v>
      </c>
      <c r="I73" s="183" t="s">
        <v>259</v>
      </c>
      <c r="J73" s="183" t="s">
        <v>102</v>
      </c>
      <c r="K73" s="183" t="s">
        <v>209</v>
      </c>
      <c r="L73" s="183" t="s">
        <v>414</v>
      </c>
      <c r="M73" s="178" t="s">
        <v>467</v>
      </c>
      <c r="N73" s="183" t="s">
        <v>430</v>
      </c>
    </row>
    <row r="74" spans="1:16" s="183" customFormat="1" ht="16.5" customHeight="1">
      <c r="A74" s="333">
        <v>44779</v>
      </c>
      <c r="B74" s="183" t="s">
        <v>326</v>
      </c>
      <c r="C74" s="183" t="s">
        <v>327</v>
      </c>
      <c r="D74" s="183" t="s">
        <v>257</v>
      </c>
      <c r="E74" s="178"/>
      <c r="F74" s="362">
        <v>898222</v>
      </c>
      <c r="G74" s="334">
        <f t="shared" si="0"/>
        <v>19506460</v>
      </c>
      <c r="H74" s="183" t="s">
        <v>113</v>
      </c>
      <c r="I74" s="183" t="s">
        <v>259</v>
      </c>
      <c r="J74" s="183" t="s">
        <v>102</v>
      </c>
      <c r="K74" s="183" t="s">
        <v>209</v>
      </c>
      <c r="L74" s="183" t="s">
        <v>414</v>
      </c>
      <c r="M74" s="178" t="s">
        <v>468</v>
      </c>
      <c r="N74" s="183" t="s">
        <v>418</v>
      </c>
    </row>
    <row r="75" spans="1:16" s="183" customFormat="1" ht="15" customHeight="1">
      <c r="A75" s="330">
        <v>44779</v>
      </c>
      <c r="B75" s="331" t="s">
        <v>370</v>
      </c>
      <c r="C75" s="183" t="s">
        <v>156</v>
      </c>
      <c r="D75" s="183" t="s">
        <v>4</v>
      </c>
      <c r="E75" s="374"/>
      <c r="F75" s="398">
        <v>30000</v>
      </c>
      <c r="G75" s="334">
        <f t="shared" si="0"/>
        <v>19476460</v>
      </c>
      <c r="H75" s="183" t="s">
        <v>48</v>
      </c>
      <c r="I75" s="183" t="s">
        <v>259</v>
      </c>
      <c r="J75" s="183" t="s">
        <v>102</v>
      </c>
      <c r="K75" s="183" t="s">
        <v>209</v>
      </c>
      <c r="L75" s="183" t="s">
        <v>414</v>
      </c>
      <c r="M75" s="178" t="s">
        <v>469</v>
      </c>
      <c r="N75" s="183" t="s">
        <v>431</v>
      </c>
    </row>
    <row r="76" spans="1:16" s="183" customFormat="1" ht="16.5" customHeight="1">
      <c r="A76" s="330">
        <v>44779</v>
      </c>
      <c r="B76" s="429" t="s">
        <v>371</v>
      </c>
      <c r="C76" s="183" t="s">
        <v>34</v>
      </c>
      <c r="D76" s="183" t="s">
        <v>4</v>
      </c>
      <c r="E76" s="178"/>
      <c r="F76" s="362">
        <v>10000</v>
      </c>
      <c r="G76" s="334">
        <f t="shared" si="0"/>
        <v>19466460</v>
      </c>
      <c r="H76" s="183" t="s">
        <v>48</v>
      </c>
      <c r="I76" s="183" t="s">
        <v>259</v>
      </c>
      <c r="J76" s="183" t="s">
        <v>102</v>
      </c>
      <c r="K76" s="183" t="s">
        <v>209</v>
      </c>
      <c r="L76" s="183" t="s">
        <v>414</v>
      </c>
      <c r="M76" s="178" t="s">
        <v>470</v>
      </c>
      <c r="N76" s="183" t="s">
        <v>430</v>
      </c>
      <c r="P76" s="428"/>
    </row>
    <row r="77" spans="1:16" s="183" customFormat="1" ht="15" customHeight="1">
      <c r="A77" s="333">
        <v>44779</v>
      </c>
      <c r="B77" s="183" t="s">
        <v>398</v>
      </c>
      <c r="C77" s="183" t="s">
        <v>34</v>
      </c>
      <c r="D77" s="183" t="s">
        <v>4</v>
      </c>
      <c r="E77" s="178"/>
      <c r="F77" s="422">
        <v>10000</v>
      </c>
      <c r="G77" s="334">
        <f t="shared" ref="G77:G141" si="1">+G76+E77-F77</f>
        <v>19456460</v>
      </c>
      <c r="H77" s="183" t="s">
        <v>29</v>
      </c>
      <c r="I77" s="183" t="s">
        <v>259</v>
      </c>
      <c r="J77" s="183" t="s">
        <v>102</v>
      </c>
      <c r="K77" s="183" t="s">
        <v>209</v>
      </c>
      <c r="L77" s="183" t="s">
        <v>414</v>
      </c>
      <c r="M77" s="178" t="s">
        <v>471</v>
      </c>
      <c r="N77" s="183" t="s">
        <v>430</v>
      </c>
    </row>
    <row r="78" spans="1:16" s="183" customFormat="1" ht="15" customHeight="1">
      <c r="A78" s="333">
        <v>44779</v>
      </c>
      <c r="B78" s="183" t="s">
        <v>399</v>
      </c>
      <c r="C78" s="183" t="s">
        <v>156</v>
      </c>
      <c r="D78" s="183" t="s">
        <v>4</v>
      </c>
      <c r="E78" s="178"/>
      <c r="F78" s="362">
        <v>30000</v>
      </c>
      <c r="G78" s="334">
        <f t="shared" si="1"/>
        <v>19426460</v>
      </c>
      <c r="H78" s="183" t="s">
        <v>29</v>
      </c>
      <c r="I78" s="183" t="s">
        <v>259</v>
      </c>
      <c r="J78" s="183" t="s">
        <v>102</v>
      </c>
      <c r="K78" s="183" t="s">
        <v>209</v>
      </c>
      <c r="L78" s="183" t="s">
        <v>414</v>
      </c>
      <c r="M78" s="178" t="s">
        <v>472</v>
      </c>
      <c r="N78" s="183" t="s">
        <v>431</v>
      </c>
    </row>
    <row r="79" spans="1:16" s="183" customFormat="1" ht="15" customHeight="1">
      <c r="A79" s="333">
        <v>44780</v>
      </c>
      <c r="B79" s="437" t="s">
        <v>356</v>
      </c>
      <c r="C79" s="183" t="s">
        <v>34</v>
      </c>
      <c r="D79" s="183" t="s">
        <v>163</v>
      </c>
      <c r="E79" s="178"/>
      <c r="F79" s="362">
        <v>10000</v>
      </c>
      <c r="G79" s="334">
        <f t="shared" si="1"/>
        <v>19416460</v>
      </c>
      <c r="H79" s="183" t="s">
        <v>207</v>
      </c>
      <c r="I79" s="183" t="s">
        <v>259</v>
      </c>
      <c r="J79" s="183" t="s">
        <v>102</v>
      </c>
      <c r="K79" s="183" t="s">
        <v>209</v>
      </c>
      <c r="L79" s="183" t="s">
        <v>414</v>
      </c>
      <c r="M79" s="178" t="s">
        <v>473</v>
      </c>
      <c r="N79" s="183" t="s">
        <v>430</v>
      </c>
    </row>
    <row r="80" spans="1:16" s="183" customFormat="1" ht="15" customHeight="1">
      <c r="A80" s="333">
        <v>44780</v>
      </c>
      <c r="B80" s="183" t="s">
        <v>432</v>
      </c>
      <c r="C80" s="183" t="s">
        <v>156</v>
      </c>
      <c r="D80" s="183" t="s">
        <v>163</v>
      </c>
      <c r="E80" s="366"/>
      <c r="F80" s="192">
        <v>50000</v>
      </c>
      <c r="G80" s="334">
        <f t="shared" si="1"/>
        <v>19366460</v>
      </c>
      <c r="H80" s="183" t="s">
        <v>207</v>
      </c>
      <c r="I80" s="183" t="s">
        <v>270</v>
      </c>
      <c r="J80" s="183" t="s">
        <v>102</v>
      </c>
      <c r="K80" s="183" t="s">
        <v>209</v>
      </c>
      <c r="L80" s="183" t="s">
        <v>414</v>
      </c>
      <c r="M80" s="178" t="s">
        <v>474</v>
      </c>
      <c r="N80" s="183" t="s">
        <v>431</v>
      </c>
    </row>
    <row r="81" spans="1:16" s="183" customFormat="1" ht="15" customHeight="1">
      <c r="A81" s="333">
        <v>44781</v>
      </c>
      <c r="B81" s="183" t="s">
        <v>274</v>
      </c>
      <c r="C81" s="183" t="s">
        <v>181</v>
      </c>
      <c r="D81" s="183" t="s">
        <v>275</v>
      </c>
      <c r="E81" s="375"/>
      <c r="F81" s="422">
        <v>10000</v>
      </c>
      <c r="G81" s="334">
        <f t="shared" si="1"/>
        <v>19356460</v>
      </c>
      <c r="H81" s="183" t="s">
        <v>25</v>
      </c>
      <c r="I81" s="183" t="s">
        <v>259</v>
      </c>
      <c r="J81" s="183" t="s">
        <v>165</v>
      </c>
      <c r="K81" s="183" t="s">
        <v>209</v>
      </c>
      <c r="L81" s="183" t="s">
        <v>414</v>
      </c>
      <c r="M81" s="178" t="s">
        <v>475</v>
      </c>
      <c r="N81" s="183" t="s">
        <v>429</v>
      </c>
    </row>
    <row r="82" spans="1:16" s="183" customFormat="1" ht="15" customHeight="1">
      <c r="A82" s="333">
        <v>44781</v>
      </c>
      <c r="B82" s="429" t="s">
        <v>30</v>
      </c>
      <c r="C82" s="183" t="s">
        <v>75</v>
      </c>
      <c r="E82" s="178"/>
      <c r="F82" s="362">
        <v>100000</v>
      </c>
      <c r="G82" s="334">
        <f t="shared" si="1"/>
        <v>19256460</v>
      </c>
      <c r="H82" s="183" t="s">
        <v>25</v>
      </c>
    </row>
    <row r="83" spans="1:16" s="183" customFormat="1" ht="15" customHeight="1">
      <c r="A83" s="333">
        <v>44781</v>
      </c>
      <c r="B83" s="429" t="s">
        <v>29</v>
      </c>
      <c r="C83" s="183" t="s">
        <v>75</v>
      </c>
      <c r="E83" s="178"/>
      <c r="F83" s="362">
        <v>100000</v>
      </c>
      <c r="G83" s="334">
        <f t="shared" si="1"/>
        <v>19156460</v>
      </c>
      <c r="H83" s="183" t="s">
        <v>25</v>
      </c>
    </row>
    <row r="84" spans="1:16" s="183" customFormat="1" ht="15" customHeight="1">
      <c r="A84" s="333">
        <v>44781</v>
      </c>
      <c r="B84" s="429" t="s">
        <v>30</v>
      </c>
      <c r="C84" s="183" t="s">
        <v>75</v>
      </c>
      <c r="E84" s="178"/>
      <c r="F84" s="362">
        <v>20000</v>
      </c>
      <c r="G84" s="334">
        <f t="shared" si="1"/>
        <v>19136460</v>
      </c>
      <c r="H84" s="183" t="s">
        <v>25</v>
      </c>
    </row>
    <row r="85" spans="1:16" s="183" customFormat="1" ht="15" customHeight="1">
      <c r="A85" s="333">
        <v>44781</v>
      </c>
      <c r="B85" s="437" t="s">
        <v>29</v>
      </c>
      <c r="C85" s="183" t="s">
        <v>75</v>
      </c>
      <c r="E85" s="366"/>
      <c r="F85" s="362">
        <v>10000</v>
      </c>
      <c r="G85" s="334">
        <f t="shared" si="1"/>
        <v>19126460</v>
      </c>
      <c r="H85" s="183" t="s">
        <v>25</v>
      </c>
    </row>
    <row r="86" spans="1:16" s="183" customFormat="1" ht="17.25" customHeight="1">
      <c r="A86" s="330">
        <v>44781</v>
      </c>
      <c r="B86" s="183" t="s">
        <v>305</v>
      </c>
      <c r="C86" s="490" t="s">
        <v>306</v>
      </c>
      <c r="D86" s="183" t="s">
        <v>257</v>
      </c>
      <c r="E86" s="178"/>
      <c r="F86" s="362">
        <f>2663+14701+8644</f>
        <v>26008</v>
      </c>
      <c r="G86" s="334">
        <f t="shared" si="1"/>
        <v>19100452</v>
      </c>
      <c r="H86" s="183" t="s">
        <v>24</v>
      </c>
      <c r="I86" s="183" t="s">
        <v>304</v>
      </c>
      <c r="J86" s="492" t="s">
        <v>165</v>
      </c>
      <c r="K86" s="183" t="s">
        <v>208</v>
      </c>
      <c r="L86" s="183" t="s">
        <v>414</v>
      </c>
    </row>
    <row r="87" spans="1:16" s="183" customFormat="1" ht="17.25" customHeight="1">
      <c r="A87" s="333">
        <v>44781</v>
      </c>
      <c r="B87" s="183" t="s">
        <v>357</v>
      </c>
      <c r="C87" s="183" t="s">
        <v>156</v>
      </c>
      <c r="D87" s="183" t="s">
        <v>163</v>
      </c>
      <c r="E87" s="178"/>
      <c r="F87" s="387">
        <v>15000</v>
      </c>
      <c r="G87" s="334">
        <f t="shared" si="1"/>
        <v>19085452</v>
      </c>
      <c r="H87" s="183" t="s">
        <v>207</v>
      </c>
      <c r="I87" s="183" t="s">
        <v>259</v>
      </c>
      <c r="J87" s="183" t="s">
        <v>165</v>
      </c>
      <c r="K87" s="183" t="s">
        <v>209</v>
      </c>
      <c r="L87" s="183" t="s">
        <v>414</v>
      </c>
      <c r="M87" s="178" t="s">
        <v>476</v>
      </c>
      <c r="N87" s="183" t="s">
        <v>431</v>
      </c>
    </row>
    <row r="88" spans="1:16" s="183" customFormat="1" ht="15.75" customHeight="1">
      <c r="A88" s="333">
        <v>44781</v>
      </c>
      <c r="B88" s="183" t="s">
        <v>358</v>
      </c>
      <c r="C88" s="183" t="s">
        <v>34</v>
      </c>
      <c r="D88" s="183" t="s">
        <v>163</v>
      </c>
      <c r="E88" s="375"/>
      <c r="F88" s="422">
        <v>5000</v>
      </c>
      <c r="G88" s="334">
        <f t="shared" si="1"/>
        <v>19080452</v>
      </c>
      <c r="H88" s="183" t="s">
        <v>207</v>
      </c>
      <c r="I88" s="183" t="s">
        <v>259</v>
      </c>
      <c r="J88" s="183" t="s">
        <v>165</v>
      </c>
      <c r="K88" s="183" t="s">
        <v>209</v>
      </c>
      <c r="L88" s="183" t="s">
        <v>414</v>
      </c>
      <c r="M88" s="178" t="s">
        <v>477</v>
      </c>
      <c r="N88" s="183" t="s">
        <v>430</v>
      </c>
    </row>
    <row r="89" spans="1:16" s="183" customFormat="1" ht="15" customHeight="1">
      <c r="A89" s="333">
        <v>44781</v>
      </c>
      <c r="B89" s="183" t="s">
        <v>368</v>
      </c>
      <c r="C89" s="183" t="s">
        <v>75</v>
      </c>
      <c r="E89" s="178">
        <v>20000</v>
      </c>
      <c r="F89" s="362"/>
      <c r="G89" s="334">
        <f t="shared" si="1"/>
        <v>19100452</v>
      </c>
      <c r="H89" s="183" t="s">
        <v>48</v>
      </c>
      <c r="N89" s="428"/>
    </row>
    <row r="90" spans="1:16" s="183" customFormat="1" ht="15" customHeight="1">
      <c r="A90" s="333">
        <v>44781</v>
      </c>
      <c r="B90" s="183" t="s">
        <v>368</v>
      </c>
      <c r="C90" s="183" t="s">
        <v>75</v>
      </c>
      <c r="E90" s="178">
        <v>100000</v>
      </c>
      <c r="F90" s="362"/>
      <c r="G90" s="334">
        <f t="shared" si="1"/>
        <v>19200452</v>
      </c>
      <c r="H90" s="183" t="s">
        <v>48</v>
      </c>
    </row>
    <row r="91" spans="1:16" s="183" customFormat="1" ht="15" customHeight="1">
      <c r="A91" s="330">
        <v>44781</v>
      </c>
      <c r="B91" s="183" t="s">
        <v>372</v>
      </c>
      <c r="C91" s="183" t="s">
        <v>34</v>
      </c>
      <c r="D91" s="183" t="s">
        <v>4</v>
      </c>
      <c r="E91" s="366"/>
      <c r="F91" s="192">
        <v>6000</v>
      </c>
      <c r="G91" s="334">
        <f t="shared" si="1"/>
        <v>19194452</v>
      </c>
      <c r="H91" s="183" t="s">
        <v>48</v>
      </c>
      <c r="I91" s="183" t="s">
        <v>259</v>
      </c>
      <c r="J91" s="183" t="s">
        <v>165</v>
      </c>
      <c r="K91" s="183" t="s">
        <v>209</v>
      </c>
      <c r="L91" s="183" t="s">
        <v>414</v>
      </c>
      <c r="M91" s="178" t="s">
        <v>478</v>
      </c>
      <c r="N91" s="183" t="s">
        <v>430</v>
      </c>
    </row>
    <row r="92" spans="1:16" s="183" customFormat="1" ht="15" customHeight="1">
      <c r="A92" s="333">
        <v>44781</v>
      </c>
      <c r="B92" s="183" t="s">
        <v>393</v>
      </c>
      <c r="C92" s="183" t="s">
        <v>75</v>
      </c>
      <c r="E92" s="375">
        <v>100000</v>
      </c>
      <c r="F92" s="422"/>
      <c r="G92" s="334">
        <f t="shared" si="1"/>
        <v>19294452</v>
      </c>
      <c r="H92" s="183" t="s">
        <v>29</v>
      </c>
    </row>
    <row r="93" spans="1:16" s="183" customFormat="1" ht="15" customHeight="1">
      <c r="A93" s="333">
        <v>44781</v>
      </c>
      <c r="B93" s="183" t="s">
        <v>393</v>
      </c>
      <c r="C93" s="183" t="s">
        <v>75</v>
      </c>
      <c r="E93" s="375">
        <v>10000</v>
      </c>
      <c r="F93" s="389"/>
      <c r="G93" s="334">
        <f t="shared" si="1"/>
        <v>19304452</v>
      </c>
      <c r="H93" s="183" t="s">
        <v>29</v>
      </c>
    </row>
    <row r="94" spans="1:16" s="183" customFormat="1" ht="15" customHeight="1">
      <c r="A94" s="333">
        <v>44781</v>
      </c>
      <c r="B94" s="183" t="s">
        <v>400</v>
      </c>
      <c r="C94" s="183" t="s">
        <v>34</v>
      </c>
      <c r="D94" s="183" t="s">
        <v>4</v>
      </c>
      <c r="E94" s="178"/>
      <c r="F94" s="362">
        <v>7000</v>
      </c>
      <c r="G94" s="334">
        <f t="shared" si="1"/>
        <v>19297452</v>
      </c>
      <c r="H94" s="183" t="s">
        <v>29</v>
      </c>
      <c r="I94" s="183" t="s">
        <v>259</v>
      </c>
      <c r="J94" s="183" t="s">
        <v>165</v>
      </c>
      <c r="K94" s="183" t="s">
        <v>209</v>
      </c>
      <c r="L94" s="183" t="s">
        <v>414</v>
      </c>
      <c r="M94" s="178" t="s">
        <v>479</v>
      </c>
      <c r="N94" s="183" t="s">
        <v>430</v>
      </c>
      <c r="P94" s="428"/>
    </row>
    <row r="95" spans="1:16" s="183" customFormat="1" ht="15" customHeight="1">
      <c r="A95" s="333">
        <v>44782</v>
      </c>
      <c r="B95" s="437" t="s">
        <v>276</v>
      </c>
      <c r="C95" s="183" t="s">
        <v>75</v>
      </c>
      <c r="E95" s="366"/>
      <c r="F95" s="362">
        <v>100000</v>
      </c>
      <c r="G95" s="334">
        <f t="shared" si="1"/>
        <v>19197452</v>
      </c>
      <c r="H95" s="183" t="s">
        <v>25</v>
      </c>
    </row>
    <row r="96" spans="1:16" s="183" customFormat="1" ht="15" customHeight="1">
      <c r="A96" s="333">
        <v>44782</v>
      </c>
      <c r="B96" s="429" t="s">
        <v>307</v>
      </c>
      <c r="C96" s="183" t="s">
        <v>308</v>
      </c>
      <c r="E96" s="178">
        <v>12302243</v>
      </c>
      <c r="F96" s="362"/>
      <c r="G96" s="334">
        <f t="shared" si="1"/>
        <v>31499695</v>
      </c>
      <c r="H96" s="183" t="s">
        <v>24</v>
      </c>
      <c r="I96" s="183" t="s">
        <v>304</v>
      </c>
      <c r="J96" s="183" t="s">
        <v>165</v>
      </c>
      <c r="L96" s="183" t="s">
        <v>414</v>
      </c>
    </row>
    <row r="97" spans="1:16" s="183" customFormat="1" ht="15" customHeight="1">
      <c r="A97" s="333">
        <v>44782</v>
      </c>
      <c r="B97" s="183" t="s">
        <v>350</v>
      </c>
      <c r="C97" s="183" t="s">
        <v>75</v>
      </c>
      <c r="D97" s="437"/>
      <c r="E97" s="178">
        <v>100000</v>
      </c>
      <c r="F97" s="362"/>
      <c r="G97" s="334">
        <f t="shared" si="1"/>
        <v>31599695</v>
      </c>
      <c r="H97" s="183" t="s">
        <v>151</v>
      </c>
      <c r="P97" s="428"/>
    </row>
    <row r="98" spans="1:16" s="183" customFormat="1" ht="15" customHeight="1">
      <c r="A98" s="333">
        <v>44782</v>
      </c>
      <c r="B98" s="183" t="s">
        <v>359</v>
      </c>
      <c r="C98" s="183" t="s">
        <v>343</v>
      </c>
      <c r="D98" s="183" t="s">
        <v>163</v>
      </c>
      <c r="E98" s="375"/>
      <c r="F98" s="422">
        <v>1000</v>
      </c>
      <c r="G98" s="334">
        <f t="shared" si="1"/>
        <v>31598695</v>
      </c>
      <c r="H98" s="183" t="s">
        <v>207</v>
      </c>
      <c r="I98" s="183" t="s">
        <v>259</v>
      </c>
      <c r="J98" s="183" t="s">
        <v>165</v>
      </c>
      <c r="K98" s="183" t="s">
        <v>208</v>
      </c>
      <c r="L98" s="183" t="s">
        <v>414</v>
      </c>
    </row>
    <row r="99" spans="1:16" s="183" customFormat="1" ht="15" customHeight="1">
      <c r="A99" s="333">
        <v>44782</v>
      </c>
      <c r="B99" s="183" t="s">
        <v>360</v>
      </c>
      <c r="C99" s="183" t="s">
        <v>343</v>
      </c>
      <c r="D99" s="183" t="s">
        <v>163</v>
      </c>
      <c r="E99" s="178"/>
      <c r="F99" s="387">
        <v>1550</v>
      </c>
      <c r="G99" s="334">
        <f t="shared" si="1"/>
        <v>31597145</v>
      </c>
      <c r="H99" s="183" t="s">
        <v>207</v>
      </c>
      <c r="I99" s="183" t="s">
        <v>259</v>
      </c>
      <c r="J99" s="183" t="s">
        <v>165</v>
      </c>
      <c r="K99" s="183" t="s">
        <v>208</v>
      </c>
      <c r="L99" s="183" t="s">
        <v>414</v>
      </c>
    </row>
    <row r="100" spans="1:16" s="183" customFormat="1" ht="15" customHeight="1">
      <c r="A100" s="330">
        <v>44782</v>
      </c>
      <c r="B100" s="331" t="s">
        <v>433</v>
      </c>
      <c r="C100" s="183" t="s">
        <v>343</v>
      </c>
      <c r="D100" s="429" t="s">
        <v>163</v>
      </c>
      <c r="E100" s="374"/>
      <c r="F100" s="388">
        <v>10000</v>
      </c>
      <c r="G100" s="334">
        <f t="shared" si="1"/>
        <v>31587145</v>
      </c>
      <c r="H100" s="357" t="s">
        <v>207</v>
      </c>
      <c r="I100" s="183" t="s">
        <v>259</v>
      </c>
      <c r="J100" s="183" t="s">
        <v>165</v>
      </c>
      <c r="K100" s="183" t="s">
        <v>208</v>
      </c>
      <c r="L100" s="183" t="s">
        <v>414</v>
      </c>
      <c r="P100" s="428"/>
    </row>
    <row r="101" spans="1:16" s="183" customFormat="1" ht="15" customHeight="1">
      <c r="A101" s="427">
        <v>44782</v>
      </c>
      <c r="B101" s="183" t="s">
        <v>434</v>
      </c>
      <c r="C101" s="183" t="s">
        <v>343</v>
      </c>
      <c r="D101" s="183" t="s">
        <v>163</v>
      </c>
      <c r="E101" s="195"/>
      <c r="F101" s="389">
        <v>150</v>
      </c>
      <c r="G101" s="334">
        <f t="shared" si="1"/>
        <v>31586995</v>
      </c>
      <c r="H101" s="183" t="s">
        <v>207</v>
      </c>
      <c r="I101" s="183" t="s">
        <v>259</v>
      </c>
      <c r="J101" s="183" t="s">
        <v>165</v>
      </c>
      <c r="K101" s="183" t="s">
        <v>208</v>
      </c>
      <c r="L101" s="183" t="s">
        <v>414</v>
      </c>
    </row>
    <row r="102" spans="1:16" s="183" customFormat="1" ht="15" customHeight="1">
      <c r="A102" s="333">
        <v>44782</v>
      </c>
      <c r="B102" s="183" t="s">
        <v>442</v>
      </c>
      <c r="C102" s="183" t="s">
        <v>156</v>
      </c>
      <c r="D102" s="183" t="s">
        <v>4</v>
      </c>
      <c r="E102" s="375"/>
      <c r="F102" s="422">
        <v>50000</v>
      </c>
      <c r="G102" s="334">
        <f t="shared" si="1"/>
        <v>31536995</v>
      </c>
      <c r="H102" s="183" t="s">
        <v>48</v>
      </c>
      <c r="I102" s="183" t="s">
        <v>270</v>
      </c>
      <c r="J102" s="183" t="s">
        <v>165</v>
      </c>
      <c r="K102" s="183" t="s">
        <v>209</v>
      </c>
      <c r="L102" s="183" t="s">
        <v>414</v>
      </c>
      <c r="M102" s="178" t="s">
        <v>480</v>
      </c>
      <c r="N102" s="183" t="s">
        <v>431</v>
      </c>
    </row>
    <row r="103" spans="1:16" s="183" customFormat="1" ht="15" customHeight="1">
      <c r="A103" s="333">
        <v>44782</v>
      </c>
      <c r="B103" s="183" t="s">
        <v>373</v>
      </c>
      <c r="C103" s="183" t="s">
        <v>34</v>
      </c>
      <c r="D103" s="183" t="s">
        <v>4</v>
      </c>
      <c r="E103" s="375"/>
      <c r="F103" s="422">
        <v>4000</v>
      </c>
      <c r="G103" s="334">
        <f t="shared" si="1"/>
        <v>31532995</v>
      </c>
      <c r="H103" s="183" t="s">
        <v>48</v>
      </c>
      <c r="I103" s="183" t="s">
        <v>259</v>
      </c>
      <c r="J103" s="183" t="s">
        <v>165</v>
      </c>
      <c r="K103" s="183" t="s">
        <v>209</v>
      </c>
      <c r="L103" s="183" t="s">
        <v>414</v>
      </c>
      <c r="M103" s="178" t="s">
        <v>481</v>
      </c>
      <c r="N103" s="183" t="s">
        <v>430</v>
      </c>
    </row>
    <row r="104" spans="1:16" s="183" customFormat="1" ht="15" customHeight="1">
      <c r="A104" s="333">
        <v>44782</v>
      </c>
      <c r="B104" s="183" t="s">
        <v>401</v>
      </c>
      <c r="C104" s="183" t="s">
        <v>156</v>
      </c>
      <c r="D104" s="183" t="s">
        <v>4</v>
      </c>
      <c r="E104" s="375"/>
      <c r="F104" s="389">
        <v>50000</v>
      </c>
      <c r="G104" s="334">
        <f t="shared" si="1"/>
        <v>31482995</v>
      </c>
      <c r="H104" s="183" t="s">
        <v>29</v>
      </c>
      <c r="I104" s="183" t="s">
        <v>270</v>
      </c>
      <c r="J104" s="183" t="s">
        <v>165</v>
      </c>
      <c r="K104" s="183" t="s">
        <v>209</v>
      </c>
      <c r="L104" s="183" t="s">
        <v>414</v>
      </c>
      <c r="M104" s="178" t="s">
        <v>482</v>
      </c>
      <c r="N104" s="183" t="s">
        <v>431</v>
      </c>
    </row>
    <row r="105" spans="1:16" s="183" customFormat="1" ht="15" customHeight="1">
      <c r="A105" s="330">
        <v>44783</v>
      </c>
      <c r="B105" s="438" t="s">
        <v>339</v>
      </c>
      <c r="C105" s="183" t="s">
        <v>75</v>
      </c>
      <c r="E105" s="439">
        <v>40000</v>
      </c>
      <c r="F105" s="362"/>
      <c r="G105" s="334">
        <f t="shared" si="1"/>
        <v>31522995</v>
      </c>
      <c r="H105" s="183" t="s">
        <v>47</v>
      </c>
    </row>
    <row r="106" spans="1:16" s="183" customFormat="1" ht="15" customHeight="1">
      <c r="A106" s="330">
        <v>44783</v>
      </c>
      <c r="B106" s="331" t="s">
        <v>47</v>
      </c>
      <c r="C106" s="183" t="s">
        <v>75</v>
      </c>
      <c r="E106" s="374"/>
      <c r="F106" s="388">
        <v>40000</v>
      </c>
      <c r="G106" s="334">
        <f t="shared" si="1"/>
        <v>31482995</v>
      </c>
      <c r="H106" s="332" t="s">
        <v>25</v>
      </c>
    </row>
    <row r="107" spans="1:16" s="183" customFormat="1" ht="15" customHeight="1">
      <c r="A107" s="427">
        <v>44783</v>
      </c>
      <c r="B107" s="183" t="s">
        <v>277</v>
      </c>
      <c r="C107" s="183" t="s">
        <v>237</v>
      </c>
      <c r="D107" s="183" t="s">
        <v>257</v>
      </c>
      <c r="E107" s="195"/>
      <c r="F107" s="362">
        <v>16000</v>
      </c>
      <c r="G107" s="334">
        <f t="shared" si="1"/>
        <v>31466995</v>
      </c>
      <c r="H107" s="183" t="s">
        <v>25</v>
      </c>
      <c r="I107" s="183" t="s">
        <v>259</v>
      </c>
      <c r="J107" s="183" t="s">
        <v>165</v>
      </c>
      <c r="K107" s="183" t="s">
        <v>209</v>
      </c>
      <c r="L107" s="183" t="s">
        <v>414</v>
      </c>
      <c r="M107" s="178" t="s">
        <v>483</v>
      </c>
      <c r="N107" s="183" t="s">
        <v>421</v>
      </c>
    </row>
    <row r="108" spans="1:16" s="183" customFormat="1" ht="15" customHeight="1">
      <c r="A108" s="333">
        <v>44783</v>
      </c>
      <c r="B108" s="183" t="s">
        <v>29</v>
      </c>
      <c r="C108" s="183" t="s">
        <v>75</v>
      </c>
      <c r="E108" s="178"/>
      <c r="F108" s="387">
        <v>84000</v>
      </c>
      <c r="G108" s="334">
        <f t="shared" si="1"/>
        <v>31382995</v>
      </c>
      <c r="H108" s="183" t="s">
        <v>25</v>
      </c>
    </row>
    <row r="109" spans="1:16" s="183" customFormat="1" ht="15" customHeight="1">
      <c r="A109" s="333">
        <v>44783</v>
      </c>
      <c r="B109" s="183" t="s">
        <v>30</v>
      </c>
      <c r="C109" s="183" t="s">
        <v>75</v>
      </c>
      <c r="E109" s="375"/>
      <c r="F109" s="422">
        <v>81000</v>
      </c>
      <c r="G109" s="334">
        <f t="shared" si="1"/>
        <v>31301995</v>
      </c>
      <c r="H109" s="183" t="s">
        <v>25</v>
      </c>
    </row>
    <row r="110" spans="1:16" s="183" customFormat="1" ht="14.25" customHeight="1">
      <c r="A110" s="333">
        <v>44783</v>
      </c>
      <c r="B110" s="183" t="s">
        <v>278</v>
      </c>
      <c r="C110" s="183" t="s">
        <v>224</v>
      </c>
      <c r="D110" s="183" t="s">
        <v>257</v>
      </c>
      <c r="E110" s="178"/>
      <c r="F110" s="422">
        <v>4950</v>
      </c>
      <c r="G110" s="334">
        <f t="shared" si="1"/>
        <v>31297045</v>
      </c>
      <c r="H110" s="183" t="s">
        <v>25</v>
      </c>
      <c r="I110" s="183" t="s">
        <v>259</v>
      </c>
      <c r="J110" s="183" t="s">
        <v>165</v>
      </c>
      <c r="K110" s="183" t="s">
        <v>209</v>
      </c>
      <c r="L110" s="183" t="s">
        <v>414</v>
      </c>
      <c r="M110" s="178" t="s">
        <v>484</v>
      </c>
      <c r="N110" s="183" t="s">
        <v>415</v>
      </c>
    </row>
    <row r="111" spans="1:16" s="183" customFormat="1" ht="15.75" customHeight="1">
      <c r="A111" s="330">
        <v>44783</v>
      </c>
      <c r="B111" s="183" t="s">
        <v>279</v>
      </c>
      <c r="C111" s="183" t="s">
        <v>184</v>
      </c>
      <c r="D111" s="183" t="s">
        <v>257</v>
      </c>
      <c r="E111" s="178"/>
      <c r="F111" s="422">
        <v>10448</v>
      </c>
      <c r="G111" s="334">
        <f>+G109+E111-F111</f>
        <v>31291547</v>
      </c>
      <c r="H111" s="432" t="s">
        <v>25</v>
      </c>
      <c r="I111" s="183" t="s">
        <v>259</v>
      </c>
      <c r="J111" s="183" t="s">
        <v>102</v>
      </c>
      <c r="K111" s="183" t="s">
        <v>209</v>
      </c>
      <c r="L111" s="183" t="s">
        <v>414</v>
      </c>
      <c r="M111" s="178" t="s">
        <v>485</v>
      </c>
      <c r="N111" s="183" t="s">
        <v>426</v>
      </c>
    </row>
    <row r="112" spans="1:16" s="183" customFormat="1" ht="15.75" customHeight="1">
      <c r="A112" s="330">
        <v>44783</v>
      </c>
      <c r="B112" s="183" t="s">
        <v>548</v>
      </c>
      <c r="C112" s="183" t="s">
        <v>184</v>
      </c>
      <c r="D112" s="183" t="s">
        <v>257</v>
      </c>
      <c r="E112" s="178"/>
      <c r="F112" s="422">
        <v>2302</v>
      </c>
      <c r="G112" s="334">
        <f>+G110+E112-F112</f>
        <v>31294743</v>
      </c>
      <c r="H112" s="432" t="s">
        <v>25</v>
      </c>
      <c r="I112" s="183" t="s">
        <v>259</v>
      </c>
      <c r="J112" s="183" t="s">
        <v>165</v>
      </c>
      <c r="K112" s="183" t="s">
        <v>208</v>
      </c>
      <c r="L112" s="183" t="s">
        <v>414</v>
      </c>
      <c r="M112" s="178"/>
    </row>
    <row r="113" spans="1:14" s="183" customFormat="1" ht="16.5" customHeight="1">
      <c r="A113" s="330">
        <v>44783</v>
      </c>
      <c r="B113" s="183" t="s">
        <v>280</v>
      </c>
      <c r="C113" s="183" t="s">
        <v>237</v>
      </c>
      <c r="D113" s="183" t="s">
        <v>257</v>
      </c>
      <c r="E113" s="178"/>
      <c r="F113" s="362">
        <v>29000</v>
      </c>
      <c r="G113" s="334">
        <f t="shared" si="1"/>
        <v>31265743</v>
      </c>
      <c r="H113" s="183" t="s">
        <v>25</v>
      </c>
      <c r="I113" s="183" t="s">
        <v>259</v>
      </c>
      <c r="J113" s="183" t="s">
        <v>165</v>
      </c>
      <c r="K113" s="183" t="s">
        <v>209</v>
      </c>
      <c r="L113" s="183" t="s">
        <v>414</v>
      </c>
      <c r="M113" s="178" t="s">
        <v>486</v>
      </c>
      <c r="N113" s="183" t="s">
        <v>421</v>
      </c>
    </row>
    <row r="114" spans="1:14" s="183" customFormat="1" ht="15" customHeight="1">
      <c r="A114" s="333">
        <v>44783</v>
      </c>
      <c r="B114" s="183" t="s">
        <v>321</v>
      </c>
      <c r="C114" s="183" t="s">
        <v>184</v>
      </c>
      <c r="D114" s="183" t="s">
        <v>257</v>
      </c>
      <c r="E114" s="178"/>
      <c r="F114" s="362">
        <v>500000</v>
      </c>
      <c r="G114" s="334">
        <f t="shared" si="1"/>
        <v>30765743</v>
      </c>
      <c r="H114" s="183" t="s">
        <v>157</v>
      </c>
      <c r="I114" s="183">
        <v>3667218</v>
      </c>
      <c r="J114" s="183" t="s">
        <v>102</v>
      </c>
      <c r="K114" s="183" t="s">
        <v>209</v>
      </c>
      <c r="L114" s="183" t="s">
        <v>414</v>
      </c>
      <c r="M114" s="178" t="s">
        <v>487</v>
      </c>
      <c r="N114" s="183" t="s">
        <v>427</v>
      </c>
    </row>
    <row r="115" spans="1:14" s="183" customFormat="1" ht="15" customHeight="1">
      <c r="A115" s="330">
        <v>44783</v>
      </c>
      <c r="B115" s="331" t="s">
        <v>351</v>
      </c>
      <c r="C115" s="183" t="s">
        <v>34</v>
      </c>
      <c r="D115" s="183" t="s">
        <v>2</v>
      </c>
      <c r="E115" s="440"/>
      <c r="F115" s="422">
        <v>7000</v>
      </c>
      <c r="G115" s="334">
        <f t="shared" si="1"/>
        <v>30758743</v>
      </c>
      <c r="H115" s="183" t="s">
        <v>151</v>
      </c>
      <c r="I115" s="183" t="s">
        <v>270</v>
      </c>
      <c r="J115" s="183" t="s">
        <v>165</v>
      </c>
      <c r="K115" s="183" t="s">
        <v>209</v>
      </c>
      <c r="L115" s="183" t="s">
        <v>414</v>
      </c>
      <c r="M115" s="178" t="s">
        <v>488</v>
      </c>
      <c r="N115" s="183" t="s">
        <v>430</v>
      </c>
    </row>
    <row r="116" spans="1:14" s="183" customFormat="1" ht="15" customHeight="1">
      <c r="A116" s="333">
        <v>44783</v>
      </c>
      <c r="B116" s="183" t="s">
        <v>361</v>
      </c>
      <c r="C116" s="183" t="s">
        <v>343</v>
      </c>
      <c r="D116" s="183" t="s">
        <v>163</v>
      </c>
      <c r="E116" s="178"/>
      <c r="F116" s="422">
        <v>13600</v>
      </c>
      <c r="G116" s="334">
        <f t="shared" si="1"/>
        <v>30745143</v>
      </c>
      <c r="H116" s="183" t="s">
        <v>207</v>
      </c>
      <c r="I116" s="183" t="s">
        <v>259</v>
      </c>
      <c r="J116" s="183" t="s">
        <v>165</v>
      </c>
      <c r="K116" s="183" t="s">
        <v>208</v>
      </c>
      <c r="L116" s="183" t="s">
        <v>414</v>
      </c>
    </row>
    <row r="117" spans="1:14" s="183" customFormat="1" ht="15" customHeight="1">
      <c r="A117" s="333">
        <v>44783</v>
      </c>
      <c r="B117" s="437" t="s">
        <v>374</v>
      </c>
      <c r="C117" s="183" t="s">
        <v>156</v>
      </c>
      <c r="D117" s="183" t="s">
        <v>4</v>
      </c>
      <c r="E117" s="366"/>
      <c r="F117" s="422">
        <v>15000</v>
      </c>
      <c r="G117" s="334">
        <f t="shared" si="1"/>
        <v>30730143</v>
      </c>
      <c r="H117" s="432" t="s">
        <v>48</v>
      </c>
      <c r="I117" s="183" t="s">
        <v>259</v>
      </c>
      <c r="J117" s="183" t="s">
        <v>165</v>
      </c>
      <c r="K117" s="183" t="s">
        <v>209</v>
      </c>
      <c r="L117" s="183" t="s">
        <v>414</v>
      </c>
      <c r="M117" s="178" t="s">
        <v>489</v>
      </c>
      <c r="N117" s="183" t="s">
        <v>431</v>
      </c>
    </row>
    <row r="118" spans="1:14" s="183" customFormat="1" ht="15" customHeight="1">
      <c r="A118" s="333">
        <v>44783</v>
      </c>
      <c r="B118" s="183" t="s">
        <v>375</v>
      </c>
      <c r="C118" s="183" t="s">
        <v>34</v>
      </c>
      <c r="D118" s="183" t="s">
        <v>4</v>
      </c>
      <c r="E118" s="178"/>
      <c r="F118" s="387">
        <v>4000</v>
      </c>
      <c r="G118" s="334">
        <f t="shared" si="1"/>
        <v>30726143</v>
      </c>
      <c r="H118" s="183" t="s">
        <v>48</v>
      </c>
      <c r="I118" s="183" t="s">
        <v>259</v>
      </c>
      <c r="J118" s="183" t="s">
        <v>165</v>
      </c>
      <c r="K118" s="183" t="s">
        <v>209</v>
      </c>
      <c r="L118" s="183" t="s">
        <v>414</v>
      </c>
      <c r="M118" s="178" t="s">
        <v>490</v>
      </c>
      <c r="N118" s="183" t="s">
        <v>430</v>
      </c>
    </row>
    <row r="119" spans="1:14" s="183" customFormat="1" ht="15" customHeight="1">
      <c r="A119" s="330">
        <v>44783</v>
      </c>
      <c r="B119" s="183" t="s">
        <v>368</v>
      </c>
      <c r="C119" s="183" t="s">
        <v>75</v>
      </c>
      <c r="E119" s="178">
        <v>81000</v>
      </c>
      <c r="F119" s="362"/>
      <c r="G119" s="334">
        <f t="shared" si="1"/>
        <v>30807143</v>
      </c>
      <c r="H119" s="183" t="s">
        <v>48</v>
      </c>
    </row>
    <row r="120" spans="1:14" s="183" customFormat="1" ht="15" customHeight="1">
      <c r="A120" s="333">
        <v>44783</v>
      </c>
      <c r="B120" s="183" t="s">
        <v>393</v>
      </c>
      <c r="C120" s="183" t="s">
        <v>75</v>
      </c>
      <c r="E120" s="375">
        <v>84000</v>
      </c>
      <c r="F120" s="389"/>
      <c r="G120" s="334">
        <f t="shared" si="1"/>
        <v>30891143</v>
      </c>
      <c r="H120" s="183" t="s">
        <v>29</v>
      </c>
    </row>
    <row r="121" spans="1:14" s="183" customFormat="1" ht="15" customHeight="1">
      <c r="A121" s="333">
        <v>44784</v>
      </c>
      <c r="B121" s="183" t="s">
        <v>362</v>
      </c>
      <c r="C121" s="183" t="s">
        <v>34</v>
      </c>
      <c r="D121" s="183" t="s">
        <v>163</v>
      </c>
      <c r="E121" s="178"/>
      <c r="F121" s="422">
        <v>5000</v>
      </c>
      <c r="G121" s="334">
        <f t="shared" si="1"/>
        <v>30886143</v>
      </c>
      <c r="H121" s="183" t="s">
        <v>207</v>
      </c>
      <c r="I121" s="183" t="s">
        <v>259</v>
      </c>
      <c r="J121" s="183" t="s">
        <v>165</v>
      </c>
      <c r="K121" s="183" t="s">
        <v>209</v>
      </c>
      <c r="L121" s="183" t="s">
        <v>414</v>
      </c>
      <c r="M121" s="178" t="s">
        <v>491</v>
      </c>
      <c r="N121" s="183" t="s">
        <v>430</v>
      </c>
    </row>
    <row r="122" spans="1:14" s="183" customFormat="1" ht="15" customHeight="1">
      <c r="A122" s="333">
        <v>44784</v>
      </c>
      <c r="B122" s="183" t="s">
        <v>363</v>
      </c>
      <c r="C122" s="183" t="s">
        <v>156</v>
      </c>
      <c r="D122" s="183" t="s">
        <v>163</v>
      </c>
      <c r="E122" s="178"/>
      <c r="F122" s="387">
        <v>45000</v>
      </c>
      <c r="G122" s="334">
        <f t="shared" si="1"/>
        <v>30841143</v>
      </c>
      <c r="H122" s="183" t="s">
        <v>207</v>
      </c>
      <c r="I122" s="183" t="s">
        <v>259</v>
      </c>
      <c r="J122" s="183" t="s">
        <v>165</v>
      </c>
      <c r="K122" s="183" t="s">
        <v>209</v>
      </c>
      <c r="L122" s="183" t="s">
        <v>414</v>
      </c>
      <c r="M122" s="178" t="s">
        <v>492</v>
      </c>
      <c r="N122" s="183" t="s">
        <v>431</v>
      </c>
    </row>
    <row r="123" spans="1:14" s="183" customFormat="1" ht="15" customHeight="1">
      <c r="A123" s="333">
        <v>44784</v>
      </c>
      <c r="B123" s="183" t="s">
        <v>364</v>
      </c>
      <c r="C123" s="183" t="s">
        <v>34</v>
      </c>
      <c r="D123" s="183" t="s">
        <v>163</v>
      </c>
      <c r="E123" s="366"/>
      <c r="F123" s="398">
        <v>10000</v>
      </c>
      <c r="G123" s="334">
        <f t="shared" si="1"/>
        <v>30831143</v>
      </c>
      <c r="H123" s="183" t="s">
        <v>207</v>
      </c>
      <c r="I123" s="183" t="s">
        <v>259</v>
      </c>
      <c r="J123" s="183" t="s">
        <v>165</v>
      </c>
      <c r="K123" s="183" t="s">
        <v>209</v>
      </c>
      <c r="L123" s="183" t="s">
        <v>414</v>
      </c>
      <c r="M123" s="178" t="s">
        <v>493</v>
      </c>
      <c r="N123" s="183" t="s">
        <v>430</v>
      </c>
    </row>
    <row r="124" spans="1:14" s="183" customFormat="1" ht="15.75" customHeight="1">
      <c r="A124" s="333">
        <v>44785</v>
      </c>
      <c r="B124" s="183" t="s">
        <v>281</v>
      </c>
      <c r="C124" s="183" t="s">
        <v>282</v>
      </c>
      <c r="D124" s="183" t="s">
        <v>257</v>
      </c>
      <c r="E124" s="366"/>
      <c r="F124" s="192">
        <v>13500</v>
      </c>
      <c r="G124" s="334">
        <f t="shared" si="1"/>
        <v>30817643</v>
      </c>
      <c r="H124" s="183" t="s">
        <v>25</v>
      </c>
      <c r="I124" s="183" t="s">
        <v>259</v>
      </c>
      <c r="J124" s="183" t="s">
        <v>165</v>
      </c>
      <c r="K124" s="183" t="s">
        <v>209</v>
      </c>
      <c r="L124" s="183" t="s">
        <v>414</v>
      </c>
      <c r="M124" s="178" t="s">
        <v>494</v>
      </c>
      <c r="N124" s="183" t="s">
        <v>421</v>
      </c>
    </row>
    <row r="125" spans="1:14" s="183" customFormat="1" ht="15" customHeight="1">
      <c r="A125" s="333">
        <v>44785</v>
      </c>
      <c r="B125" s="183" t="s">
        <v>322</v>
      </c>
      <c r="C125" s="183" t="s">
        <v>184</v>
      </c>
      <c r="D125" s="183" t="s">
        <v>257</v>
      </c>
      <c r="E125" s="178"/>
      <c r="F125" s="362">
        <v>500000</v>
      </c>
      <c r="G125" s="334">
        <f t="shared" si="1"/>
        <v>30317643</v>
      </c>
      <c r="H125" s="183" t="s">
        <v>157</v>
      </c>
      <c r="I125" s="183">
        <v>3667226</v>
      </c>
      <c r="J125" s="183" t="s">
        <v>102</v>
      </c>
      <c r="K125" s="183" t="s">
        <v>209</v>
      </c>
      <c r="L125" s="183" t="s">
        <v>414</v>
      </c>
      <c r="M125" s="178" t="s">
        <v>495</v>
      </c>
      <c r="N125" s="183" t="s">
        <v>427</v>
      </c>
    </row>
    <row r="126" spans="1:14" s="183" customFormat="1" ht="15" customHeight="1">
      <c r="A126" s="333">
        <v>44785</v>
      </c>
      <c r="B126" s="183" t="s">
        <v>366</v>
      </c>
      <c r="C126" s="183" t="s">
        <v>156</v>
      </c>
      <c r="D126" s="183" t="s">
        <v>163</v>
      </c>
      <c r="E126" s="178"/>
      <c r="F126" s="422">
        <v>15000</v>
      </c>
      <c r="G126" s="334">
        <f t="shared" si="1"/>
        <v>30302643</v>
      </c>
      <c r="H126" s="183" t="s">
        <v>207</v>
      </c>
      <c r="I126" s="183" t="s">
        <v>259</v>
      </c>
      <c r="J126" s="183" t="s">
        <v>165</v>
      </c>
      <c r="K126" s="183" t="s">
        <v>209</v>
      </c>
      <c r="L126" s="183" t="s">
        <v>414</v>
      </c>
      <c r="M126" s="178" t="s">
        <v>496</v>
      </c>
      <c r="N126" s="183" t="s">
        <v>431</v>
      </c>
    </row>
    <row r="127" spans="1:14" s="183" customFormat="1" ht="15" customHeight="1">
      <c r="A127" s="333">
        <v>44785</v>
      </c>
      <c r="B127" s="183" t="s">
        <v>376</v>
      </c>
      <c r="C127" s="183" t="s">
        <v>156</v>
      </c>
      <c r="D127" s="183" t="s">
        <v>4</v>
      </c>
      <c r="E127" s="178"/>
      <c r="F127" s="387">
        <v>30000</v>
      </c>
      <c r="G127" s="334">
        <f t="shared" si="1"/>
        <v>30272643</v>
      </c>
      <c r="H127" s="183" t="s">
        <v>48</v>
      </c>
      <c r="I127" s="183" t="s">
        <v>259</v>
      </c>
      <c r="J127" s="183" t="s">
        <v>165</v>
      </c>
      <c r="K127" s="183" t="s">
        <v>209</v>
      </c>
      <c r="L127" s="183" t="s">
        <v>414</v>
      </c>
      <c r="M127" s="178" t="s">
        <v>497</v>
      </c>
      <c r="N127" s="183" t="s">
        <v>431</v>
      </c>
    </row>
    <row r="128" spans="1:14" s="183" customFormat="1" ht="15" customHeight="1">
      <c r="A128" s="333">
        <v>44785</v>
      </c>
      <c r="B128" s="183" t="s">
        <v>377</v>
      </c>
      <c r="C128" s="183" t="s">
        <v>34</v>
      </c>
      <c r="D128" s="183" t="s">
        <v>4</v>
      </c>
      <c r="E128" s="178"/>
      <c r="F128" s="362">
        <v>4000</v>
      </c>
      <c r="G128" s="334">
        <f t="shared" si="1"/>
        <v>30268643</v>
      </c>
      <c r="H128" s="183" t="s">
        <v>48</v>
      </c>
      <c r="I128" s="183" t="s">
        <v>259</v>
      </c>
      <c r="J128" s="183" t="s">
        <v>165</v>
      </c>
      <c r="K128" s="183" t="s">
        <v>209</v>
      </c>
      <c r="L128" s="183" t="s">
        <v>414</v>
      </c>
      <c r="M128" s="178" t="s">
        <v>498</v>
      </c>
      <c r="N128" s="183" t="s">
        <v>430</v>
      </c>
    </row>
    <row r="129" spans="1:15" s="183" customFormat="1" ht="15" customHeight="1">
      <c r="A129" s="333">
        <v>44785</v>
      </c>
      <c r="B129" s="183" t="s">
        <v>378</v>
      </c>
      <c r="C129" s="183" t="s">
        <v>34</v>
      </c>
      <c r="D129" s="183" t="s">
        <v>4</v>
      </c>
      <c r="E129" s="375"/>
      <c r="F129" s="422">
        <v>4000</v>
      </c>
      <c r="G129" s="334">
        <f t="shared" si="1"/>
        <v>30264643</v>
      </c>
      <c r="H129" s="183" t="s">
        <v>48</v>
      </c>
      <c r="I129" s="183" t="s">
        <v>259</v>
      </c>
      <c r="J129" s="183" t="s">
        <v>165</v>
      </c>
      <c r="K129" s="183" t="s">
        <v>209</v>
      </c>
      <c r="L129" s="183" t="s">
        <v>414</v>
      </c>
      <c r="M129" s="178" t="s">
        <v>499</v>
      </c>
      <c r="N129" s="183" t="s">
        <v>430</v>
      </c>
    </row>
    <row r="130" spans="1:15" s="183" customFormat="1" ht="15" customHeight="1">
      <c r="A130" s="333">
        <v>44785</v>
      </c>
      <c r="B130" s="183" t="s">
        <v>402</v>
      </c>
      <c r="C130" s="183" t="s">
        <v>156</v>
      </c>
      <c r="D130" s="183" t="s">
        <v>4</v>
      </c>
      <c r="E130" s="375"/>
      <c r="F130" s="389">
        <v>45000</v>
      </c>
      <c r="G130" s="334">
        <f t="shared" si="1"/>
        <v>30219643</v>
      </c>
      <c r="H130" s="183" t="s">
        <v>29</v>
      </c>
      <c r="I130" s="183" t="s">
        <v>259</v>
      </c>
      <c r="J130" s="183" t="s">
        <v>165</v>
      </c>
      <c r="K130" s="183" t="s">
        <v>209</v>
      </c>
      <c r="L130" s="183" t="s">
        <v>414</v>
      </c>
      <c r="M130" s="178" t="s">
        <v>500</v>
      </c>
      <c r="N130" s="183" t="s">
        <v>431</v>
      </c>
    </row>
    <row r="131" spans="1:15" s="183" customFormat="1" ht="15" customHeight="1">
      <c r="A131" s="333">
        <v>44785</v>
      </c>
      <c r="B131" s="183" t="s">
        <v>403</v>
      </c>
      <c r="C131" s="183" t="s">
        <v>34</v>
      </c>
      <c r="D131" s="183" t="s">
        <v>4</v>
      </c>
      <c r="E131" s="178"/>
      <c r="F131" s="362">
        <v>8000</v>
      </c>
      <c r="G131" s="334">
        <f t="shared" si="1"/>
        <v>30211643</v>
      </c>
      <c r="H131" s="183" t="s">
        <v>29</v>
      </c>
      <c r="I131" s="183" t="s">
        <v>259</v>
      </c>
      <c r="J131" s="183" t="s">
        <v>165</v>
      </c>
      <c r="K131" s="183" t="s">
        <v>209</v>
      </c>
      <c r="L131" s="183" t="s">
        <v>414</v>
      </c>
      <c r="M131" s="178" t="s">
        <v>501</v>
      </c>
      <c r="N131" s="183" t="s">
        <v>430</v>
      </c>
    </row>
    <row r="132" spans="1:15" s="183" customFormat="1" ht="15" customHeight="1">
      <c r="A132" s="427">
        <v>44786</v>
      </c>
      <c r="B132" s="331" t="s">
        <v>404</v>
      </c>
      <c r="C132" s="183" t="s">
        <v>34</v>
      </c>
      <c r="D132" s="183" t="s">
        <v>4</v>
      </c>
      <c r="E132" s="441"/>
      <c r="F132" s="388">
        <v>12000</v>
      </c>
      <c r="G132" s="334">
        <f t="shared" si="1"/>
        <v>30199643</v>
      </c>
      <c r="H132" s="331" t="s">
        <v>29</v>
      </c>
      <c r="I132" s="183" t="s">
        <v>259</v>
      </c>
      <c r="J132" s="183" t="s">
        <v>165</v>
      </c>
      <c r="K132" s="183" t="s">
        <v>209</v>
      </c>
      <c r="L132" s="183" t="s">
        <v>414</v>
      </c>
      <c r="M132" s="178" t="s">
        <v>502</v>
      </c>
      <c r="N132" s="183" t="s">
        <v>430</v>
      </c>
      <c r="O132" s="428"/>
    </row>
    <row r="133" spans="1:15" s="183" customFormat="1" ht="15" customHeight="1">
      <c r="A133" s="330">
        <v>44787</v>
      </c>
      <c r="B133" s="183" t="s">
        <v>379</v>
      </c>
      <c r="C133" s="357" t="s">
        <v>156</v>
      </c>
      <c r="D133" s="183" t="s">
        <v>4</v>
      </c>
      <c r="E133" s="178"/>
      <c r="F133" s="362">
        <v>30000</v>
      </c>
      <c r="G133" s="334">
        <f t="shared" si="1"/>
        <v>30169643</v>
      </c>
      <c r="H133" s="183" t="s">
        <v>48</v>
      </c>
      <c r="I133" s="183" t="s">
        <v>259</v>
      </c>
      <c r="J133" s="183" t="s">
        <v>165</v>
      </c>
      <c r="K133" s="183" t="s">
        <v>209</v>
      </c>
      <c r="L133" s="183" t="s">
        <v>414</v>
      </c>
      <c r="M133" s="178" t="s">
        <v>503</v>
      </c>
      <c r="N133" s="183" t="s">
        <v>431</v>
      </c>
    </row>
    <row r="134" spans="1:15" s="183" customFormat="1" ht="15" customHeight="1">
      <c r="A134" s="330">
        <v>44787</v>
      </c>
      <c r="B134" s="183" t="s">
        <v>380</v>
      </c>
      <c r="C134" s="183" t="s">
        <v>34</v>
      </c>
      <c r="D134" s="183" t="s">
        <v>4</v>
      </c>
      <c r="E134" s="178"/>
      <c r="F134" s="362">
        <v>6000</v>
      </c>
      <c r="G134" s="334">
        <f t="shared" si="1"/>
        <v>30163643</v>
      </c>
      <c r="H134" s="183" t="s">
        <v>48</v>
      </c>
      <c r="I134" s="183" t="s">
        <v>259</v>
      </c>
      <c r="J134" s="183" t="s">
        <v>165</v>
      </c>
      <c r="K134" s="183" t="s">
        <v>209</v>
      </c>
      <c r="L134" s="183" t="s">
        <v>414</v>
      </c>
      <c r="M134" s="178" t="s">
        <v>504</v>
      </c>
      <c r="N134" s="183" t="s">
        <v>430</v>
      </c>
    </row>
    <row r="135" spans="1:15" s="183" customFormat="1" ht="15" customHeight="1">
      <c r="A135" s="427">
        <v>44787</v>
      </c>
      <c r="B135" s="183" t="s">
        <v>405</v>
      </c>
      <c r="C135" s="331" t="s">
        <v>156</v>
      </c>
      <c r="D135" s="183" t="s">
        <v>4</v>
      </c>
      <c r="E135" s="195"/>
      <c r="F135" s="422">
        <v>30000</v>
      </c>
      <c r="G135" s="334">
        <f t="shared" si="1"/>
        <v>30133643</v>
      </c>
      <c r="H135" s="183" t="s">
        <v>29</v>
      </c>
      <c r="I135" s="183" t="s">
        <v>259</v>
      </c>
      <c r="J135" s="183" t="s">
        <v>165</v>
      </c>
      <c r="K135" s="183" t="s">
        <v>209</v>
      </c>
      <c r="L135" s="183" t="s">
        <v>414</v>
      </c>
      <c r="M135" s="178" t="s">
        <v>505</v>
      </c>
      <c r="N135" s="183" t="s">
        <v>431</v>
      </c>
    </row>
    <row r="136" spans="1:15" s="183" customFormat="1" ht="15" customHeight="1">
      <c r="A136" s="333">
        <v>44789</v>
      </c>
      <c r="B136" s="183" t="s">
        <v>393</v>
      </c>
      <c r="C136" s="183" t="s">
        <v>75</v>
      </c>
      <c r="E136" s="178">
        <v>10000</v>
      </c>
      <c r="F136" s="422"/>
      <c r="G136" s="334">
        <f t="shared" si="1"/>
        <v>30143643</v>
      </c>
      <c r="H136" s="183" t="s">
        <v>29</v>
      </c>
      <c r="N136" s="428"/>
    </row>
    <row r="137" spans="1:15" s="183" customFormat="1" ht="15" customHeight="1">
      <c r="A137" s="442">
        <v>44789</v>
      </c>
      <c r="B137" s="429" t="s">
        <v>260</v>
      </c>
      <c r="C137" s="183" t="s">
        <v>75</v>
      </c>
      <c r="E137" s="178">
        <v>58000</v>
      </c>
      <c r="F137" s="362"/>
      <c r="G137" s="334">
        <f t="shared" si="1"/>
        <v>30201643</v>
      </c>
      <c r="H137" s="183" t="s">
        <v>25</v>
      </c>
    </row>
    <row r="138" spans="1:15" s="183" customFormat="1" ht="15" customHeight="1">
      <c r="A138" s="330">
        <v>44789</v>
      </c>
      <c r="B138" s="183" t="s">
        <v>47</v>
      </c>
      <c r="C138" s="183" t="s">
        <v>75</v>
      </c>
      <c r="E138" s="435"/>
      <c r="F138" s="362">
        <v>241000</v>
      </c>
      <c r="G138" s="334">
        <f t="shared" si="1"/>
        <v>29960643</v>
      </c>
      <c r="H138" s="183" t="s">
        <v>25</v>
      </c>
    </row>
    <row r="139" spans="1:15" s="183" customFormat="1" ht="15" customHeight="1">
      <c r="A139" s="333">
        <v>44789</v>
      </c>
      <c r="B139" s="183" t="s">
        <v>283</v>
      </c>
      <c r="C139" s="183" t="s">
        <v>225</v>
      </c>
      <c r="D139" s="183" t="s">
        <v>163</v>
      </c>
      <c r="E139" s="178"/>
      <c r="F139" s="422">
        <v>97000</v>
      </c>
      <c r="G139" s="334">
        <f t="shared" si="1"/>
        <v>29863643</v>
      </c>
      <c r="H139" s="183" t="s">
        <v>25</v>
      </c>
      <c r="I139" s="183" t="s">
        <v>259</v>
      </c>
      <c r="J139" s="183" t="s">
        <v>165</v>
      </c>
      <c r="K139" s="183" t="s">
        <v>209</v>
      </c>
      <c r="L139" s="183" t="s">
        <v>414</v>
      </c>
      <c r="M139" s="178" t="s">
        <v>506</v>
      </c>
      <c r="N139" s="183" t="s">
        <v>420</v>
      </c>
    </row>
    <row r="140" spans="1:15" s="183" customFormat="1" ht="15" customHeight="1">
      <c r="A140" s="333">
        <v>44789</v>
      </c>
      <c r="B140" s="429" t="s">
        <v>284</v>
      </c>
      <c r="C140" s="334" t="s">
        <v>181</v>
      </c>
      <c r="D140" s="183" t="s">
        <v>263</v>
      </c>
      <c r="E140" s="178"/>
      <c r="F140" s="362">
        <v>10000</v>
      </c>
      <c r="G140" s="334">
        <f t="shared" si="1"/>
        <v>29853643</v>
      </c>
      <c r="H140" s="183" t="s">
        <v>25</v>
      </c>
      <c r="I140" s="183" t="s">
        <v>259</v>
      </c>
      <c r="J140" s="183" t="s">
        <v>165</v>
      </c>
      <c r="K140" s="183" t="s">
        <v>209</v>
      </c>
      <c r="L140" s="183" t="s">
        <v>414</v>
      </c>
      <c r="M140" s="178" t="s">
        <v>507</v>
      </c>
      <c r="N140" s="183" t="s">
        <v>429</v>
      </c>
    </row>
    <row r="141" spans="1:15" s="183" customFormat="1" ht="15" customHeight="1">
      <c r="A141" s="333">
        <v>44789</v>
      </c>
      <c r="B141" s="183" t="s">
        <v>285</v>
      </c>
      <c r="C141" s="183" t="s">
        <v>181</v>
      </c>
      <c r="D141" s="183" t="s">
        <v>163</v>
      </c>
      <c r="E141" s="178"/>
      <c r="F141" s="362">
        <v>15000</v>
      </c>
      <c r="G141" s="334">
        <f t="shared" si="1"/>
        <v>29838643</v>
      </c>
      <c r="H141" s="183" t="s">
        <v>25</v>
      </c>
      <c r="I141" s="183" t="s">
        <v>259</v>
      </c>
      <c r="J141" s="183" t="s">
        <v>165</v>
      </c>
      <c r="K141" s="183" t="s">
        <v>209</v>
      </c>
      <c r="L141" s="183" t="s">
        <v>414</v>
      </c>
      <c r="M141" s="178" t="s">
        <v>508</v>
      </c>
      <c r="N141" s="183" t="s">
        <v>429</v>
      </c>
    </row>
    <row r="142" spans="1:15" s="183" customFormat="1" ht="15.75" customHeight="1">
      <c r="A142" s="330">
        <v>44789</v>
      </c>
      <c r="B142" s="331" t="s">
        <v>286</v>
      </c>
      <c r="C142" s="183" t="s">
        <v>181</v>
      </c>
      <c r="D142" s="183" t="s">
        <v>4</v>
      </c>
      <c r="E142" s="374"/>
      <c r="F142" s="388">
        <v>20000</v>
      </c>
      <c r="G142" s="334">
        <f t="shared" ref="G142:G205" si="2">+G141+E142-F142</f>
        <v>29818643</v>
      </c>
      <c r="H142" s="332" t="s">
        <v>25</v>
      </c>
      <c r="I142" s="183" t="s">
        <v>259</v>
      </c>
      <c r="J142" s="183" t="s">
        <v>165</v>
      </c>
      <c r="K142" s="183" t="s">
        <v>209</v>
      </c>
      <c r="L142" s="183" t="s">
        <v>414</v>
      </c>
      <c r="M142" s="178" t="s">
        <v>509</v>
      </c>
      <c r="N142" s="183" t="s">
        <v>429</v>
      </c>
    </row>
    <row r="143" spans="1:15" s="183" customFormat="1" ht="15" customHeight="1">
      <c r="A143" s="333">
        <v>44789</v>
      </c>
      <c r="B143" s="183" t="s">
        <v>287</v>
      </c>
      <c r="C143" s="183" t="s">
        <v>181</v>
      </c>
      <c r="D143" s="437" t="s">
        <v>263</v>
      </c>
      <c r="E143" s="178"/>
      <c r="F143" s="422">
        <v>10000</v>
      </c>
      <c r="G143" s="334">
        <f t="shared" si="2"/>
        <v>29808643</v>
      </c>
      <c r="H143" s="183" t="s">
        <v>25</v>
      </c>
      <c r="I143" s="183" t="s">
        <v>259</v>
      </c>
      <c r="J143" s="183" t="s">
        <v>165</v>
      </c>
      <c r="K143" s="183" t="s">
        <v>209</v>
      </c>
      <c r="L143" s="183" t="s">
        <v>414</v>
      </c>
      <c r="M143" s="178" t="s">
        <v>510</v>
      </c>
      <c r="N143" s="183" t="s">
        <v>429</v>
      </c>
    </row>
    <row r="144" spans="1:15" s="183" customFormat="1" ht="15" customHeight="1">
      <c r="A144" s="333">
        <v>44789</v>
      </c>
      <c r="B144" s="183" t="s">
        <v>288</v>
      </c>
      <c r="C144" s="183" t="s">
        <v>181</v>
      </c>
      <c r="D144" s="183" t="s">
        <v>163</v>
      </c>
      <c r="E144" s="375"/>
      <c r="F144" s="422">
        <v>5000</v>
      </c>
      <c r="G144" s="334">
        <f t="shared" si="2"/>
        <v>29803643</v>
      </c>
      <c r="H144" s="183" t="s">
        <v>25</v>
      </c>
      <c r="I144" s="183" t="s">
        <v>259</v>
      </c>
      <c r="J144" s="183" t="s">
        <v>165</v>
      </c>
      <c r="K144" s="183" t="s">
        <v>209</v>
      </c>
      <c r="L144" s="183" t="s">
        <v>414</v>
      </c>
      <c r="M144" s="178" t="s">
        <v>511</v>
      </c>
      <c r="N144" s="183" t="s">
        <v>429</v>
      </c>
    </row>
    <row r="145" spans="1:16" s="183" customFormat="1" ht="15" customHeight="1">
      <c r="A145" s="333">
        <v>44789</v>
      </c>
      <c r="B145" s="183" t="s">
        <v>289</v>
      </c>
      <c r="C145" s="183" t="s">
        <v>181</v>
      </c>
      <c r="D145" s="183" t="s">
        <v>4</v>
      </c>
      <c r="E145" s="178"/>
      <c r="F145" s="387">
        <v>10000</v>
      </c>
      <c r="G145" s="334">
        <f t="shared" si="2"/>
        <v>29793643</v>
      </c>
      <c r="H145" s="183" t="s">
        <v>25</v>
      </c>
      <c r="I145" s="183" t="s">
        <v>259</v>
      </c>
      <c r="J145" s="183" t="s">
        <v>165</v>
      </c>
      <c r="K145" s="183" t="s">
        <v>209</v>
      </c>
      <c r="L145" s="183" t="s">
        <v>414</v>
      </c>
      <c r="M145" s="178" t="s">
        <v>512</v>
      </c>
      <c r="N145" s="183" t="s">
        <v>429</v>
      </c>
    </row>
    <row r="146" spans="1:16" s="183" customFormat="1" ht="15" customHeight="1">
      <c r="A146" s="330">
        <v>44789</v>
      </c>
      <c r="B146" s="183" t="s">
        <v>29</v>
      </c>
      <c r="C146" s="183" t="s">
        <v>75</v>
      </c>
      <c r="D146" s="429"/>
      <c r="E146" s="435"/>
      <c r="F146" s="362">
        <v>10000</v>
      </c>
      <c r="G146" s="334">
        <f t="shared" si="2"/>
        <v>29783643</v>
      </c>
      <c r="H146" s="183" t="s">
        <v>25</v>
      </c>
    </row>
    <row r="147" spans="1:16" s="183" customFormat="1" ht="15" customHeight="1">
      <c r="A147" s="333">
        <v>44789</v>
      </c>
      <c r="B147" s="183" t="s">
        <v>30</v>
      </c>
      <c r="C147" s="183" t="s">
        <v>75</v>
      </c>
      <c r="E147" s="178"/>
      <c r="F147" s="362">
        <v>15000</v>
      </c>
      <c r="G147" s="334">
        <f t="shared" si="2"/>
        <v>29768643</v>
      </c>
      <c r="H147" s="183" t="s">
        <v>25</v>
      </c>
    </row>
    <row r="148" spans="1:16" s="183" customFormat="1" ht="15" customHeight="1">
      <c r="A148" s="333">
        <v>44789</v>
      </c>
      <c r="B148" s="183" t="s">
        <v>290</v>
      </c>
      <c r="C148" s="183" t="s">
        <v>75</v>
      </c>
      <c r="E148" s="178">
        <v>100000</v>
      </c>
      <c r="F148" s="362"/>
      <c r="G148" s="334">
        <f t="shared" si="2"/>
        <v>29868643</v>
      </c>
      <c r="H148" s="183" t="s">
        <v>25</v>
      </c>
    </row>
    <row r="149" spans="1:16" s="183" customFormat="1" ht="15" customHeight="1">
      <c r="A149" s="333">
        <v>44789</v>
      </c>
      <c r="B149" s="183" t="s">
        <v>331</v>
      </c>
      <c r="C149" s="183" t="s">
        <v>75</v>
      </c>
      <c r="E149" s="178">
        <v>241000</v>
      </c>
      <c r="F149" s="387"/>
      <c r="G149" s="334">
        <f t="shared" si="2"/>
        <v>30109643</v>
      </c>
      <c r="H149" s="183" t="s">
        <v>47</v>
      </c>
    </row>
    <row r="150" spans="1:16" s="183" customFormat="1" ht="15" customHeight="1">
      <c r="A150" s="333">
        <v>44789</v>
      </c>
      <c r="B150" s="183" t="s">
        <v>340</v>
      </c>
      <c r="C150" s="183" t="s">
        <v>34</v>
      </c>
      <c r="D150" s="183" t="s">
        <v>2</v>
      </c>
      <c r="E150" s="178"/>
      <c r="F150" s="387">
        <v>7000</v>
      </c>
      <c r="G150" s="334">
        <f t="shared" si="2"/>
        <v>30102643</v>
      </c>
      <c r="H150" s="183" t="s">
        <v>47</v>
      </c>
      <c r="I150" s="183" t="s">
        <v>259</v>
      </c>
      <c r="J150" s="183" t="s">
        <v>165</v>
      </c>
      <c r="K150" s="183" t="s">
        <v>209</v>
      </c>
      <c r="L150" s="183" t="s">
        <v>414</v>
      </c>
      <c r="M150" s="178" t="s">
        <v>513</v>
      </c>
      <c r="N150" s="183" t="s">
        <v>430</v>
      </c>
    </row>
    <row r="151" spans="1:16" s="183" customFormat="1" ht="15" customHeight="1">
      <c r="A151" s="333">
        <v>44789</v>
      </c>
      <c r="B151" s="183" t="s">
        <v>354</v>
      </c>
      <c r="C151" s="183" t="s">
        <v>75</v>
      </c>
      <c r="E151" s="178"/>
      <c r="F151" s="422">
        <v>58000</v>
      </c>
      <c r="G151" s="334">
        <f t="shared" si="2"/>
        <v>30044643</v>
      </c>
      <c r="H151" s="183" t="s">
        <v>207</v>
      </c>
    </row>
    <row r="152" spans="1:16" s="183" customFormat="1" ht="15" customHeight="1">
      <c r="A152" s="427">
        <v>44789</v>
      </c>
      <c r="B152" s="331" t="s">
        <v>381</v>
      </c>
      <c r="C152" s="183" t="s">
        <v>75</v>
      </c>
      <c r="D152" s="429"/>
      <c r="E152" s="441"/>
      <c r="F152" s="388">
        <v>100000</v>
      </c>
      <c r="G152" s="334">
        <f t="shared" si="2"/>
        <v>29944643</v>
      </c>
      <c r="H152" s="331" t="s">
        <v>48</v>
      </c>
    </row>
    <row r="153" spans="1:16" s="183" customFormat="1" ht="15" customHeight="1">
      <c r="A153" s="333">
        <v>44789</v>
      </c>
      <c r="B153" s="183" t="s">
        <v>368</v>
      </c>
      <c r="C153" s="183" t="s">
        <v>75</v>
      </c>
      <c r="E153" s="178">
        <v>15000</v>
      </c>
      <c r="F153" s="362"/>
      <c r="G153" s="334">
        <f t="shared" si="2"/>
        <v>29959643</v>
      </c>
      <c r="H153" s="183" t="s">
        <v>48</v>
      </c>
    </row>
    <row r="154" spans="1:16" s="183" customFormat="1" ht="15" customHeight="1">
      <c r="A154" s="333">
        <v>44790</v>
      </c>
      <c r="B154" s="183" t="s">
        <v>29</v>
      </c>
      <c r="C154" s="183" t="s">
        <v>75</v>
      </c>
      <c r="E154" s="178"/>
      <c r="F154" s="387">
        <v>10000</v>
      </c>
      <c r="G154" s="334">
        <f t="shared" si="2"/>
        <v>29949643</v>
      </c>
      <c r="H154" s="183" t="s">
        <v>25</v>
      </c>
    </row>
    <row r="155" spans="1:16" s="183" customFormat="1" ht="17.25" customHeight="1">
      <c r="A155" s="333">
        <v>44790</v>
      </c>
      <c r="B155" s="183" t="s">
        <v>291</v>
      </c>
      <c r="C155" s="183" t="s">
        <v>184</v>
      </c>
      <c r="D155" s="183" t="s">
        <v>257</v>
      </c>
      <c r="E155" s="178"/>
      <c r="F155" s="387">
        <v>5000</v>
      </c>
      <c r="G155" s="334">
        <f t="shared" si="2"/>
        <v>29944643</v>
      </c>
      <c r="H155" s="183" t="s">
        <v>25</v>
      </c>
      <c r="I155" s="183" t="s">
        <v>259</v>
      </c>
      <c r="J155" s="183" t="s">
        <v>165</v>
      </c>
      <c r="K155" s="183" t="s">
        <v>208</v>
      </c>
      <c r="L155" s="183" t="s">
        <v>414</v>
      </c>
    </row>
    <row r="156" spans="1:16" s="183" customFormat="1" ht="15" customHeight="1">
      <c r="A156" s="333">
        <v>44790</v>
      </c>
      <c r="B156" s="183" t="s">
        <v>341</v>
      </c>
      <c r="C156" s="183" t="s">
        <v>156</v>
      </c>
      <c r="D156" s="183" t="s">
        <v>2</v>
      </c>
      <c r="E156" s="178"/>
      <c r="F156" s="362">
        <v>30000</v>
      </c>
      <c r="G156" s="334">
        <f t="shared" si="2"/>
        <v>29914643</v>
      </c>
      <c r="H156" s="183" t="s">
        <v>47</v>
      </c>
      <c r="I156" s="183" t="s">
        <v>259</v>
      </c>
      <c r="J156" s="183" t="s">
        <v>165</v>
      </c>
      <c r="K156" s="183" t="s">
        <v>209</v>
      </c>
      <c r="L156" s="183" t="s">
        <v>414</v>
      </c>
      <c r="M156" s="178" t="s">
        <v>514</v>
      </c>
      <c r="N156" s="183" t="s">
        <v>431</v>
      </c>
      <c r="P156" s="428"/>
    </row>
    <row r="157" spans="1:16" s="183" customFormat="1" ht="14.25" customHeight="1">
      <c r="A157" s="333">
        <v>44790</v>
      </c>
      <c r="B157" s="331" t="s">
        <v>393</v>
      </c>
      <c r="C157" s="183" t="s">
        <v>75</v>
      </c>
      <c r="E157" s="178">
        <v>10000</v>
      </c>
      <c r="F157" s="422"/>
      <c r="G157" s="334">
        <f t="shared" si="2"/>
        <v>29924643</v>
      </c>
      <c r="H157" s="183" t="s">
        <v>29</v>
      </c>
    </row>
    <row r="158" spans="1:16" s="183" customFormat="1" ht="15" customHeight="1">
      <c r="A158" s="333">
        <v>44791</v>
      </c>
      <c r="B158" s="183" t="s">
        <v>29</v>
      </c>
      <c r="C158" s="183" t="s">
        <v>75</v>
      </c>
      <c r="E158" s="178"/>
      <c r="F158" s="387">
        <v>13000</v>
      </c>
      <c r="G158" s="334">
        <f t="shared" si="2"/>
        <v>29911643</v>
      </c>
      <c r="H158" s="183" t="s">
        <v>25</v>
      </c>
    </row>
    <row r="159" spans="1:16" s="183" customFormat="1" ht="15" customHeight="1">
      <c r="A159" s="330">
        <v>44791</v>
      </c>
      <c r="B159" s="331" t="s">
        <v>30</v>
      </c>
      <c r="C159" s="183" t="s">
        <v>75</v>
      </c>
      <c r="D159" s="429"/>
      <c r="E159" s="374"/>
      <c r="F159" s="388">
        <v>25000</v>
      </c>
      <c r="G159" s="334">
        <f t="shared" si="2"/>
        <v>29886643</v>
      </c>
      <c r="H159" s="357" t="s">
        <v>25</v>
      </c>
    </row>
    <row r="160" spans="1:16" s="183" customFormat="1" ht="15" customHeight="1">
      <c r="A160" s="333">
        <v>44791</v>
      </c>
      <c r="B160" s="183" t="s">
        <v>368</v>
      </c>
      <c r="C160" s="183" t="s">
        <v>75</v>
      </c>
      <c r="E160" s="366">
        <v>25000</v>
      </c>
      <c r="F160" s="192"/>
      <c r="G160" s="334">
        <f t="shared" si="2"/>
        <v>29911643</v>
      </c>
      <c r="H160" s="183" t="s">
        <v>48</v>
      </c>
    </row>
    <row r="161" spans="1:16" s="183" customFormat="1" ht="15" customHeight="1">
      <c r="A161" s="333">
        <v>44791</v>
      </c>
      <c r="B161" s="183" t="s">
        <v>393</v>
      </c>
      <c r="C161" s="183" t="s">
        <v>75</v>
      </c>
      <c r="E161" s="375">
        <v>13000</v>
      </c>
      <c r="F161" s="389"/>
      <c r="G161" s="334">
        <f t="shared" si="2"/>
        <v>29924643</v>
      </c>
      <c r="H161" s="183" t="s">
        <v>29</v>
      </c>
    </row>
    <row r="162" spans="1:16" s="183" customFormat="1" ht="15" customHeight="1">
      <c r="A162" s="333">
        <v>44792</v>
      </c>
      <c r="B162" s="183" t="s">
        <v>207</v>
      </c>
      <c r="C162" s="183" t="s">
        <v>75</v>
      </c>
      <c r="E162" s="375"/>
      <c r="F162" s="422">
        <v>6000</v>
      </c>
      <c r="G162" s="334">
        <f t="shared" si="2"/>
        <v>29918643</v>
      </c>
      <c r="H162" s="183" t="s">
        <v>25</v>
      </c>
    </row>
    <row r="163" spans="1:16" s="183" customFormat="1" ht="15" customHeight="1">
      <c r="A163" s="333">
        <v>44792</v>
      </c>
      <c r="B163" s="183" t="s">
        <v>29</v>
      </c>
      <c r="C163" s="183" t="s">
        <v>75</v>
      </c>
      <c r="E163" s="375"/>
      <c r="F163" s="422">
        <v>110000</v>
      </c>
      <c r="G163" s="334">
        <f t="shared" si="2"/>
        <v>29808643</v>
      </c>
      <c r="H163" s="183" t="s">
        <v>25</v>
      </c>
    </row>
    <row r="164" spans="1:16" s="183" customFormat="1" ht="16.5" customHeight="1">
      <c r="A164" s="333">
        <v>44792</v>
      </c>
      <c r="B164" s="183" t="s">
        <v>342</v>
      </c>
      <c r="C164" s="183" t="s">
        <v>343</v>
      </c>
      <c r="D164" s="183" t="s">
        <v>163</v>
      </c>
      <c r="E164" s="366"/>
      <c r="F164" s="398">
        <v>7000</v>
      </c>
      <c r="G164" s="334">
        <f t="shared" si="2"/>
        <v>29801643</v>
      </c>
      <c r="H164" s="183" t="s">
        <v>47</v>
      </c>
      <c r="I164" s="183" t="s">
        <v>259</v>
      </c>
      <c r="J164" s="183" t="s">
        <v>165</v>
      </c>
      <c r="K164" s="183" t="s">
        <v>208</v>
      </c>
      <c r="L164" s="183" t="s">
        <v>414</v>
      </c>
    </row>
    <row r="165" spans="1:16" s="183" customFormat="1" ht="15" customHeight="1">
      <c r="A165" s="333">
        <v>44792</v>
      </c>
      <c r="B165" s="183" t="s">
        <v>344</v>
      </c>
      <c r="C165" s="183" t="s">
        <v>34</v>
      </c>
      <c r="D165" s="183" t="s">
        <v>2</v>
      </c>
      <c r="E165" s="178"/>
      <c r="F165" s="362">
        <v>7000</v>
      </c>
      <c r="G165" s="334">
        <f t="shared" si="2"/>
        <v>29794643</v>
      </c>
      <c r="H165" s="183" t="s">
        <v>47</v>
      </c>
      <c r="I165" s="183" t="s">
        <v>259</v>
      </c>
      <c r="J165" s="183" t="s">
        <v>165</v>
      </c>
      <c r="K165" s="183" t="s">
        <v>209</v>
      </c>
      <c r="L165" s="183" t="s">
        <v>414</v>
      </c>
      <c r="M165" s="178" t="s">
        <v>515</v>
      </c>
      <c r="N165" s="183" t="s">
        <v>430</v>
      </c>
      <c r="P165" s="428"/>
    </row>
    <row r="166" spans="1:16" s="183" customFormat="1" ht="15" customHeight="1">
      <c r="A166" s="330">
        <v>44792</v>
      </c>
      <c r="B166" s="331" t="s">
        <v>345</v>
      </c>
      <c r="C166" s="183" t="s">
        <v>343</v>
      </c>
      <c r="D166" s="183" t="s">
        <v>163</v>
      </c>
      <c r="E166" s="374"/>
      <c r="F166" s="443">
        <v>34000</v>
      </c>
      <c r="G166" s="334">
        <f t="shared" si="2"/>
        <v>29760643</v>
      </c>
      <c r="H166" s="332" t="s">
        <v>47</v>
      </c>
      <c r="I166" s="183" t="s">
        <v>270</v>
      </c>
      <c r="J166" s="183" t="s">
        <v>165</v>
      </c>
      <c r="K166" s="183" t="s">
        <v>208</v>
      </c>
      <c r="L166" s="183" t="s">
        <v>414</v>
      </c>
    </row>
    <row r="167" spans="1:16" s="183" customFormat="1" ht="15" customHeight="1">
      <c r="A167" s="333">
        <v>44792</v>
      </c>
      <c r="B167" s="183" t="s">
        <v>365</v>
      </c>
      <c r="C167" s="183" t="s">
        <v>343</v>
      </c>
      <c r="D167" s="183" t="s">
        <v>163</v>
      </c>
      <c r="E167" s="375"/>
      <c r="F167" s="389">
        <v>11000</v>
      </c>
      <c r="G167" s="334">
        <f t="shared" si="2"/>
        <v>29749643</v>
      </c>
      <c r="H167" s="183" t="s">
        <v>207</v>
      </c>
      <c r="I167" s="183" t="s">
        <v>270</v>
      </c>
      <c r="J167" s="183" t="s">
        <v>165</v>
      </c>
      <c r="K167" s="183" t="s">
        <v>208</v>
      </c>
      <c r="L167" s="183" t="s">
        <v>414</v>
      </c>
    </row>
    <row r="168" spans="1:16" s="183" customFormat="1" ht="15.75" customHeight="1">
      <c r="A168" s="330">
        <v>44792</v>
      </c>
      <c r="B168" s="437" t="s">
        <v>355</v>
      </c>
      <c r="C168" s="183" t="s">
        <v>75</v>
      </c>
      <c r="E168" s="435">
        <v>6000</v>
      </c>
      <c r="F168" s="362"/>
      <c r="G168" s="334">
        <f t="shared" si="2"/>
        <v>29755643</v>
      </c>
      <c r="H168" s="183" t="s">
        <v>207</v>
      </c>
    </row>
    <row r="169" spans="1:16" s="183" customFormat="1" ht="15.75" customHeight="1">
      <c r="A169" s="333">
        <v>44792</v>
      </c>
      <c r="B169" s="437" t="s">
        <v>382</v>
      </c>
      <c r="C169" s="183" t="s">
        <v>34</v>
      </c>
      <c r="D169" s="183" t="s">
        <v>4</v>
      </c>
      <c r="E169" s="178"/>
      <c r="F169" s="422">
        <v>4000</v>
      </c>
      <c r="G169" s="334">
        <f t="shared" si="2"/>
        <v>29751643</v>
      </c>
      <c r="H169" s="183" t="s">
        <v>48</v>
      </c>
      <c r="I169" s="183" t="s">
        <v>259</v>
      </c>
      <c r="J169" s="183" t="s">
        <v>165</v>
      </c>
      <c r="K169" s="183" t="s">
        <v>209</v>
      </c>
      <c r="L169" s="183" t="s">
        <v>414</v>
      </c>
      <c r="M169" s="178" t="s">
        <v>516</v>
      </c>
      <c r="N169" s="183" t="s">
        <v>430</v>
      </c>
    </row>
    <row r="170" spans="1:16" s="183" customFormat="1" ht="15" customHeight="1">
      <c r="A170" s="333">
        <v>44792</v>
      </c>
      <c r="B170" s="183" t="s">
        <v>383</v>
      </c>
      <c r="C170" s="183" t="s">
        <v>34</v>
      </c>
      <c r="D170" s="183" t="s">
        <v>4</v>
      </c>
      <c r="E170" s="366"/>
      <c r="F170" s="192">
        <v>6000</v>
      </c>
      <c r="G170" s="334">
        <f t="shared" si="2"/>
        <v>29745643</v>
      </c>
      <c r="H170" s="183" t="s">
        <v>48</v>
      </c>
      <c r="I170" s="183" t="s">
        <v>259</v>
      </c>
      <c r="J170" s="183" t="s">
        <v>165</v>
      </c>
      <c r="K170" s="183" t="s">
        <v>209</v>
      </c>
      <c r="L170" s="183" t="s">
        <v>414</v>
      </c>
      <c r="M170" s="178" t="s">
        <v>517</v>
      </c>
      <c r="N170" s="183" t="s">
        <v>430</v>
      </c>
    </row>
    <row r="171" spans="1:16" s="183" customFormat="1" ht="15" customHeight="1">
      <c r="A171" s="330">
        <v>44792</v>
      </c>
      <c r="B171" s="331" t="s">
        <v>384</v>
      </c>
      <c r="C171" s="183" t="s">
        <v>34</v>
      </c>
      <c r="D171" s="183" t="s">
        <v>4</v>
      </c>
      <c r="E171" s="374"/>
      <c r="F171" s="388">
        <v>6000</v>
      </c>
      <c r="G171" s="334">
        <f t="shared" si="2"/>
        <v>29739643</v>
      </c>
      <c r="H171" s="357" t="s">
        <v>48</v>
      </c>
      <c r="I171" s="183" t="s">
        <v>259</v>
      </c>
      <c r="J171" s="183" t="s">
        <v>165</v>
      </c>
      <c r="K171" s="183" t="s">
        <v>209</v>
      </c>
      <c r="L171" s="183" t="s">
        <v>414</v>
      </c>
      <c r="M171" s="178" t="s">
        <v>518</v>
      </c>
      <c r="N171" s="183" t="s">
        <v>430</v>
      </c>
    </row>
    <row r="172" spans="1:16" s="183" customFormat="1" ht="15" customHeight="1">
      <c r="A172" s="330">
        <v>44792</v>
      </c>
      <c r="B172" s="331" t="s">
        <v>385</v>
      </c>
      <c r="C172" s="183" t="s">
        <v>34</v>
      </c>
      <c r="D172" s="183" t="s">
        <v>4</v>
      </c>
      <c r="E172" s="374"/>
      <c r="F172" s="388">
        <v>4000</v>
      </c>
      <c r="G172" s="334">
        <f t="shared" si="2"/>
        <v>29735643</v>
      </c>
      <c r="H172" s="357" t="s">
        <v>48</v>
      </c>
      <c r="I172" s="183" t="s">
        <v>259</v>
      </c>
      <c r="J172" s="183" t="s">
        <v>165</v>
      </c>
      <c r="K172" s="183" t="s">
        <v>209</v>
      </c>
      <c r="L172" s="183" t="s">
        <v>414</v>
      </c>
      <c r="M172" s="178" t="s">
        <v>519</v>
      </c>
      <c r="N172" s="183" t="s">
        <v>430</v>
      </c>
    </row>
    <row r="173" spans="1:16" s="183" customFormat="1" ht="15" customHeight="1">
      <c r="A173" s="427">
        <v>44792</v>
      </c>
      <c r="B173" s="183" t="s">
        <v>393</v>
      </c>
      <c r="C173" s="183" t="s">
        <v>75</v>
      </c>
      <c r="D173" s="437"/>
      <c r="E173" s="195">
        <v>110000</v>
      </c>
      <c r="F173" s="422"/>
      <c r="G173" s="334">
        <f t="shared" si="2"/>
        <v>29845643</v>
      </c>
      <c r="H173" s="183" t="s">
        <v>29</v>
      </c>
    </row>
    <row r="174" spans="1:16" s="183" customFormat="1" ht="15" customHeight="1">
      <c r="A174" s="330">
        <v>44793</v>
      </c>
      <c r="B174" s="331" t="s">
        <v>346</v>
      </c>
      <c r="C174" s="183" t="s">
        <v>156</v>
      </c>
      <c r="D174" s="183" t="s">
        <v>2</v>
      </c>
      <c r="E174" s="374"/>
      <c r="F174" s="192">
        <v>45000</v>
      </c>
      <c r="G174" s="334">
        <f t="shared" si="2"/>
        <v>29800643</v>
      </c>
      <c r="H174" s="432" t="s">
        <v>47</v>
      </c>
      <c r="I174" s="183" t="s">
        <v>259</v>
      </c>
      <c r="J174" s="183" t="s">
        <v>165</v>
      </c>
      <c r="K174" s="183" t="s">
        <v>209</v>
      </c>
      <c r="L174" s="183" t="s">
        <v>414</v>
      </c>
      <c r="M174" s="178" t="s">
        <v>520</v>
      </c>
      <c r="N174" s="183" t="s">
        <v>431</v>
      </c>
    </row>
    <row r="175" spans="1:16" s="183" customFormat="1" ht="15" customHeight="1">
      <c r="A175" s="330">
        <v>44793</v>
      </c>
      <c r="B175" s="183" t="s">
        <v>406</v>
      </c>
      <c r="C175" s="183" t="s">
        <v>34</v>
      </c>
      <c r="D175" s="183" t="s">
        <v>4</v>
      </c>
      <c r="E175" s="375"/>
      <c r="F175" s="389">
        <v>15000</v>
      </c>
      <c r="G175" s="334">
        <f t="shared" si="2"/>
        <v>29785643</v>
      </c>
      <c r="H175" s="183" t="s">
        <v>29</v>
      </c>
      <c r="I175" s="183" t="s">
        <v>259</v>
      </c>
      <c r="J175" s="183" t="s">
        <v>165</v>
      </c>
      <c r="K175" s="183" t="s">
        <v>209</v>
      </c>
      <c r="L175" s="183" t="s">
        <v>414</v>
      </c>
      <c r="M175" s="178" t="s">
        <v>521</v>
      </c>
      <c r="N175" s="183" t="s">
        <v>430</v>
      </c>
    </row>
    <row r="176" spans="1:16" s="183" customFormat="1" ht="15" customHeight="1">
      <c r="A176" s="330">
        <v>44795</v>
      </c>
      <c r="B176" s="183" t="s">
        <v>293</v>
      </c>
      <c r="C176" s="183" t="s">
        <v>184</v>
      </c>
      <c r="D176" s="183" t="s">
        <v>257</v>
      </c>
      <c r="E176" s="430"/>
      <c r="F176" s="422">
        <v>3000</v>
      </c>
      <c r="G176" s="334">
        <f t="shared" si="2"/>
        <v>29782643</v>
      </c>
      <c r="H176" s="183" t="s">
        <v>25</v>
      </c>
      <c r="I176" s="183" t="s">
        <v>259</v>
      </c>
      <c r="J176" s="183" t="s">
        <v>165</v>
      </c>
      <c r="K176" s="183" t="s">
        <v>208</v>
      </c>
      <c r="L176" s="183" t="s">
        <v>414</v>
      </c>
      <c r="O176" s="428"/>
    </row>
    <row r="177" spans="1:16" s="183" customFormat="1" ht="15" customHeight="1">
      <c r="A177" s="333">
        <v>44795</v>
      </c>
      <c r="B177" s="183" t="s">
        <v>30</v>
      </c>
      <c r="C177" s="183" t="s">
        <v>75</v>
      </c>
      <c r="E177" s="178"/>
      <c r="F177" s="387">
        <v>13000</v>
      </c>
      <c r="G177" s="334">
        <f t="shared" si="2"/>
        <v>29769643</v>
      </c>
      <c r="H177" s="183" t="s">
        <v>25</v>
      </c>
    </row>
    <row r="178" spans="1:16" s="183" customFormat="1" ht="15" customHeight="1">
      <c r="A178" s="427">
        <v>44795</v>
      </c>
      <c r="B178" s="331" t="s">
        <v>292</v>
      </c>
      <c r="C178" s="183" t="s">
        <v>75</v>
      </c>
      <c r="E178" s="374">
        <v>60000</v>
      </c>
      <c r="F178" s="418"/>
      <c r="G178" s="334">
        <f t="shared" si="2"/>
        <v>29829643</v>
      </c>
      <c r="H178" s="331" t="s">
        <v>25</v>
      </c>
      <c r="O178" s="428"/>
    </row>
    <row r="179" spans="1:16" s="183" customFormat="1" ht="15" customHeight="1">
      <c r="A179" s="333">
        <v>44795</v>
      </c>
      <c r="B179" s="183" t="s">
        <v>30</v>
      </c>
      <c r="C179" s="183" t="s">
        <v>75</v>
      </c>
      <c r="D179" s="437"/>
      <c r="E179" s="375"/>
      <c r="F179" s="422">
        <v>15000</v>
      </c>
      <c r="G179" s="334">
        <f t="shared" si="2"/>
        <v>29814643</v>
      </c>
      <c r="H179" s="183" t="s">
        <v>25</v>
      </c>
      <c r="P179" s="428"/>
    </row>
    <row r="180" spans="1:16" s="183" customFormat="1" ht="15" customHeight="1">
      <c r="A180" s="427">
        <v>44795</v>
      </c>
      <c r="B180" s="334" t="s">
        <v>386</v>
      </c>
      <c r="C180" s="183" t="s">
        <v>34</v>
      </c>
      <c r="D180" s="183" t="s">
        <v>4</v>
      </c>
      <c r="E180" s="178"/>
      <c r="F180" s="362">
        <v>15000</v>
      </c>
      <c r="G180" s="334">
        <f t="shared" si="2"/>
        <v>29799643</v>
      </c>
      <c r="H180" s="183" t="s">
        <v>48</v>
      </c>
      <c r="I180" s="183" t="s">
        <v>259</v>
      </c>
      <c r="J180" s="183" t="s">
        <v>165</v>
      </c>
      <c r="K180" s="183" t="s">
        <v>209</v>
      </c>
      <c r="L180" s="183" t="s">
        <v>414</v>
      </c>
      <c r="M180" s="178" t="s">
        <v>522</v>
      </c>
      <c r="N180" s="183" t="s">
        <v>430</v>
      </c>
    </row>
    <row r="181" spans="1:16" s="183" customFormat="1" ht="15" customHeight="1">
      <c r="A181" s="333">
        <v>44795</v>
      </c>
      <c r="B181" s="183" t="s">
        <v>30</v>
      </c>
      <c r="C181" s="183" t="s">
        <v>75</v>
      </c>
      <c r="D181" s="429"/>
      <c r="E181" s="178"/>
      <c r="F181" s="422">
        <v>90000</v>
      </c>
      <c r="G181" s="334">
        <f t="shared" si="2"/>
        <v>29709643</v>
      </c>
      <c r="H181" s="183" t="s">
        <v>25</v>
      </c>
    </row>
    <row r="182" spans="1:16" s="183" customFormat="1" ht="15" customHeight="1">
      <c r="A182" s="333">
        <v>44795</v>
      </c>
      <c r="B182" s="183" t="s">
        <v>294</v>
      </c>
      <c r="C182" s="183" t="s">
        <v>75</v>
      </c>
      <c r="E182" s="178">
        <v>1000000</v>
      </c>
      <c r="F182" s="387"/>
      <c r="G182" s="334">
        <f t="shared" si="2"/>
        <v>30709643</v>
      </c>
      <c r="H182" s="183" t="s">
        <v>25</v>
      </c>
    </row>
    <row r="183" spans="1:16" s="183" customFormat="1" ht="15.75" customHeight="1">
      <c r="A183" s="333">
        <v>44795</v>
      </c>
      <c r="B183" s="183" t="s">
        <v>309</v>
      </c>
      <c r="C183" s="183" t="s">
        <v>75</v>
      </c>
      <c r="D183" s="200"/>
      <c r="E183" s="178"/>
      <c r="F183" s="362">
        <v>1000000</v>
      </c>
      <c r="G183" s="334">
        <f t="shared" si="2"/>
        <v>29709643</v>
      </c>
      <c r="H183" s="183" t="s">
        <v>24</v>
      </c>
      <c r="I183" s="183">
        <v>3654491</v>
      </c>
    </row>
    <row r="184" spans="1:16" s="183" customFormat="1" ht="15" customHeight="1">
      <c r="A184" s="333">
        <v>44795</v>
      </c>
      <c r="B184" s="183" t="s">
        <v>347</v>
      </c>
      <c r="C184" s="183" t="s">
        <v>75</v>
      </c>
      <c r="D184" s="437"/>
      <c r="E184" s="375"/>
      <c r="F184" s="389">
        <v>60000</v>
      </c>
      <c r="G184" s="334">
        <f t="shared" si="2"/>
        <v>29649643</v>
      </c>
      <c r="H184" s="183" t="s">
        <v>47</v>
      </c>
    </row>
    <row r="185" spans="1:16" s="183" customFormat="1" ht="15" customHeight="1">
      <c r="A185" s="333">
        <v>44795</v>
      </c>
      <c r="B185" s="183" t="s">
        <v>368</v>
      </c>
      <c r="C185" s="183" t="s">
        <v>75</v>
      </c>
      <c r="E185" s="178">
        <v>15000</v>
      </c>
      <c r="F185" s="422"/>
      <c r="G185" s="334">
        <f t="shared" si="2"/>
        <v>29664643</v>
      </c>
      <c r="H185" s="183" t="s">
        <v>48</v>
      </c>
    </row>
    <row r="186" spans="1:16" s="183" customFormat="1" ht="15" customHeight="1">
      <c r="A186" s="333">
        <v>44795</v>
      </c>
      <c r="B186" s="183" t="s">
        <v>368</v>
      </c>
      <c r="C186" s="183" t="s">
        <v>75</v>
      </c>
      <c r="D186" s="429"/>
      <c r="E186" s="178">
        <v>13000</v>
      </c>
      <c r="F186" s="362"/>
      <c r="G186" s="334">
        <f t="shared" si="2"/>
        <v>29677643</v>
      </c>
      <c r="H186" s="183" t="s">
        <v>48</v>
      </c>
    </row>
    <row r="187" spans="1:16" s="183" customFormat="1" ht="15" customHeight="1">
      <c r="A187" s="333">
        <v>44795</v>
      </c>
      <c r="B187" s="437" t="s">
        <v>368</v>
      </c>
      <c r="C187" s="183" t="s">
        <v>75</v>
      </c>
      <c r="D187" s="423"/>
      <c r="E187" s="178">
        <v>90000</v>
      </c>
      <c r="F187" s="362"/>
      <c r="G187" s="334">
        <f t="shared" si="2"/>
        <v>29767643</v>
      </c>
      <c r="H187" s="183" t="s">
        <v>48</v>
      </c>
    </row>
    <row r="188" spans="1:16" s="183" customFormat="1" ht="15" customHeight="1">
      <c r="A188" s="333">
        <v>44795</v>
      </c>
      <c r="B188" s="437" t="s">
        <v>407</v>
      </c>
      <c r="C188" s="183" t="s">
        <v>156</v>
      </c>
      <c r="D188" s="183" t="s">
        <v>4</v>
      </c>
      <c r="E188" s="178"/>
      <c r="F188" s="422">
        <v>60000</v>
      </c>
      <c r="G188" s="334">
        <f t="shared" si="2"/>
        <v>29707643</v>
      </c>
      <c r="H188" s="183" t="s">
        <v>29</v>
      </c>
      <c r="I188" s="183" t="s">
        <v>270</v>
      </c>
      <c r="J188" s="183" t="s">
        <v>165</v>
      </c>
      <c r="K188" s="183" t="s">
        <v>209</v>
      </c>
      <c r="L188" s="183" t="s">
        <v>414</v>
      </c>
      <c r="M188" s="178" t="s">
        <v>523</v>
      </c>
      <c r="N188" s="183" t="s">
        <v>431</v>
      </c>
    </row>
    <row r="189" spans="1:16" s="183" customFormat="1" ht="15" customHeight="1">
      <c r="A189" s="330">
        <v>44796</v>
      </c>
      <c r="B189" s="183" t="s">
        <v>348</v>
      </c>
      <c r="C189" s="183" t="s">
        <v>34</v>
      </c>
      <c r="D189" s="183" t="s">
        <v>2</v>
      </c>
      <c r="E189" s="375"/>
      <c r="F189" s="389">
        <v>23000</v>
      </c>
      <c r="G189" s="334">
        <f t="shared" si="2"/>
        <v>29684643</v>
      </c>
      <c r="H189" s="183" t="s">
        <v>47</v>
      </c>
      <c r="I189" s="183" t="s">
        <v>270</v>
      </c>
      <c r="J189" s="183" t="s">
        <v>165</v>
      </c>
      <c r="K189" s="183" t="s">
        <v>209</v>
      </c>
      <c r="L189" s="183" t="s">
        <v>414</v>
      </c>
      <c r="M189" s="178" t="s">
        <v>524</v>
      </c>
      <c r="N189" s="183" t="s">
        <v>430</v>
      </c>
    </row>
    <row r="190" spans="1:16" s="183" customFormat="1" ht="15" customHeight="1">
      <c r="A190" s="333">
        <v>44797</v>
      </c>
      <c r="B190" s="183" t="s">
        <v>295</v>
      </c>
      <c r="C190" s="183" t="s">
        <v>224</v>
      </c>
      <c r="D190" s="183" t="s">
        <v>257</v>
      </c>
      <c r="E190" s="178"/>
      <c r="F190" s="387">
        <v>3240</v>
      </c>
      <c r="G190" s="334">
        <f t="shared" si="2"/>
        <v>29681403</v>
      </c>
      <c r="H190" s="183" t="s">
        <v>25</v>
      </c>
      <c r="I190" s="183" t="s">
        <v>259</v>
      </c>
      <c r="J190" s="183" t="s">
        <v>165</v>
      </c>
      <c r="K190" s="183" t="s">
        <v>209</v>
      </c>
      <c r="L190" s="183" t="s">
        <v>414</v>
      </c>
      <c r="M190" s="178" t="s">
        <v>525</v>
      </c>
      <c r="N190" s="183" t="s">
        <v>415</v>
      </c>
    </row>
    <row r="191" spans="1:16" s="183" customFormat="1" ht="15" customHeight="1">
      <c r="A191" s="333">
        <v>44797</v>
      </c>
      <c r="B191" s="183" t="s">
        <v>29</v>
      </c>
      <c r="C191" s="183" t="s">
        <v>75</v>
      </c>
      <c r="E191" s="178"/>
      <c r="F191" s="387">
        <v>108000</v>
      </c>
      <c r="G191" s="334">
        <f t="shared" si="2"/>
        <v>29573403</v>
      </c>
      <c r="H191" s="183" t="s">
        <v>25</v>
      </c>
    </row>
    <row r="192" spans="1:16" s="183" customFormat="1" ht="15" customHeight="1">
      <c r="A192" s="427">
        <v>44797</v>
      </c>
      <c r="B192" s="331" t="s">
        <v>387</v>
      </c>
      <c r="C192" s="183" t="s">
        <v>156</v>
      </c>
      <c r="D192" s="183" t="s">
        <v>4</v>
      </c>
      <c r="E192" s="374"/>
      <c r="F192" s="400">
        <v>40000</v>
      </c>
      <c r="G192" s="334">
        <f t="shared" si="2"/>
        <v>29533403</v>
      </c>
      <c r="H192" s="331" t="s">
        <v>48</v>
      </c>
      <c r="I192" s="183" t="s">
        <v>270</v>
      </c>
      <c r="J192" s="183" t="s">
        <v>165</v>
      </c>
      <c r="K192" s="183" t="s">
        <v>209</v>
      </c>
      <c r="L192" s="183" t="s">
        <v>414</v>
      </c>
      <c r="M192" s="178" t="s">
        <v>526</v>
      </c>
      <c r="N192" s="183" t="s">
        <v>431</v>
      </c>
      <c r="O192" s="428"/>
    </row>
    <row r="193" spans="1:16" s="183" customFormat="1" ht="15" customHeight="1">
      <c r="A193" s="333">
        <v>44797</v>
      </c>
      <c r="B193" s="183" t="s">
        <v>393</v>
      </c>
      <c r="C193" s="183" t="s">
        <v>75</v>
      </c>
      <c r="E193" s="178">
        <v>108000</v>
      </c>
      <c r="F193" s="422"/>
      <c r="G193" s="334">
        <f t="shared" si="2"/>
        <v>29641403</v>
      </c>
      <c r="H193" s="183" t="s">
        <v>29</v>
      </c>
    </row>
    <row r="194" spans="1:16" s="183" customFormat="1" ht="16.5" customHeight="1">
      <c r="A194" s="427">
        <v>44798</v>
      </c>
      <c r="B194" s="183" t="s">
        <v>297</v>
      </c>
      <c r="C194" s="183" t="s">
        <v>298</v>
      </c>
      <c r="D194" s="334" t="s">
        <v>299</v>
      </c>
      <c r="E194" s="178"/>
      <c r="F194" s="362">
        <v>50000</v>
      </c>
      <c r="G194" s="334">
        <f t="shared" si="2"/>
        <v>29591403</v>
      </c>
      <c r="H194" s="183" t="s">
        <v>25</v>
      </c>
      <c r="I194" s="183" t="s">
        <v>259</v>
      </c>
      <c r="J194" s="183" t="s">
        <v>165</v>
      </c>
      <c r="K194" s="183" t="s">
        <v>208</v>
      </c>
      <c r="L194" s="183" t="s">
        <v>414</v>
      </c>
      <c r="N194" s="428"/>
    </row>
    <row r="195" spans="1:16" s="183" customFormat="1" ht="15" customHeight="1">
      <c r="A195" s="330">
        <v>44798</v>
      </c>
      <c r="B195" s="183" t="s">
        <v>296</v>
      </c>
      <c r="C195" s="183" t="s">
        <v>75</v>
      </c>
      <c r="D195" s="429"/>
      <c r="E195" s="440">
        <v>47000</v>
      </c>
      <c r="F195" s="362"/>
      <c r="G195" s="334">
        <f t="shared" si="2"/>
        <v>29638403</v>
      </c>
      <c r="H195" s="183" t="s">
        <v>25</v>
      </c>
    </row>
    <row r="196" spans="1:16" s="183" customFormat="1" ht="15" customHeight="1">
      <c r="A196" s="333">
        <v>44798</v>
      </c>
      <c r="B196" s="183" t="s">
        <v>323</v>
      </c>
      <c r="C196" s="183" t="s">
        <v>180</v>
      </c>
      <c r="D196" s="200" t="s">
        <v>163</v>
      </c>
      <c r="E196" s="178"/>
      <c r="F196" s="362">
        <v>357982</v>
      </c>
      <c r="G196" s="334">
        <f t="shared" si="2"/>
        <v>29280421</v>
      </c>
      <c r="H196" s="183" t="s">
        <v>157</v>
      </c>
      <c r="I196" s="183">
        <v>3667222</v>
      </c>
      <c r="J196" s="183" t="s">
        <v>165</v>
      </c>
      <c r="K196" s="183" t="s">
        <v>209</v>
      </c>
      <c r="L196" s="183" t="s">
        <v>414</v>
      </c>
      <c r="M196" s="178" t="s">
        <v>527</v>
      </c>
      <c r="N196" s="183" t="s">
        <v>422</v>
      </c>
    </row>
    <row r="197" spans="1:16" s="183" customFormat="1" ht="15" customHeight="1">
      <c r="A197" s="333">
        <v>44798</v>
      </c>
      <c r="B197" s="183" t="s">
        <v>440</v>
      </c>
      <c r="C197" s="183" t="s">
        <v>180</v>
      </c>
      <c r="D197" s="183" t="s">
        <v>163</v>
      </c>
      <c r="E197" s="178"/>
      <c r="F197" s="362">
        <v>200000</v>
      </c>
      <c r="G197" s="334">
        <f t="shared" si="2"/>
        <v>29080421</v>
      </c>
      <c r="H197" s="183" t="s">
        <v>157</v>
      </c>
      <c r="I197" s="183">
        <v>3667223</v>
      </c>
      <c r="J197" s="183" t="s">
        <v>102</v>
      </c>
      <c r="K197" s="183" t="s">
        <v>209</v>
      </c>
      <c r="L197" s="183" t="s">
        <v>414</v>
      </c>
      <c r="M197" s="178" t="s">
        <v>528</v>
      </c>
      <c r="N197" s="183" t="s">
        <v>422</v>
      </c>
    </row>
    <row r="198" spans="1:16" s="183" customFormat="1" ht="15" customHeight="1">
      <c r="A198" s="333">
        <v>44798</v>
      </c>
      <c r="B198" s="437" t="s">
        <v>324</v>
      </c>
      <c r="C198" s="183" t="s">
        <v>180</v>
      </c>
      <c r="D198" s="183" t="s">
        <v>2</v>
      </c>
      <c r="E198" s="178"/>
      <c r="F198" s="362">
        <v>350000</v>
      </c>
      <c r="G198" s="334">
        <f t="shared" si="2"/>
        <v>28730421</v>
      </c>
      <c r="H198" s="183" t="s">
        <v>157</v>
      </c>
      <c r="I198" s="183">
        <v>3667224</v>
      </c>
      <c r="J198" s="183" t="s">
        <v>102</v>
      </c>
      <c r="K198" s="183" t="s">
        <v>209</v>
      </c>
      <c r="L198" s="183" t="s">
        <v>414</v>
      </c>
      <c r="M198" s="178" t="s">
        <v>529</v>
      </c>
      <c r="N198" s="183" t="s">
        <v>423</v>
      </c>
      <c r="P198" s="428"/>
    </row>
    <row r="199" spans="1:16" s="183" customFormat="1" ht="15" customHeight="1">
      <c r="A199" s="333">
        <v>44798</v>
      </c>
      <c r="B199" s="183" t="s">
        <v>325</v>
      </c>
      <c r="C199" s="183" t="s">
        <v>180</v>
      </c>
      <c r="D199" s="183" t="s">
        <v>2</v>
      </c>
      <c r="E199" s="178"/>
      <c r="F199" s="362">
        <v>300000</v>
      </c>
      <c r="G199" s="334">
        <f t="shared" si="2"/>
        <v>28430421</v>
      </c>
      <c r="H199" s="183" t="s">
        <v>157</v>
      </c>
      <c r="I199" s="183">
        <v>3667225</v>
      </c>
      <c r="J199" s="183" t="s">
        <v>102</v>
      </c>
      <c r="K199" s="183" t="s">
        <v>209</v>
      </c>
      <c r="L199" s="183" t="s">
        <v>414</v>
      </c>
      <c r="M199" s="178" t="s">
        <v>530</v>
      </c>
      <c r="N199" s="183" t="s">
        <v>423</v>
      </c>
    </row>
    <row r="200" spans="1:16" s="183" customFormat="1" ht="15" customHeight="1">
      <c r="A200" s="333">
        <v>44798</v>
      </c>
      <c r="B200" s="183" t="s">
        <v>416</v>
      </c>
      <c r="C200" s="183" t="s">
        <v>327</v>
      </c>
      <c r="D200" s="183" t="s">
        <v>257</v>
      </c>
      <c r="E200" s="375"/>
      <c r="F200" s="362">
        <v>554257</v>
      </c>
      <c r="G200" s="334">
        <f t="shared" si="2"/>
        <v>27876164</v>
      </c>
      <c r="H200" s="183" t="s">
        <v>113</v>
      </c>
      <c r="I200" s="183" t="s">
        <v>259</v>
      </c>
      <c r="J200" s="183" t="s">
        <v>102</v>
      </c>
      <c r="K200" s="183" t="s">
        <v>209</v>
      </c>
      <c r="L200" s="183" t="s">
        <v>414</v>
      </c>
      <c r="M200" s="178" t="s">
        <v>531</v>
      </c>
      <c r="N200" s="183" t="s">
        <v>418</v>
      </c>
    </row>
    <row r="201" spans="1:16" s="183" customFormat="1" ht="15" customHeight="1">
      <c r="A201" s="330">
        <v>44798</v>
      </c>
      <c r="B201" s="183" t="s">
        <v>417</v>
      </c>
      <c r="C201" s="183" t="s">
        <v>327</v>
      </c>
      <c r="D201" s="183" t="s">
        <v>257</v>
      </c>
      <c r="E201" s="366"/>
      <c r="F201" s="362">
        <v>298113</v>
      </c>
      <c r="G201" s="334">
        <f t="shared" si="2"/>
        <v>27578051</v>
      </c>
      <c r="H201" s="183" t="s">
        <v>113</v>
      </c>
      <c r="I201" s="183" t="s">
        <v>259</v>
      </c>
      <c r="J201" s="183" t="s">
        <v>165</v>
      </c>
      <c r="K201" s="183" t="s">
        <v>209</v>
      </c>
      <c r="L201" s="183" t="s">
        <v>414</v>
      </c>
      <c r="M201" s="178" t="s">
        <v>532</v>
      </c>
      <c r="N201" s="183" t="s">
        <v>418</v>
      </c>
    </row>
    <row r="202" spans="1:16" s="183" customFormat="1" ht="15" customHeight="1">
      <c r="A202" s="333">
        <v>44798</v>
      </c>
      <c r="B202" s="183" t="s">
        <v>347</v>
      </c>
      <c r="C202" s="183" t="s">
        <v>75</v>
      </c>
      <c r="D202" s="429"/>
      <c r="E202" s="178"/>
      <c r="F202" s="387">
        <v>47000</v>
      </c>
      <c r="G202" s="334">
        <f t="shared" si="2"/>
        <v>27531051</v>
      </c>
      <c r="H202" s="183" t="s">
        <v>47</v>
      </c>
    </row>
    <row r="203" spans="1:16" s="183" customFormat="1" ht="15" customHeight="1">
      <c r="A203" s="442">
        <v>44799</v>
      </c>
      <c r="B203" s="438" t="s">
        <v>408</v>
      </c>
      <c r="C203" s="183" t="s">
        <v>34</v>
      </c>
      <c r="D203" s="183" t="s">
        <v>4</v>
      </c>
      <c r="E203" s="431"/>
      <c r="F203" s="422">
        <v>5000</v>
      </c>
      <c r="G203" s="334">
        <f t="shared" si="2"/>
        <v>27526051</v>
      </c>
      <c r="H203" s="183" t="s">
        <v>29</v>
      </c>
      <c r="I203" s="183" t="s">
        <v>259</v>
      </c>
      <c r="J203" s="183" t="s">
        <v>165</v>
      </c>
      <c r="K203" s="183" t="s">
        <v>209</v>
      </c>
      <c r="L203" s="183" t="s">
        <v>414</v>
      </c>
      <c r="M203" s="178" t="s">
        <v>533</v>
      </c>
      <c r="N203" s="183" t="s">
        <v>430</v>
      </c>
    </row>
    <row r="204" spans="1:16" s="183" customFormat="1" ht="15" customHeight="1">
      <c r="A204" s="333">
        <v>44799</v>
      </c>
      <c r="B204" s="200" t="s">
        <v>300</v>
      </c>
      <c r="C204" s="183" t="s">
        <v>224</v>
      </c>
      <c r="D204" s="183" t="s">
        <v>257</v>
      </c>
      <c r="E204" s="178"/>
      <c r="F204" s="362">
        <v>1920</v>
      </c>
      <c r="G204" s="334">
        <f t="shared" si="2"/>
        <v>27524131</v>
      </c>
      <c r="H204" s="183" t="s">
        <v>25</v>
      </c>
      <c r="I204" s="183" t="s">
        <v>259</v>
      </c>
      <c r="J204" s="183" t="s">
        <v>165</v>
      </c>
      <c r="K204" s="183" t="s">
        <v>209</v>
      </c>
      <c r="L204" s="183" t="s">
        <v>414</v>
      </c>
      <c r="M204" s="178" t="s">
        <v>534</v>
      </c>
      <c r="N204" s="183" t="s">
        <v>415</v>
      </c>
    </row>
    <row r="205" spans="1:16" s="183" customFormat="1" ht="15" customHeight="1">
      <c r="A205" s="333">
        <v>44799</v>
      </c>
      <c r="B205" s="183" t="s">
        <v>93</v>
      </c>
      <c r="C205" s="183" t="s">
        <v>75</v>
      </c>
      <c r="E205" s="178"/>
      <c r="F205" s="362">
        <v>10000</v>
      </c>
      <c r="G205" s="334">
        <f t="shared" si="2"/>
        <v>27514131</v>
      </c>
      <c r="H205" s="183" t="s">
        <v>25</v>
      </c>
    </row>
    <row r="206" spans="1:16" s="183" customFormat="1" ht="15" customHeight="1">
      <c r="A206" s="333">
        <v>44799</v>
      </c>
      <c r="B206" s="423" t="s">
        <v>30</v>
      </c>
      <c r="C206" s="183" t="s">
        <v>75</v>
      </c>
      <c r="E206" s="178"/>
      <c r="F206" s="362">
        <v>64000</v>
      </c>
      <c r="G206" s="334">
        <f t="shared" ref="G206:G231" si="3">+G205+E206-F206</f>
        <v>27450131</v>
      </c>
      <c r="H206" s="183" t="s">
        <v>25</v>
      </c>
    </row>
    <row r="207" spans="1:16" s="183" customFormat="1" ht="15" customHeight="1">
      <c r="A207" s="427">
        <v>44799</v>
      </c>
      <c r="B207" s="183" t="s">
        <v>301</v>
      </c>
      <c r="C207" s="331" t="s">
        <v>3</v>
      </c>
      <c r="D207" s="183" t="s">
        <v>257</v>
      </c>
      <c r="E207" s="178"/>
      <c r="F207" s="362">
        <v>75625</v>
      </c>
      <c r="G207" s="334">
        <f t="shared" si="3"/>
        <v>27374506</v>
      </c>
      <c r="H207" s="183" t="s">
        <v>25</v>
      </c>
      <c r="I207" s="183" t="s">
        <v>259</v>
      </c>
      <c r="J207" s="183" t="s">
        <v>165</v>
      </c>
      <c r="K207" s="183" t="s">
        <v>208</v>
      </c>
      <c r="L207" s="183" t="s">
        <v>414</v>
      </c>
    </row>
    <row r="208" spans="1:16" s="183" customFormat="1" ht="15" customHeight="1">
      <c r="A208" s="330">
        <v>44799</v>
      </c>
      <c r="B208" s="183" t="s">
        <v>307</v>
      </c>
      <c r="C208" s="183" t="s">
        <v>308</v>
      </c>
      <c r="D208" s="434"/>
      <c r="E208" s="435">
        <v>6318119</v>
      </c>
      <c r="F208" s="362"/>
      <c r="G208" s="334">
        <f t="shared" si="3"/>
        <v>33692625</v>
      </c>
      <c r="H208" s="183" t="s">
        <v>24</v>
      </c>
      <c r="I208" s="183" t="s">
        <v>304</v>
      </c>
      <c r="J208" s="183" t="s">
        <v>165</v>
      </c>
      <c r="L208" s="183" t="s">
        <v>414</v>
      </c>
    </row>
    <row r="209" spans="1:15" s="183" customFormat="1" ht="15" customHeight="1">
      <c r="A209" s="330">
        <v>44799</v>
      </c>
      <c r="B209" s="183" t="s">
        <v>546</v>
      </c>
      <c r="C209" s="183" t="s">
        <v>308</v>
      </c>
      <c r="D209" s="434"/>
      <c r="E209" s="435">
        <v>6318118</v>
      </c>
      <c r="F209" s="362"/>
      <c r="G209" s="334">
        <f t="shared" ref="G209" si="4">+G208+E209-F209</f>
        <v>40010743</v>
      </c>
      <c r="H209" s="183" t="s">
        <v>24</v>
      </c>
      <c r="I209" s="183" t="s">
        <v>304</v>
      </c>
      <c r="J209" s="183" t="s">
        <v>547</v>
      </c>
      <c r="L209" s="183" t="s">
        <v>414</v>
      </c>
    </row>
    <row r="210" spans="1:15" s="183" customFormat="1" ht="15" customHeight="1">
      <c r="A210" s="330">
        <v>44799</v>
      </c>
      <c r="B210" s="331" t="s">
        <v>409</v>
      </c>
      <c r="C210" s="183" t="s">
        <v>156</v>
      </c>
      <c r="D210" s="183" t="s">
        <v>4</v>
      </c>
      <c r="E210" s="374"/>
      <c r="F210" s="388">
        <v>60000</v>
      </c>
      <c r="G210" s="334">
        <f>+G208+E210-F210</f>
        <v>33632625</v>
      </c>
      <c r="H210" s="332" t="s">
        <v>29</v>
      </c>
      <c r="I210" s="183" t="s">
        <v>259</v>
      </c>
      <c r="J210" s="183" t="s">
        <v>165</v>
      </c>
      <c r="K210" s="183" t="s">
        <v>209</v>
      </c>
      <c r="L210" s="183" t="s">
        <v>414</v>
      </c>
      <c r="M210" s="178" t="s">
        <v>535</v>
      </c>
      <c r="N210" s="183" t="s">
        <v>431</v>
      </c>
    </row>
    <row r="211" spans="1:15" s="183" customFormat="1" ht="15" customHeight="1">
      <c r="A211" s="333">
        <v>44799</v>
      </c>
      <c r="B211" s="437" t="s">
        <v>352</v>
      </c>
      <c r="C211" s="183" t="s">
        <v>75</v>
      </c>
      <c r="D211" s="200"/>
      <c r="E211" s="178">
        <v>10000</v>
      </c>
      <c r="F211" s="362"/>
      <c r="G211" s="334">
        <f t="shared" si="3"/>
        <v>33642625</v>
      </c>
      <c r="H211" s="183" t="s">
        <v>93</v>
      </c>
    </row>
    <row r="212" spans="1:15" s="183" customFormat="1" ht="15" customHeight="1">
      <c r="A212" s="333">
        <v>44799</v>
      </c>
      <c r="B212" s="183" t="s">
        <v>368</v>
      </c>
      <c r="C212" s="183" t="s">
        <v>75</v>
      </c>
      <c r="E212" s="178">
        <v>64000</v>
      </c>
      <c r="F212" s="387"/>
      <c r="G212" s="334">
        <f t="shared" si="3"/>
        <v>33706625</v>
      </c>
      <c r="H212" s="183" t="s">
        <v>48</v>
      </c>
    </row>
    <row r="213" spans="1:15" s="183" customFormat="1" ht="15" customHeight="1">
      <c r="A213" s="333">
        <v>44800</v>
      </c>
      <c r="B213" s="183" t="s">
        <v>388</v>
      </c>
      <c r="C213" s="183" t="s">
        <v>34</v>
      </c>
      <c r="D213" s="183" t="s">
        <v>4</v>
      </c>
      <c r="E213" s="375"/>
      <c r="F213" s="389">
        <v>15000</v>
      </c>
      <c r="G213" s="334">
        <f t="shared" si="3"/>
        <v>33691625</v>
      </c>
      <c r="H213" s="183" t="s">
        <v>48</v>
      </c>
      <c r="I213" s="183" t="s">
        <v>259</v>
      </c>
      <c r="J213" s="183" t="s">
        <v>165</v>
      </c>
      <c r="K213" s="183" t="s">
        <v>209</v>
      </c>
      <c r="L213" s="183" t="s">
        <v>414</v>
      </c>
      <c r="M213" s="178" t="s">
        <v>536</v>
      </c>
      <c r="N213" s="183" t="s">
        <v>430</v>
      </c>
    </row>
    <row r="214" spans="1:15" s="183" customFormat="1" ht="15" customHeight="1">
      <c r="A214" s="333">
        <v>44800</v>
      </c>
      <c r="B214" s="183" t="s">
        <v>389</v>
      </c>
      <c r="C214" s="183" t="s">
        <v>226</v>
      </c>
      <c r="D214" s="183" t="s">
        <v>4</v>
      </c>
      <c r="E214" s="375"/>
      <c r="F214" s="362">
        <v>28000</v>
      </c>
      <c r="G214" s="334">
        <f t="shared" si="3"/>
        <v>33663625</v>
      </c>
      <c r="H214" s="183" t="s">
        <v>48</v>
      </c>
      <c r="I214" s="183" t="s">
        <v>270</v>
      </c>
      <c r="J214" s="183" t="s">
        <v>165</v>
      </c>
      <c r="K214" s="183" t="s">
        <v>208</v>
      </c>
      <c r="L214" s="183" t="s">
        <v>414</v>
      </c>
    </row>
    <row r="215" spans="1:15" s="183" customFormat="1" ht="15" customHeight="1">
      <c r="A215" s="330">
        <v>44800</v>
      </c>
      <c r="B215" s="183" t="s">
        <v>410</v>
      </c>
      <c r="C215" s="183" t="s">
        <v>226</v>
      </c>
      <c r="D215" s="183" t="s">
        <v>4</v>
      </c>
      <c r="E215" s="366"/>
      <c r="F215" s="192">
        <v>37000</v>
      </c>
      <c r="G215" s="334">
        <f t="shared" si="3"/>
        <v>33626625</v>
      </c>
      <c r="H215" s="183" t="s">
        <v>29</v>
      </c>
      <c r="I215" s="183" t="s">
        <v>270</v>
      </c>
      <c r="J215" s="183" t="s">
        <v>165</v>
      </c>
      <c r="K215" s="183" t="s">
        <v>208</v>
      </c>
      <c r="L215" s="183" t="s">
        <v>414</v>
      </c>
    </row>
    <row r="216" spans="1:15" s="183" customFormat="1" ht="18.75" customHeight="1">
      <c r="A216" s="333">
        <v>44801</v>
      </c>
      <c r="B216" s="183" t="s">
        <v>443</v>
      </c>
      <c r="C216" s="183" t="s">
        <v>156</v>
      </c>
      <c r="D216" s="183" t="s">
        <v>4</v>
      </c>
      <c r="E216" s="178"/>
      <c r="F216" s="422">
        <v>60000</v>
      </c>
      <c r="G216" s="334">
        <f t="shared" si="3"/>
        <v>33566625</v>
      </c>
      <c r="H216" s="183" t="s">
        <v>48</v>
      </c>
      <c r="I216" s="183" t="s">
        <v>259</v>
      </c>
      <c r="J216" s="183" t="s">
        <v>165</v>
      </c>
      <c r="K216" s="183" t="s">
        <v>209</v>
      </c>
      <c r="L216" s="183" t="s">
        <v>414</v>
      </c>
      <c r="M216" s="178" t="s">
        <v>537</v>
      </c>
      <c r="N216" s="183" t="s">
        <v>431</v>
      </c>
    </row>
    <row r="217" spans="1:15" s="183" customFormat="1" ht="15" customHeight="1">
      <c r="A217" s="333">
        <v>44801</v>
      </c>
      <c r="B217" s="183" t="s">
        <v>390</v>
      </c>
      <c r="C217" s="183" t="s">
        <v>34</v>
      </c>
      <c r="D217" s="183" t="s">
        <v>4</v>
      </c>
      <c r="E217" s="178"/>
      <c r="F217" s="422">
        <v>83000</v>
      </c>
      <c r="G217" s="334">
        <f t="shared" si="3"/>
        <v>33483625</v>
      </c>
      <c r="H217" s="183" t="s">
        <v>48</v>
      </c>
      <c r="I217" s="183" t="s">
        <v>270</v>
      </c>
      <c r="J217" s="183" t="s">
        <v>165</v>
      </c>
      <c r="K217" s="183" t="s">
        <v>209</v>
      </c>
      <c r="L217" s="183" t="s">
        <v>414</v>
      </c>
      <c r="M217" s="178" t="s">
        <v>538</v>
      </c>
      <c r="N217" s="183" t="s">
        <v>430</v>
      </c>
    </row>
    <row r="218" spans="1:15" s="183" customFormat="1" ht="15" customHeight="1">
      <c r="A218" s="333">
        <v>44801</v>
      </c>
      <c r="B218" s="183" t="s">
        <v>411</v>
      </c>
      <c r="C218" s="183" t="s">
        <v>156</v>
      </c>
      <c r="D218" s="183" t="s">
        <v>4</v>
      </c>
      <c r="E218" s="375"/>
      <c r="F218" s="389">
        <v>30000</v>
      </c>
      <c r="G218" s="334">
        <f t="shared" si="3"/>
        <v>33453625</v>
      </c>
      <c r="H218" s="183" t="s">
        <v>29</v>
      </c>
      <c r="I218" s="183" t="s">
        <v>259</v>
      </c>
      <c r="J218" s="183" t="s">
        <v>165</v>
      </c>
      <c r="K218" s="183" t="s">
        <v>209</v>
      </c>
      <c r="L218" s="183" t="s">
        <v>414</v>
      </c>
      <c r="M218" s="178" t="s">
        <v>539</v>
      </c>
      <c r="N218" s="183" t="s">
        <v>431</v>
      </c>
    </row>
    <row r="219" spans="1:15" s="183" customFormat="1" ht="15" customHeight="1">
      <c r="A219" s="333">
        <v>44801</v>
      </c>
      <c r="B219" s="437" t="s">
        <v>412</v>
      </c>
      <c r="C219" s="183" t="s">
        <v>34</v>
      </c>
      <c r="D219" s="183" t="s">
        <v>4</v>
      </c>
      <c r="E219" s="366"/>
      <c r="F219" s="422">
        <v>10000</v>
      </c>
      <c r="G219" s="334">
        <f t="shared" si="3"/>
        <v>33443625</v>
      </c>
      <c r="H219" s="183" t="s">
        <v>29</v>
      </c>
      <c r="I219" s="183" t="s">
        <v>259</v>
      </c>
      <c r="J219" s="183" t="s">
        <v>165</v>
      </c>
      <c r="K219" s="183" t="s">
        <v>209</v>
      </c>
      <c r="L219" s="183" t="s">
        <v>414</v>
      </c>
      <c r="M219" s="178" t="s">
        <v>540</v>
      </c>
      <c r="N219" s="183" t="s">
        <v>430</v>
      </c>
    </row>
    <row r="220" spans="1:15" s="183" customFormat="1" ht="15" customHeight="1">
      <c r="A220" s="333">
        <v>44801</v>
      </c>
      <c r="B220" s="183" t="s">
        <v>413</v>
      </c>
      <c r="C220" s="183" t="s">
        <v>34</v>
      </c>
      <c r="D220" s="183" t="s">
        <v>4</v>
      </c>
      <c r="E220" s="375"/>
      <c r="F220" s="422">
        <v>84800</v>
      </c>
      <c r="G220" s="334">
        <f t="shared" si="3"/>
        <v>33358825</v>
      </c>
      <c r="H220" s="183" t="s">
        <v>29</v>
      </c>
      <c r="I220" s="183" t="s">
        <v>270</v>
      </c>
      <c r="J220" s="183" t="s">
        <v>165</v>
      </c>
      <c r="K220" s="183" t="s">
        <v>209</v>
      </c>
      <c r="L220" s="183" t="s">
        <v>414</v>
      </c>
      <c r="M220" s="178" t="s">
        <v>541</v>
      </c>
      <c r="N220" s="183" t="s">
        <v>430</v>
      </c>
    </row>
    <row r="221" spans="1:15" s="183" customFormat="1" ht="15" customHeight="1">
      <c r="A221" s="333">
        <v>44802</v>
      </c>
      <c r="B221" s="183" t="s">
        <v>328</v>
      </c>
      <c r="C221" s="183" t="s">
        <v>329</v>
      </c>
      <c r="D221" s="183" t="s">
        <v>2</v>
      </c>
      <c r="E221" s="366"/>
      <c r="F221" s="362">
        <v>24651</v>
      </c>
      <c r="G221" s="334">
        <f t="shared" si="3"/>
        <v>33334174</v>
      </c>
      <c r="H221" s="183" t="s">
        <v>113</v>
      </c>
      <c r="I221" s="183" t="s">
        <v>259</v>
      </c>
      <c r="J221" s="183" t="s">
        <v>165</v>
      </c>
      <c r="K221" s="183" t="s">
        <v>208</v>
      </c>
      <c r="L221" s="183" t="s">
        <v>414</v>
      </c>
    </row>
    <row r="222" spans="1:15" s="183" customFormat="1" ht="15" customHeight="1">
      <c r="A222" s="333">
        <v>44803</v>
      </c>
      <c r="B222" s="429" t="s">
        <v>302</v>
      </c>
      <c r="C222" s="183" t="s">
        <v>139</v>
      </c>
      <c r="D222" s="183" t="s">
        <v>257</v>
      </c>
      <c r="E222" s="178"/>
      <c r="F222" s="362">
        <v>45050</v>
      </c>
      <c r="G222" s="334">
        <f t="shared" si="3"/>
        <v>33289124</v>
      </c>
      <c r="H222" s="183" t="s">
        <v>25</v>
      </c>
      <c r="I222" s="183" t="s">
        <v>259</v>
      </c>
      <c r="J222" s="183" t="s">
        <v>165</v>
      </c>
      <c r="K222" s="183" t="s">
        <v>209</v>
      </c>
      <c r="L222" s="183" t="s">
        <v>414</v>
      </c>
      <c r="M222" s="178" t="s">
        <v>542</v>
      </c>
      <c r="N222" s="183" t="s">
        <v>419</v>
      </c>
    </row>
    <row r="223" spans="1:15" s="183" customFormat="1" ht="15" customHeight="1">
      <c r="A223" s="427">
        <v>44803</v>
      </c>
      <c r="B223" s="183" t="s">
        <v>29</v>
      </c>
      <c r="C223" s="183" t="s">
        <v>75</v>
      </c>
      <c r="E223" s="430"/>
      <c r="F223" s="362">
        <v>15000</v>
      </c>
      <c r="G223" s="334">
        <f t="shared" si="3"/>
        <v>33274124</v>
      </c>
      <c r="H223" s="183" t="s">
        <v>25</v>
      </c>
      <c r="O223" s="428"/>
    </row>
    <row r="224" spans="1:15" s="183" customFormat="1" ht="15" customHeight="1">
      <c r="A224" s="333">
        <v>44803</v>
      </c>
      <c r="B224" s="183" t="s">
        <v>393</v>
      </c>
      <c r="C224" s="183" t="s">
        <v>75</v>
      </c>
      <c r="E224" s="375">
        <v>15000</v>
      </c>
      <c r="F224" s="362"/>
      <c r="G224" s="334">
        <f t="shared" si="3"/>
        <v>33289124</v>
      </c>
      <c r="H224" s="183" t="s">
        <v>29</v>
      </c>
      <c r="N224" s="428"/>
    </row>
    <row r="225" spans="1:16" s="183" customFormat="1">
      <c r="A225" s="442">
        <v>44804</v>
      </c>
      <c r="B225" s="445" t="s">
        <v>367</v>
      </c>
      <c r="C225" s="183" t="s">
        <v>34</v>
      </c>
      <c r="D225" s="183" t="s">
        <v>163</v>
      </c>
      <c r="E225" s="431"/>
      <c r="F225" s="446">
        <v>21500</v>
      </c>
      <c r="G225" s="334">
        <f t="shared" si="3"/>
        <v>33267624</v>
      </c>
      <c r="H225" s="432" t="s">
        <v>207</v>
      </c>
      <c r="I225" s="183" t="s">
        <v>270</v>
      </c>
      <c r="J225" s="183" t="s">
        <v>165</v>
      </c>
      <c r="K225" s="183" t="s">
        <v>209</v>
      </c>
      <c r="L225" s="183" t="s">
        <v>414</v>
      </c>
      <c r="M225" s="178" t="s">
        <v>543</v>
      </c>
      <c r="N225" s="183" t="s">
        <v>430</v>
      </c>
    </row>
    <row r="226" spans="1:16" s="183" customFormat="1">
      <c r="A226" s="333">
        <v>44804</v>
      </c>
      <c r="B226" s="429" t="s">
        <v>303</v>
      </c>
      <c r="C226" s="183" t="s">
        <v>75</v>
      </c>
      <c r="E226" s="178">
        <v>1550</v>
      </c>
      <c r="F226" s="362"/>
      <c r="G226" s="334">
        <f t="shared" si="3"/>
        <v>33269174</v>
      </c>
      <c r="H226" s="183" t="s">
        <v>25</v>
      </c>
    </row>
    <row r="227" spans="1:16" s="183" customFormat="1">
      <c r="A227" s="330">
        <v>44804</v>
      </c>
      <c r="B227" s="331" t="s">
        <v>428</v>
      </c>
      <c r="C227" s="331" t="s">
        <v>3</v>
      </c>
      <c r="D227" s="183" t="s">
        <v>257</v>
      </c>
      <c r="E227" s="374"/>
      <c r="F227" s="418">
        <v>20000</v>
      </c>
      <c r="G227" s="334">
        <f t="shared" si="3"/>
        <v>33249174</v>
      </c>
      <c r="H227" s="332" t="s">
        <v>25</v>
      </c>
      <c r="I227" s="183" t="s">
        <v>259</v>
      </c>
      <c r="J227" s="183" t="s">
        <v>165</v>
      </c>
      <c r="K227" s="183" t="s">
        <v>208</v>
      </c>
      <c r="L227" s="183" t="s">
        <v>414</v>
      </c>
    </row>
    <row r="228" spans="1:16" s="183" customFormat="1">
      <c r="A228" s="333">
        <v>44804</v>
      </c>
      <c r="B228" s="183" t="s">
        <v>310</v>
      </c>
      <c r="C228" s="331" t="s">
        <v>3</v>
      </c>
      <c r="D228" s="183" t="s">
        <v>257</v>
      </c>
      <c r="E228" s="178"/>
      <c r="F228" s="362">
        <v>260000</v>
      </c>
      <c r="G228" s="334">
        <f t="shared" si="3"/>
        <v>32989174</v>
      </c>
      <c r="H228" s="183" t="s">
        <v>24</v>
      </c>
      <c r="I228" s="183">
        <v>3654496</v>
      </c>
      <c r="J228" s="183" t="s">
        <v>165</v>
      </c>
      <c r="K228" s="183" t="s">
        <v>208</v>
      </c>
      <c r="L228" s="183" t="s">
        <v>414</v>
      </c>
    </row>
    <row r="229" spans="1:16" s="183" customFormat="1">
      <c r="A229" s="333">
        <v>44804</v>
      </c>
      <c r="B229" s="183" t="s">
        <v>330</v>
      </c>
      <c r="C229" s="183" t="s">
        <v>34</v>
      </c>
      <c r="D229" s="183" t="s">
        <v>2</v>
      </c>
      <c r="E229" s="178"/>
      <c r="F229" s="362">
        <v>2000</v>
      </c>
      <c r="G229" s="334">
        <f t="shared" si="3"/>
        <v>32987174</v>
      </c>
      <c r="H229" s="183" t="s">
        <v>113</v>
      </c>
      <c r="I229" s="183" t="s">
        <v>270</v>
      </c>
      <c r="J229" s="183" t="s">
        <v>165</v>
      </c>
      <c r="K229" s="183" t="s">
        <v>209</v>
      </c>
      <c r="L229" s="183" t="s">
        <v>414</v>
      </c>
      <c r="M229" s="178" t="s">
        <v>544</v>
      </c>
      <c r="N229" s="183" t="s">
        <v>430</v>
      </c>
    </row>
    <row r="230" spans="1:16" s="183" customFormat="1">
      <c r="A230" s="330">
        <v>44804</v>
      </c>
      <c r="B230" s="331" t="s">
        <v>353</v>
      </c>
      <c r="C230" s="183" t="s">
        <v>34</v>
      </c>
      <c r="D230" s="183" t="s">
        <v>2</v>
      </c>
      <c r="E230" s="374"/>
      <c r="F230" s="388">
        <v>19000</v>
      </c>
      <c r="G230" s="334">
        <f t="shared" si="3"/>
        <v>32968174</v>
      </c>
      <c r="H230" s="332" t="s">
        <v>93</v>
      </c>
      <c r="I230" s="183" t="s">
        <v>270</v>
      </c>
      <c r="J230" s="183" t="s">
        <v>165</v>
      </c>
      <c r="K230" s="183" t="s">
        <v>209</v>
      </c>
      <c r="L230" s="183" t="s">
        <v>414</v>
      </c>
      <c r="M230" s="178" t="s">
        <v>545</v>
      </c>
      <c r="N230" s="183" t="s">
        <v>430</v>
      </c>
    </row>
    <row r="231" spans="1:16" s="183" customFormat="1">
      <c r="A231" s="333">
        <v>44804</v>
      </c>
      <c r="B231" s="183" t="s">
        <v>391</v>
      </c>
      <c r="C231" s="183" t="s">
        <v>75</v>
      </c>
      <c r="E231" s="375"/>
      <c r="F231" s="389">
        <v>1550</v>
      </c>
      <c r="G231" s="334">
        <f t="shared" si="3"/>
        <v>32966624</v>
      </c>
      <c r="H231" s="183" t="s">
        <v>48</v>
      </c>
    </row>
    <row r="232" spans="1:16" s="183" customFormat="1">
      <c r="A232" s="333"/>
      <c r="E232" s="366"/>
      <c r="F232" s="422"/>
      <c r="G232" s="334"/>
    </row>
    <row r="233" spans="1:16" s="183" customFormat="1">
      <c r="A233" s="442"/>
      <c r="B233" s="438"/>
      <c r="C233" s="438"/>
      <c r="E233" s="178"/>
      <c r="F233" s="446"/>
      <c r="G233" s="334"/>
      <c r="H233" s="432"/>
    </row>
    <row r="234" spans="1:16" s="183" customFormat="1">
      <c r="A234" s="442"/>
      <c r="E234" s="178"/>
      <c r="F234" s="447"/>
      <c r="G234" s="334"/>
      <c r="H234" s="432"/>
    </row>
    <row r="235" spans="1:16" s="183" customFormat="1">
      <c r="A235" s="333"/>
      <c r="E235" s="375"/>
      <c r="F235" s="422"/>
      <c r="G235" s="334"/>
    </row>
    <row r="236" spans="1:16" s="183" customFormat="1">
      <c r="A236" s="333"/>
      <c r="E236" s="178"/>
      <c r="F236" s="362"/>
      <c r="G236" s="334"/>
    </row>
    <row r="237" spans="1:16" s="183" customFormat="1">
      <c r="A237" s="333"/>
      <c r="E237" s="178"/>
      <c r="F237" s="362"/>
      <c r="G237" s="334"/>
    </row>
    <row r="238" spans="1:16" s="183" customFormat="1">
      <c r="A238" s="412"/>
      <c r="B238" s="343"/>
      <c r="C238" s="343"/>
      <c r="D238" s="343"/>
      <c r="E238" s="413"/>
      <c r="F238" s="414"/>
      <c r="G238" s="334"/>
      <c r="H238" s="343"/>
      <c r="I238" s="343"/>
      <c r="J238" s="343"/>
      <c r="K238" s="343"/>
      <c r="L238" s="343"/>
      <c r="N238" s="424"/>
      <c r="O238" s="343"/>
      <c r="P238" s="343"/>
    </row>
    <row r="239" spans="1:16" s="183" customFormat="1">
      <c r="A239" s="412"/>
      <c r="B239" s="343"/>
      <c r="C239" s="343"/>
      <c r="D239" s="436"/>
      <c r="E239" s="413"/>
      <c r="F239" s="426"/>
      <c r="G239" s="334"/>
      <c r="H239" s="343"/>
      <c r="I239" s="343"/>
      <c r="J239" s="343"/>
      <c r="K239" s="343"/>
      <c r="L239" s="343"/>
      <c r="N239" s="343"/>
      <c r="O239" s="343"/>
      <c r="P239" s="343"/>
    </row>
    <row r="240" spans="1:16" s="183" customFormat="1">
      <c r="A240" s="412"/>
      <c r="B240" s="436"/>
      <c r="C240" s="343"/>
      <c r="E240" s="416"/>
      <c r="F240" s="417"/>
      <c r="G240" s="334"/>
      <c r="H240" s="343"/>
      <c r="J240" s="343"/>
      <c r="K240" s="343"/>
      <c r="L240" s="343"/>
      <c r="N240" s="343"/>
      <c r="O240" s="343"/>
      <c r="P240" s="343"/>
    </row>
    <row r="241" spans="1:16" s="183" customFormat="1">
      <c r="A241" s="412"/>
      <c r="B241" s="343"/>
      <c r="C241" s="343"/>
      <c r="D241" s="343"/>
      <c r="E241" s="413"/>
      <c r="F241" s="426"/>
      <c r="G241" s="334"/>
      <c r="H241" s="343"/>
      <c r="I241" s="343"/>
      <c r="J241" s="343"/>
      <c r="K241" s="343"/>
      <c r="L241" s="343"/>
      <c r="M241" s="343"/>
      <c r="N241" s="343"/>
      <c r="O241" s="343"/>
      <c r="P241" s="343"/>
    </row>
    <row r="242" spans="1:16" s="183" customFormat="1">
      <c r="A242" s="412"/>
      <c r="B242" s="343"/>
      <c r="C242" s="343"/>
      <c r="D242" s="343"/>
      <c r="E242" s="413"/>
      <c r="F242" s="426"/>
      <c r="G242" s="334"/>
      <c r="H242" s="343"/>
      <c r="J242" s="343"/>
      <c r="K242" s="343"/>
      <c r="L242" s="343"/>
      <c r="N242" s="343"/>
      <c r="O242" s="343"/>
      <c r="P242" s="343"/>
    </row>
    <row r="243" spans="1:16" s="183" customFormat="1">
      <c r="A243" s="412"/>
      <c r="B243" s="343"/>
      <c r="C243" s="343"/>
      <c r="D243" s="343"/>
      <c r="E243" s="416"/>
      <c r="F243" s="417"/>
      <c r="G243" s="334"/>
      <c r="H243" s="343"/>
      <c r="I243" s="343"/>
      <c r="J243" s="343"/>
      <c r="K243" s="343"/>
      <c r="L243" s="343"/>
      <c r="N243" s="343"/>
      <c r="O243" s="343"/>
      <c r="P243" s="343"/>
    </row>
    <row r="244" spans="1:16" s="183" customFormat="1">
      <c r="A244" s="412"/>
      <c r="B244" s="436"/>
      <c r="C244" s="343"/>
      <c r="D244" s="425"/>
      <c r="E244" s="416"/>
      <c r="F244" s="417"/>
      <c r="G244" s="334"/>
      <c r="H244" s="343"/>
      <c r="I244" s="343"/>
      <c r="J244" s="343"/>
      <c r="K244" s="343"/>
      <c r="L244" s="343"/>
      <c r="M244" s="343"/>
      <c r="N244" s="343"/>
      <c r="O244" s="343"/>
      <c r="P244" s="343"/>
    </row>
    <row r="245" spans="1:16" s="343" customFormat="1" ht="15" customHeight="1">
      <c r="A245" s="333"/>
      <c r="B245" s="183"/>
      <c r="C245" s="183"/>
      <c r="D245" s="183"/>
      <c r="E245" s="366"/>
      <c r="F245" s="192"/>
      <c r="G245" s="334"/>
      <c r="H245" s="183"/>
      <c r="I245" s="183"/>
      <c r="J245" s="183"/>
      <c r="K245" s="183"/>
      <c r="L245" s="183"/>
      <c r="M245" s="183"/>
      <c r="N245" s="183"/>
      <c r="O245" s="183"/>
      <c r="P245" s="183"/>
    </row>
    <row r="246" spans="1:16" s="343" customFormat="1" ht="15" customHeight="1">
      <c r="A246" s="330"/>
      <c r="B246" s="331"/>
      <c r="C246" s="183"/>
      <c r="D246" s="183"/>
      <c r="E246" s="374"/>
      <c r="F246" s="388"/>
      <c r="G246" s="334"/>
      <c r="H246" s="332"/>
      <c r="I246" s="183"/>
      <c r="J246" s="183"/>
      <c r="K246" s="183"/>
      <c r="L246" s="183"/>
      <c r="M246" s="183"/>
      <c r="N246" s="183"/>
      <c r="O246" s="183"/>
      <c r="P246" s="183"/>
    </row>
    <row r="247" spans="1:16" s="343" customFormat="1" ht="15" customHeight="1">
      <c r="A247" s="330"/>
      <c r="B247" s="331"/>
      <c r="C247" s="183"/>
      <c r="D247" s="183"/>
      <c r="E247" s="374"/>
      <c r="F247" s="418"/>
      <c r="G247" s="334"/>
      <c r="H247" s="332"/>
      <c r="I247" s="183"/>
      <c r="J247" s="183"/>
      <c r="K247" s="183"/>
      <c r="L247" s="183"/>
      <c r="M247" s="183"/>
      <c r="N247" s="183"/>
      <c r="O247" s="183"/>
      <c r="P247" s="183"/>
    </row>
    <row r="248" spans="1:16" s="343" customFormat="1" ht="15" customHeight="1">
      <c r="A248" s="330"/>
      <c r="B248" s="183"/>
      <c r="C248" s="183"/>
      <c r="E248" s="366"/>
      <c r="F248" s="192"/>
      <c r="G248" s="334"/>
      <c r="H248" s="183"/>
      <c r="I248" s="183"/>
      <c r="J248" s="183"/>
      <c r="K248" s="183"/>
      <c r="L248" s="183"/>
      <c r="O248" s="183"/>
      <c r="P248" s="183"/>
    </row>
    <row r="249" spans="1:16" s="183" customFormat="1" ht="15" customHeight="1">
      <c r="A249" s="330"/>
      <c r="D249" s="448"/>
      <c r="E249" s="366"/>
      <c r="F249" s="362"/>
      <c r="G249" s="334"/>
      <c r="H249" s="432"/>
    </row>
    <row r="250" spans="1:16" s="343" customFormat="1" ht="15" customHeight="1">
      <c r="A250" s="333"/>
      <c r="B250" s="183"/>
      <c r="C250" s="183"/>
      <c r="D250" s="183"/>
      <c r="E250" s="375"/>
      <c r="F250" s="422"/>
      <c r="G250" s="334"/>
      <c r="H250" s="183"/>
      <c r="I250" s="183"/>
      <c r="J250" s="183"/>
      <c r="K250" s="183"/>
      <c r="L250" s="183"/>
      <c r="M250" s="183"/>
      <c r="N250" s="183"/>
      <c r="O250" s="183"/>
      <c r="P250" s="183"/>
    </row>
    <row r="251" spans="1:16" s="183" customFormat="1" ht="15" customHeight="1">
      <c r="A251" s="333"/>
      <c r="D251" s="429"/>
      <c r="E251" s="178"/>
      <c r="F251" s="387"/>
      <c r="G251" s="334"/>
    </row>
    <row r="252" spans="1:16" s="343" customFormat="1" ht="15" customHeight="1">
      <c r="A252" s="330"/>
      <c r="B252" s="331"/>
      <c r="C252" s="183"/>
      <c r="D252" s="183"/>
      <c r="E252" s="374"/>
      <c r="F252" s="422"/>
      <c r="G252" s="334"/>
      <c r="H252" s="332"/>
      <c r="I252" s="183"/>
      <c r="J252" s="183"/>
      <c r="K252" s="183"/>
      <c r="L252" s="183"/>
      <c r="M252" s="183"/>
      <c r="N252" s="183"/>
      <c r="O252" s="183"/>
      <c r="P252" s="183"/>
    </row>
    <row r="253" spans="1:16" s="343" customFormat="1" ht="15" customHeight="1">
      <c r="A253" s="333"/>
      <c r="B253" s="183"/>
      <c r="C253" s="183"/>
      <c r="D253" s="437"/>
      <c r="E253" s="178"/>
      <c r="F253" s="422"/>
      <c r="G253" s="334"/>
      <c r="H253" s="183"/>
      <c r="I253" s="183"/>
      <c r="J253" s="183"/>
      <c r="K253" s="183"/>
      <c r="L253" s="183"/>
      <c r="M253" s="183"/>
      <c r="N253" s="183"/>
      <c r="O253" s="183"/>
      <c r="P253" s="183"/>
    </row>
    <row r="254" spans="1:16" s="183" customFormat="1" ht="15" customHeight="1">
      <c r="A254" s="333"/>
      <c r="E254" s="375"/>
      <c r="F254" s="422"/>
      <c r="G254" s="334"/>
    </row>
    <row r="255" spans="1:16" s="183" customFormat="1" ht="15" customHeight="1">
      <c r="A255" s="333"/>
      <c r="E255" s="178"/>
      <c r="F255" s="387"/>
      <c r="G255" s="334"/>
    </row>
    <row r="256" spans="1:16" s="343" customFormat="1" ht="15" customHeight="1">
      <c r="A256" s="412"/>
      <c r="E256" s="416"/>
      <c r="F256" s="417"/>
      <c r="G256" s="334"/>
      <c r="I256" s="183"/>
      <c r="J256" s="183"/>
      <c r="K256" s="183"/>
      <c r="L256" s="183"/>
      <c r="M256" s="183"/>
      <c r="N256" s="183"/>
    </row>
    <row r="257" spans="1:16" s="343" customFormat="1" ht="15" customHeight="1">
      <c r="A257" s="419"/>
      <c r="E257" s="416"/>
      <c r="F257" s="417"/>
      <c r="G257" s="334"/>
    </row>
    <row r="258" spans="1:16" s="343" customFormat="1" ht="15" customHeight="1">
      <c r="A258" s="412"/>
      <c r="E258" s="413"/>
      <c r="F258" s="414"/>
      <c r="G258" s="334"/>
      <c r="I258" s="183"/>
    </row>
    <row r="259" spans="1:16" s="343" customFormat="1" ht="15" customHeight="1">
      <c r="A259" s="419"/>
      <c r="E259" s="413"/>
      <c r="F259" s="426"/>
      <c r="G259" s="334"/>
      <c r="I259" s="183"/>
      <c r="M259" s="183"/>
    </row>
    <row r="260" spans="1:16" s="183" customFormat="1" ht="15" customHeight="1">
      <c r="A260" s="412"/>
      <c r="B260" s="343"/>
      <c r="C260" s="343"/>
      <c r="D260" s="343"/>
      <c r="E260" s="416"/>
      <c r="F260" s="397"/>
      <c r="G260" s="415"/>
      <c r="H260" s="343"/>
      <c r="I260" s="343"/>
      <c r="J260" s="343"/>
      <c r="K260" s="343"/>
      <c r="L260" s="343"/>
      <c r="N260" s="343"/>
      <c r="O260" s="343"/>
      <c r="P260" s="343"/>
    </row>
    <row r="261" spans="1:16" s="343" customFormat="1" ht="15" customHeight="1">
      <c r="A261" s="412"/>
      <c r="E261" s="416"/>
      <c r="F261" s="414"/>
      <c r="G261" s="334"/>
    </row>
    <row r="262" spans="1:16" s="343" customFormat="1" ht="15" customHeight="1">
      <c r="A262" s="412"/>
      <c r="B262" s="183"/>
      <c r="C262" s="183"/>
      <c r="D262" s="183"/>
      <c r="E262" s="178"/>
      <c r="F262" s="362"/>
      <c r="G262" s="334"/>
      <c r="H262" s="183"/>
      <c r="I262" s="183"/>
      <c r="J262" s="183"/>
      <c r="K262" s="183"/>
      <c r="L262" s="183"/>
      <c r="M262" s="183"/>
      <c r="N262" s="183"/>
      <c r="O262" s="183"/>
      <c r="P262" s="183"/>
    </row>
    <row r="263" spans="1:16" s="343" customFormat="1" ht="15" customHeight="1">
      <c r="A263" s="333"/>
      <c r="B263" s="183"/>
      <c r="C263" s="183"/>
      <c r="D263" s="183"/>
      <c r="E263" s="178"/>
      <c r="F263" s="387"/>
      <c r="G263" s="334"/>
      <c r="H263" s="183"/>
      <c r="I263" s="183"/>
      <c r="J263" s="183"/>
      <c r="K263" s="183"/>
      <c r="L263" s="183"/>
      <c r="M263" s="183"/>
      <c r="N263" s="183"/>
      <c r="O263" s="183"/>
      <c r="P263" s="183"/>
    </row>
    <row r="264" spans="1:16" s="343" customFormat="1" ht="15.75" customHeight="1">
      <c r="A264" s="427"/>
      <c r="B264" s="183"/>
      <c r="C264" s="331"/>
      <c r="D264" s="437"/>
      <c r="E264" s="195"/>
      <c r="F264" s="422"/>
      <c r="G264" s="334"/>
      <c r="H264" s="183"/>
      <c r="I264" s="183"/>
      <c r="M264" s="183"/>
      <c r="N264" s="183"/>
      <c r="O264" s="183"/>
      <c r="P264" s="428"/>
    </row>
    <row r="265" spans="1:16" s="183" customFormat="1" ht="15.75" customHeight="1">
      <c r="A265" s="412"/>
      <c r="B265" s="343"/>
      <c r="C265" s="343"/>
      <c r="D265" s="343"/>
      <c r="E265" s="416"/>
      <c r="F265" s="417"/>
      <c r="G265" s="334"/>
      <c r="H265" s="343"/>
      <c r="I265" s="343"/>
      <c r="J265" s="343"/>
      <c r="K265" s="343"/>
      <c r="L265" s="343"/>
      <c r="M265" s="343"/>
      <c r="N265" s="424"/>
      <c r="O265" s="343"/>
      <c r="P265" s="343"/>
    </row>
    <row r="266" spans="1:16" s="343" customFormat="1" ht="15.75" customHeight="1">
      <c r="A266" s="412"/>
      <c r="C266" s="415"/>
      <c r="E266" s="416"/>
      <c r="F266" s="417"/>
      <c r="G266" s="334"/>
      <c r="I266" s="183"/>
    </row>
    <row r="267" spans="1:16" s="183" customFormat="1" ht="15.75" customHeight="1">
      <c r="A267" s="427"/>
      <c r="E267" s="375"/>
      <c r="F267" s="422"/>
      <c r="G267" s="334"/>
    </row>
    <row r="268" spans="1:16" s="343" customFormat="1" ht="15.75" customHeight="1">
      <c r="A268" s="330"/>
      <c r="B268" s="183"/>
      <c r="C268" s="183"/>
      <c r="D268" s="183"/>
      <c r="E268" s="374"/>
      <c r="F268" s="422"/>
      <c r="G268" s="334"/>
      <c r="H268" s="183"/>
      <c r="I268" s="183"/>
      <c r="J268" s="183"/>
      <c r="K268" s="183"/>
      <c r="L268" s="183"/>
      <c r="M268" s="183"/>
      <c r="N268" s="183"/>
      <c r="O268" s="183"/>
      <c r="P268" s="183"/>
    </row>
    <row r="269" spans="1:16" s="343" customFormat="1" ht="15.75" customHeight="1">
      <c r="A269" s="330"/>
      <c r="B269" s="183"/>
      <c r="C269" s="183"/>
      <c r="D269" s="183"/>
      <c r="E269" s="366"/>
      <c r="F269" s="192"/>
      <c r="G269" s="334"/>
      <c r="H269" s="183"/>
      <c r="I269" s="183"/>
      <c r="J269" s="183"/>
      <c r="K269" s="183"/>
      <c r="L269" s="183"/>
      <c r="M269" s="183"/>
      <c r="N269" s="183"/>
      <c r="O269" s="183"/>
      <c r="P269" s="183"/>
    </row>
    <row r="270" spans="1:16" s="343" customFormat="1" ht="15.75" customHeight="1">
      <c r="A270" s="330"/>
      <c r="B270" s="183"/>
      <c r="C270" s="183"/>
      <c r="D270" s="183"/>
      <c r="E270" s="374"/>
      <c r="F270" s="422"/>
      <c r="G270" s="334"/>
      <c r="H270" s="331"/>
      <c r="I270" s="183"/>
      <c r="J270" s="183"/>
      <c r="K270" s="183"/>
      <c r="L270" s="183"/>
      <c r="M270" s="183"/>
      <c r="N270" s="183"/>
      <c r="O270" s="428"/>
      <c r="P270" s="183"/>
    </row>
    <row r="271" spans="1:16" s="183" customFormat="1">
      <c r="A271" s="333"/>
      <c r="E271" s="178"/>
      <c r="F271" s="387"/>
      <c r="G271" s="334"/>
    </row>
    <row r="272" spans="1:16" s="183" customFormat="1">
      <c r="A272" s="330"/>
      <c r="C272" s="434"/>
      <c r="D272" s="423"/>
      <c r="E272" s="366"/>
      <c r="F272" s="449"/>
      <c r="G272" s="334"/>
    </row>
    <row r="273" spans="1:16" s="183" customFormat="1">
      <c r="A273" s="333"/>
      <c r="E273" s="375"/>
      <c r="F273" s="389"/>
      <c r="G273" s="334"/>
    </row>
    <row r="274" spans="1:16" s="183" customFormat="1">
      <c r="A274" s="333"/>
      <c r="E274" s="178"/>
      <c r="F274" s="387"/>
      <c r="G274" s="334"/>
    </row>
    <row r="275" spans="1:16" s="183" customFormat="1">
      <c r="A275" s="412"/>
      <c r="B275" s="343"/>
      <c r="D275" s="343"/>
      <c r="E275" s="416"/>
      <c r="F275" s="417"/>
      <c r="G275" s="334"/>
      <c r="H275" s="343"/>
      <c r="M275" s="343"/>
      <c r="N275" s="343"/>
      <c r="O275" s="343"/>
      <c r="P275" s="343"/>
    </row>
    <row r="276" spans="1:16" s="183" customFormat="1">
      <c r="A276" s="442"/>
      <c r="E276" s="439"/>
      <c r="F276" s="362"/>
      <c r="G276" s="334"/>
    </row>
    <row r="277" spans="1:16" s="183" customFormat="1">
      <c r="A277" s="412"/>
      <c r="B277" s="343"/>
      <c r="D277" s="343"/>
      <c r="E277" s="416"/>
      <c r="F277" s="417"/>
      <c r="G277" s="334"/>
      <c r="H277" s="343"/>
      <c r="J277" s="343"/>
      <c r="K277" s="343"/>
      <c r="L277" s="343"/>
      <c r="N277" s="343"/>
      <c r="O277" s="343"/>
      <c r="P277" s="343"/>
    </row>
    <row r="278" spans="1:16" s="183" customFormat="1" ht="15.75" customHeight="1">
      <c r="A278" s="350"/>
      <c r="E278" s="366"/>
      <c r="F278" s="422"/>
      <c r="G278" s="334"/>
    </row>
    <row r="279" spans="1:16" s="343" customFormat="1" ht="15.75" customHeight="1">
      <c r="A279" s="450"/>
      <c r="E279" s="413"/>
      <c r="F279" s="426"/>
      <c r="G279" s="415"/>
    </row>
    <row r="280" spans="1:16" s="343" customFormat="1" ht="15.75" customHeight="1">
      <c r="A280" s="450"/>
      <c r="E280" s="420"/>
      <c r="F280" s="421"/>
      <c r="G280" s="415"/>
    </row>
    <row r="281" spans="1:16" s="343" customFormat="1" ht="15.75" customHeight="1">
      <c r="A281" s="450"/>
      <c r="E281" s="413"/>
      <c r="F281" s="414"/>
      <c r="G281" s="415"/>
    </row>
    <row r="282" spans="1:16" s="183" customFormat="1" ht="15.75" customHeight="1">
      <c r="A282" s="350"/>
      <c r="E282" s="375"/>
      <c r="F282" s="389"/>
      <c r="G282" s="334"/>
    </row>
    <row r="283" spans="1:16" s="183" customFormat="1" ht="15.75" customHeight="1">
      <c r="A283" s="350"/>
      <c r="E283" s="375"/>
      <c r="F283" s="422"/>
      <c r="G283" s="334"/>
    </row>
    <row r="284" spans="1:16" s="343" customFormat="1" ht="15.75" customHeight="1">
      <c r="A284" s="450"/>
      <c r="D284" s="444"/>
      <c r="E284" s="416"/>
      <c r="F284" s="414"/>
      <c r="G284" s="415"/>
    </row>
    <row r="285" spans="1:16" s="343" customFormat="1" ht="15.75" customHeight="1">
      <c r="A285" s="450"/>
      <c r="D285" s="433"/>
      <c r="E285" s="413"/>
      <c r="F285" s="414"/>
      <c r="G285" s="415"/>
    </row>
    <row r="286" spans="1:16" s="424" customFormat="1" ht="15.75" customHeight="1">
      <c r="A286" s="450"/>
      <c r="B286" s="343"/>
      <c r="C286" s="343"/>
      <c r="D286" s="343"/>
      <c r="E286" s="416"/>
      <c r="F286" s="417"/>
      <c r="G286" s="415"/>
      <c r="H286" s="343"/>
      <c r="I286" s="343"/>
      <c r="J286" s="343"/>
      <c r="K286" s="343"/>
      <c r="L286" s="343"/>
      <c r="M286" s="343"/>
      <c r="N286" s="343"/>
      <c r="O286" s="343"/>
      <c r="P286" s="343"/>
    </row>
    <row r="287" spans="1:16" s="424" customFormat="1" ht="15.75" customHeight="1">
      <c r="A287" s="450"/>
      <c r="B287" s="343"/>
      <c r="C287" s="343"/>
      <c r="D287" s="343"/>
      <c r="E287" s="416"/>
      <c r="F287" s="417"/>
      <c r="G287" s="415"/>
      <c r="H287" s="343"/>
      <c r="I287" s="343"/>
      <c r="J287" s="343"/>
      <c r="K287" s="343"/>
      <c r="L287" s="343"/>
      <c r="M287" s="343"/>
      <c r="N287" s="343"/>
      <c r="O287" s="343"/>
      <c r="P287" s="343"/>
    </row>
    <row r="288" spans="1:16" s="428" customFormat="1" ht="15.75" customHeight="1">
      <c r="A288" s="350"/>
      <c r="B288" s="183"/>
      <c r="C288" s="183"/>
      <c r="D288" s="183"/>
      <c r="E288" s="178"/>
      <c r="F288" s="362"/>
      <c r="G288" s="334"/>
      <c r="H288" s="183"/>
      <c r="I288" s="183"/>
      <c r="J288" s="183"/>
      <c r="K288" s="183"/>
      <c r="L288" s="183"/>
      <c r="M288" s="183"/>
      <c r="N288" s="183"/>
      <c r="O288" s="183"/>
      <c r="P288" s="183"/>
    </row>
    <row r="289" spans="1:16" s="329" customFormat="1" ht="15.75" customHeight="1">
      <c r="A289" s="344"/>
      <c r="B289" s="288"/>
      <c r="C289" s="288"/>
      <c r="D289" s="288"/>
      <c r="E289" s="371"/>
      <c r="F289" s="386"/>
      <c r="G289" s="326"/>
      <c r="H289" s="288"/>
      <c r="I289" s="288"/>
      <c r="J289" s="288"/>
      <c r="K289" s="288"/>
      <c r="L289" s="288"/>
      <c r="M289" s="183"/>
      <c r="N289" s="288"/>
      <c r="O289" s="288"/>
      <c r="P289" s="288"/>
    </row>
    <row r="290" spans="1:16" s="341" customFormat="1" ht="15.75" customHeight="1">
      <c r="A290" s="345"/>
      <c r="B290" s="270"/>
      <c r="C290" s="270"/>
      <c r="D290" s="338"/>
      <c r="E290" s="370"/>
      <c r="F290" s="395"/>
      <c r="G290" s="324"/>
      <c r="H290" s="270"/>
      <c r="I290" s="270"/>
      <c r="J290" s="270"/>
      <c r="K290" s="270"/>
      <c r="L290" s="270"/>
      <c r="M290" s="270"/>
      <c r="N290" s="270"/>
      <c r="O290" s="270"/>
      <c r="P290" s="270"/>
    </row>
    <row r="291" spans="1:16" s="329" customFormat="1" ht="15.75" customHeight="1">
      <c r="A291" s="344"/>
      <c r="B291" s="288"/>
      <c r="C291" s="288"/>
      <c r="D291" s="288"/>
      <c r="E291" s="371"/>
      <c r="F291" s="386"/>
      <c r="G291" s="326"/>
      <c r="H291" s="288"/>
      <c r="I291" s="288"/>
      <c r="J291" s="288"/>
      <c r="K291" s="288"/>
      <c r="L291" s="288"/>
      <c r="M291" s="183"/>
      <c r="N291" s="288"/>
      <c r="O291" s="288"/>
      <c r="P291" s="288"/>
    </row>
    <row r="292" spans="1:16" s="329" customFormat="1" ht="15.75" customHeight="1">
      <c r="A292" s="346"/>
      <c r="B292" s="289"/>
      <c r="C292" s="288"/>
      <c r="D292" s="288"/>
      <c r="E292" s="372"/>
      <c r="F292" s="390"/>
      <c r="G292" s="326"/>
      <c r="H292" s="289"/>
      <c r="I292" s="288"/>
      <c r="J292" s="288"/>
      <c r="K292" s="288"/>
      <c r="L292" s="288"/>
      <c r="M292" s="183"/>
      <c r="N292" s="288"/>
      <c r="P292" s="288"/>
    </row>
    <row r="293" spans="1:16" s="329" customFormat="1" ht="15.75" customHeight="1">
      <c r="A293" s="344"/>
      <c r="B293" s="288"/>
      <c r="C293" s="288"/>
      <c r="D293" s="288"/>
      <c r="E293" s="371"/>
      <c r="F293" s="385"/>
      <c r="G293" s="326"/>
      <c r="H293" s="288"/>
      <c r="I293" s="288"/>
      <c r="J293" s="288"/>
      <c r="K293" s="288"/>
      <c r="L293" s="288"/>
      <c r="M293" s="183"/>
      <c r="N293" s="288"/>
      <c r="O293" s="288"/>
      <c r="P293" s="288"/>
    </row>
    <row r="294" spans="1:16" s="329" customFormat="1" ht="15.75" customHeight="1">
      <c r="A294" s="344"/>
      <c r="B294" s="288"/>
      <c r="C294" s="288"/>
      <c r="D294" s="306"/>
      <c r="E294" s="189"/>
      <c r="F294" s="386"/>
      <c r="G294" s="326"/>
      <c r="H294" s="288"/>
      <c r="I294" s="288"/>
      <c r="J294" s="288"/>
      <c r="K294" s="288"/>
      <c r="L294" s="288"/>
      <c r="M294" s="183"/>
      <c r="N294" s="288"/>
      <c r="O294" s="288"/>
      <c r="P294" s="288"/>
    </row>
    <row r="295" spans="1:16" s="341" customFormat="1" ht="15.75" customHeight="1">
      <c r="A295" s="345"/>
      <c r="B295" s="270"/>
      <c r="C295" s="270"/>
      <c r="D295" s="270"/>
      <c r="E295" s="363"/>
      <c r="F295" s="365"/>
      <c r="G295" s="324"/>
      <c r="H295" s="270"/>
      <c r="I295" s="270"/>
      <c r="J295" s="270"/>
      <c r="K295" s="270"/>
      <c r="L295" s="270"/>
      <c r="M295" s="270"/>
      <c r="N295" s="270"/>
      <c r="O295" s="270"/>
      <c r="P295" s="270"/>
    </row>
    <row r="296" spans="1:16" s="329" customFormat="1" ht="15.75" customHeight="1">
      <c r="A296" s="344"/>
      <c r="B296" s="288"/>
      <c r="C296" s="288"/>
      <c r="D296" s="288"/>
      <c r="E296" s="371"/>
      <c r="F296" s="385"/>
      <c r="G296" s="326"/>
      <c r="H296" s="288"/>
      <c r="I296" s="288"/>
      <c r="J296" s="288"/>
      <c r="K296" s="288"/>
      <c r="L296" s="288"/>
      <c r="M296" s="183"/>
      <c r="N296" s="288"/>
      <c r="O296" s="288"/>
      <c r="P296" s="288"/>
    </row>
    <row r="297" spans="1:16" s="329" customFormat="1" ht="15.75" customHeight="1">
      <c r="A297" s="344"/>
      <c r="B297" s="288"/>
      <c r="C297" s="288"/>
      <c r="D297" s="288"/>
      <c r="E297" s="371"/>
      <c r="F297" s="386"/>
      <c r="G297" s="326"/>
      <c r="H297" s="288"/>
      <c r="I297" s="288"/>
      <c r="J297" s="288"/>
      <c r="K297" s="288"/>
      <c r="L297" s="288"/>
      <c r="M297" s="183"/>
      <c r="N297" s="288"/>
      <c r="O297" s="288"/>
      <c r="P297" s="288"/>
    </row>
    <row r="298" spans="1:16" s="329" customFormat="1" ht="15.75" customHeight="1">
      <c r="A298" s="344"/>
      <c r="B298" s="288"/>
      <c r="C298" s="288"/>
      <c r="D298" s="288"/>
      <c r="E298" s="189"/>
      <c r="F298" s="361"/>
      <c r="G298" s="326"/>
      <c r="H298" s="288"/>
      <c r="I298" s="288"/>
      <c r="J298" s="288"/>
      <c r="K298" s="288"/>
      <c r="L298" s="288"/>
      <c r="M298" s="183"/>
      <c r="N298" s="288"/>
      <c r="O298" s="288"/>
      <c r="P298" s="288"/>
    </row>
    <row r="299" spans="1:16" s="329" customFormat="1" ht="15.75" customHeight="1">
      <c r="A299" s="344"/>
      <c r="B299" s="305"/>
      <c r="C299" s="288"/>
      <c r="D299" s="288"/>
      <c r="E299" s="189"/>
      <c r="F299" s="361"/>
      <c r="G299" s="326"/>
      <c r="H299" s="288"/>
      <c r="I299" s="288"/>
      <c r="J299" s="288"/>
      <c r="K299" s="288"/>
      <c r="L299" s="288"/>
      <c r="M299" s="183"/>
      <c r="N299" s="288"/>
      <c r="O299" s="288"/>
      <c r="P299" s="288"/>
    </row>
    <row r="300" spans="1:16" s="329" customFormat="1" ht="15.75" customHeight="1">
      <c r="A300" s="344"/>
      <c r="B300" s="288"/>
      <c r="C300" s="288"/>
      <c r="D300" s="288"/>
      <c r="E300" s="371"/>
      <c r="F300" s="385"/>
      <c r="G300" s="326"/>
      <c r="H300" s="288"/>
      <c r="I300" s="288"/>
      <c r="J300" s="288"/>
      <c r="K300" s="288"/>
      <c r="L300" s="288"/>
      <c r="M300" s="183"/>
      <c r="N300" s="288"/>
      <c r="O300" s="288"/>
      <c r="P300" s="288"/>
    </row>
    <row r="301" spans="1:16" s="341" customFormat="1" ht="15.75" customHeight="1">
      <c r="A301" s="345"/>
      <c r="B301" s="270"/>
      <c r="C301" s="270"/>
      <c r="D301" s="270"/>
      <c r="E301" s="379"/>
      <c r="F301" s="365"/>
      <c r="G301" s="324"/>
      <c r="H301" s="270"/>
      <c r="I301" s="270"/>
      <c r="J301" s="270"/>
      <c r="K301" s="270"/>
      <c r="L301" s="270"/>
      <c r="M301" s="270"/>
      <c r="N301" s="270"/>
      <c r="O301" s="270"/>
      <c r="P301" s="270"/>
    </row>
    <row r="302" spans="1:16" s="329" customFormat="1" ht="15.75" customHeight="1">
      <c r="A302" s="344"/>
      <c r="B302" s="288"/>
      <c r="C302" s="288"/>
      <c r="D302" s="288"/>
      <c r="E302" s="371"/>
      <c r="F302" s="386"/>
      <c r="G302" s="326"/>
      <c r="H302" s="288"/>
      <c r="I302" s="288"/>
      <c r="J302" s="288"/>
      <c r="K302" s="288"/>
      <c r="L302" s="288"/>
      <c r="M302" s="183"/>
      <c r="N302" s="288"/>
      <c r="O302" s="288"/>
      <c r="P302" s="288"/>
    </row>
    <row r="303" spans="1:16" s="270" customFormat="1" ht="15" customHeight="1">
      <c r="A303" s="347"/>
      <c r="B303" s="265"/>
      <c r="E303" s="377"/>
      <c r="F303" s="394"/>
      <c r="G303" s="324"/>
      <c r="H303" s="336"/>
    </row>
    <row r="304" spans="1:16" s="270" customFormat="1" ht="15.75" customHeight="1">
      <c r="A304" s="345"/>
      <c r="E304" s="370"/>
      <c r="F304" s="395"/>
      <c r="G304" s="324"/>
    </row>
    <row r="305" spans="1:16" s="270" customFormat="1" ht="15.75" customHeight="1">
      <c r="A305" s="345"/>
      <c r="E305" s="364"/>
      <c r="F305" s="365"/>
      <c r="G305" s="324"/>
    </row>
    <row r="306" spans="1:16" s="288" customFormat="1" ht="15.75" customHeight="1">
      <c r="A306" s="344"/>
      <c r="D306" s="327"/>
      <c r="E306" s="189"/>
      <c r="F306" s="391"/>
      <c r="G306" s="326"/>
      <c r="M306" s="183"/>
    </row>
    <row r="307" spans="1:16" s="270" customFormat="1" ht="15.75" customHeight="1">
      <c r="A307" s="345"/>
      <c r="E307" s="379"/>
      <c r="F307" s="384"/>
      <c r="G307" s="324"/>
    </row>
    <row r="308" spans="1:16" s="288" customFormat="1" ht="15.75" customHeight="1">
      <c r="A308" s="348"/>
      <c r="E308" s="373"/>
      <c r="F308" s="361"/>
      <c r="G308" s="326"/>
      <c r="M308" s="183"/>
    </row>
    <row r="309" spans="1:16" s="270" customFormat="1" ht="15.75" customHeight="1">
      <c r="A309" s="349"/>
      <c r="D309" s="265"/>
      <c r="E309" s="363"/>
      <c r="F309" s="365"/>
      <c r="G309" s="324"/>
      <c r="H309" s="337"/>
    </row>
    <row r="310" spans="1:16" s="270" customFormat="1" ht="15.75" customHeight="1">
      <c r="A310" s="345"/>
      <c r="D310" s="338"/>
      <c r="E310" s="370"/>
      <c r="F310" s="365"/>
      <c r="G310" s="324"/>
      <c r="P310" s="341"/>
    </row>
    <row r="311" spans="1:16" s="288" customFormat="1" ht="15.75" customHeight="1">
      <c r="A311" s="348"/>
      <c r="D311" s="305"/>
      <c r="E311" s="378"/>
      <c r="F311" s="361"/>
      <c r="G311" s="326"/>
      <c r="M311" s="183"/>
      <c r="O311" s="329"/>
    </row>
    <row r="312" spans="1:16" s="270" customFormat="1" ht="15.75" customHeight="1">
      <c r="A312" s="345"/>
      <c r="D312" s="265"/>
      <c r="E312" s="370"/>
      <c r="F312" s="395"/>
      <c r="G312" s="324"/>
    </row>
    <row r="313" spans="1:16" s="270" customFormat="1" ht="15.75" customHeight="1">
      <c r="A313" s="345"/>
      <c r="E313" s="363"/>
      <c r="F313" s="360"/>
      <c r="G313" s="324"/>
    </row>
    <row r="314" spans="1:16" s="288" customFormat="1" ht="15.75" customHeight="1">
      <c r="A314" s="344"/>
      <c r="E314" s="189"/>
      <c r="F314" s="386"/>
      <c r="G314" s="326"/>
      <c r="M314" s="183"/>
    </row>
    <row r="315" spans="1:16" s="270" customFormat="1" ht="15.75" customHeight="1">
      <c r="A315" s="345"/>
      <c r="E315" s="363"/>
      <c r="F315" s="365"/>
      <c r="G315" s="324"/>
    </row>
    <row r="316" spans="1:16" s="183" customFormat="1">
      <c r="A316" s="350"/>
      <c r="E316" s="366"/>
      <c r="F316" s="398"/>
      <c r="G316" s="351"/>
      <c r="O316" s="206"/>
    </row>
    <row r="317" spans="1:16" s="270" customFormat="1" ht="15.75" customHeight="1">
      <c r="A317" s="345"/>
      <c r="B317" s="342"/>
      <c r="E317" s="363"/>
      <c r="F317" s="360"/>
      <c r="G317" s="324"/>
    </row>
    <row r="318" spans="1:16" s="270" customFormat="1" ht="15.75" customHeight="1">
      <c r="A318" s="345"/>
      <c r="D318" s="342"/>
      <c r="E318" s="363"/>
      <c r="F318" s="365"/>
      <c r="G318" s="324"/>
    </row>
    <row r="319" spans="1:16" s="270" customFormat="1" ht="15.75" customHeight="1">
      <c r="A319" s="345"/>
      <c r="C319" s="324"/>
      <c r="D319" s="324"/>
      <c r="E319" s="363"/>
      <c r="F319" s="360"/>
      <c r="G319" s="324"/>
    </row>
    <row r="320" spans="1:16" s="270" customFormat="1" ht="15.75" customHeight="1">
      <c r="A320" s="345"/>
      <c r="E320" s="370"/>
      <c r="F320" s="395"/>
      <c r="G320" s="324"/>
    </row>
    <row r="321" spans="1:15" s="270" customFormat="1" ht="15.75" customHeight="1">
      <c r="A321" s="345"/>
      <c r="D321" s="265"/>
      <c r="E321" s="370"/>
      <c r="F321" s="395"/>
      <c r="G321" s="324"/>
      <c r="M321" s="183"/>
    </row>
    <row r="322" spans="1:15" s="270" customFormat="1" ht="15.75" customHeight="1">
      <c r="A322" s="347"/>
      <c r="B322" s="265"/>
      <c r="C322" s="265"/>
      <c r="E322" s="377"/>
      <c r="F322" s="394"/>
      <c r="G322" s="324"/>
      <c r="H322" s="271"/>
    </row>
    <row r="323" spans="1:15" s="270" customFormat="1" ht="15.75" customHeight="1">
      <c r="A323" s="345"/>
      <c r="E323" s="379"/>
      <c r="F323" s="384"/>
      <c r="G323" s="324"/>
    </row>
    <row r="324" spans="1:15" s="270" customFormat="1" ht="15.75" customHeight="1">
      <c r="A324" s="345"/>
      <c r="E324" s="363"/>
      <c r="F324" s="360"/>
      <c r="G324" s="324"/>
      <c r="M324" s="183"/>
    </row>
    <row r="325" spans="1:15" s="270" customFormat="1" ht="15.75" customHeight="1">
      <c r="A325" s="345"/>
      <c r="B325" s="342"/>
      <c r="E325" s="363"/>
      <c r="F325" s="365"/>
      <c r="G325" s="324"/>
      <c r="N325" s="341"/>
    </row>
    <row r="326" spans="1:15" s="270" customFormat="1" ht="15.75" customHeight="1">
      <c r="A326" s="347"/>
      <c r="B326" s="265"/>
      <c r="E326" s="377"/>
      <c r="F326" s="393"/>
      <c r="G326" s="324"/>
      <c r="H326" s="336"/>
    </row>
    <row r="327" spans="1:15" s="270" customFormat="1" ht="15.75" customHeight="1">
      <c r="A327" s="345"/>
      <c r="E327" s="370"/>
      <c r="F327" s="395"/>
      <c r="G327" s="324"/>
      <c r="M327" s="183"/>
    </row>
    <row r="328" spans="1:15" s="270" customFormat="1" ht="15.75" customHeight="1">
      <c r="A328" s="345"/>
      <c r="E328" s="370"/>
      <c r="F328" s="395"/>
      <c r="G328" s="324"/>
      <c r="M328" s="183"/>
    </row>
    <row r="329" spans="1:15" s="270" customFormat="1" ht="15.75" customHeight="1">
      <c r="A329" s="345"/>
      <c r="D329" s="342"/>
      <c r="E329" s="363"/>
      <c r="F329" s="392"/>
      <c r="G329" s="324"/>
      <c r="M329" s="183"/>
    </row>
    <row r="330" spans="1:15" s="270" customFormat="1" ht="15.75" customHeight="1">
      <c r="A330" s="345"/>
      <c r="D330" s="335"/>
      <c r="E330" s="380"/>
      <c r="F330" s="360"/>
      <c r="G330" s="324"/>
    </row>
    <row r="331" spans="1:15" s="270" customFormat="1" ht="15.75" customHeight="1">
      <c r="A331" s="352"/>
      <c r="D331" s="353"/>
      <c r="E331" s="380"/>
      <c r="F331" s="399"/>
      <c r="G331" s="324"/>
      <c r="H331" s="337"/>
      <c r="M331" s="183"/>
    </row>
    <row r="332" spans="1:15" s="270" customFormat="1" ht="15.75" customHeight="1">
      <c r="A332" s="345"/>
      <c r="C332" s="325"/>
      <c r="E332" s="363"/>
      <c r="F332" s="360"/>
      <c r="G332" s="324"/>
      <c r="M332" s="183"/>
    </row>
    <row r="333" spans="1:15" s="270" customFormat="1" ht="15.75" customHeight="1">
      <c r="A333" s="347"/>
      <c r="C333" s="340"/>
      <c r="D333" s="354"/>
      <c r="E333" s="363"/>
      <c r="F333" s="360"/>
      <c r="G333" s="324"/>
      <c r="M333" s="183"/>
      <c r="N333" s="341"/>
      <c r="O333" s="341"/>
    </row>
    <row r="334" spans="1:15" s="270" customFormat="1" ht="15.75" customHeight="1">
      <c r="A334" s="345"/>
      <c r="C334" s="324"/>
      <c r="D334" s="324"/>
      <c r="E334" s="363"/>
      <c r="F334" s="360"/>
      <c r="G334" s="324"/>
      <c r="I334" s="265"/>
      <c r="M334" s="183"/>
    </row>
    <row r="335" spans="1:15" s="270" customFormat="1" ht="15.75" customHeight="1">
      <c r="A335" s="345"/>
      <c r="C335" s="324"/>
      <c r="D335" s="324"/>
      <c r="E335" s="363"/>
      <c r="F335" s="360"/>
      <c r="G335" s="324"/>
      <c r="M335" s="183"/>
    </row>
    <row r="336" spans="1:15" s="270" customFormat="1" ht="15.75" customHeight="1">
      <c r="A336" s="345"/>
      <c r="C336" s="324"/>
      <c r="D336" s="324"/>
      <c r="E336" s="363"/>
      <c r="F336" s="360"/>
      <c r="G336" s="324"/>
      <c r="M336" s="183"/>
    </row>
    <row r="337" spans="1:14" s="270" customFormat="1" ht="15.75" customHeight="1">
      <c r="A337" s="345"/>
      <c r="E337" s="370"/>
      <c r="F337" s="386"/>
      <c r="G337" s="324"/>
    </row>
    <row r="338" spans="1:14" s="270" customFormat="1" ht="15.75" customHeight="1">
      <c r="A338" s="345"/>
      <c r="E338" s="370"/>
      <c r="F338" s="395"/>
      <c r="G338" s="324"/>
    </row>
    <row r="339" spans="1:14" s="270" customFormat="1" ht="15.75" customHeight="1">
      <c r="A339" s="345"/>
      <c r="E339" s="370"/>
      <c r="F339" s="395"/>
      <c r="G339" s="324"/>
    </row>
    <row r="340" spans="1:14" s="270" customFormat="1" ht="15.75" customHeight="1">
      <c r="A340" s="349"/>
      <c r="D340" s="265"/>
      <c r="E340" s="363"/>
      <c r="F340" s="365"/>
      <c r="G340" s="324"/>
    </row>
    <row r="341" spans="1:14" s="270" customFormat="1" ht="15.75" customHeight="1">
      <c r="A341" s="347"/>
      <c r="B341" s="265"/>
      <c r="E341" s="377"/>
      <c r="F341" s="393"/>
      <c r="G341" s="324"/>
      <c r="H341" s="336"/>
      <c r="M341" s="183"/>
    </row>
    <row r="342" spans="1:14" s="270" customFormat="1" ht="15.75" customHeight="1">
      <c r="A342" s="345"/>
      <c r="E342" s="363"/>
      <c r="F342" s="365"/>
      <c r="G342" s="324"/>
      <c r="K342" s="265"/>
      <c r="M342" s="183"/>
      <c r="N342" s="341"/>
    </row>
    <row r="343" spans="1:14" s="270" customFormat="1" ht="15.75" customHeight="1">
      <c r="A343" s="345"/>
      <c r="E343" s="363"/>
      <c r="F343" s="360"/>
      <c r="G343" s="324"/>
      <c r="M343" s="183"/>
    </row>
    <row r="344" spans="1:14" s="270" customFormat="1" ht="15.75" customHeight="1">
      <c r="A344" s="345"/>
      <c r="E344" s="370"/>
      <c r="F344" s="395"/>
      <c r="G344" s="324"/>
      <c r="M344" s="183"/>
    </row>
    <row r="345" spans="1:14" s="270" customFormat="1" ht="15.75" customHeight="1">
      <c r="A345" s="345"/>
      <c r="B345" s="342"/>
      <c r="E345" s="363"/>
      <c r="F345" s="365"/>
      <c r="G345" s="324"/>
    </row>
    <row r="346" spans="1:14" s="270" customFormat="1" ht="15.75" customHeight="1">
      <c r="A346" s="345"/>
      <c r="E346" s="379"/>
      <c r="F346" s="384"/>
      <c r="G346" s="324"/>
    </row>
    <row r="347" spans="1:14" s="270" customFormat="1" ht="15.75" customHeight="1">
      <c r="A347" s="345"/>
      <c r="E347" s="379"/>
      <c r="F347" s="384"/>
      <c r="G347" s="324"/>
    </row>
    <row r="348" spans="1:14" s="270" customFormat="1" ht="15.75" customHeight="1">
      <c r="A348" s="345"/>
      <c r="D348" s="338"/>
      <c r="E348" s="363"/>
      <c r="F348" s="365"/>
      <c r="G348" s="324"/>
    </row>
    <row r="349" spans="1:14" s="270" customFormat="1" ht="15.75" customHeight="1">
      <c r="A349" s="345"/>
      <c r="D349" s="338"/>
      <c r="E349" s="363"/>
      <c r="F349" s="392"/>
      <c r="G349" s="324"/>
    </row>
    <row r="350" spans="1:14" s="270" customFormat="1" ht="15.75" customHeight="1">
      <c r="A350" s="345"/>
      <c r="E350" s="363"/>
      <c r="F350" s="360"/>
      <c r="G350" s="324"/>
      <c r="M350" s="183"/>
    </row>
    <row r="351" spans="1:14" s="270" customFormat="1" ht="15.75" customHeight="1">
      <c r="A351" s="345"/>
      <c r="E351" s="370"/>
      <c r="F351" s="395"/>
      <c r="G351" s="324"/>
      <c r="M351" s="183"/>
    </row>
    <row r="352" spans="1:14" s="270" customFormat="1" ht="15.75" customHeight="1">
      <c r="A352" s="345"/>
      <c r="D352" s="338"/>
      <c r="E352" s="363"/>
      <c r="F352" s="365"/>
      <c r="G352" s="324"/>
    </row>
    <row r="353" spans="1:16" s="270" customFormat="1" ht="15.75" customHeight="1">
      <c r="A353" s="345"/>
      <c r="E353" s="363"/>
      <c r="F353" s="360"/>
      <c r="G353" s="324"/>
    </row>
    <row r="354" spans="1:16" s="270" customFormat="1" ht="15.75" customHeight="1">
      <c r="A354" s="345"/>
      <c r="E354" s="370"/>
      <c r="F354" s="395"/>
      <c r="G354" s="324"/>
      <c r="M354" s="183"/>
    </row>
    <row r="355" spans="1:16" s="270" customFormat="1" ht="15.75" customHeight="1">
      <c r="A355" s="345"/>
      <c r="B355" s="342"/>
      <c r="D355" s="338"/>
      <c r="E355" s="363"/>
      <c r="F355" s="365"/>
      <c r="G355" s="324"/>
      <c r="M355" s="183"/>
    </row>
    <row r="356" spans="1:16" s="270" customFormat="1" ht="15.75" customHeight="1">
      <c r="A356" s="345"/>
      <c r="D356" s="338"/>
      <c r="E356" s="363"/>
      <c r="F356" s="365"/>
      <c r="G356" s="324"/>
      <c r="M356" s="183"/>
      <c r="P356" s="341"/>
    </row>
    <row r="357" spans="1:16" s="270" customFormat="1" ht="15.75" customHeight="1">
      <c r="A357" s="345"/>
      <c r="E357" s="370"/>
      <c r="F357" s="395"/>
      <c r="G357" s="324"/>
    </row>
    <row r="358" spans="1:16" s="270" customFormat="1" ht="15.75" customHeight="1">
      <c r="A358" s="347"/>
      <c r="E358" s="379"/>
      <c r="F358" s="384"/>
      <c r="G358" s="324"/>
      <c r="M358" s="183"/>
    </row>
    <row r="359" spans="1:16" s="270" customFormat="1" ht="15.75" customHeight="1">
      <c r="A359" s="352"/>
      <c r="B359" s="342"/>
      <c r="D359" s="338"/>
      <c r="E359" s="380"/>
      <c r="F359" s="399"/>
      <c r="G359" s="324"/>
      <c r="H359" s="337"/>
      <c r="P359" s="341"/>
    </row>
    <row r="360" spans="1:16" s="270" customFormat="1" ht="15.75" customHeight="1">
      <c r="A360" s="352"/>
      <c r="B360" s="353"/>
      <c r="D360" s="338"/>
      <c r="E360" s="363"/>
      <c r="F360" s="365"/>
      <c r="G360" s="324"/>
      <c r="H360" s="337"/>
    </row>
    <row r="361" spans="1:16" s="270" customFormat="1" ht="15.75" customHeight="1">
      <c r="A361" s="347"/>
      <c r="D361" s="342"/>
      <c r="E361" s="370"/>
      <c r="F361" s="365"/>
      <c r="G361" s="324"/>
      <c r="P361" s="341"/>
    </row>
    <row r="362" spans="1:16" s="270" customFormat="1" ht="15.75" customHeight="1">
      <c r="A362" s="345"/>
      <c r="E362" s="370"/>
      <c r="F362" s="395"/>
      <c r="G362" s="324"/>
    </row>
    <row r="363" spans="1:16" s="270" customFormat="1" ht="15.75" customHeight="1">
      <c r="A363" s="347"/>
      <c r="B363" s="265"/>
      <c r="E363" s="377"/>
      <c r="F363" s="393"/>
      <c r="G363" s="324"/>
      <c r="H363" s="336"/>
    </row>
    <row r="364" spans="1:16" s="270" customFormat="1" ht="15.75" customHeight="1">
      <c r="A364" s="345"/>
      <c r="E364" s="363"/>
      <c r="F364" s="360"/>
      <c r="G364" s="324"/>
    </row>
    <row r="365" spans="1:16" s="270" customFormat="1" ht="15.75" customHeight="1">
      <c r="A365" s="347"/>
      <c r="B365" s="265"/>
      <c r="E365" s="377"/>
      <c r="F365" s="393"/>
      <c r="G365" s="324"/>
      <c r="H365" s="271"/>
    </row>
    <row r="366" spans="1:16" s="270" customFormat="1" ht="15.75" customHeight="1">
      <c r="A366" s="345"/>
      <c r="E366" s="370"/>
      <c r="F366" s="365"/>
      <c r="G366" s="324"/>
    </row>
    <row r="367" spans="1:16" s="270" customFormat="1" ht="15.75" customHeight="1">
      <c r="A367" s="345"/>
      <c r="B367" s="342"/>
      <c r="D367" s="338"/>
      <c r="E367" s="363"/>
      <c r="F367" s="365"/>
      <c r="G367" s="324"/>
    </row>
    <row r="368" spans="1:16" s="270" customFormat="1" ht="15.75" customHeight="1">
      <c r="A368" s="345"/>
      <c r="E368" s="379"/>
      <c r="F368" s="396"/>
      <c r="G368" s="324"/>
    </row>
    <row r="369" spans="1:14" s="270" customFormat="1" ht="15.75" customHeight="1">
      <c r="A369" s="345"/>
      <c r="E369" s="363"/>
      <c r="F369" s="360"/>
      <c r="G369" s="324"/>
    </row>
    <row r="370" spans="1:14" s="270" customFormat="1" ht="15.75" customHeight="1">
      <c r="A370" s="345"/>
      <c r="E370" s="370"/>
      <c r="F370" s="395"/>
      <c r="G370" s="324"/>
    </row>
    <row r="371" spans="1:14" s="270" customFormat="1" ht="15.75" customHeight="1">
      <c r="A371" s="345"/>
      <c r="E371" s="370"/>
      <c r="F371" s="365"/>
      <c r="G371" s="324"/>
    </row>
    <row r="372" spans="1:14" s="270" customFormat="1" ht="15.75" customHeight="1">
      <c r="A372" s="345"/>
      <c r="D372" s="265"/>
      <c r="E372" s="370"/>
      <c r="F372" s="365"/>
      <c r="G372" s="324"/>
    </row>
    <row r="373" spans="1:14" s="270" customFormat="1" ht="15.75" customHeight="1">
      <c r="A373" s="345"/>
      <c r="E373" s="370"/>
      <c r="F373" s="395"/>
      <c r="G373" s="324"/>
      <c r="M373" s="183"/>
    </row>
    <row r="374" spans="1:14" s="270" customFormat="1" ht="15.75" customHeight="1">
      <c r="A374" s="345"/>
      <c r="E374" s="363"/>
      <c r="F374" s="360"/>
      <c r="G374" s="324"/>
      <c r="M374" s="183"/>
    </row>
    <row r="375" spans="1:14" s="270" customFormat="1" ht="15.75" customHeight="1">
      <c r="A375" s="347"/>
      <c r="B375" s="265"/>
      <c r="C375" s="265"/>
      <c r="E375" s="377"/>
      <c r="F375" s="394"/>
      <c r="G375" s="324"/>
      <c r="H375" s="271"/>
      <c r="M375" s="183"/>
    </row>
    <row r="376" spans="1:14" s="270" customFormat="1" ht="15.75" customHeight="1">
      <c r="A376" s="345"/>
      <c r="E376" s="370"/>
      <c r="F376" s="365"/>
      <c r="G376" s="324"/>
      <c r="K376" s="265"/>
      <c r="M376" s="183"/>
      <c r="N376" s="341"/>
    </row>
    <row r="377" spans="1:14" s="270" customFormat="1" ht="15.75" customHeight="1">
      <c r="A377" s="345"/>
      <c r="E377" s="363"/>
      <c r="F377" s="360"/>
      <c r="G377" s="324"/>
      <c r="M377" s="183"/>
    </row>
    <row r="378" spans="1:14" s="270" customFormat="1" ht="15.75" customHeight="1">
      <c r="A378" s="345"/>
      <c r="E378" s="363"/>
      <c r="F378" s="360"/>
      <c r="G378" s="324"/>
      <c r="M378" s="183"/>
    </row>
    <row r="379" spans="1:14" s="270" customFormat="1" ht="15.75" customHeight="1">
      <c r="A379" s="347"/>
      <c r="B379" s="265"/>
      <c r="E379" s="376"/>
      <c r="F379" s="365"/>
      <c r="G379" s="324"/>
      <c r="M379" s="183"/>
    </row>
    <row r="380" spans="1:14" s="270" customFormat="1" ht="15.75" customHeight="1">
      <c r="A380" s="345"/>
      <c r="E380" s="363"/>
      <c r="F380" s="360"/>
      <c r="G380" s="324"/>
    </row>
    <row r="381" spans="1:14" s="270" customFormat="1" ht="15.75" customHeight="1">
      <c r="A381" s="345"/>
      <c r="C381" s="324"/>
      <c r="E381" s="363"/>
      <c r="F381" s="360"/>
      <c r="G381" s="324"/>
    </row>
    <row r="382" spans="1:14" s="270" customFormat="1" ht="15.75" customHeight="1">
      <c r="A382" s="345"/>
      <c r="B382" s="342"/>
      <c r="C382" s="324"/>
      <c r="D382" s="335"/>
      <c r="E382" s="363"/>
      <c r="F382" s="360"/>
      <c r="G382" s="324"/>
    </row>
    <row r="383" spans="1:14" s="270" customFormat="1" ht="15.75" customHeight="1">
      <c r="A383" s="345"/>
      <c r="B383" s="338"/>
      <c r="D383" s="339"/>
      <c r="E383" s="363"/>
      <c r="F383" s="360"/>
      <c r="G383" s="324"/>
    </row>
    <row r="384" spans="1:14" s="270" customFormat="1" ht="15.75" customHeight="1">
      <c r="A384" s="345"/>
      <c r="C384" s="324"/>
      <c r="D384" s="324"/>
      <c r="E384" s="363"/>
      <c r="F384" s="360"/>
      <c r="G384" s="324"/>
      <c r="M384" s="183"/>
    </row>
    <row r="385" spans="1:13" s="270" customFormat="1" ht="15.75" customHeight="1">
      <c r="A385" s="349"/>
      <c r="B385" s="324"/>
      <c r="C385" s="339"/>
      <c r="D385" s="335"/>
      <c r="E385" s="363"/>
      <c r="F385" s="360"/>
      <c r="G385" s="324"/>
      <c r="M385" s="183"/>
    </row>
    <row r="386" spans="1:13" s="270" customFormat="1" ht="15.75" customHeight="1">
      <c r="A386" s="345"/>
      <c r="E386" s="363"/>
      <c r="F386" s="365"/>
      <c r="G386" s="324"/>
    </row>
    <row r="387" spans="1:13" s="270" customFormat="1" ht="15.75" customHeight="1">
      <c r="A387" s="345"/>
      <c r="E387" s="363"/>
      <c r="F387" s="360"/>
      <c r="G387" s="324"/>
    </row>
    <row r="388" spans="1:13" s="270" customFormat="1" ht="15.75" customHeight="1">
      <c r="A388" s="345"/>
      <c r="D388" s="342"/>
      <c r="E388" s="363"/>
      <c r="F388" s="392"/>
      <c r="G388" s="324"/>
    </row>
    <row r="389" spans="1:13" s="270" customFormat="1" ht="15.75" customHeight="1">
      <c r="A389" s="347"/>
      <c r="B389" s="265"/>
      <c r="D389" s="265"/>
      <c r="E389" s="377"/>
      <c r="F389" s="393"/>
      <c r="G389" s="324"/>
      <c r="H389" s="336"/>
      <c r="J389" s="271"/>
      <c r="K389" s="336"/>
    </row>
    <row r="390" spans="1:13" s="270" customFormat="1" ht="15.75" customHeight="1">
      <c r="A390" s="345"/>
      <c r="D390" s="265"/>
      <c r="E390" s="370"/>
      <c r="F390" s="395"/>
      <c r="G390" s="324"/>
    </row>
    <row r="391" spans="1:13" s="270" customFormat="1" ht="15.75" customHeight="1">
      <c r="A391" s="345"/>
      <c r="E391" s="370"/>
      <c r="F391" s="395"/>
      <c r="G391" s="324"/>
    </row>
    <row r="392" spans="1:13" s="270" customFormat="1" ht="15.75" customHeight="1">
      <c r="A392" s="345"/>
      <c r="D392" s="265"/>
      <c r="E392" s="370"/>
      <c r="F392" s="395"/>
      <c r="G392" s="324"/>
    </row>
    <row r="393" spans="1:13" s="270" customFormat="1" ht="15.75" customHeight="1">
      <c r="A393" s="345"/>
      <c r="E393" s="370"/>
      <c r="F393" s="395"/>
      <c r="G393" s="324"/>
    </row>
    <row r="394" spans="1:13" s="270" customFormat="1" ht="15.75" customHeight="1">
      <c r="A394" s="349"/>
      <c r="B394" s="265"/>
      <c r="E394" s="381"/>
      <c r="F394" s="393"/>
      <c r="G394" s="324"/>
      <c r="H394" s="265"/>
    </row>
    <row r="395" spans="1:13" s="270" customFormat="1" ht="15.75" customHeight="1">
      <c r="A395" s="345"/>
      <c r="D395" s="342"/>
      <c r="E395" s="370"/>
      <c r="F395" s="395"/>
      <c r="G395" s="324"/>
    </row>
    <row r="396" spans="1:13" s="270" customFormat="1" ht="15.75" customHeight="1">
      <c r="A396" s="345"/>
      <c r="D396" s="342"/>
      <c r="E396" s="370"/>
      <c r="F396" s="395"/>
      <c r="G396" s="324"/>
    </row>
    <row r="397" spans="1:13" s="270" customFormat="1" ht="15.75" customHeight="1">
      <c r="A397" s="345"/>
      <c r="E397" s="370"/>
      <c r="F397" s="395"/>
      <c r="G397" s="324"/>
    </row>
    <row r="398" spans="1:13" s="270" customFormat="1" ht="15.75" customHeight="1">
      <c r="A398" s="347"/>
      <c r="E398" s="379"/>
      <c r="F398" s="384"/>
      <c r="G398" s="324"/>
    </row>
    <row r="399" spans="1:13" s="270" customFormat="1" ht="15.75" customHeight="1">
      <c r="A399" s="347"/>
      <c r="E399" s="379"/>
      <c r="F399" s="384"/>
      <c r="G399" s="324"/>
    </row>
    <row r="400" spans="1:13" s="270" customFormat="1" ht="15.75" customHeight="1">
      <c r="A400" s="345"/>
      <c r="E400" s="370"/>
      <c r="F400" s="395"/>
      <c r="G400" s="324"/>
    </row>
    <row r="401" spans="1:15" s="270" customFormat="1" ht="15.75" customHeight="1">
      <c r="A401" s="345"/>
      <c r="E401" s="363"/>
      <c r="F401" s="360"/>
      <c r="G401" s="324"/>
    </row>
    <row r="402" spans="1:15" s="270" customFormat="1" ht="15.75" customHeight="1">
      <c r="A402" s="345"/>
      <c r="E402" s="370"/>
      <c r="F402" s="395"/>
      <c r="G402" s="324"/>
    </row>
    <row r="403" spans="1:15" s="270" customFormat="1" ht="15.75" customHeight="1">
      <c r="A403" s="345"/>
      <c r="E403" s="370"/>
      <c r="F403" s="395"/>
      <c r="G403" s="324"/>
    </row>
    <row r="404" spans="1:15" s="183" customFormat="1" ht="15.75" customHeight="1">
      <c r="A404" s="350"/>
      <c r="E404" s="375"/>
      <c r="F404" s="389"/>
      <c r="G404" s="334"/>
    </row>
    <row r="405" spans="1:15" s="183" customFormat="1" ht="15.75" customHeight="1">
      <c r="A405" s="350"/>
      <c r="C405" s="331"/>
      <c r="E405" s="375"/>
      <c r="F405" s="389"/>
      <c r="G405" s="334"/>
    </row>
    <row r="406" spans="1:15" s="183" customFormat="1" ht="15.75" customHeight="1">
      <c r="A406" s="350"/>
      <c r="C406" s="331"/>
      <c r="D406" s="328"/>
      <c r="E406" s="375"/>
      <c r="F406" s="389"/>
      <c r="G406" s="334"/>
    </row>
    <row r="407" spans="1:15" s="183" customFormat="1" ht="15.75" customHeight="1">
      <c r="A407" s="350"/>
      <c r="C407" s="331"/>
      <c r="E407" s="375"/>
      <c r="F407" s="389"/>
      <c r="G407" s="334"/>
      <c r="O407" s="206"/>
    </row>
    <row r="408" spans="1:15" s="183" customFormat="1" ht="15.75" customHeight="1">
      <c r="A408" s="350"/>
      <c r="E408" s="375"/>
      <c r="F408" s="389"/>
      <c r="G408" s="334"/>
    </row>
    <row r="409" spans="1:15" s="183" customFormat="1" ht="15.75" customHeight="1">
      <c r="A409" s="355"/>
      <c r="B409" s="331"/>
      <c r="D409" s="331"/>
      <c r="E409" s="374"/>
      <c r="F409" s="388"/>
      <c r="G409" s="334"/>
      <c r="H409" s="332"/>
      <c r="J409" s="199"/>
    </row>
    <row r="410" spans="1:15" s="183" customFormat="1" ht="15.75" customHeight="1">
      <c r="A410" s="356"/>
      <c r="B410" s="331"/>
      <c r="D410" s="357"/>
      <c r="E410" s="374"/>
      <c r="F410" s="400"/>
      <c r="G410" s="334"/>
      <c r="H410" s="331"/>
    </row>
    <row r="411" spans="1:15" s="206" customFormat="1" ht="15.75" customHeight="1">
      <c r="A411" s="358"/>
      <c r="E411" s="382"/>
      <c r="F411" s="401"/>
      <c r="G411" s="359"/>
    </row>
    <row r="412" spans="1:15" s="183" customFormat="1" ht="15.75" customHeight="1">
      <c r="A412" s="355"/>
      <c r="E412" s="366"/>
      <c r="F412" s="192"/>
      <c r="G412" s="334"/>
    </row>
    <row r="413" spans="1:15" s="183" customFormat="1" ht="15.75" customHeight="1">
      <c r="A413" s="355"/>
      <c r="E413" s="366"/>
      <c r="F413" s="192"/>
      <c r="G413" s="334"/>
    </row>
    <row r="414" spans="1:15" s="183" customFormat="1">
      <c r="A414" s="350"/>
      <c r="E414" s="366"/>
      <c r="F414" s="398"/>
      <c r="G414" s="351"/>
      <c r="J414" s="270"/>
      <c r="K414" s="270"/>
      <c r="L414" s="270"/>
      <c r="O414" s="206"/>
    </row>
    <row r="415" spans="1:15" s="183" customFormat="1">
      <c r="A415" s="350"/>
      <c r="E415" s="366"/>
      <c r="F415" s="398"/>
      <c r="G415" s="351"/>
      <c r="O415" s="206"/>
    </row>
    <row r="416" spans="1:15" s="183" customFormat="1">
      <c r="A416" s="350"/>
      <c r="E416" s="366"/>
      <c r="F416" s="402"/>
      <c r="G416" s="351"/>
      <c r="O416" s="206"/>
    </row>
    <row r="417" spans="1:15" s="183" customFormat="1">
      <c r="A417" s="350"/>
      <c r="E417" s="366"/>
      <c r="F417" s="398"/>
      <c r="G417" s="351"/>
      <c r="O417" s="206"/>
    </row>
    <row r="418" spans="1:15" s="183" customFormat="1">
      <c r="A418" s="350"/>
      <c r="E418" s="366"/>
      <c r="F418" s="398"/>
      <c r="G418" s="351"/>
      <c r="O418" s="206"/>
    </row>
    <row r="419" spans="1:15" s="183" customFormat="1">
      <c r="A419" s="350"/>
      <c r="E419" s="366"/>
      <c r="F419" s="398"/>
      <c r="G419" s="351"/>
      <c r="O419" s="206"/>
    </row>
    <row r="420" spans="1:15" s="183" customFormat="1">
      <c r="A420" s="350"/>
      <c r="E420" s="366"/>
      <c r="F420" s="398"/>
      <c r="G420" s="351"/>
      <c r="O420" s="206"/>
    </row>
    <row r="421" spans="1:15" s="183" customFormat="1">
      <c r="A421" s="350"/>
      <c r="E421" s="366"/>
      <c r="F421" s="398"/>
      <c r="G421" s="351"/>
      <c r="O421" s="206"/>
    </row>
    <row r="422" spans="1:15" s="183" customFormat="1">
      <c r="A422" s="350"/>
      <c r="E422" s="366"/>
      <c r="F422" s="398"/>
      <c r="G422" s="351"/>
      <c r="O422" s="206"/>
    </row>
    <row r="423" spans="1:15" s="183" customFormat="1">
      <c r="A423" s="350"/>
      <c r="E423" s="366"/>
      <c r="F423" s="398"/>
      <c r="G423" s="351"/>
      <c r="O423" s="206"/>
    </row>
    <row r="424" spans="1:15" s="183" customFormat="1">
      <c r="A424" s="350"/>
      <c r="E424" s="366"/>
      <c r="F424" s="398"/>
      <c r="G424" s="351"/>
      <c r="O424" s="206"/>
    </row>
    <row r="425" spans="1:15" s="183" customFormat="1">
      <c r="A425" s="350"/>
      <c r="E425" s="366"/>
      <c r="F425" s="398"/>
      <c r="G425" s="351"/>
      <c r="O425" s="206"/>
    </row>
    <row r="426" spans="1:15" s="183" customFormat="1">
      <c r="A426" s="350"/>
      <c r="E426" s="366"/>
      <c r="F426" s="398"/>
      <c r="G426" s="351"/>
      <c r="O426" s="206"/>
    </row>
    <row r="427" spans="1:15" s="183" customFormat="1">
      <c r="A427" s="350"/>
      <c r="E427" s="366"/>
      <c r="F427" s="398"/>
      <c r="G427" s="351"/>
      <c r="O427" s="206"/>
    </row>
    <row r="428" spans="1:15" s="183" customFormat="1">
      <c r="A428" s="350"/>
      <c r="E428" s="366"/>
      <c r="F428" s="398"/>
      <c r="G428" s="351"/>
      <c r="O428" s="206"/>
    </row>
    <row r="429" spans="1:15" s="183" customFormat="1">
      <c r="A429" s="350"/>
      <c r="E429" s="366"/>
      <c r="F429" s="398"/>
      <c r="G429" s="351"/>
      <c r="O429" s="206"/>
    </row>
    <row r="430" spans="1:15" s="183" customFormat="1">
      <c r="A430" s="350"/>
      <c r="E430" s="366"/>
      <c r="F430" s="398"/>
      <c r="G430" s="351"/>
      <c r="O430" s="206"/>
    </row>
    <row r="431" spans="1:15" s="183" customFormat="1">
      <c r="A431" s="350"/>
      <c r="E431" s="366"/>
      <c r="F431" s="398"/>
      <c r="G431" s="351"/>
      <c r="O431" s="206"/>
    </row>
    <row r="432" spans="1:15" s="183" customFormat="1">
      <c r="A432" s="350"/>
      <c r="E432" s="366"/>
      <c r="F432" s="398"/>
      <c r="G432" s="351"/>
      <c r="O432" s="206"/>
    </row>
    <row r="433" spans="1:15" s="183" customFormat="1">
      <c r="A433" s="350"/>
      <c r="E433" s="366"/>
      <c r="F433" s="398"/>
      <c r="G433" s="351"/>
      <c r="O433" s="206"/>
    </row>
    <row r="434" spans="1:15" s="183" customFormat="1">
      <c r="A434" s="350"/>
      <c r="E434" s="366"/>
      <c r="F434" s="398"/>
      <c r="G434" s="351"/>
      <c r="O434" s="206"/>
    </row>
    <row r="435" spans="1:15" s="183" customFormat="1">
      <c r="A435" s="350"/>
      <c r="E435" s="366"/>
      <c r="F435" s="398"/>
      <c r="G435" s="351"/>
      <c r="O435" s="206"/>
    </row>
    <row r="436" spans="1:15" s="183" customFormat="1">
      <c r="A436" s="350"/>
      <c r="E436" s="366"/>
      <c r="F436" s="398"/>
      <c r="G436" s="351"/>
      <c r="O436" s="206"/>
    </row>
    <row r="437" spans="1:15" s="183" customFormat="1">
      <c r="A437" s="350"/>
      <c r="E437" s="366"/>
      <c r="F437" s="398"/>
      <c r="G437" s="351"/>
      <c r="O437" s="206"/>
    </row>
    <row r="438" spans="1:15" s="183" customFormat="1">
      <c r="A438" s="350"/>
      <c r="E438" s="366"/>
      <c r="F438" s="398"/>
      <c r="G438" s="351"/>
      <c r="O438" s="206"/>
    </row>
    <row r="439" spans="1:15" s="183" customFormat="1">
      <c r="A439" s="350"/>
      <c r="E439" s="366"/>
      <c r="F439" s="398"/>
      <c r="G439" s="351"/>
      <c r="O439" s="206"/>
    </row>
    <row r="440" spans="1:15" s="183" customFormat="1">
      <c r="A440" s="350"/>
      <c r="E440" s="366"/>
      <c r="F440" s="398"/>
      <c r="G440" s="351"/>
      <c r="O440" s="206"/>
    </row>
    <row r="441" spans="1:15" s="183" customFormat="1">
      <c r="A441" s="350"/>
      <c r="E441" s="366"/>
      <c r="F441" s="398"/>
      <c r="G441" s="351"/>
      <c r="O441" s="206"/>
    </row>
    <row r="442" spans="1:15" s="183" customFormat="1">
      <c r="A442" s="350"/>
      <c r="E442" s="366"/>
      <c r="F442" s="398"/>
      <c r="G442" s="351"/>
      <c r="O442" s="206"/>
    </row>
    <row r="443" spans="1:15" s="183" customFormat="1">
      <c r="A443" s="350"/>
      <c r="E443" s="366"/>
      <c r="F443" s="398"/>
      <c r="G443" s="351"/>
      <c r="O443" s="206"/>
    </row>
    <row r="444" spans="1:15" s="183" customFormat="1">
      <c r="A444" s="350"/>
      <c r="E444" s="366"/>
      <c r="F444" s="398"/>
      <c r="G444" s="351"/>
      <c r="O444" s="206"/>
    </row>
    <row r="445" spans="1:15" s="183" customFormat="1">
      <c r="A445" s="350"/>
      <c r="E445" s="366"/>
      <c r="F445" s="398"/>
      <c r="G445" s="351"/>
      <c r="O445" s="206"/>
    </row>
    <row r="446" spans="1:15" s="183" customFormat="1">
      <c r="A446" s="350"/>
      <c r="E446" s="366"/>
      <c r="F446" s="398"/>
      <c r="G446" s="351"/>
      <c r="O446" s="206"/>
    </row>
    <row r="447" spans="1:15" s="183" customFormat="1">
      <c r="A447" s="350"/>
      <c r="E447" s="366"/>
      <c r="F447" s="398"/>
      <c r="G447" s="351"/>
      <c r="O447" s="206"/>
    </row>
    <row r="448" spans="1:15" s="183" customFormat="1">
      <c r="A448" s="350"/>
      <c r="E448" s="366"/>
      <c r="F448" s="398"/>
      <c r="G448" s="351"/>
      <c r="O448" s="206"/>
    </row>
    <row r="449" spans="1:15" s="183" customFormat="1">
      <c r="A449" s="350"/>
      <c r="E449" s="366"/>
      <c r="F449" s="398"/>
      <c r="G449" s="351"/>
      <c r="O449" s="206"/>
    </row>
    <row r="450" spans="1:15" s="183" customFormat="1">
      <c r="A450" s="350"/>
      <c r="E450" s="366"/>
      <c r="F450" s="398"/>
      <c r="G450" s="351"/>
      <c r="O450" s="206"/>
    </row>
    <row r="451" spans="1:15" s="183" customFormat="1">
      <c r="A451" s="350"/>
      <c r="E451" s="366"/>
      <c r="F451" s="398"/>
      <c r="G451" s="351"/>
      <c r="O451" s="206"/>
    </row>
    <row r="452" spans="1:15" s="183" customFormat="1">
      <c r="A452" s="350"/>
      <c r="E452" s="366"/>
      <c r="F452" s="398"/>
      <c r="G452" s="351"/>
      <c r="O452" s="206"/>
    </row>
    <row r="453" spans="1:15" s="183" customFormat="1">
      <c r="A453" s="350"/>
      <c r="E453" s="366"/>
      <c r="F453" s="398"/>
      <c r="G453" s="351"/>
      <c r="O453" s="206"/>
    </row>
    <row r="454" spans="1:15" s="183" customFormat="1">
      <c r="A454" s="350"/>
      <c r="E454" s="366"/>
      <c r="F454" s="398"/>
      <c r="G454" s="351"/>
      <c r="O454" s="206"/>
    </row>
    <row r="455" spans="1:15" s="183" customFormat="1">
      <c r="A455" s="350"/>
      <c r="E455" s="366"/>
      <c r="F455" s="398"/>
      <c r="G455" s="351"/>
      <c r="O455" s="206"/>
    </row>
    <row r="456" spans="1:15" s="183" customFormat="1">
      <c r="A456" s="350"/>
      <c r="E456" s="366"/>
      <c r="F456" s="398"/>
      <c r="G456" s="351"/>
      <c r="O456" s="206"/>
    </row>
    <row r="457" spans="1:15" s="183" customFormat="1">
      <c r="A457" s="350"/>
      <c r="E457" s="366"/>
      <c r="F457" s="398"/>
      <c r="G457" s="351"/>
      <c r="O457" s="206"/>
    </row>
    <row r="458" spans="1:15" s="183" customFormat="1">
      <c r="A458" s="350"/>
      <c r="E458" s="366"/>
      <c r="F458" s="398"/>
      <c r="G458" s="351"/>
      <c r="O458" s="206"/>
    </row>
    <row r="459" spans="1:15" s="183" customFormat="1">
      <c r="A459" s="350"/>
      <c r="E459" s="366"/>
      <c r="F459" s="398"/>
      <c r="G459" s="351"/>
      <c r="O459" s="206"/>
    </row>
    <row r="460" spans="1:15" s="183" customFormat="1">
      <c r="A460" s="350"/>
      <c r="E460" s="366"/>
      <c r="F460" s="398"/>
      <c r="G460" s="351"/>
      <c r="O460" s="206"/>
    </row>
    <row r="461" spans="1:15" s="183" customFormat="1">
      <c r="A461" s="350"/>
      <c r="E461" s="366"/>
      <c r="F461" s="398"/>
      <c r="G461" s="351"/>
      <c r="O461" s="206"/>
    </row>
    <row r="462" spans="1:15" s="183" customFormat="1">
      <c r="A462" s="350"/>
      <c r="E462" s="366"/>
      <c r="F462" s="398"/>
      <c r="G462" s="351"/>
      <c r="O462" s="206"/>
    </row>
    <row r="463" spans="1:15" s="183" customFormat="1">
      <c r="A463" s="350"/>
      <c r="E463" s="366"/>
      <c r="F463" s="398"/>
      <c r="G463" s="351"/>
      <c r="O463" s="206"/>
    </row>
    <row r="464" spans="1:15" s="183" customFormat="1">
      <c r="A464" s="350"/>
      <c r="E464" s="366"/>
      <c r="F464" s="398"/>
      <c r="G464" s="351"/>
      <c r="O464" s="206"/>
    </row>
    <row r="465" spans="1:15" s="183" customFormat="1">
      <c r="A465" s="350"/>
      <c r="E465" s="366"/>
      <c r="F465" s="398"/>
      <c r="G465" s="351"/>
      <c r="O465" s="206"/>
    </row>
    <row r="466" spans="1:15" s="183" customFormat="1">
      <c r="A466" s="350"/>
      <c r="E466" s="366"/>
      <c r="F466" s="398"/>
      <c r="G466" s="351"/>
      <c r="O466" s="206"/>
    </row>
    <row r="467" spans="1:15" s="183" customFormat="1">
      <c r="A467" s="350"/>
      <c r="E467" s="366"/>
      <c r="F467" s="398"/>
      <c r="G467" s="351"/>
      <c r="O467" s="206"/>
    </row>
    <row r="468" spans="1:15" s="183" customFormat="1">
      <c r="A468" s="350"/>
      <c r="E468" s="366"/>
      <c r="F468" s="398"/>
      <c r="G468" s="351"/>
      <c r="O468" s="206"/>
    </row>
    <row r="469" spans="1:15" s="183" customFormat="1">
      <c r="A469" s="350"/>
      <c r="E469" s="366"/>
      <c r="F469" s="398"/>
      <c r="G469" s="351"/>
      <c r="O469" s="206"/>
    </row>
    <row r="470" spans="1:15" s="183" customFormat="1">
      <c r="A470" s="350"/>
      <c r="E470" s="366"/>
      <c r="F470" s="398"/>
      <c r="G470" s="351"/>
      <c r="O470" s="206"/>
    </row>
    <row r="471" spans="1:15" s="183" customFormat="1">
      <c r="A471" s="350"/>
      <c r="E471" s="366"/>
      <c r="F471" s="398"/>
      <c r="G471" s="351"/>
      <c r="O471" s="206"/>
    </row>
    <row r="472" spans="1:15" s="183" customFormat="1">
      <c r="A472" s="350"/>
      <c r="E472" s="366"/>
      <c r="F472" s="398"/>
      <c r="G472" s="351"/>
      <c r="O472" s="206"/>
    </row>
    <row r="473" spans="1:15" s="183" customFormat="1">
      <c r="A473" s="350"/>
      <c r="E473" s="366"/>
      <c r="F473" s="398"/>
      <c r="G473" s="351"/>
      <c r="O473" s="206"/>
    </row>
    <row r="474" spans="1:15" s="183" customFormat="1">
      <c r="A474" s="350"/>
      <c r="E474" s="366"/>
      <c r="F474" s="398"/>
      <c r="G474" s="351"/>
      <c r="O474" s="206"/>
    </row>
    <row r="475" spans="1:15" s="183" customFormat="1">
      <c r="A475" s="350"/>
      <c r="E475" s="366"/>
      <c r="F475" s="398"/>
      <c r="G475" s="351"/>
      <c r="O475" s="206"/>
    </row>
    <row r="476" spans="1:15" s="183" customFormat="1">
      <c r="A476" s="350"/>
      <c r="E476" s="366"/>
      <c r="F476" s="398"/>
      <c r="G476" s="351"/>
      <c r="O476" s="206"/>
    </row>
    <row r="477" spans="1:15" s="183" customFormat="1">
      <c r="A477" s="350"/>
      <c r="E477" s="366"/>
      <c r="F477" s="398"/>
      <c r="G477" s="351"/>
      <c r="O477" s="206"/>
    </row>
    <row r="478" spans="1:15" s="183" customFormat="1">
      <c r="A478" s="350"/>
      <c r="E478" s="366"/>
      <c r="F478" s="398"/>
      <c r="G478" s="351"/>
      <c r="O478" s="206"/>
    </row>
    <row r="479" spans="1:15" s="183" customFormat="1">
      <c r="A479" s="350"/>
      <c r="E479" s="366"/>
      <c r="F479" s="398"/>
      <c r="G479" s="351"/>
      <c r="O479" s="206"/>
    </row>
    <row r="480" spans="1:15" s="183" customFormat="1">
      <c r="A480" s="350"/>
      <c r="E480" s="366"/>
      <c r="F480" s="398"/>
      <c r="G480" s="351"/>
      <c r="O480" s="206"/>
    </row>
    <row r="481" spans="1:15" s="183" customFormat="1">
      <c r="A481" s="350"/>
      <c r="E481" s="366"/>
      <c r="F481" s="398"/>
      <c r="G481" s="351"/>
      <c r="O481" s="206"/>
    </row>
    <row r="482" spans="1:15" s="183" customFormat="1">
      <c r="A482" s="350"/>
      <c r="E482" s="366"/>
      <c r="F482" s="398"/>
      <c r="G482" s="351"/>
      <c r="O482" s="206"/>
    </row>
    <row r="483" spans="1:15" s="183" customFormat="1">
      <c r="A483" s="350"/>
      <c r="E483" s="366"/>
      <c r="F483" s="398"/>
      <c r="G483" s="351"/>
      <c r="O483" s="206"/>
    </row>
    <row r="484" spans="1:15" s="183" customFormat="1">
      <c r="A484" s="350"/>
      <c r="E484" s="366"/>
      <c r="F484" s="398"/>
      <c r="G484" s="351"/>
      <c r="O484" s="206"/>
    </row>
    <row r="485" spans="1:15" s="183" customFormat="1">
      <c r="A485" s="350"/>
      <c r="E485" s="366"/>
      <c r="F485" s="398"/>
      <c r="G485" s="351"/>
      <c r="O485" s="206"/>
    </row>
    <row r="486" spans="1:15" s="183" customFormat="1">
      <c r="A486" s="350"/>
      <c r="E486" s="366"/>
      <c r="F486" s="398"/>
      <c r="G486" s="351"/>
      <c r="O486" s="206"/>
    </row>
    <row r="487" spans="1:15" s="183" customFormat="1">
      <c r="A487" s="350"/>
      <c r="E487" s="366"/>
      <c r="F487" s="398"/>
      <c r="G487" s="351"/>
      <c r="O487" s="206"/>
    </row>
    <row r="488" spans="1:15" s="183" customFormat="1">
      <c r="A488" s="350"/>
      <c r="E488" s="366"/>
      <c r="F488" s="398"/>
      <c r="G488" s="351"/>
      <c r="O488" s="206"/>
    </row>
    <row r="489" spans="1:15" s="183" customFormat="1">
      <c r="A489" s="350"/>
      <c r="E489" s="366"/>
      <c r="F489" s="398"/>
      <c r="G489" s="351"/>
      <c r="O489" s="206"/>
    </row>
    <row r="490" spans="1:15" s="183" customFormat="1">
      <c r="A490" s="350"/>
      <c r="E490" s="366"/>
      <c r="F490" s="398"/>
      <c r="G490" s="351"/>
      <c r="O490" s="206"/>
    </row>
    <row r="491" spans="1:15" s="183" customFormat="1">
      <c r="A491" s="350"/>
      <c r="E491" s="366"/>
      <c r="F491" s="398"/>
      <c r="G491" s="351"/>
      <c r="O491" s="206"/>
    </row>
    <row r="492" spans="1:15" s="183" customFormat="1">
      <c r="A492" s="350"/>
      <c r="E492" s="366"/>
      <c r="F492" s="398"/>
      <c r="G492" s="351"/>
      <c r="O492" s="206"/>
    </row>
    <row r="493" spans="1:15" s="183" customFormat="1">
      <c r="A493" s="350"/>
      <c r="E493" s="366"/>
      <c r="F493" s="398"/>
      <c r="G493" s="351"/>
      <c r="O493" s="206"/>
    </row>
    <row r="494" spans="1:15" s="183" customFormat="1">
      <c r="A494" s="350"/>
      <c r="E494" s="366"/>
      <c r="F494" s="398"/>
      <c r="G494" s="351"/>
      <c r="O494" s="206"/>
    </row>
    <row r="495" spans="1:15" s="183" customFormat="1">
      <c r="A495" s="350"/>
      <c r="E495" s="366"/>
      <c r="F495" s="398"/>
      <c r="G495" s="351"/>
      <c r="O495" s="206"/>
    </row>
    <row r="496" spans="1:15" s="183" customFormat="1">
      <c r="A496" s="350"/>
      <c r="E496" s="366"/>
      <c r="F496" s="398"/>
      <c r="G496" s="351"/>
      <c r="O496" s="206"/>
    </row>
    <row r="497" spans="1:15" s="183" customFormat="1">
      <c r="A497" s="350"/>
      <c r="E497" s="366"/>
      <c r="F497" s="398"/>
      <c r="G497" s="351"/>
      <c r="O497" s="206"/>
    </row>
    <row r="498" spans="1:15" s="183" customFormat="1">
      <c r="A498" s="350"/>
      <c r="E498" s="366"/>
      <c r="F498" s="398"/>
      <c r="G498" s="351"/>
      <c r="O498" s="206"/>
    </row>
    <row r="499" spans="1:15" s="183" customFormat="1">
      <c r="A499" s="350"/>
      <c r="E499" s="366"/>
      <c r="F499" s="398"/>
      <c r="G499" s="351"/>
      <c r="O499" s="206"/>
    </row>
    <row r="500" spans="1:15" s="183" customFormat="1">
      <c r="A500" s="350"/>
      <c r="E500" s="366"/>
      <c r="F500" s="398"/>
      <c r="G500" s="351"/>
      <c r="O500" s="206"/>
    </row>
    <row r="501" spans="1:15" s="183" customFormat="1">
      <c r="A501" s="350"/>
      <c r="E501" s="366"/>
      <c r="F501" s="398"/>
      <c r="G501" s="351"/>
      <c r="O501" s="206"/>
    </row>
    <row r="502" spans="1:15" s="183" customFormat="1">
      <c r="A502" s="350"/>
      <c r="E502" s="366"/>
      <c r="F502" s="398"/>
      <c r="G502" s="351"/>
      <c r="O502" s="206"/>
    </row>
    <row r="503" spans="1:15" s="183" customFormat="1">
      <c r="A503" s="350"/>
      <c r="E503" s="366"/>
      <c r="F503" s="398"/>
      <c r="G503" s="351"/>
      <c r="O503" s="206"/>
    </row>
    <row r="504" spans="1:15" s="183" customFormat="1">
      <c r="A504" s="350"/>
      <c r="E504" s="366"/>
      <c r="F504" s="398"/>
      <c r="G504" s="351"/>
      <c r="O504" s="206"/>
    </row>
    <row r="505" spans="1:15" s="183" customFormat="1">
      <c r="A505" s="350"/>
      <c r="E505" s="366"/>
      <c r="F505" s="398"/>
      <c r="G505" s="351"/>
      <c r="O505" s="206"/>
    </row>
    <row r="506" spans="1:15" s="183" customFormat="1">
      <c r="A506" s="350"/>
      <c r="E506" s="366"/>
      <c r="F506" s="398"/>
      <c r="G506" s="351"/>
      <c r="O506" s="206"/>
    </row>
    <row r="507" spans="1:15" s="183" customFormat="1">
      <c r="A507" s="350"/>
      <c r="E507" s="366"/>
      <c r="F507" s="398"/>
      <c r="G507" s="351"/>
      <c r="O507" s="206"/>
    </row>
    <row r="508" spans="1:15" s="183" customFormat="1">
      <c r="A508" s="350"/>
      <c r="E508" s="366"/>
      <c r="F508" s="398"/>
      <c r="G508" s="351"/>
      <c r="O508" s="206"/>
    </row>
    <row r="509" spans="1:15" s="183" customFormat="1">
      <c r="A509" s="350"/>
      <c r="E509" s="366"/>
      <c r="F509" s="398"/>
      <c r="G509" s="351"/>
      <c r="O509" s="206"/>
    </row>
    <row r="510" spans="1:15" s="183" customFormat="1">
      <c r="A510" s="350"/>
      <c r="E510" s="366"/>
      <c r="F510" s="398"/>
      <c r="G510" s="351"/>
      <c r="O510" s="206"/>
    </row>
    <row r="511" spans="1:15" s="183" customFormat="1">
      <c r="A511" s="350"/>
      <c r="E511" s="366"/>
      <c r="F511" s="398"/>
      <c r="G511" s="351"/>
      <c r="O511" s="206"/>
    </row>
    <row r="512" spans="1:15" s="183" customFormat="1">
      <c r="A512" s="350"/>
      <c r="E512" s="366"/>
      <c r="F512" s="398"/>
      <c r="G512" s="351"/>
      <c r="O512" s="206"/>
    </row>
    <row r="513" spans="1:15" s="183" customFormat="1">
      <c r="A513" s="350"/>
      <c r="E513" s="366"/>
      <c r="F513" s="398"/>
      <c r="G513" s="351"/>
      <c r="O513" s="206"/>
    </row>
    <row r="514" spans="1:15" s="183" customFormat="1">
      <c r="A514" s="350"/>
      <c r="E514" s="366"/>
      <c r="F514" s="398"/>
      <c r="G514" s="351"/>
      <c r="O514" s="206"/>
    </row>
    <row r="515" spans="1:15" s="183" customFormat="1">
      <c r="A515" s="350"/>
      <c r="E515" s="366"/>
      <c r="F515" s="398"/>
      <c r="G515" s="351"/>
      <c r="O515" s="206"/>
    </row>
    <row r="516" spans="1:15" s="183" customFormat="1">
      <c r="A516" s="350"/>
      <c r="E516" s="366"/>
      <c r="F516" s="398"/>
      <c r="G516" s="351"/>
      <c r="O516" s="206"/>
    </row>
    <row r="517" spans="1:15" s="183" customFormat="1">
      <c r="A517" s="350"/>
      <c r="E517" s="366"/>
      <c r="F517" s="398"/>
      <c r="G517" s="351"/>
      <c r="O517" s="206"/>
    </row>
    <row r="518" spans="1:15" s="183" customFormat="1">
      <c r="A518" s="350"/>
      <c r="E518" s="366"/>
      <c r="F518" s="398"/>
      <c r="G518" s="351"/>
      <c r="O518" s="206"/>
    </row>
    <row r="519" spans="1:15" s="183" customFormat="1">
      <c r="A519" s="350"/>
      <c r="E519" s="366"/>
      <c r="F519" s="398"/>
      <c r="G519" s="351"/>
      <c r="O519" s="206"/>
    </row>
    <row r="520" spans="1:15" s="183" customFormat="1">
      <c r="A520" s="350"/>
      <c r="E520" s="366"/>
      <c r="F520" s="398"/>
      <c r="G520" s="351"/>
      <c r="O520" s="206"/>
    </row>
    <row r="521" spans="1:15" s="183" customFormat="1">
      <c r="A521" s="350"/>
      <c r="E521" s="366"/>
      <c r="F521" s="398"/>
      <c r="G521" s="351"/>
      <c r="O521" s="206"/>
    </row>
    <row r="522" spans="1:15" s="183" customFormat="1">
      <c r="A522" s="350"/>
      <c r="E522" s="366"/>
      <c r="F522" s="398"/>
      <c r="G522" s="351"/>
      <c r="O522" s="206"/>
    </row>
    <row r="523" spans="1:15" s="183" customFormat="1">
      <c r="A523" s="350"/>
      <c r="E523" s="366"/>
      <c r="F523" s="398"/>
      <c r="G523" s="351"/>
      <c r="O523" s="206"/>
    </row>
    <row r="524" spans="1:15" s="183" customFormat="1">
      <c r="A524" s="350"/>
      <c r="E524" s="366"/>
      <c r="F524" s="398"/>
      <c r="G524" s="351"/>
      <c r="O524" s="206"/>
    </row>
    <row r="525" spans="1:15" s="183" customFormat="1">
      <c r="A525" s="350"/>
      <c r="E525" s="366"/>
      <c r="F525" s="398"/>
      <c r="G525" s="351"/>
      <c r="O525" s="206"/>
    </row>
    <row r="526" spans="1:15" s="183" customFormat="1">
      <c r="A526" s="350"/>
      <c r="E526" s="366"/>
      <c r="F526" s="398"/>
      <c r="G526" s="351"/>
      <c r="O526" s="206"/>
    </row>
    <row r="527" spans="1:15" s="183" customFormat="1">
      <c r="A527" s="350"/>
      <c r="E527" s="366"/>
      <c r="F527" s="398"/>
      <c r="G527" s="351"/>
      <c r="O527" s="206"/>
    </row>
    <row r="528" spans="1:15" s="183" customFormat="1">
      <c r="A528" s="350"/>
      <c r="E528" s="366"/>
      <c r="F528" s="398"/>
      <c r="G528" s="351"/>
      <c r="O528" s="206"/>
    </row>
    <row r="529" spans="1:15" s="183" customFormat="1">
      <c r="A529" s="350"/>
      <c r="E529" s="366"/>
      <c r="F529" s="398"/>
      <c r="G529" s="351"/>
      <c r="O529" s="206"/>
    </row>
    <row r="530" spans="1:15" s="183" customFormat="1">
      <c r="A530" s="350"/>
      <c r="E530" s="366"/>
      <c r="F530" s="398"/>
      <c r="G530" s="351"/>
      <c r="O530" s="206"/>
    </row>
    <row r="531" spans="1:15" s="183" customFormat="1">
      <c r="A531" s="350"/>
      <c r="E531" s="366"/>
      <c r="F531" s="398"/>
      <c r="G531" s="351"/>
      <c r="O531" s="206"/>
    </row>
    <row r="532" spans="1:15" s="183" customFormat="1">
      <c r="A532" s="350"/>
      <c r="E532" s="366"/>
      <c r="F532" s="398"/>
      <c r="G532" s="351"/>
      <c r="O532" s="206"/>
    </row>
    <row r="533" spans="1:15" s="183" customFormat="1">
      <c r="A533" s="350"/>
      <c r="E533" s="366"/>
      <c r="F533" s="398"/>
      <c r="G533" s="351"/>
      <c r="O533" s="206"/>
    </row>
    <row r="534" spans="1:15" s="183" customFormat="1">
      <c r="A534" s="350"/>
      <c r="E534" s="366"/>
      <c r="F534" s="398"/>
      <c r="G534" s="351"/>
      <c r="O534" s="206"/>
    </row>
    <row r="535" spans="1:15" s="183" customFormat="1">
      <c r="A535" s="350"/>
      <c r="E535" s="366"/>
      <c r="F535" s="398"/>
      <c r="G535" s="351"/>
      <c r="O535" s="206"/>
    </row>
    <row r="536" spans="1:15" s="183" customFormat="1">
      <c r="A536" s="350"/>
      <c r="E536" s="366"/>
      <c r="F536" s="398"/>
      <c r="G536" s="351"/>
      <c r="O536" s="206"/>
    </row>
    <row r="537" spans="1:15" s="183" customFormat="1">
      <c r="A537" s="350"/>
      <c r="E537" s="366"/>
      <c r="F537" s="398"/>
      <c r="G537" s="351"/>
      <c r="O537" s="206"/>
    </row>
    <row r="538" spans="1:15" s="183" customFormat="1">
      <c r="A538" s="350"/>
      <c r="E538" s="366"/>
      <c r="F538" s="398"/>
      <c r="G538" s="351"/>
      <c r="O538" s="206"/>
    </row>
    <row r="539" spans="1:15" s="183" customFormat="1">
      <c r="A539" s="350"/>
      <c r="E539" s="366"/>
      <c r="F539" s="398"/>
      <c r="G539" s="351"/>
      <c r="O539" s="206"/>
    </row>
    <row r="540" spans="1:15" s="183" customFormat="1">
      <c r="A540" s="350"/>
      <c r="E540" s="366"/>
      <c r="F540" s="398"/>
      <c r="G540" s="351"/>
      <c r="O540" s="206"/>
    </row>
    <row r="541" spans="1:15" s="183" customFormat="1">
      <c r="A541" s="350"/>
      <c r="E541" s="366"/>
      <c r="F541" s="398"/>
      <c r="G541" s="351"/>
      <c r="O541" s="206"/>
    </row>
    <row r="542" spans="1:15" s="183" customFormat="1">
      <c r="A542" s="350"/>
      <c r="E542" s="366"/>
      <c r="F542" s="398"/>
      <c r="G542" s="351"/>
      <c r="O542" s="206"/>
    </row>
    <row r="543" spans="1:15" s="183" customFormat="1">
      <c r="A543" s="350"/>
      <c r="E543" s="366"/>
      <c r="F543" s="398"/>
      <c r="G543" s="351"/>
      <c r="O543" s="206"/>
    </row>
    <row r="544" spans="1:15" s="183" customFormat="1">
      <c r="A544" s="350"/>
      <c r="E544" s="366"/>
      <c r="F544" s="398"/>
      <c r="G544" s="351"/>
      <c r="O544" s="206"/>
    </row>
    <row r="545" spans="1:15" s="183" customFormat="1">
      <c r="A545" s="350"/>
      <c r="E545" s="366"/>
      <c r="F545" s="398"/>
      <c r="G545" s="351"/>
      <c r="O545" s="206"/>
    </row>
    <row r="546" spans="1:15" s="183" customFormat="1">
      <c r="A546" s="350"/>
      <c r="E546" s="366"/>
      <c r="F546" s="398"/>
      <c r="G546" s="351"/>
      <c r="O546" s="206"/>
    </row>
    <row r="547" spans="1:15" s="183" customFormat="1">
      <c r="A547" s="350"/>
      <c r="E547" s="366"/>
      <c r="F547" s="398"/>
      <c r="G547" s="351"/>
      <c r="O547" s="206"/>
    </row>
    <row r="548" spans="1:15" s="183" customFormat="1">
      <c r="A548" s="350"/>
      <c r="E548" s="366"/>
      <c r="F548" s="398"/>
      <c r="G548" s="351"/>
      <c r="O548" s="206"/>
    </row>
    <row r="549" spans="1:15" s="183" customFormat="1">
      <c r="A549" s="350"/>
      <c r="E549" s="366"/>
      <c r="F549" s="398"/>
      <c r="G549" s="351"/>
      <c r="O549" s="206"/>
    </row>
    <row r="550" spans="1:15" s="183" customFormat="1">
      <c r="A550" s="350"/>
      <c r="E550" s="366"/>
      <c r="F550" s="398"/>
      <c r="G550" s="351"/>
      <c r="O550" s="206"/>
    </row>
    <row r="551" spans="1:15" s="183" customFormat="1">
      <c r="A551" s="350"/>
      <c r="E551" s="366"/>
      <c r="F551" s="398"/>
      <c r="G551" s="351"/>
      <c r="O551" s="206"/>
    </row>
    <row r="552" spans="1:15" s="183" customFormat="1">
      <c r="A552" s="350"/>
      <c r="E552" s="366"/>
      <c r="F552" s="398"/>
      <c r="G552" s="351"/>
      <c r="O552" s="206"/>
    </row>
    <row r="553" spans="1:15" s="183" customFormat="1">
      <c r="A553" s="350"/>
      <c r="E553" s="366"/>
      <c r="F553" s="398"/>
      <c r="G553" s="351"/>
      <c r="O553" s="206"/>
    </row>
    <row r="554" spans="1:15" s="183" customFormat="1">
      <c r="A554" s="350"/>
      <c r="E554" s="366"/>
      <c r="F554" s="398"/>
      <c r="G554" s="351"/>
      <c r="O554" s="206"/>
    </row>
    <row r="555" spans="1:15" s="183" customFormat="1">
      <c r="A555" s="350"/>
      <c r="E555" s="366"/>
      <c r="F555" s="398"/>
      <c r="G555" s="351"/>
      <c r="O555" s="206"/>
    </row>
    <row r="556" spans="1:15" s="183" customFormat="1">
      <c r="A556" s="350"/>
      <c r="E556" s="366"/>
      <c r="F556" s="398"/>
      <c r="G556" s="351"/>
      <c r="O556" s="206"/>
    </row>
    <row r="557" spans="1:15" s="183" customFormat="1">
      <c r="A557" s="350"/>
      <c r="E557" s="366"/>
      <c r="F557" s="398"/>
      <c r="G557" s="351"/>
      <c r="O557" s="206"/>
    </row>
    <row r="558" spans="1:15" s="183" customFormat="1">
      <c r="A558" s="350"/>
      <c r="E558" s="366"/>
      <c r="F558" s="398"/>
      <c r="G558" s="351"/>
      <c r="O558" s="206"/>
    </row>
    <row r="559" spans="1:15" s="183" customFormat="1">
      <c r="A559" s="350"/>
      <c r="E559" s="366"/>
      <c r="F559" s="398"/>
      <c r="G559" s="351"/>
      <c r="O559" s="206"/>
    </row>
    <row r="560" spans="1:15" s="183" customFormat="1">
      <c r="A560" s="350"/>
      <c r="E560" s="366"/>
      <c r="F560" s="398"/>
      <c r="G560" s="351"/>
      <c r="O560" s="206"/>
    </row>
    <row r="561" spans="1:15" s="183" customFormat="1">
      <c r="A561" s="350"/>
      <c r="E561" s="366"/>
      <c r="F561" s="398"/>
      <c r="G561" s="351"/>
      <c r="O561" s="206"/>
    </row>
    <row r="562" spans="1:15" s="183" customFormat="1">
      <c r="A562" s="350"/>
      <c r="E562" s="366"/>
      <c r="F562" s="398"/>
      <c r="G562" s="351"/>
      <c r="O562" s="206"/>
    </row>
    <row r="563" spans="1:15" s="183" customFormat="1">
      <c r="A563" s="350"/>
      <c r="E563" s="366"/>
      <c r="F563" s="398"/>
      <c r="G563" s="351"/>
      <c r="O563" s="206"/>
    </row>
    <row r="564" spans="1:15" s="183" customFormat="1">
      <c r="A564" s="350"/>
      <c r="E564" s="366"/>
      <c r="F564" s="398"/>
      <c r="G564" s="351"/>
      <c r="O564" s="206"/>
    </row>
    <row r="565" spans="1:15" s="183" customFormat="1">
      <c r="A565" s="350"/>
      <c r="E565" s="366"/>
      <c r="F565" s="398"/>
      <c r="G565" s="351"/>
      <c r="O565" s="206"/>
    </row>
    <row r="566" spans="1:15" s="183" customFormat="1">
      <c r="A566" s="350"/>
      <c r="E566" s="366"/>
      <c r="F566" s="398"/>
      <c r="G566" s="351"/>
      <c r="O566" s="206"/>
    </row>
    <row r="567" spans="1:15" s="183" customFormat="1">
      <c r="A567" s="350"/>
      <c r="E567" s="366"/>
      <c r="F567" s="398"/>
      <c r="G567" s="351"/>
      <c r="O567" s="206"/>
    </row>
    <row r="568" spans="1:15" s="183" customFormat="1">
      <c r="A568" s="350"/>
      <c r="E568" s="366"/>
      <c r="F568" s="398"/>
      <c r="G568" s="351"/>
      <c r="O568" s="206"/>
    </row>
    <row r="569" spans="1:15" s="183" customFormat="1">
      <c r="A569" s="350"/>
      <c r="E569" s="366"/>
      <c r="F569" s="398"/>
      <c r="G569" s="351"/>
      <c r="O569" s="206"/>
    </row>
    <row r="570" spans="1:15" s="183" customFormat="1">
      <c r="A570" s="350"/>
      <c r="E570" s="366"/>
      <c r="F570" s="398"/>
      <c r="G570" s="351"/>
      <c r="O570" s="206"/>
    </row>
    <row r="571" spans="1:15" s="183" customFormat="1">
      <c r="A571" s="350"/>
      <c r="E571" s="366"/>
      <c r="F571" s="398"/>
      <c r="G571" s="351"/>
      <c r="O571" s="206"/>
    </row>
    <row r="572" spans="1:15" s="183" customFormat="1">
      <c r="A572" s="350"/>
      <c r="E572" s="366"/>
      <c r="F572" s="398"/>
      <c r="G572" s="351"/>
      <c r="O572" s="206"/>
    </row>
    <row r="573" spans="1:15" s="183" customFormat="1">
      <c r="A573" s="350"/>
      <c r="E573" s="366"/>
      <c r="F573" s="398"/>
      <c r="G573" s="351"/>
      <c r="O573" s="206"/>
    </row>
    <row r="574" spans="1:15" s="183" customFormat="1">
      <c r="A574" s="350"/>
      <c r="E574" s="366"/>
      <c r="F574" s="398"/>
      <c r="G574" s="351"/>
      <c r="O574" s="206"/>
    </row>
    <row r="575" spans="1:15" s="183" customFormat="1">
      <c r="A575" s="350"/>
      <c r="E575" s="366"/>
      <c r="F575" s="398"/>
      <c r="G575" s="351"/>
      <c r="O575" s="206"/>
    </row>
    <row r="576" spans="1:15" s="183" customFormat="1">
      <c r="A576" s="350"/>
      <c r="E576" s="366"/>
      <c r="F576" s="398"/>
      <c r="G576" s="351"/>
      <c r="O576" s="206"/>
    </row>
    <row r="577" spans="1:15" s="183" customFormat="1">
      <c r="A577" s="350"/>
      <c r="E577" s="366"/>
      <c r="F577" s="398"/>
      <c r="G577" s="351"/>
      <c r="O577" s="206"/>
    </row>
    <row r="578" spans="1:15" s="183" customFormat="1">
      <c r="A578" s="350"/>
      <c r="E578" s="366"/>
      <c r="F578" s="398"/>
      <c r="G578" s="351"/>
      <c r="O578" s="206"/>
    </row>
    <row r="579" spans="1:15" s="183" customFormat="1">
      <c r="A579" s="350"/>
      <c r="E579" s="366"/>
      <c r="F579" s="398"/>
      <c r="G579" s="351"/>
      <c r="O579" s="206"/>
    </row>
    <row r="580" spans="1:15" s="183" customFormat="1">
      <c r="A580" s="350"/>
      <c r="E580" s="366"/>
      <c r="F580" s="398"/>
      <c r="G580" s="351"/>
      <c r="O580" s="206"/>
    </row>
    <row r="581" spans="1:15" s="183" customFormat="1">
      <c r="A581" s="350"/>
      <c r="E581" s="366"/>
      <c r="F581" s="398"/>
      <c r="G581" s="351"/>
      <c r="O581" s="206"/>
    </row>
    <row r="582" spans="1:15" s="183" customFormat="1">
      <c r="A582" s="350"/>
      <c r="E582" s="366"/>
      <c r="F582" s="398"/>
      <c r="G582" s="351"/>
      <c r="O582" s="206"/>
    </row>
    <row r="583" spans="1:15" s="183" customFormat="1">
      <c r="A583" s="350"/>
      <c r="E583" s="366"/>
      <c r="F583" s="398"/>
      <c r="G583" s="351"/>
      <c r="O583" s="206"/>
    </row>
    <row r="584" spans="1:15" s="183" customFormat="1">
      <c r="A584" s="350"/>
      <c r="E584" s="366"/>
      <c r="F584" s="398"/>
      <c r="G584" s="351"/>
      <c r="O584" s="206"/>
    </row>
    <row r="585" spans="1:15" s="183" customFormat="1">
      <c r="A585" s="350"/>
      <c r="E585" s="366"/>
      <c r="F585" s="398"/>
      <c r="G585" s="351"/>
      <c r="O585" s="206"/>
    </row>
    <row r="586" spans="1:15" s="183" customFormat="1">
      <c r="A586" s="350"/>
      <c r="E586" s="366"/>
      <c r="F586" s="398"/>
      <c r="G586" s="351"/>
      <c r="O586" s="206"/>
    </row>
    <row r="587" spans="1:15" s="183" customFormat="1">
      <c r="A587" s="350"/>
      <c r="E587" s="366"/>
      <c r="F587" s="398"/>
      <c r="G587" s="351"/>
      <c r="O587" s="206"/>
    </row>
    <row r="588" spans="1:15" s="183" customFormat="1">
      <c r="A588" s="350"/>
      <c r="E588" s="366"/>
      <c r="F588" s="398"/>
      <c r="G588" s="351"/>
      <c r="O588" s="206"/>
    </row>
    <row r="589" spans="1:15" s="183" customFormat="1">
      <c r="A589" s="350"/>
      <c r="E589" s="366"/>
      <c r="F589" s="398"/>
      <c r="G589" s="351"/>
      <c r="O589" s="206"/>
    </row>
    <row r="590" spans="1:15" s="183" customFormat="1">
      <c r="A590" s="350"/>
      <c r="E590" s="366"/>
      <c r="F590" s="398"/>
      <c r="G590" s="351"/>
      <c r="O590" s="206"/>
    </row>
    <row r="591" spans="1:15" s="183" customFormat="1">
      <c r="A591" s="350"/>
      <c r="E591" s="366"/>
      <c r="F591" s="398"/>
      <c r="G591" s="351"/>
      <c r="O591" s="206"/>
    </row>
    <row r="592" spans="1:15" s="183" customFormat="1">
      <c r="A592" s="350"/>
      <c r="E592" s="366"/>
      <c r="F592" s="398"/>
      <c r="G592" s="351"/>
      <c r="O592" s="206"/>
    </row>
    <row r="593" spans="1:15" s="183" customFormat="1">
      <c r="A593" s="350"/>
      <c r="E593" s="366"/>
      <c r="F593" s="398"/>
      <c r="G593" s="351"/>
      <c r="O593" s="206"/>
    </row>
    <row r="594" spans="1:15" s="183" customFormat="1">
      <c r="A594" s="350"/>
      <c r="E594" s="366"/>
      <c r="F594" s="398"/>
      <c r="G594" s="351"/>
      <c r="O594" s="206"/>
    </row>
    <row r="595" spans="1:15" s="183" customFormat="1">
      <c r="A595" s="350"/>
      <c r="E595" s="366"/>
      <c r="F595" s="398"/>
      <c r="G595" s="351"/>
      <c r="O595" s="206"/>
    </row>
    <row r="596" spans="1:15" s="183" customFormat="1">
      <c r="A596" s="350"/>
      <c r="E596" s="366"/>
      <c r="F596" s="398"/>
      <c r="G596" s="351"/>
      <c r="O596" s="206"/>
    </row>
    <row r="597" spans="1:15" s="183" customFormat="1">
      <c r="A597" s="350"/>
      <c r="E597" s="366"/>
      <c r="F597" s="398"/>
      <c r="G597" s="351"/>
      <c r="O597" s="206"/>
    </row>
    <row r="598" spans="1:15" s="183" customFormat="1">
      <c r="A598" s="350"/>
      <c r="E598" s="366"/>
      <c r="F598" s="398"/>
      <c r="G598" s="351"/>
      <c r="O598" s="206"/>
    </row>
    <row r="599" spans="1:15" s="183" customFormat="1">
      <c r="A599" s="350"/>
      <c r="E599" s="366"/>
      <c r="F599" s="398"/>
      <c r="G599" s="351"/>
      <c r="O599" s="206"/>
    </row>
    <row r="600" spans="1:15" s="183" customFormat="1">
      <c r="A600" s="350"/>
      <c r="E600" s="366"/>
      <c r="F600" s="398"/>
      <c r="G600" s="351"/>
      <c r="O600" s="206"/>
    </row>
    <row r="601" spans="1:15" s="183" customFormat="1">
      <c r="A601" s="350"/>
      <c r="E601" s="366"/>
      <c r="F601" s="398"/>
      <c r="G601" s="351"/>
      <c r="O601" s="206"/>
    </row>
    <row r="602" spans="1:15" s="183" customFormat="1">
      <c r="A602" s="350"/>
      <c r="E602" s="366"/>
      <c r="F602" s="398"/>
      <c r="G602" s="351"/>
      <c r="O602" s="206"/>
    </row>
    <row r="603" spans="1:15" s="183" customFormat="1">
      <c r="A603" s="350"/>
      <c r="E603" s="366"/>
      <c r="F603" s="398"/>
      <c r="G603" s="351"/>
      <c r="O603" s="206"/>
    </row>
    <row r="604" spans="1:15" s="183" customFormat="1">
      <c r="A604" s="350"/>
      <c r="E604" s="366"/>
      <c r="F604" s="398"/>
      <c r="G604" s="351"/>
      <c r="O604" s="206"/>
    </row>
    <row r="605" spans="1:15" s="183" customFormat="1">
      <c r="A605" s="350"/>
      <c r="E605" s="366"/>
      <c r="F605" s="398"/>
      <c r="G605" s="351"/>
      <c r="O605" s="206"/>
    </row>
    <row r="606" spans="1:15" s="183" customFormat="1">
      <c r="A606" s="350"/>
      <c r="E606" s="366"/>
      <c r="F606" s="398"/>
      <c r="G606" s="351"/>
      <c r="O606" s="206"/>
    </row>
    <row r="607" spans="1:15" s="183" customFormat="1">
      <c r="A607" s="350"/>
      <c r="E607" s="366"/>
      <c r="F607" s="398"/>
      <c r="G607" s="351"/>
      <c r="O607" s="206"/>
    </row>
    <row r="608" spans="1:15" s="183" customFormat="1">
      <c r="A608" s="350"/>
      <c r="E608" s="366"/>
      <c r="F608" s="398"/>
      <c r="G608" s="351"/>
      <c r="O608" s="206"/>
    </row>
    <row r="609" spans="1:15" s="183" customFormat="1">
      <c r="A609" s="350"/>
      <c r="E609" s="366"/>
      <c r="F609" s="398"/>
      <c r="G609" s="351"/>
      <c r="O609" s="206"/>
    </row>
    <row r="610" spans="1:15" s="183" customFormat="1">
      <c r="A610" s="350"/>
      <c r="E610" s="366"/>
      <c r="F610" s="398"/>
      <c r="G610" s="351"/>
      <c r="O610" s="206"/>
    </row>
    <row r="611" spans="1:15" s="183" customFormat="1">
      <c r="A611" s="350"/>
      <c r="E611" s="366"/>
      <c r="F611" s="398"/>
      <c r="G611" s="351"/>
      <c r="O611" s="206"/>
    </row>
    <row r="612" spans="1:15" s="183" customFormat="1">
      <c r="A612" s="350"/>
      <c r="E612" s="366"/>
      <c r="F612" s="398"/>
      <c r="G612" s="351"/>
      <c r="O612" s="206"/>
    </row>
    <row r="613" spans="1:15" s="183" customFormat="1">
      <c r="A613" s="350"/>
      <c r="E613" s="366"/>
      <c r="F613" s="398"/>
      <c r="G613" s="351"/>
      <c r="O613" s="206"/>
    </row>
    <row r="614" spans="1:15" s="183" customFormat="1">
      <c r="A614" s="350"/>
      <c r="E614" s="366"/>
      <c r="F614" s="398"/>
      <c r="G614" s="351"/>
      <c r="O614" s="206"/>
    </row>
    <row r="615" spans="1:15" s="183" customFormat="1">
      <c r="A615" s="350"/>
      <c r="E615" s="366"/>
      <c r="F615" s="398"/>
      <c r="G615" s="351"/>
      <c r="O615" s="206"/>
    </row>
    <row r="616" spans="1:15" s="183" customFormat="1">
      <c r="A616" s="350"/>
      <c r="E616" s="366"/>
      <c r="F616" s="398"/>
      <c r="G616" s="351"/>
      <c r="O616" s="206"/>
    </row>
    <row r="617" spans="1:15" s="183" customFormat="1">
      <c r="A617" s="350"/>
      <c r="E617" s="366"/>
      <c r="F617" s="398"/>
      <c r="G617" s="351"/>
      <c r="O617" s="206"/>
    </row>
    <row r="618" spans="1:15" s="183" customFormat="1">
      <c r="A618" s="350"/>
      <c r="E618" s="366"/>
      <c r="F618" s="398"/>
      <c r="G618" s="351"/>
      <c r="O618" s="206"/>
    </row>
    <row r="619" spans="1:15" s="183" customFormat="1">
      <c r="A619" s="350"/>
      <c r="E619" s="366"/>
      <c r="F619" s="398"/>
      <c r="G619" s="351"/>
      <c r="O619" s="206"/>
    </row>
    <row r="620" spans="1:15" s="183" customFormat="1">
      <c r="A620" s="350"/>
      <c r="E620" s="366"/>
      <c r="F620" s="398"/>
      <c r="G620" s="351"/>
      <c r="O620" s="206"/>
    </row>
    <row r="621" spans="1:15" s="183" customFormat="1">
      <c r="A621" s="350"/>
      <c r="E621" s="366"/>
      <c r="F621" s="398"/>
      <c r="G621" s="351"/>
      <c r="O621" s="206"/>
    </row>
    <row r="622" spans="1:15" s="183" customFormat="1">
      <c r="A622" s="350"/>
      <c r="E622" s="366"/>
      <c r="F622" s="398"/>
      <c r="G622" s="351"/>
      <c r="O622" s="206"/>
    </row>
    <row r="623" spans="1:15" s="183" customFormat="1">
      <c r="A623" s="350"/>
      <c r="E623" s="366"/>
      <c r="F623" s="398"/>
      <c r="G623" s="351"/>
      <c r="O623" s="206"/>
    </row>
    <row r="624" spans="1:15" s="183" customFormat="1">
      <c r="A624" s="350"/>
      <c r="E624" s="366"/>
      <c r="F624" s="398"/>
      <c r="G624" s="351"/>
      <c r="O624" s="206"/>
    </row>
    <row r="625" spans="1:15" s="183" customFormat="1">
      <c r="A625" s="350"/>
      <c r="E625" s="366"/>
      <c r="F625" s="398"/>
      <c r="G625" s="351"/>
      <c r="O625" s="206"/>
    </row>
    <row r="626" spans="1:15" s="183" customFormat="1">
      <c r="A626" s="350"/>
      <c r="E626" s="366"/>
      <c r="F626" s="398"/>
      <c r="G626" s="351"/>
      <c r="O626" s="206"/>
    </row>
    <row r="627" spans="1:15" s="183" customFormat="1">
      <c r="A627" s="350"/>
      <c r="E627" s="366"/>
      <c r="F627" s="398"/>
      <c r="G627" s="351"/>
      <c r="O627" s="206"/>
    </row>
    <row r="628" spans="1:15" s="183" customFormat="1">
      <c r="A628" s="350"/>
      <c r="E628" s="366"/>
      <c r="F628" s="398"/>
      <c r="G628" s="351"/>
      <c r="O628" s="206"/>
    </row>
    <row r="629" spans="1:15" s="183" customFormat="1">
      <c r="A629" s="350"/>
      <c r="E629" s="366"/>
      <c r="F629" s="398"/>
      <c r="G629" s="351"/>
      <c r="O629" s="206"/>
    </row>
    <row r="630" spans="1:15" s="183" customFormat="1">
      <c r="A630" s="350"/>
      <c r="E630" s="366"/>
      <c r="F630" s="398"/>
      <c r="G630" s="351"/>
      <c r="O630" s="206"/>
    </row>
    <row r="631" spans="1:15" s="183" customFormat="1">
      <c r="A631" s="350"/>
      <c r="E631" s="366"/>
      <c r="F631" s="398"/>
      <c r="G631" s="351"/>
      <c r="O631" s="206"/>
    </row>
    <row r="632" spans="1:15" s="183" customFormat="1">
      <c r="A632" s="350"/>
      <c r="E632" s="366"/>
      <c r="F632" s="398"/>
      <c r="G632" s="351"/>
      <c r="O632" s="206"/>
    </row>
    <row r="633" spans="1:15" s="183" customFormat="1">
      <c r="A633" s="350"/>
      <c r="E633" s="366"/>
      <c r="F633" s="398"/>
      <c r="G633" s="351"/>
      <c r="O633" s="206"/>
    </row>
    <row r="634" spans="1:15" s="183" customFormat="1">
      <c r="A634" s="350"/>
      <c r="E634" s="366"/>
      <c r="F634" s="398"/>
      <c r="G634" s="351"/>
      <c r="O634" s="206"/>
    </row>
    <row r="635" spans="1:15" s="183" customFormat="1">
      <c r="A635" s="350"/>
      <c r="E635" s="366"/>
      <c r="F635" s="398"/>
      <c r="G635" s="351"/>
      <c r="O635" s="206"/>
    </row>
    <row r="636" spans="1:15" s="183" customFormat="1">
      <c r="A636" s="350"/>
      <c r="E636" s="366"/>
      <c r="F636" s="398"/>
      <c r="G636" s="351"/>
      <c r="O636" s="206"/>
    </row>
    <row r="637" spans="1:15" s="183" customFormat="1">
      <c r="A637" s="350"/>
      <c r="E637" s="366"/>
      <c r="F637" s="398"/>
      <c r="G637" s="351"/>
      <c r="O637" s="206"/>
    </row>
    <row r="638" spans="1:15" s="183" customFormat="1">
      <c r="A638" s="350"/>
      <c r="E638" s="366"/>
      <c r="F638" s="398"/>
      <c r="G638" s="351"/>
      <c r="O638" s="206"/>
    </row>
    <row r="639" spans="1:15" s="183" customFormat="1">
      <c r="A639" s="350"/>
      <c r="E639" s="366"/>
      <c r="F639" s="398"/>
      <c r="G639" s="351"/>
      <c r="O639" s="206"/>
    </row>
    <row r="640" spans="1:15" s="183" customFormat="1">
      <c r="A640" s="350"/>
      <c r="E640" s="366"/>
      <c r="F640" s="398"/>
      <c r="G640" s="351"/>
      <c r="O640" s="206"/>
    </row>
    <row r="641" spans="1:15" s="183" customFormat="1">
      <c r="A641" s="350"/>
      <c r="E641" s="366"/>
      <c r="F641" s="398"/>
      <c r="G641" s="351"/>
      <c r="O641" s="206"/>
    </row>
    <row r="642" spans="1:15" s="183" customFormat="1">
      <c r="A642" s="350"/>
      <c r="E642" s="366"/>
      <c r="F642" s="398"/>
      <c r="G642" s="351"/>
      <c r="O642" s="206"/>
    </row>
    <row r="643" spans="1:15" s="183" customFormat="1">
      <c r="A643" s="350"/>
      <c r="E643" s="366"/>
      <c r="F643" s="398"/>
      <c r="G643" s="351"/>
      <c r="O643" s="206"/>
    </row>
    <row r="644" spans="1:15" s="183" customFormat="1">
      <c r="A644" s="350"/>
      <c r="E644" s="366"/>
      <c r="F644" s="398"/>
      <c r="G644" s="351"/>
      <c r="O644" s="206"/>
    </row>
    <row r="645" spans="1:15" s="183" customFormat="1">
      <c r="A645" s="350"/>
      <c r="E645" s="366"/>
      <c r="F645" s="398"/>
      <c r="G645" s="351"/>
      <c r="O645" s="206"/>
    </row>
    <row r="646" spans="1:15" s="183" customFormat="1">
      <c r="A646" s="350"/>
      <c r="E646" s="366"/>
      <c r="F646" s="398"/>
      <c r="G646" s="351"/>
      <c r="O646" s="206"/>
    </row>
    <row r="647" spans="1:15" s="183" customFormat="1">
      <c r="A647" s="350"/>
      <c r="E647" s="366"/>
      <c r="F647" s="398"/>
      <c r="G647" s="351"/>
      <c r="O647" s="206"/>
    </row>
    <row r="648" spans="1:15" s="183" customFormat="1">
      <c r="A648" s="350"/>
      <c r="E648" s="366"/>
      <c r="F648" s="398"/>
      <c r="G648" s="351"/>
      <c r="O648" s="206"/>
    </row>
    <row r="649" spans="1:15" s="183" customFormat="1">
      <c r="A649" s="350"/>
      <c r="E649" s="366"/>
      <c r="F649" s="398"/>
      <c r="G649" s="351"/>
      <c r="O649" s="206"/>
    </row>
    <row r="650" spans="1:15" s="183" customFormat="1">
      <c r="A650" s="350"/>
      <c r="E650" s="366"/>
      <c r="F650" s="398"/>
      <c r="G650" s="351"/>
      <c r="O650" s="206"/>
    </row>
    <row r="651" spans="1:15" s="183" customFormat="1">
      <c r="A651" s="350"/>
      <c r="E651" s="366"/>
      <c r="F651" s="398"/>
      <c r="G651" s="351"/>
      <c r="O651" s="206"/>
    </row>
    <row r="652" spans="1:15" s="183" customFormat="1">
      <c r="A652" s="350"/>
      <c r="E652" s="366"/>
      <c r="F652" s="398"/>
      <c r="G652" s="351"/>
      <c r="O652" s="206"/>
    </row>
    <row r="653" spans="1:15" s="183" customFormat="1">
      <c r="A653" s="350"/>
      <c r="E653" s="366"/>
      <c r="F653" s="398"/>
      <c r="G653" s="351"/>
      <c r="O653" s="206"/>
    </row>
    <row r="654" spans="1:15" s="183" customFormat="1">
      <c r="A654" s="350"/>
      <c r="E654" s="366"/>
      <c r="F654" s="398"/>
      <c r="G654" s="351"/>
      <c r="O654" s="206"/>
    </row>
    <row r="655" spans="1:15" s="183" customFormat="1">
      <c r="A655" s="350"/>
      <c r="E655" s="366"/>
      <c r="F655" s="398"/>
      <c r="G655" s="351"/>
      <c r="O655" s="206"/>
    </row>
    <row r="656" spans="1:15" s="183" customFormat="1">
      <c r="A656" s="350"/>
      <c r="E656" s="366"/>
      <c r="F656" s="398"/>
      <c r="G656" s="351"/>
      <c r="O656" s="206"/>
    </row>
    <row r="657" spans="1:15" s="183" customFormat="1">
      <c r="A657" s="350"/>
      <c r="E657" s="366"/>
      <c r="F657" s="398"/>
      <c r="G657" s="351"/>
      <c r="O657" s="206"/>
    </row>
    <row r="658" spans="1:15" s="183" customFormat="1">
      <c r="A658" s="350"/>
      <c r="E658" s="366"/>
      <c r="F658" s="398"/>
      <c r="G658" s="351"/>
      <c r="O658" s="206"/>
    </row>
    <row r="659" spans="1:15" s="183" customFormat="1">
      <c r="A659" s="350"/>
      <c r="E659" s="366"/>
      <c r="F659" s="398"/>
      <c r="G659" s="351"/>
      <c r="O659" s="206"/>
    </row>
    <row r="660" spans="1:15" s="183" customFormat="1">
      <c r="A660" s="350"/>
      <c r="E660" s="366"/>
      <c r="F660" s="398"/>
      <c r="G660" s="351"/>
      <c r="O660" s="206"/>
    </row>
    <row r="661" spans="1:15" s="183" customFormat="1">
      <c r="A661" s="350"/>
      <c r="E661" s="366"/>
      <c r="F661" s="398"/>
      <c r="G661" s="351"/>
      <c r="O661" s="206"/>
    </row>
    <row r="662" spans="1:15" s="183" customFormat="1">
      <c r="A662" s="350"/>
      <c r="E662" s="366"/>
      <c r="F662" s="398"/>
      <c r="G662" s="351"/>
      <c r="O662" s="206"/>
    </row>
    <row r="663" spans="1:15" s="183" customFormat="1">
      <c r="A663" s="350"/>
      <c r="E663" s="366"/>
      <c r="F663" s="398"/>
      <c r="G663" s="351"/>
      <c r="O663" s="206"/>
    </row>
    <row r="664" spans="1:15" s="183" customFormat="1">
      <c r="A664" s="350"/>
      <c r="E664" s="366"/>
      <c r="F664" s="398"/>
      <c r="G664" s="351"/>
      <c r="O664" s="206"/>
    </row>
    <row r="665" spans="1:15" s="183" customFormat="1">
      <c r="A665" s="350"/>
      <c r="E665" s="366"/>
      <c r="F665" s="398"/>
      <c r="G665" s="351"/>
      <c r="O665" s="206"/>
    </row>
    <row r="666" spans="1:15" s="183" customFormat="1">
      <c r="A666" s="350"/>
      <c r="E666" s="366"/>
      <c r="F666" s="398"/>
      <c r="G666" s="351"/>
      <c r="O666" s="206"/>
    </row>
    <row r="667" spans="1:15" s="183" customFormat="1">
      <c r="A667" s="350"/>
      <c r="E667" s="366"/>
      <c r="F667" s="398"/>
      <c r="G667" s="351"/>
      <c r="O667" s="206"/>
    </row>
    <row r="668" spans="1:15" s="183" customFormat="1">
      <c r="A668" s="350"/>
      <c r="E668" s="366"/>
      <c r="F668" s="398"/>
      <c r="G668" s="351"/>
      <c r="O668" s="206"/>
    </row>
    <row r="669" spans="1:15" s="183" customFormat="1">
      <c r="A669" s="350"/>
      <c r="E669" s="366"/>
      <c r="F669" s="398"/>
      <c r="G669" s="351"/>
      <c r="O669" s="206"/>
    </row>
    <row r="670" spans="1:15" s="183" customFormat="1">
      <c r="A670" s="350"/>
      <c r="E670" s="366"/>
      <c r="F670" s="398"/>
      <c r="G670" s="351"/>
      <c r="O670" s="206"/>
    </row>
    <row r="671" spans="1:15" s="183" customFormat="1">
      <c r="A671" s="350"/>
      <c r="E671" s="366"/>
      <c r="F671" s="398"/>
      <c r="G671" s="351"/>
      <c r="O671" s="206"/>
    </row>
    <row r="672" spans="1:15" s="183" customFormat="1">
      <c r="A672" s="350"/>
      <c r="E672" s="366"/>
      <c r="F672" s="398"/>
      <c r="G672" s="351"/>
      <c r="O672" s="206"/>
    </row>
    <row r="673" spans="1:15" s="183" customFormat="1">
      <c r="A673" s="350"/>
      <c r="E673" s="366"/>
      <c r="F673" s="398"/>
      <c r="G673" s="351"/>
      <c r="O673" s="206"/>
    </row>
    <row r="674" spans="1:15" s="183" customFormat="1">
      <c r="A674" s="350"/>
      <c r="E674" s="366"/>
      <c r="F674" s="398"/>
      <c r="G674" s="351"/>
      <c r="O674" s="206"/>
    </row>
    <row r="675" spans="1:15" s="183" customFormat="1">
      <c r="A675" s="350"/>
      <c r="E675" s="366"/>
      <c r="F675" s="398"/>
      <c r="G675" s="351"/>
      <c r="O675" s="206"/>
    </row>
    <row r="676" spans="1:15" s="183" customFormat="1">
      <c r="A676" s="350"/>
      <c r="E676" s="366"/>
      <c r="F676" s="398"/>
      <c r="G676" s="351"/>
      <c r="O676" s="206"/>
    </row>
    <row r="677" spans="1:15" s="183" customFormat="1">
      <c r="A677" s="350"/>
      <c r="E677" s="366"/>
      <c r="F677" s="398"/>
      <c r="G677" s="351"/>
      <c r="O677" s="206"/>
    </row>
    <row r="678" spans="1:15" s="183" customFormat="1">
      <c r="A678" s="350"/>
      <c r="E678" s="366"/>
      <c r="F678" s="398"/>
      <c r="G678" s="351"/>
      <c r="O678" s="206"/>
    </row>
    <row r="679" spans="1:15" s="183" customFormat="1">
      <c r="A679" s="350"/>
      <c r="E679" s="366"/>
      <c r="F679" s="398"/>
      <c r="G679" s="351"/>
      <c r="O679" s="206"/>
    </row>
    <row r="680" spans="1:15" s="183" customFormat="1">
      <c r="A680" s="350"/>
      <c r="E680" s="366"/>
      <c r="F680" s="398"/>
      <c r="G680" s="351"/>
      <c r="O680" s="206"/>
    </row>
    <row r="681" spans="1:15" s="183" customFormat="1">
      <c r="A681" s="350"/>
      <c r="E681" s="366"/>
      <c r="F681" s="398"/>
      <c r="G681" s="351"/>
      <c r="O681" s="206"/>
    </row>
    <row r="682" spans="1:15" s="183" customFormat="1">
      <c r="A682" s="350"/>
      <c r="E682" s="366"/>
      <c r="F682" s="398"/>
      <c r="G682" s="351"/>
      <c r="O682" s="206"/>
    </row>
    <row r="683" spans="1:15" s="183" customFormat="1">
      <c r="A683" s="350"/>
      <c r="E683" s="366"/>
      <c r="F683" s="398"/>
      <c r="G683" s="351"/>
      <c r="O683" s="206"/>
    </row>
    <row r="684" spans="1:15" s="183" customFormat="1">
      <c r="A684" s="350"/>
      <c r="E684" s="366"/>
      <c r="F684" s="398"/>
      <c r="G684" s="351"/>
      <c r="O684" s="206"/>
    </row>
    <row r="685" spans="1:15" s="183" customFormat="1">
      <c r="A685" s="350"/>
      <c r="E685" s="366"/>
      <c r="F685" s="398"/>
      <c r="G685" s="351"/>
      <c r="O685" s="206"/>
    </row>
    <row r="686" spans="1:15" s="183" customFormat="1">
      <c r="A686" s="350"/>
      <c r="E686" s="366"/>
      <c r="F686" s="398"/>
      <c r="G686" s="351"/>
      <c r="O686" s="206"/>
    </row>
    <row r="687" spans="1:15" s="183" customFormat="1">
      <c r="A687" s="350"/>
      <c r="E687" s="366"/>
      <c r="F687" s="398"/>
      <c r="G687" s="351"/>
      <c r="O687" s="206"/>
    </row>
    <row r="688" spans="1:15" s="183" customFormat="1">
      <c r="A688" s="350"/>
      <c r="E688" s="366"/>
      <c r="F688" s="398"/>
      <c r="G688" s="351"/>
      <c r="O688" s="206"/>
    </row>
    <row r="689" spans="1:15" s="183" customFormat="1">
      <c r="A689" s="350"/>
      <c r="E689" s="366"/>
      <c r="F689" s="398"/>
      <c r="G689" s="351"/>
      <c r="O689" s="206"/>
    </row>
    <row r="690" spans="1:15" s="183" customFormat="1">
      <c r="A690" s="350"/>
      <c r="E690" s="366"/>
      <c r="F690" s="398"/>
      <c r="G690" s="351"/>
      <c r="O690" s="206"/>
    </row>
    <row r="691" spans="1:15" s="183" customFormat="1">
      <c r="A691" s="350"/>
      <c r="E691" s="366"/>
      <c r="F691" s="398"/>
      <c r="G691" s="351"/>
      <c r="O691" s="206"/>
    </row>
    <row r="692" spans="1:15" s="183" customFormat="1">
      <c r="A692" s="350"/>
      <c r="E692" s="366"/>
      <c r="F692" s="398"/>
      <c r="G692" s="351"/>
      <c r="O692" s="206"/>
    </row>
    <row r="693" spans="1:15" s="183" customFormat="1">
      <c r="A693" s="350"/>
      <c r="E693" s="366"/>
      <c r="F693" s="398"/>
      <c r="G693" s="351"/>
      <c r="O693" s="206"/>
    </row>
    <row r="694" spans="1:15" s="183" customFormat="1">
      <c r="A694" s="350"/>
      <c r="E694" s="366"/>
      <c r="F694" s="398"/>
      <c r="G694" s="351"/>
      <c r="O694" s="206"/>
    </row>
    <row r="695" spans="1:15" s="183" customFormat="1">
      <c r="A695" s="350"/>
      <c r="E695" s="366"/>
      <c r="F695" s="398"/>
      <c r="G695" s="351"/>
      <c r="O695" s="206"/>
    </row>
    <row r="696" spans="1:15" s="183" customFormat="1">
      <c r="A696" s="350"/>
      <c r="E696" s="366"/>
      <c r="F696" s="398"/>
      <c r="G696" s="351"/>
      <c r="O696" s="206"/>
    </row>
    <row r="697" spans="1:15" s="183" customFormat="1">
      <c r="A697" s="350"/>
      <c r="E697" s="366"/>
      <c r="F697" s="398"/>
      <c r="G697" s="351"/>
      <c r="O697" s="206"/>
    </row>
    <row r="698" spans="1:15" s="183" customFormat="1">
      <c r="A698" s="350"/>
      <c r="E698" s="366"/>
      <c r="F698" s="398"/>
      <c r="G698" s="351"/>
      <c r="O698" s="206"/>
    </row>
    <row r="699" spans="1:15" s="183" customFormat="1">
      <c r="A699" s="350"/>
      <c r="E699" s="366"/>
      <c r="F699" s="398"/>
      <c r="G699" s="351"/>
      <c r="O699" s="206"/>
    </row>
    <row r="700" spans="1:15" s="183" customFormat="1">
      <c r="A700" s="350"/>
      <c r="E700" s="366"/>
      <c r="F700" s="398"/>
      <c r="G700" s="351"/>
      <c r="O700" s="206"/>
    </row>
    <row r="701" spans="1:15" s="183" customFormat="1">
      <c r="A701" s="350"/>
      <c r="E701" s="366"/>
      <c r="F701" s="398"/>
      <c r="G701" s="351"/>
      <c r="O701" s="206"/>
    </row>
    <row r="702" spans="1:15" s="183" customFormat="1">
      <c r="A702" s="350"/>
      <c r="E702" s="366"/>
      <c r="F702" s="398"/>
      <c r="G702" s="351"/>
      <c r="O702" s="206"/>
    </row>
    <row r="703" spans="1:15" s="183" customFormat="1">
      <c r="A703" s="350"/>
      <c r="E703" s="366"/>
      <c r="F703" s="398"/>
      <c r="G703" s="351"/>
      <c r="O703" s="206"/>
    </row>
    <row r="704" spans="1:15" s="183" customFormat="1">
      <c r="A704" s="350"/>
      <c r="E704" s="366"/>
      <c r="F704" s="398"/>
      <c r="G704" s="351"/>
      <c r="O704" s="206"/>
    </row>
    <row r="705" spans="1:15" s="183" customFormat="1">
      <c r="A705" s="350"/>
      <c r="E705" s="366"/>
      <c r="F705" s="398"/>
      <c r="G705" s="351"/>
      <c r="O705" s="206"/>
    </row>
    <row r="706" spans="1:15" s="183" customFormat="1">
      <c r="A706" s="350"/>
      <c r="E706" s="366"/>
      <c r="F706" s="398"/>
      <c r="G706" s="351"/>
      <c r="O706" s="206"/>
    </row>
    <row r="707" spans="1:15" s="183" customFormat="1">
      <c r="A707" s="350"/>
      <c r="E707" s="366"/>
      <c r="F707" s="398"/>
      <c r="G707" s="351"/>
      <c r="O707" s="206"/>
    </row>
    <row r="708" spans="1:15" s="183" customFormat="1">
      <c r="A708" s="350"/>
      <c r="E708" s="366"/>
      <c r="F708" s="398"/>
      <c r="G708" s="351"/>
      <c r="O708" s="206"/>
    </row>
    <row r="709" spans="1:15" s="183" customFormat="1">
      <c r="A709" s="350"/>
      <c r="E709" s="366"/>
      <c r="F709" s="398"/>
      <c r="G709" s="351"/>
      <c r="O709" s="206"/>
    </row>
    <row r="710" spans="1:15" s="183" customFormat="1">
      <c r="A710" s="350"/>
      <c r="E710" s="366"/>
      <c r="F710" s="398"/>
      <c r="G710" s="351"/>
      <c r="O710" s="206"/>
    </row>
    <row r="711" spans="1:15" s="183" customFormat="1">
      <c r="A711" s="350"/>
      <c r="E711" s="366"/>
      <c r="F711" s="398"/>
      <c r="G711" s="351"/>
      <c r="O711" s="206"/>
    </row>
  </sheetData>
  <autoFilter ref="A11:P413">
    <filterColumn colId="2"/>
    <filterColumn colId="7"/>
    <filterColumn colId="10"/>
    <sortState ref="A12:P411">
      <sortCondition ref="A11:A411"/>
    </sortState>
  </autoFilter>
  <sortState ref="A12:P196">
    <sortCondition ref="M18"/>
  </sortState>
  <mergeCells count="1">
    <mergeCell ref="A1:O1"/>
  </mergeCells>
  <dataValidations count="1">
    <dataValidation type="list" allowBlank="1" showInputMessage="1" showErrorMessage="1" sqref="O357:O394">
      <formula1>"typeDD"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Récapitulatif</vt:lpstr>
      <vt:lpstr>Donateurs</vt:lpstr>
      <vt:lpstr>Feuil1</vt:lpstr>
      <vt:lpstr>DATA AOUT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2021-06-11T09:45:49Z</cp:lastPrinted>
  <dcterms:created xsi:type="dcterms:W3CDTF">2020-09-02T13:35:58Z</dcterms:created>
  <dcterms:modified xsi:type="dcterms:W3CDTF">2022-12-21T09:58:05Z</dcterms:modified>
</cp:coreProperties>
</file>