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145" tabRatio="553" activeTab="3"/>
  </bookViews>
  <sheets>
    <sheet name="Récapitulatif" sheetId="16" r:id="rId1"/>
    <sheet name="Donateurs" sheetId="157" r:id="rId2"/>
    <sheet name="Feuil1" sheetId="159" r:id="rId3"/>
    <sheet name="DATA OCTOBRE 22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OCTOBRE 22'!$A$12:$O$304</definedName>
    <definedName name="_xlnm.Print_Area" localSheetId="3">'DATA OCTOBRE 22'!$A$1:$N$216</definedName>
  </definedNames>
  <calcPr calcId="124519"/>
  <pivotCaches>
    <pivotCache cacheId="157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6"/>
  <c r="K36"/>
  <c r="K37"/>
  <c r="K38"/>
  <c r="K39"/>
  <c r="K34"/>
  <c r="K33"/>
  <c r="K30"/>
  <c r="J30"/>
  <c r="I35"/>
  <c r="I36"/>
  <c r="I37"/>
  <c r="I38"/>
  <c r="J38" s="1"/>
  <c r="I39"/>
  <c r="I34"/>
  <c r="I33"/>
  <c r="I30"/>
  <c r="H35"/>
  <c r="H36"/>
  <c r="H37"/>
  <c r="H38"/>
  <c r="H39"/>
  <c r="H34"/>
  <c r="H33"/>
  <c r="H30"/>
  <c r="E35"/>
  <c r="E36"/>
  <c r="E37"/>
  <c r="E38"/>
  <c r="E39"/>
  <c r="E34"/>
  <c r="E33"/>
  <c r="E30"/>
  <c r="C30"/>
  <c r="C41"/>
  <c r="C35"/>
  <c r="C36"/>
  <c r="C37"/>
  <c r="C38"/>
  <c r="C39"/>
  <c r="C34"/>
  <c r="C33"/>
  <c r="C29"/>
  <c r="A37"/>
  <c r="A39" s="1"/>
  <c r="A38"/>
  <c r="E11"/>
  <c r="E10"/>
  <c r="F13" l="1"/>
  <c r="F14"/>
  <c r="F15"/>
  <c r="F16"/>
  <c r="F17"/>
  <c r="F12"/>
  <c r="F5"/>
  <c r="F6"/>
  <c r="F7"/>
  <c r="F8"/>
  <c r="F9"/>
  <c r="E13"/>
  <c r="E14"/>
  <c r="E15"/>
  <c r="E16"/>
  <c r="E17"/>
  <c r="E12"/>
  <c r="E5"/>
  <c r="E6"/>
  <c r="E7"/>
  <c r="E8"/>
  <c r="E9"/>
  <c r="D15"/>
  <c r="A8"/>
  <c r="A9"/>
  <c r="A10"/>
  <c r="A11"/>
  <c r="A12"/>
  <c r="A13"/>
  <c r="A14"/>
  <c r="A15"/>
  <c r="A16"/>
  <c r="A17"/>
  <c r="G8"/>
  <c r="D8"/>
  <c r="AQ7" i="159"/>
  <c r="AQ8"/>
  <c r="AQ9"/>
  <c r="AQ10"/>
  <c r="AQ11"/>
  <c r="AQ12"/>
  <c r="AQ13"/>
  <c r="AQ14"/>
  <c r="AQ15"/>
  <c r="AQ16"/>
  <c r="AR16" s="1"/>
  <c r="AQ17"/>
  <c r="AR17" s="1"/>
  <c r="AQ6"/>
  <c r="AP7"/>
  <c r="AP8"/>
  <c r="AP9"/>
  <c r="AP10"/>
  <c r="AP11"/>
  <c r="AP12"/>
  <c r="AP13"/>
  <c r="AP14"/>
  <c r="AP15"/>
  <c r="AP16"/>
  <c r="AP17"/>
  <c r="AP6"/>
  <c r="AR7"/>
  <c r="AR8"/>
  <c r="AR9"/>
  <c r="AR10"/>
  <c r="AR11"/>
  <c r="AR12"/>
  <c r="AR13"/>
  <c r="AR14"/>
  <c r="AR15"/>
  <c r="AS7"/>
  <c r="AO7"/>
  <c r="AO8"/>
  <c r="AO9"/>
  <c r="AO10"/>
  <c r="AO11"/>
  <c r="AO12"/>
  <c r="AO13"/>
  <c r="AO14"/>
  <c r="AO15"/>
  <c r="AO16"/>
  <c r="AO17"/>
  <c r="AO6"/>
  <c r="AS6"/>
  <c r="C20" i="157"/>
  <c r="C19"/>
  <c r="AQ18" i="159" l="1"/>
  <c r="AS18"/>
  <c r="I8" i="16"/>
  <c r="J8" s="1"/>
  <c r="AR6" i="159"/>
  <c r="AR18" s="1"/>
  <c r="AP18"/>
  <c r="AQ20"/>
  <c r="AP20" l="1"/>
  <c r="F177" i="153" l="1"/>
  <c r="C44" i="16" l="1"/>
  <c r="C43"/>
  <c r="C32"/>
  <c r="C31"/>
  <c r="A30"/>
  <c r="A31" s="1"/>
  <c r="A32" s="1"/>
  <c r="A33" s="1"/>
  <c r="A34" s="1"/>
  <c r="O18"/>
  <c r="M18"/>
  <c r="L18"/>
  <c r="C18"/>
  <c r="A21" s="1"/>
  <c r="G17"/>
  <c r="D17"/>
  <c r="G16"/>
  <c r="D16"/>
  <c r="G15"/>
  <c r="N18"/>
  <c r="G14"/>
  <c r="D14"/>
  <c r="H18"/>
  <c r="G13"/>
  <c r="J34"/>
  <c r="D13"/>
  <c r="G12"/>
  <c r="D12"/>
  <c r="G11"/>
  <c r="F11"/>
  <c r="H32" s="1"/>
  <c r="I32"/>
  <c r="D11"/>
  <c r="E32" s="1"/>
  <c r="G10"/>
  <c r="F10"/>
  <c r="H31" s="1"/>
  <c r="I31"/>
  <c r="D10"/>
  <c r="E31" s="1"/>
  <c r="G9"/>
  <c r="D9"/>
  <c r="G7"/>
  <c r="H29"/>
  <c r="I29"/>
  <c r="D7"/>
  <c r="A7"/>
  <c r="G6"/>
  <c r="H41"/>
  <c r="D6"/>
  <c r="E41" s="1"/>
  <c r="A6"/>
  <c r="G5"/>
  <c r="D44" s="1"/>
  <c r="H44"/>
  <c r="I44"/>
  <c r="D5"/>
  <c r="A5"/>
  <c r="G4"/>
  <c r="D43" s="1"/>
  <c r="F4"/>
  <c r="H43" s="1"/>
  <c r="E4"/>
  <c r="I43" s="1"/>
  <c r="D4"/>
  <c r="A4"/>
  <c r="J44" l="1"/>
  <c r="I12"/>
  <c r="J12" s="1"/>
  <c r="I7"/>
  <c r="J7" s="1"/>
  <c r="J36"/>
  <c r="C45"/>
  <c r="I5"/>
  <c r="J5" s="1"/>
  <c r="I16"/>
  <c r="J16" s="1"/>
  <c r="J37"/>
  <c r="I4"/>
  <c r="J4" s="1"/>
  <c r="I9"/>
  <c r="J9" s="1"/>
  <c r="J33"/>
  <c r="J43"/>
  <c r="J32"/>
  <c r="A36"/>
  <c r="A41" s="1"/>
  <c r="A43" s="1"/>
  <c r="A44" s="1"/>
  <c r="A35"/>
  <c r="J31"/>
  <c r="J39"/>
  <c r="I17"/>
  <c r="J17" s="1"/>
  <c r="I6"/>
  <c r="J6" s="1"/>
  <c r="I11"/>
  <c r="J11" s="1"/>
  <c r="D18"/>
  <c r="E29"/>
  <c r="J29" s="1"/>
  <c r="I41"/>
  <c r="J41" s="1"/>
  <c r="I13"/>
  <c r="J13" s="1"/>
  <c r="I15"/>
  <c r="J15" s="1"/>
  <c r="G18"/>
  <c r="B21" s="1"/>
  <c r="I10"/>
  <c r="J10" s="1"/>
  <c r="F18"/>
  <c r="H59"/>
  <c r="N59"/>
  <c r="E59" s="1"/>
  <c r="K44" l="1"/>
  <c r="I45"/>
  <c r="K41"/>
  <c r="I14"/>
  <c r="J14" s="1"/>
  <c r="K43"/>
  <c r="K29"/>
  <c r="J35"/>
  <c r="K31"/>
  <c r="G20"/>
  <c r="E18"/>
  <c r="C21" s="1"/>
  <c r="D21" s="1"/>
  <c r="K32"/>
  <c r="H58"/>
  <c r="H63" s="1"/>
  <c r="I18" l="1"/>
  <c r="J18" s="1"/>
  <c r="J45"/>
  <c r="G58"/>
  <c r="G59"/>
  <c r="G60"/>
  <c r="G61"/>
  <c r="G62"/>
  <c r="F58"/>
  <c r="F59"/>
  <c r="F60"/>
  <c r="F61"/>
  <c r="F62"/>
  <c r="E58"/>
  <c r="E60"/>
  <c r="E61"/>
  <c r="E62"/>
  <c r="D58"/>
  <c r="D59"/>
  <c r="D60"/>
  <c r="D61"/>
  <c r="D62"/>
  <c r="A60"/>
  <c r="A61"/>
  <c r="A62"/>
  <c r="A58"/>
  <c r="A59"/>
  <c r="J19" l="1"/>
  <c r="I19"/>
  <c r="K45"/>
  <c r="E21"/>
  <c r="G13" i="15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C6"/>
  <c r="C5"/>
  <c r="C7" l="1"/>
  <c r="D7" l="1"/>
  <c r="E6"/>
  <c r="C88" i="16"/>
  <c r="C87"/>
  <c r="C85"/>
  <c r="C83"/>
  <c r="C82"/>
  <c r="C81"/>
  <c r="C80"/>
  <c r="C79"/>
  <c r="C78"/>
  <c r="C77"/>
  <c r="C76"/>
  <c r="C75"/>
  <c r="A75"/>
  <c r="A76" s="1"/>
  <c r="A77" s="1"/>
  <c r="A78" s="1"/>
  <c r="A79" s="1"/>
  <c r="C74"/>
  <c r="O63"/>
  <c r="N63"/>
  <c r="M63"/>
  <c r="L63"/>
  <c r="C63"/>
  <c r="A66" s="1"/>
  <c r="H83"/>
  <c r="I83"/>
  <c r="E83"/>
  <c r="H82"/>
  <c r="I82"/>
  <c r="E82"/>
  <c r="H81"/>
  <c r="I81"/>
  <c r="E81"/>
  <c r="H80"/>
  <c r="I80"/>
  <c r="H79"/>
  <c r="I79"/>
  <c r="E79"/>
  <c r="G57"/>
  <c r="F57"/>
  <c r="H78" s="1"/>
  <c r="E57"/>
  <c r="I78" s="1"/>
  <c r="D57"/>
  <c r="E78" s="1"/>
  <c r="A57"/>
  <c r="G56"/>
  <c r="F56"/>
  <c r="H77" s="1"/>
  <c r="E56"/>
  <c r="I77" s="1"/>
  <c r="D56"/>
  <c r="A56"/>
  <c r="G55"/>
  <c r="F55"/>
  <c r="H76" s="1"/>
  <c r="E55"/>
  <c r="I76" s="1"/>
  <c r="D55"/>
  <c r="A55"/>
  <c r="G54"/>
  <c r="F54"/>
  <c r="H75" s="1"/>
  <c r="E54"/>
  <c r="I75" s="1"/>
  <c r="D54"/>
  <c r="E75" s="1"/>
  <c r="A54"/>
  <c r="G53"/>
  <c r="F53"/>
  <c r="H74" s="1"/>
  <c r="E53"/>
  <c r="I74" s="1"/>
  <c r="D53"/>
  <c r="E74" s="1"/>
  <c r="A53"/>
  <c r="G52"/>
  <c r="F52"/>
  <c r="H85" s="1"/>
  <c r="E52"/>
  <c r="I85" s="1"/>
  <c r="D52"/>
  <c r="E85" s="1"/>
  <c r="A52"/>
  <c r="G51"/>
  <c r="D88" s="1"/>
  <c r="F51"/>
  <c r="H88" s="1"/>
  <c r="E51"/>
  <c r="D51"/>
  <c r="A51"/>
  <c r="G50"/>
  <c r="F50"/>
  <c r="E50"/>
  <c r="I87" s="1"/>
  <c r="D50"/>
  <c r="A50"/>
  <c r="N106"/>
  <c r="M106"/>
  <c r="G63" l="1"/>
  <c r="B66" s="1"/>
  <c r="C89"/>
  <c r="I51"/>
  <c r="J51" s="1"/>
  <c r="J74"/>
  <c r="I55"/>
  <c r="J55" s="1"/>
  <c r="J78"/>
  <c r="I59"/>
  <c r="J59" s="1"/>
  <c r="J82"/>
  <c r="F63"/>
  <c r="E63"/>
  <c r="C66" s="1"/>
  <c r="D66" s="1"/>
  <c r="I52"/>
  <c r="J52" s="1"/>
  <c r="J75"/>
  <c r="I56"/>
  <c r="J56" s="1"/>
  <c r="J79"/>
  <c r="I60"/>
  <c r="J60" s="1"/>
  <c r="J83"/>
  <c r="E77"/>
  <c r="J77" s="1"/>
  <c r="K77" s="1"/>
  <c r="J85"/>
  <c r="J81"/>
  <c r="A80"/>
  <c r="A82" s="1"/>
  <c r="A81"/>
  <c r="A83" s="1"/>
  <c r="A85" s="1"/>
  <c r="A87" s="1"/>
  <c r="A88" s="1"/>
  <c r="D87"/>
  <c r="I50"/>
  <c r="I58"/>
  <c r="J58" s="1"/>
  <c r="I62"/>
  <c r="J62" s="1"/>
  <c r="E76"/>
  <c r="J76" s="1"/>
  <c r="E80"/>
  <c r="J80" s="1"/>
  <c r="H87"/>
  <c r="I88"/>
  <c r="J88" s="1"/>
  <c r="D63"/>
  <c r="I54"/>
  <c r="J54" s="1"/>
  <c r="I53"/>
  <c r="J53" s="1"/>
  <c r="I57"/>
  <c r="J57" s="1"/>
  <c r="I61"/>
  <c r="J61" s="1"/>
  <c r="K80" l="1"/>
  <c r="K81"/>
  <c r="G65"/>
  <c r="K88"/>
  <c r="K83"/>
  <c r="J87"/>
  <c r="K87" s="1"/>
  <c r="K85"/>
  <c r="I89"/>
  <c r="K76"/>
  <c r="J89"/>
  <c r="K79"/>
  <c r="K75"/>
  <c r="J50"/>
  <c r="I63"/>
  <c r="J64" s="1"/>
  <c r="K78"/>
  <c r="K74"/>
  <c r="K82"/>
  <c r="K89" l="1"/>
  <c r="I64"/>
  <c r="J63"/>
  <c r="E66"/>
  <c r="C131"/>
  <c r="C130"/>
  <c r="C128"/>
  <c r="C126"/>
  <c r="C125"/>
  <c r="C124"/>
  <c r="C123"/>
  <c r="C122"/>
  <c r="C121"/>
  <c r="C120"/>
  <c r="C119"/>
  <c r="C118"/>
  <c r="A118"/>
  <c r="A119" s="1"/>
  <c r="A120" s="1"/>
  <c r="A121" s="1"/>
  <c r="A122" s="1"/>
  <c r="C117"/>
  <c r="O106"/>
  <c r="L106"/>
  <c r="H106"/>
  <c r="C106"/>
  <c r="A109" s="1"/>
  <c r="G105"/>
  <c r="F105"/>
  <c r="H126" s="1"/>
  <c r="E105"/>
  <c r="I126" s="1"/>
  <c r="D105"/>
  <c r="E126" s="1"/>
  <c r="A105"/>
  <c r="G104"/>
  <c r="F104"/>
  <c r="H125" s="1"/>
  <c r="E104"/>
  <c r="I125" s="1"/>
  <c r="D104"/>
  <c r="E125" s="1"/>
  <c r="A104"/>
  <c r="G103"/>
  <c r="F103"/>
  <c r="H124" s="1"/>
  <c r="E103"/>
  <c r="I124" s="1"/>
  <c r="D103"/>
  <c r="E124" s="1"/>
  <c r="A103"/>
  <c r="G102"/>
  <c r="F102"/>
  <c r="H123" s="1"/>
  <c r="E102"/>
  <c r="I123" s="1"/>
  <c r="D102"/>
  <c r="E123" s="1"/>
  <c r="A102"/>
  <c r="G101"/>
  <c r="F101"/>
  <c r="H122" s="1"/>
  <c r="E101"/>
  <c r="I122" s="1"/>
  <c r="D101"/>
  <c r="E122" s="1"/>
  <c r="A101"/>
  <c r="G100"/>
  <c r="F100"/>
  <c r="H121" s="1"/>
  <c r="E100"/>
  <c r="I121" s="1"/>
  <c r="D100"/>
  <c r="E121" s="1"/>
  <c r="A100"/>
  <c r="G99"/>
  <c r="F99"/>
  <c r="H120" s="1"/>
  <c r="E99"/>
  <c r="I120" s="1"/>
  <c r="D99"/>
  <c r="E120" s="1"/>
  <c r="A99"/>
  <c r="G98"/>
  <c r="F98"/>
  <c r="H119" s="1"/>
  <c r="E98"/>
  <c r="I119" s="1"/>
  <c r="D98"/>
  <c r="E119" s="1"/>
  <c r="A98"/>
  <c r="G97"/>
  <c r="F97"/>
  <c r="H118" s="1"/>
  <c r="E97"/>
  <c r="I118" s="1"/>
  <c r="D97"/>
  <c r="E118" s="1"/>
  <c r="A97"/>
  <c r="G96"/>
  <c r="F96"/>
  <c r="H117" s="1"/>
  <c r="E96"/>
  <c r="I117" s="1"/>
  <c r="D96"/>
  <c r="E117" s="1"/>
  <c r="A96"/>
  <c r="G95"/>
  <c r="F95"/>
  <c r="H128" s="1"/>
  <c r="E95"/>
  <c r="I128" s="1"/>
  <c r="D95"/>
  <c r="E128" s="1"/>
  <c r="A95"/>
  <c r="G94"/>
  <c r="D131" s="1"/>
  <c r="F94"/>
  <c r="H131" s="1"/>
  <c r="E94"/>
  <c r="I131" s="1"/>
  <c r="D94"/>
  <c r="A94"/>
  <c r="G93"/>
  <c r="D130" s="1"/>
  <c r="F93"/>
  <c r="H130" s="1"/>
  <c r="E93"/>
  <c r="I130" s="1"/>
  <c r="D93"/>
  <c r="A93"/>
  <c r="E136"/>
  <c r="D144"/>
  <c r="D145"/>
  <c r="D146"/>
  <c r="D147"/>
  <c r="D148"/>
  <c r="D149"/>
  <c r="D137"/>
  <c r="D138"/>
  <c r="D139"/>
  <c r="D140"/>
  <c r="D136"/>
  <c r="L150"/>
  <c r="I94" l="1"/>
  <c r="J94" s="1"/>
  <c r="C132"/>
  <c r="D106"/>
  <c r="J131"/>
  <c r="J119"/>
  <c r="J123"/>
  <c r="J118"/>
  <c r="J122"/>
  <c r="J126"/>
  <c r="A123"/>
  <c r="A125" s="1"/>
  <c r="A124"/>
  <c r="A126" s="1"/>
  <c r="A128" s="1"/>
  <c r="J130"/>
  <c r="J117"/>
  <c r="J125"/>
  <c r="J121"/>
  <c r="J128"/>
  <c r="I132"/>
  <c r="J120"/>
  <c r="J124"/>
  <c r="I93"/>
  <c r="I97"/>
  <c r="J97" s="1"/>
  <c r="I101"/>
  <c r="J101" s="1"/>
  <c r="I105"/>
  <c r="J105" s="1"/>
  <c r="F106"/>
  <c r="I98"/>
  <c r="J98" s="1"/>
  <c r="I102"/>
  <c r="J102" s="1"/>
  <c r="E106"/>
  <c r="C109" s="1"/>
  <c r="I95"/>
  <c r="J95" s="1"/>
  <c r="I99"/>
  <c r="J99" s="1"/>
  <c r="I103"/>
  <c r="J103" s="1"/>
  <c r="I96"/>
  <c r="J96" s="1"/>
  <c r="I100"/>
  <c r="J100" s="1"/>
  <c r="I104"/>
  <c r="J104" s="1"/>
  <c r="G106"/>
  <c r="B109" s="1"/>
  <c r="A130" l="1"/>
  <c r="A131" s="1"/>
  <c r="K131"/>
  <c r="D109"/>
  <c r="G108"/>
  <c r="K128"/>
  <c r="K118"/>
  <c r="K126"/>
  <c r="J93"/>
  <c r="I106"/>
  <c r="K117"/>
  <c r="J132"/>
  <c r="K122"/>
  <c r="K120"/>
  <c r="K121"/>
  <c r="K125"/>
  <c r="K119"/>
  <c r="K124"/>
  <c r="K123"/>
  <c r="K130"/>
  <c r="K132" l="1"/>
  <c r="I107"/>
  <c r="E109"/>
  <c r="J106"/>
  <c r="C176" l="1"/>
  <c r="C175"/>
  <c r="C173"/>
  <c r="C171"/>
  <c r="C170"/>
  <c r="C169"/>
  <c r="C168"/>
  <c r="C167"/>
  <c r="C166"/>
  <c r="C165"/>
  <c r="C164"/>
  <c r="C163"/>
  <c r="C162"/>
  <c r="A162"/>
  <c r="A163" s="1"/>
  <c r="A164" s="1"/>
  <c r="A165" s="1"/>
  <c r="A166" s="1"/>
  <c r="C161"/>
  <c r="O150"/>
  <c r="N150"/>
  <c r="M150"/>
  <c r="H150"/>
  <c r="C150"/>
  <c r="A153" s="1"/>
  <c r="G149"/>
  <c r="F149"/>
  <c r="H171" s="1"/>
  <c r="E149"/>
  <c r="I171" s="1"/>
  <c r="E171"/>
  <c r="A149"/>
  <c r="G148"/>
  <c r="F148"/>
  <c r="H170" s="1"/>
  <c r="E148"/>
  <c r="I170" s="1"/>
  <c r="E170"/>
  <c r="A148"/>
  <c r="G147"/>
  <c r="F147"/>
  <c r="H169" s="1"/>
  <c r="E147"/>
  <c r="I169" s="1"/>
  <c r="E169"/>
  <c r="A147"/>
  <c r="G146"/>
  <c r="F146"/>
  <c r="H168" s="1"/>
  <c r="E146"/>
  <c r="I168" s="1"/>
  <c r="E168"/>
  <c r="A146"/>
  <c r="G145"/>
  <c r="F145"/>
  <c r="H167" s="1"/>
  <c r="E145"/>
  <c r="I167" s="1"/>
  <c r="E167"/>
  <c r="A145"/>
  <c r="G144"/>
  <c r="F144"/>
  <c r="H166" s="1"/>
  <c r="E144"/>
  <c r="I166" s="1"/>
  <c r="E166"/>
  <c r="A144"/>
  <c r="G143"/>
  <c r="F143"/>
  <c r="H165" s="1"/>
  <c r="E143"/>
  <c r="I165" s="1"/>
  <c r="D143"/>
  <c r="E165" s="1"/>
  <c r="A143"/>
  <c r="G142"/>
  <c r="F142"/>
  <c r="H164" s="1"/>
  <c r="E142"/>
  <c r="I164" s="1"/>
  <c r="D142"/>
  <c r="E164" s="1"/>
  <c r="A142"/>
  <c r="G141"/>
  <c r="F141"/>
  <c r="H163" s="1"/>
  <c r="E141"/>
  <c r="I163" s="1"/>
  <c r="D141"/>
  <c r="E163" s="1"/>
  <c r="A141"/>
  <c r="G140"/>
  <c r="F140"/>
  <c r="H162" s="1"/>
  <c r="E140"/>
  <c r="I162" s="1"/>
  <c r="E162"/>
  <c r="A140"/>
  <c r="G139"/>
  <c r="F139"/>
  <c r="H161" s="1"/>
  <c r="E139"/>
  <c r="I161" s="1"/>
  <c r="E161"/>
  <c r="A139"/>
  <c r="G138"/>
  <c r="F138"/>
  <c r="H173" s="1"/>
  <c r="E138"/>
  <c r="I173" s="1"/>
  <c r="E173"/>
  <c r="A138"/>
  <c r="G137"/>
  <c r="D176" s="1"/>
  <c r="F137"/>
  <c r="H176" s="1"/>
  <c r="E137"/>
  <c r="I176" s="1"/>
  <c r="A137"/>
  <c r="G136"/>
  <c r="D175" s="1"/>
  <c r="F136"/>
  <c r="H175" s="1"/>
  <c r="I175"/>
  <c r="A136"/>
  <c r="J163" l="1"/>
  <c r="J167"/>
  <c r="D150"/>
  <c r="J173"/>
  <c r="I177"/>
  <c r="J164"/>
  <c r="J168"/>
  <c r="C177"/>
  <c r="I137"/>
  <c r="J137" s="1"/>
  <c r="A167"/>
  <c r="A169" s="1"/>
  <c r="A171" s="1"/>
  <c r="A173" s="1"/>
  <c r="A175" s="1"/>
  <c r="A176" s="1"/>
  <c r="A168"/>
  <c r="A170" s="1"/>
  <c r="J176"/>
  <c r="J175"/>
  <c r="J162"/>
  <c r="J166"/>
  <c r="J170"/>
  <c r="J161"/>
  <c r="J165"/>
  <c r="J169"/>
  <c r="J171"/>
  <c r="I139"/>
  <c r="J139" s="1"/>
  <c r="I143"/>
  <c r="J143" s="1"/>
  <c r="I136"/>
  <c r="I140"/>
  <c r="J140" s="1"/>
  <c r="I144"/>
  <c r="J144" s="1"/>
  <c r="I148"/>
  <c r="J148" s="1"/>
  <c r="F150"/>
  <c r="G152" s="1"/>
  <c r="I141"/>
  <c r="J141" s="1"/>
  <c r="I145"/>
  <c r="J145" s="1"/>
  <c r="I149"/>
  <c r="J149" s="1"/>
  <c r="E150"/>
  <c r="C153" s="1"/>
  <c r="I138"/>
  <c r="J138" s="1"/>
  <c r="I142"/>
  <c r="J142" s="1"/>
  <c r="I146"/>
  <c r="J146" s="1"/>
  <c r="I147"/>
  <c r="J147" s="1"/>
  <c r="G150"/>
  <c r="B153" s="1"/>
  <c r="K176" l="1"/>
  <c r="K164"/>
  <c r="D153"/>
  <c r="K171"/>
  <c r="K170"/>
  <c r="K167"/>
  <c r="K161"/>
  <c r="J177"/>
  <c r="K175"/>
  <c r="K168"/>
  <c r="K165"/>
  <c r="K162"/>
  <c r="I150"/>
  <c r="J136"/>
  <c r="K169"/>
  <c r="K166"/>
  <c r="K163"/>
  <c r="K173"/>
  <c r="K177" l="1"/>
  <c r="I151"/>
  <c r="E153"/>
  <c r="J150"/>
  <c r="C222" l="1"/>
  <c r="C221"/>
  <c r="C219"/>
  <c r="C217"/>
  <c r="C216"/>
  <c r="C215"/>
  <c r="C214"/>
  <c r="C213"/>
  <c r="C212"/>
  <c r="C211"/>
  <c r="C210"/>
  <c r="C209"/>
  <c r="C208"/>
  <c r="A208"/>
  <c r="C207"/>
  <c r="O196"/>
  <c r="N196"/>
  <c r="M196"/>
  <c r="L196"/>
  <c r="H196"/>
  <c r="C196"/>
  <c r="A199" s="1"/>
  <c r="G195"/>
  <c r="F195"/>
  <c r="H217" s="1"/>
  <c r="E195"/>
  <c r="I217" s="1"/>
  <c r="D195"/>
  <c r="A195"/>
  <c r="G194"/>
  <c r="F194"/>
  <c r="H216" s="1"/>
  <c r="E194"/>
  <c r="I216" s="1"/>
  <c r="D194"/>
  <c r="A194"/>
  <c r="G193"/>
  <c r="F193"/>
  <c r="H215" s="1"/>
  <c r="E193"/>
  <c r="I215" s="1"/>
  <c r="D193"/>
  <c r="E215" s="1"/>
  <c r="A193"/>
  <c r="G192"/>
  <c r="F192"/>
  <c r="H214" s="1"/>
  <c r="E192"/>
  <c r="I214" s="1"/>
  <c r="D192"/>
  <c r="A192"/>
  <c r="G191"/>
  <c r="F191"/>
  <c r="H213" s="1"/>
  <c r="E191"/>
  <c r="I213" s="1"/>
  <c r="D191"/>
  <c r="A191"/>
  <c r="G190"/>
  <c r="F190"/>
  <c r="H212" s="1"/>
  <c r="E190"/>
  <c r="I212" s="1"/>
  <c r="D190"/>
  <c r="E212" s="1"/>
  <c r="A190"/>
  <c r="G189"/>
  <c r="F189"/>
  <c r="H211" s="1"/>
  <c r="E189"/>
  <c r="I211" s="1"/>
  <c r="D189"/>
  <c r="E211" s="1"/>
  <c r="A189"/>
  <c r="G188"/>
  <c r="F188"/>
  <c r="H210" s="1"/>
  <c r="E188"/>
  <c r="I210" s="1"/>
  <c r="D188"/>
  <c r="A188"/>
  <c r="G187"/>
  <c r="F187"/>
  <c r="H209" s="1"/>
  <c r="E187"/>
  <c r="I209" s="1"/>
  <c r="D187"/>
  <c r="A187"/>
  <c r="G186"/>
  <c r="F186"/>
  <c r="H208" s="1"/>
  <c r="E186"/>
  <c r="I208" s="1"/>
  <c r="D186"/>
  <c r="E208" s="1"/>
  <c r="A186"/>
  <c r="G185"/>
  <c r="F185"/>
  <c r="H207" s="1"/>
  <c r="E185"/>
  <c r="I207" s="1"/>
  <c r="D185"/>
  <c r="A185"/>
  <c r="G184"/>
  <c r="F184"/>
  <c r="H219" s="1"/>
  <c r="E184"/>
  <c r="I219" s="1"/>
  <c r="D184"/>
  <c r="E219" s="1"/>
  <c r="A184"/>
  <c r="G183"/>
  <c r="D222" s="1"/>
  <c r="F183"/>
  <c r="H222" s="1"/>
  <c r="E183"/>
  <c r="I222" s="1"/>
  <c r="D183"/>
  <c r="A183"/>
  <c r="G182"/>
  <c r="D221" s="1"/>
  <c r="F182"/>
  <c r="H221" s="1"/>
  <c r="E182"/>
  <c r="I221" s="1"/>
  <c r="D182"/>
  <c r="A182"/>
  <c r="A209" l="1"/>
  <c r="A210" s="1"/>
  <c r="A211" s="1"/>
  <c r="A212" s="1"/>
  <c r="I182"/>
  <c r="J182" s="1"/>
  <c r="I188"/>
  <c r="J188" s="1"/>
  <c r="I192"/>
  <c r="J192" s="1"/>
  <c r="C223"/>
  <c r="I195"/>
  <c r="J195" s="1"/>
  <c r="I185"/>
  <c r="J185" s="1"/>
  <c r="I187"/>
  <c r="J187" s="1"/>
  <c r="J212"/>
  <c r="I191"/>
  <c r="J191" s="1"/>
  <c r="I194"/>
  <c r="J194" s="1"/>
  <c r="E207"/>
  <c r="J207" s="1"/>
  <c r="E209"/>
  <c r="J209" s="1"/>
  <c r="E217"/>
  <c r="J217" s="1"/>
  <c r="J222"/>
  <c r="E214"/>
  <c r="J214" s="1"/>
  <c r="K214" s="1"/>
  <c r="E196"/>
  <c r="C199" s="1"/>
  <c r="I183"/>
  <c r="J183" s="1"/>
  <c r="E210"/>
  <c r="J210" s="1"/>
  <c r="E216"/>
  <c r="J216" s="1"/>
  <c r="I186"/>
  <c r="J186" s="1"/>
  <c r="E213"/>
  <c r="J213" s="1"/>
  <c r="J211"/>
  <c r="J221"/>
  <c r="J208"/>
  <c r="J219"/>
  <c r="I223"/>
  <c r="J215"/>
  <c r="I193"/>
  <c r="J193" s="1"/>
  <c r="D196"/>
  <c r="I189"/>
  <c r="J189" s="1"/>
  <c r="I190"/>
  <c r="J190" s="1"/>
  <c r="G196"/>
  <c r="B199" s="1"/>
  <c r="I184"/>
  <c r="J184" s="1"/>
  <c r="F196"/>
  <c r="C265"/>
  <c r="C266"/>
  <c r="C243"/>
  <c r="A246" s="1"/>
  <c r="H243"/>
  <c r="A214" l="1"/>
  <c r="A216" s="1"/>
  <c r="A213"/>
  <c r="A215" s="1"/>
  <c r="A217" s="1"/>
  <c r="A219" s="1"/>
  <c r="A221" s="1"/>
  <c r="A222" s="1"/>
  <c r="K217"/>
  <c r="K221"/>
  <c r="K216"/>
  <c r="K213"/>
  <c r="K209"/>
  <c r="K208"/>
  <c r="D199"/>
  <c r="K207"/>
  <c r="K210"/>
  <c r="K219"/>
  <c r="K222"/>
  <c r="K215"/>
  <c r="K212"/>
  <c r="I196"/>
  <c r="J223"/>
  <c r="G198"/>
  <c r="K211"/>
  <c r="N243"/>
  <c r="M243"/>
  <c r="L243"/>
  <c r="G242"/>
  <c r="F242"/>
  <c r="H266" s="1"/>
  <c r="E242"/>
  <c r="I266" s="1"/>
  <c r="D242"/>
  <c r="A242"/>
  <c r="E266" l="1"/>
  <c r="J266" s="1"/>
  <c r="I242"/>
  <c r="J242" s="1"/>
  <c r="K223"/>
  <c r="E199"/>
  <c r="J196"/>
  <c r="I197"/>
  <c r="K266" l="1"/>
  <c r="C271"/>
  <c r="C270"/>
  <c r="C268"/>
  <c r="C264"/>
  <c r="C263"/>
  <c r="C262"/>
  <c r="C261"/>
  <c r="C260"/>
  <c r="C259"/>
  <c r="C258"/>
  <c r="C257"/>
  <c r="C256"/>
  <c r="C255"/>
  <c r="A255"/>
  <c r="A256" s="1"/>
  <c r="A257" s="1"/>
  <c r="A258" s="1"/>
  <c r="A259" s="1"/>
  <c r="A260" s="1"/>
  <c r="C254"/>
  <c r="O243"/>
  <c r="G241"/>
  <c r="F241"/>
  <c r="H265" s="1"/>
  <c r="E241"/>
  <c r="I265" s="1"/>
  <c r="D241"/>
  <c r="A241"/>
  <c r="G240"/>
  <c r="F240"/>
  <c r="E240"/>
  <c r="D240"/>
  <c r="A240"/>
  <c r="G239"/>
  <c r="F239"/>
  <c r="H263" s="1"/>
  <c r="E239"/>
  <c r="I263" s="1"/>
  <c r="D239"/>
  <c r="E263" s="1"/>
  <c r="A239"/>
  <c r="G238"/>
  <c r="F238"/>
  <c r="H262" s="1"/>
  <c r="E238"/>
  <c r="I262" s="1"/>
  <c r="D238"/>
  <c r="E262" s="1"/>
  <c r="A238"/>
  <c r="G237"/>
  <c r="F237"/>
  <c r="H261" s="1"/>
  <c r="E237"/>
  <c r="I261" s="1"/>
  <c r="D237"/>
  <c r="E261" s="1"/>
  <c r="A237"/>
  <c r="G236"/>
  <c r="F236"/>
  <c r="H260" s="1"/>
  <c r="E236"/>
  <c r="I260" s="1"/>
  <c r="D236"/>
  <c r="E260" s="1"/>
  <c r="A236"/>
  <c r="G235"/>
  <c r="F235"/>
  <c r="H259" s="1"/>
  <c r="E235"/>
  <c r="I259" s="1"/>
  <c r="D235"/>
  <c r="E259" s="1"/>
  <c r="A235"/>
  <c r="G234"/>
  <c r="F234"/>
  <c r="H258" s="1"/>
  <c r="E234"/>
  <c r="I258" s="1"/>
  <c r="D234"/>
  <c r="E258" s="1"/>
  <c r="A234"/>
  <c r="G233"/>
  <c r="F233"/>
  <c r="H257" s="1"/>
  <c r="E233"/>
  <c r="I257" s="1"/>
  <c r="D233"/>
  <c r="E257" s="1"/>
  <c r="A233"/>
  <c r="G232"/>
  <c r="F232"/>
  <c r="H256" s="1"/>
  <c r="E232"/>
  <c r="I256" s="1"/>
  <c r="D232"/>
  <c r="A232"/>
  <c r="G231"/>
  <c r="F231"/>
  <c r="H255" s="1"/>
  <c r="E231"/>
  <c r="I255" s="1"/>
  <c r="D231"/>
  <c r="E255" s="1"/>
  <c r="A231"/>
  <c r="G230"/>
  <c r="F230"/>
  <c r="H254" s="1"/>
  <c r="E230"/>
  <c r="D230"/>
  <c r="E254" s="1"/>
  <c r="A230"/>
  <c r="G229"/>
  <c r="F229"/>
  <c r="H268" s="1"/>
  <c r="E229"/>
  <c r="I268" s="1"/>
  <c r="D229"/>
  <c r="E268" s="1"/>
  <c r="A229"/>
  <c r="G228"/>
  <c r="D271" s="1"/>
  <c r="F228"/>
  <c r="H271" s="1"/>
  <c r="E228"/>
  <c r="I271" s="1"/>
  <c r="D228"/>
  <c r="A228"/>
  <c r="G227"/>
  <c r="F227"/>
  <c r="E227"/>
  <c r="I270" s="1"/>
  <c r="D227"/>
  <c r="A227"/>
  <c r="A276"/>
  <c r="D276"/>
  <c r="E276"/>
  <c r="F276"/>
  <c r="G276"/>
  <c r="A277"/>
  <c r="D277"/>
  <c r="E277"/>
  <c r="F277"/>
  <c r="G277"/>
  <c r="A278"/>
  <c r="D278"/>
  <c r="E278"/>
  <c r="F278"/>
  <c r="G278"/>
  <c r="D243" l="1"/>
  <c r="C272"/>
  <c r="D270"/>
  <c r="G243"/>
  <c r="J271"/>
  <c r="I241"/>
  <c r="J241" s="1"/>
  <c r="E265"/>
  <c r="J265" s="1"/>
  <c r="I277"/>
  <c r="J277" s="1"/>
  <c r="F243"/>
  <c r="I254"/>
  <c r="J254" s="1"/>
  <c r="E243"/>
  <c r="C246" s="1"/>
  <c r="I264"/>
  <c r="H264"/>
  <c r="J259"/>
  <c r="J255"/>
  <c r="J260"/>
  <c r="I278"/>
  <c r="J278" s="1"/>
  <c r="I276"/>
  <c r="J276" s="1"/>
  <c r="I228"/>
  <c r="J228" s="1"/>
  <c r="I232"/>
  <c r="J232" s="1"/>
  <c r="I236"/>
  <c r="J236" s="1"/>
  <c r="I240"/>
  <c r="J240" s="1"/>
  <c r="E256"/>
  <c r="J256" s="1"/>
  <c r="E264"/>
  <c r="I227"/>
  <c r="J227" s="1"/>
  <c r="A261"/>
  <c r="A263" s="1"/>
  <c r="A266" s="1"/>
  <c r="A268" s="1"/>
  <c r="A270" s="1"/>
  <c r="A271" s="1"/>
  <c r="A262"/>
  <c r="J263"/>
  <c r="J258"/>
  <c r="J262"/>
  <c r="J261"/>
  <c r="J257"/>
  <c r="J268"/>
  <c r="I229"/>
  <c r="J229" s="1"/>
  <c r="I233"/>
  <c r="J233" s="1"/>
  <c r="I237"/>
  <c r="J237" s="1"/>
  <c r="I230"/>
  <c r="I234"/>
  <c r="J234" s="1"/>
  <c r="I238"/>
  <c r="J238" s="1"/>
  <c r="I231"/>
  <c r="J231" s="1"/>
  <c r="I235"/>
  <c r="J235" s="1"/>
  <c r="I239"/>
  <c r="J239" s="1"/>
  <c r="B246"/>
  <c r="H270"/>
  <c r="J270" s="1"/>
  <c r="K271" l="1"/>
  <c r="K265"/>
  <c r="I272"/>
  <c r="A264"/>
  <c r="A265"/>
  <c r="D246"/>
  <c r="J230"/>
  <c r="I243"/>
  <c r="J264"/>
  <c r="J272" s="1"/>
  <c r="G245"/>
  <c r="K270"/>
  <c r="K260"/>
  <c r="K258"/>
  <c r="K256"/>
  <c r="K263"/>
  <c r="K268"/>
  <c r="K257"/>
  <c r="K262"/>
  <c r="K261"/>
  <c r="K255"/>
  <c r="K254"/>
  <c r="K259"/>
  <c r="K264" l="1"/>
  <c r="I244"/>
  <c r="K272"/>
  <c r="J243"/>
  <c r="E246"/>
  <c r="C318" l="1"/>
  <c r="C317"/>
  <c r="C315"/>
  <c r="C313"/>
  <c r="C312"/>
  <c r="C311"/>
  <c r="C310"/>
  <c r="C309"/>
  <c r="C308"/>
  <c r="C307"/>
  <c r="C306"/>
  <c r="C305"/>
  <c r="C304"/>
  <c r="C303"/>
  <c r="A303"/>
  <c r="A304" s="1"/>
  <c r="A305" s="1"/>
  <c r="A306" s="1"/>
  <c r="A307" s="1"/>
  <c r="A308" s="1"/>
  <c r="C302"/>
  <c r="O291"/>
  <c r="N291"/>
  <c r="M291"/>
  <c r="L291"/>
  <c r="H291"/>
  <c r="C291"/>
  <c r="A294" s="1"/>
  <c r="G290"/>
  <c r="F290"/>
  <c r="H313" s="1"/>
  <c r="E290"/>
  <c r="I313" s="1"/>
  <c r="D290"/>
  <c r="A290"/>
  <c r="G289"/>
  <c r="F289"/>
  <c r="H312" s="1"/>
  <c r="E289"/>
  <c r="I312" s="1"/>
  <c r="D289"/>
  <c r="A289"/>
  <c r="G288"/>
  <c r="F288"/>
  <c r="H311" s="1"/>
  <c r="E288"/>
  <c r="I311" s="1"/>
  <c r="D288"/>
  <c r="E311" s="1"/>
  <c r="A288"/>
  <c r="G287"/>
  <c r="F287"/>
  <c r="H310" s="1"/>
  <c r="E287"/>
  <c r="I310" s="1"/>
  <c r="D287"/>
  <c r="E310" s="1"/>
  <c r="A287"/>
  <c r="G286"/>
  <c r="F286"/>
  <c r="H309" s="1"/>
  <c r="E286"/>
  <c r="I309" s="1"/>
  <c r="D286"/>
  <c r="A286"/>
  <c r="G285"/>
  <c r="F285"/>
  <c r="H308" s="1"/>
  <c r="E285"/>
  <c r="I308" s="1"/>
  <c r="D285"/>
  <c r="A285"/>
  <c r="G284"/>
  <c r="F284"/>
  <c r="H307" s="1"/>
  <c r="E284"/>
  <c r="I307" s="1"/>
  <c r="D284"/>
  <c r="E307" s="1"/>
  <c r="A284"/>
  <c r="G283"/>
  <c r="F283"/>
  <c r="H306" s="1"/>
  <c r="E283"/>
  <c r="I306" s="1"/>
  <c r="D283"/>
  <c r="E306" s="1"/>
  <c r="A283"/>
  <c r="G282"/>
  <c r="F282"/>
  <c r="H305" s="1"/>
  <c r="E282"/>
  <c r="I305" s="1"/>
  <c r="D282"/>
  <c r="A282"/>
  <c r="G281"/>
  <c r="F281"/>
  <c r="H304" s="1"/>
  <c r="E281"/>
  <c r="I304" s="1"/>
  <c r="D281"/>
  <c r="A281"/>
  <c r="G280"/>
  <c r="F280"/>
  <c r="H303" s="1"/>
  <c r="E280"/>
  <c r="I303" s="1"/>
  <c r="D280"/>
  <c r="E303" s="1"/>
  <c r="A280"/>
  <c r="G279"/>
  <c r="F279"/>
  <c r="H302" s="1"/>
  <c r="E279"/>
  <c r="I302" s="1"/>
  <c r="D279"/>
  <c r="A279"/>
  <c r="H315"/>
  <c r="I315"/>
  <c r="E315"/>
  <c r="D318"/>
  <c r="H318"/>
  <c r="I318"/>
  <c r="D317"/>
  <c r="I317"/>
  <c r="E313" l="1"/>
  <c r="J313" s="1"/>
  <c r="I290"/>
  <c r="C319"/>
  <c r="I279"/>
  <c r="J279" s="1"/>
  <c r="J303"/>
  <c r="I282"/>
  <c r="J282" s="1"/>
  <c r="J307"/>
  <c r="I286"/>
  <c r="J286" s="1"/>
  <c r="J311"/>
  <c r="J290"/>
  <c r="E305"/>
  <c r="J305" s="1"/>
  <c r="F291"/>
  <c r="I281"/>
  <c r="J281" s="1"/>
  <c r="I285"/>
  <c r="J285" s="1"/>
  <c r="I289"/>
  <c r="J289" s="1"/>
  <c r="E312"/>
  <c r="J312" s="1"/>
  <c r="E309"/>
  <c r="J309" s="1"/>
  <c r="J318"/>
  <c r="A309"/>
  <c r="A311" s="1"/>
  <c r="A313" s="1"/>
  <c r="A315" s="1"/>
  <c r="A317" s="1"/>
  <c r="A318" s="1"/>
  <c r="A310"/>
  <c r="A312" s="1"/>
  <c r="J310"/>
  <c r="J315"/>
  <c r="I319"/>
  <c r="J306"/>
  <c r="I287"/>
  <c r="J287" s="1"/>
  <c r="E291"/>
  <c r="C294" s="1"/>
  <c r="E304"/>
  <c r="J304" s="1"/>
  <c r="E308"/>
  <c r="J308" s="1"/>
  <c r="I283"/>
  <c r="J283" s="1"/>
  <c r="D291"/>
  <c r="I288"/>
  <c r="J288" s="1"/>
  <c r="G291"/>
  <c r="B294" s="1"/>
  <c r="E302"/>
  <c r="J302" s="1"/>
  <c r="H317"/>
  <c r="J317" s="1"/>
  <c r="I280"/>
  <c r="J280" s="1"/>
  <c r="I284"/>
  <c r="J284" s="1"/>
  <c r="C366"/>
  <c r="C365"/>
  <c r="C363"/>
  <c r="C356"/>
  <c r="C357"/>
  <c r="C358"/>
  <c r="C359"/>
  <c r="C355"/>
  <c r="C360"/>
  <c r="C361"/>
  <c r="C351"/>
  <c r="C352"/>
  <c r="C350"/>
  <c r="G325"/>
  <c r="D366" s="1"/>
  <c r="G326"/>
  <c r="G327"/>
  <c r="G328"/>
  <c r="F325"/>
  <c r="H366" s="1"/>
  <c r="F326"/>
  <c r="H363" s="1"/>
  <c r="F327"/>
  <c r="H350" s="1"/>
  <c r="F328"/>
  <c r="F329"/>
  <c r="F330"/>
  <c r="F331"/>
  <c r="F332"/>
  <c r="F333"/>
  <c r="F334"/>
  <c r="F335"/>
  <c r="F336"/>
  <c r="F337"/>
  <c r="H360" s="1"/>
  <c r="F338"/>
  <c r="F324"/>
  <c r="H365" s="1"/>
  <c r="E325"/>
  <c r="I366" s="1"/>
  <c r="E326"/>
  <c r="I363" s="1"/>
  <c r="E327"/>
  <c r="I350" s="1"/>
  <c r="E328"/>
  <c r="E329"/>
  <c r="E330"/>
  <c r="E331"/>
  <c r="E332"/>
  <c r="E333"/>
  <c r="E334"/>
  <c r="E335"/>
  <c r="E336"/>
  <c r="E337"/>
  <c r="I360" s="1"/>
  <c r="E338"/>
  <c r="E324"/>
  <c r="I365" s="1"/>
  <c r="D330"/>
  <c r="D331"/>
  <c r="D332"/>
  <c r="E355" s="1"/>
  <c r="D333"/>
  <c r="E356" s="1"/>
  <c r="D334"/>
  <c r="E357" s="1"/>
  <c r="D335"/>
  <c r="E358" s="1"/>
  <c r="D336"/>
  <c r="E359" s="1"/>
  <c r="D337"/>
  <c r="E360" s="1"/>
  <c r="D338"/>
  <c r="E361" s="1"/>
  <c r="D325"/>
  <c r="D326"/>
  <c r="E363" s="1"/>
  <c r="D327"/>
  <c r="E350" s="1"/>
  <c r="D328"/>
  <c r="E351" s="1"/>
  <c r="D329"/>
  <c r="E352" s="1"/>
  <c r="D324"/>
  <c r="A325"/>
  <c r="A326"/>
  <c r="A327"/>
  <c r="A328"/>
  <c r="A329"/>
  <c r="A330"/>
  <c r="A331"/>
  <c r="A332"/>
  <c r="A333"/>
  <c r="A334"/>
  <c r="A335"/>
  <c r="A336"/>
  <c r="A337"/>
  <c r="A338"/>
  <c r="A324"/>
  <c r="G337"/>
  <c r="K309" l="1"/>
  <c r="K313"/>
  <c r="K312"/>
  <c r="D294"/>
  <c r="K311"/>
  <c r="K317"/>
  <c r="G293"/>
  <c r="K308"/>
  <c r="K305"/>
  <c r="K304"/>
  <c r="K306"/>
  <c r="K318"/>
  <c r="K315"/>
  <c r="K302"/>
  <c r="J319"/>
  <c r="K310"/>
  <c r="K307"/>
  <c r="K303"/>
  <c r="I291"/>
  <c r="J360"/>
  <c r="I337"/>
  <c r="J337" s="1"/>
  <c r="J291" l="1"/>
  <c r="I292"/>
  <c r="E294"/>
  <c r="K319"/>
  <c r="K360"/>
  <c r="C354" l="1"/>
  <c r="C353"/>
  <c r="A351"/>
  <c r="A352" s="1"/>
  <c r="A353" s="1"/>
  <c r="A354" s="1"/>
  <c r="A355" s="1"/>
  <c r="A356" s="1"/>
  <c r="O339"/>
  <c r="N339"/>
  <c r="M339"/>
  <c r="L339"/>
  <c r="H339"/>
  <c r="C339"/>
  <c r="A342" s="1"/>
  <c r="G338"/>
  <c r="H361"/>
  <c r="I361"/>
  <c r="G336"/>
  <c r="H359"/>
  <c r="I359"/>
  <c r="G335"/>
  <c r="H358"/>
  <c r="I358"/>
  <c r="G334"/>
  <c r="H357"/>
  <c r="I357"/>
  <c r="G333"/>
  <c r="H356"/>
  <c r="I356"/>
  <c r="G332"/>
  <c r="H355"/>
  <c r="I355"/>
  <c r="G331"/>
  <c r="H354"/>
  <c r="I354"/>
  <c r="E354"/>
  <c r="G330"/>
  <c r="H353"/>
  <c r="I353"/>
  <c r="E353"/>
  <c r="G329"/>
  <c r="H352"/>
  <c r="I352"/>
  <c r="H351"/>
  <c r="I351"/>
  <c r="G324"/>
  <c r="D365" s="1"/>
  <c r="A373"/>
  <c r="D373"/>
  <c r="E373"/>
  <c r="F373"/>
  <c r="H398" s="1"/>
  <c r="G373"/>
  <c r="A374"/>
  <c r="D374"/>
  <c r="E374"/>
  <c r="I412" s="1"/>
  <c r="F374"/>
  <c r="G374"/>
  <c r="D412" s="1"/>
  <c r="A375"/>
  <c r="D375"/>
  <c r="E375"/>
  <c r="F375"/>
  <c r="H413" s="1"/>
  <c r="G375"/>
  <c r="D413" s="1"/>
  <c r="A376"/>
  <c r="D376"/>
  <c r="E410" s="1"/>
  <c r="E376"/>
  <c r="I410" s="1"/>
  <c r="F376"/>
  <c r="H410" s="1"/>
  <c r="G376"/>
  <c r="A377"/>
  <c r="D377"/>
  <c r="E377"/>
  <c r="F377"/>
  <c r="H399" s="1"/>
  <c r="G377"/>
  <c r="A378"/>
  <c r="D378"/>
  <c r="E400" s="1"/>
  <c r="E378"/>
  <c r="F378"/>
  <c r="H400" s="1"/>
  <c r="G378"/>
  <c r="A379"/>
  <c r="D379"/>
  <c r="E401" s="1"/>
  <c r="E379"/>
  <c r="F379"/>
  <c r="H401" s="1"/>
  <c r="G379"/>
  <c r="A380"/>
  <c r="D380"/>
  <c r="E402" s="1"/>
  <c r="E380"/>
  <c r="I402" s="1"/>
  <c r="F380"/>
  <c r="H402" s="1"/>
  <c r="G380"/>
  <c r="A381"/>
  <c r="D381"/>
  <c r="E403" s="1"/>
  <c r="E381"/>
  <c r="I403" s="1"/>
  <c r="F381"/>
  <c r="H403" s="1"/>
  <c r="G381"/>
  <c r="A382"/>
  <c r="D382"/>
  <c r="E382"/>
  <c r="I404" s="1"/>
  <c r="F382"/>
  <c r="H404" s="1"/>
  <c r="G382"/>
  <c r="A383"/>
  <c r="D383"/>
  <c r="E405" s="1"/>
  <c r="E383"/>
  <c r="F383"/>
  <c r="H405" s="1"/>
  <c r="G383"/>
  <c r="A384"/>
  <c r="D384"/>
  <c r="E406" s="1"/>
  <c r="E384"/>
  <c r="I406" s="1"/>
  <c r="F384"/>
  <c r="H406" s="1"/>
  <c r="G384"/>
  <c r="A385"/>
  <c r="D385"/>
  <c r="E407" s="1"/>
  <c r="E385"/>
  <c r="I407" s="1"/>
  <c r="F385"/>
  <c r="H407" s="1"/>
  <c r="G385"/>
  <c r="A386"/>
  <c r="D386"/>
  <c r="E408" s="1"/>
  <c r="E386"/>
  <c r="F386"/>
  <c r="H408" s="1"/>
  <c r="G386"/>
  <c r="C387"/>
  <c r="A390" s="1"/>
  <c r="H387"/>
  <c r="L387"/>
  <c r="M387"/>
  <c r="N387"/>
  <c r="O387"/>
  <c r="C398"/>
  <c r="E398"/>
  <c r="I398"/>
  <c r="A399"/>
  <c r="A400" s="1"/>
  <c r="A401" s="1"/>
  <c r="A402" s="1"/>
  <c r="A403" s="1"/>
  <c r="A404" s="1"/>
  <c r="C399"/>
  <c r="E399"/>
  <c r="I399"/>
  <c r="C400"/>
  <c r="C401"/>
  <c r="C402"/>
  <c r="C403"/>
  <c r="C404"/>
  <c r="C405"/>
  <c r="C406"/>
  <c r="C407"/>
  <c r="C408"/>
  <c r="C410"/>
  <c r="C412"/>
  <c r="C413"/>
  <c r="I386" l="1"/>
  <c r="J386" s="1"/>
  <c r="I378"/>
  <c r="J378" s="1"/>
  <c r="J399"/>
  <c r="I374"/>
  <c r="J374" s="1"/>
  <c r="I408"/>
  <c r="J407"/>
  <c r="I382"/>
  <c r="J382" s="1"/>
  <c r="I381"/>
  <c r="J381" s="1"/>
  <c r="G339"/>
  <c r="B342" s="1"/>
  <c r="I327"/>
  <c r="J327" s="1"/>
  <c r="I325"/>
  <c r="J325" s="1"/>
  <c r="I326"/>
  <c r="J326" s="1"/>
  <c r="C367"/>
  <c r="I367"/>
  <c r="J351"/>
  <c r="J355"/>
  <c r="J359"/>
  <c r="J366"/>
  <c r="A358"/>
  <c r="A360" s="1"/>
  <c r="A357"/>
  <c r="A359" s="1"/>
  <c r="A361" s="1"/>
  <c r="A363" s="1"/>
  <c r="A365" s="1"/>
  <c r="A366" s="1"/>
  <c r="J354"/>
  <c r="J358"/>
  <c r="J365"/>
  <c r="J353"/>
  <c r="J357"/>
  <c r="J352"/>
  <c r="J356"/>
  <c r="J361"/>
  <c r="I324"/>
  <c r="I328"/>
  <c r="J328" s="1"/>
  <c r="I332"/>
  <c r="J332" s="1"/>
  <c r="I336"/>
  <c r="J336" s="1"/>
  <c r="F339"/>
  <c r="J350"/>
  <c r="K350" s="1"/>
  <c r="I329"/>
  <c r="J329" s="1"/>
  <c r="I333"/>
  <c r="J333" s="1"/>
  <c r="I338"/>
  <c r="J338" s="1"/>
  <c r="E339"/>
  <c r="C342" s="1"/>
  <c r="I330"/>
  <c r="J330" s="1"/>
  <c r="I334"/>
  <c r="J334" s="1"/>
  <c r="D339"/>
  <c r="J363"/>
  <c r="I331"/>
  <c r="J331" s="1"/>
  <c r="I335"/>
  <c r="J335" s="1"/>
  <c r="J408"/>
  <c r="K408" s="1"/>
  <c r="J406"/>
  <c r="J403"/>
  <c r="I375"/>
  <c r="J375" s="1"/>
  <c r="H412"/>
  <c r="J412" s="1"/>
  <c r="J410"/>
  <c r="E404"/>
  <c r="J404" s="1"/>
  <c r="I400"/>
  <c r="C414"/>
  <c r="E387"/>
  <c r="C390" s="1"/>
  <c r="I385"/>
  <c r="J385" s="1"/>
  <c r="I383"/>
  <c r="J383" s="1"/>
  <c r="I379"/>
  <c r="J379" s="1"/>
  <c r="D387"/>
  <c r="I373"/>
  <c r="J373" s="1"/>
  <c r="J400"/>
  <c r="J402"/>
  <c r="G387"/>
  <c r="B390" s="1"/>
  <c r="I377"/>
  <c r="J377" s="1"/>
  <c r="I376"/>
  <c r="J376" s="1"/>
  <c r="A406"/>
  <c r="A405"/>
  <c r="A407" s="1"/>
  <c r="A408" s="1"/>
  <c r="A410" s="1"/>
  <c r="A412" s="1"/>
  <c r="A413" s="1"/>
  <c r="I405"/>
  <c r="J405" s="1"/>
  <c r="I401"/>
  <c r="J401" s="1"/>
  <c r="J398"/>
  <c r="F387"/>
  <c r="I384"/>
  <c r="J384" s="1"/>
  <c r="I380"/>
  <c r="J380" s="1"/>
  <c r="I413"/>
  <c r="J413" s="1"/>
  <c r="K404" l="1"/>
  <c r="D390"/>
  <c r="K407"/>
  <c r="K400"/>
  <c r="K403"/>
  <c r="K405"/>
  <c r="G389"/>
  <c r="K363"/>
  <c r="K366"/>
  <c r="K413"/>
  <c r="K412"/>
  <c r="K401"/>
  <c r="K365"/>
  <c r="D342"/>
  <c r="G341"/>
  <c r="K356"/>
  <c r="K361"/>
  <c r="K357"/>
  <c r="K354"/>
  <c r="K359"/>
  <c r="J324"/>
  <c r="I339"/>
  <c r="K358"/>
  <c r="J367"/>
  <c r="K352"/>
  <c r="K351"/>
  <c r="K353"/>
  <c r="K355"/>
  <c r="K410"/>
  <c r="K399"/>
  <c r="I414"/>
  <c r="K398"/>
  <c r="J414"/>
  <c r="K406"/>
  <c r="I387"/>
  <c r="K402"/>
  <c r="K367" l="1"/>
  <c r="I340"/>
  <c r="E342"/>
  <c r="J339"/>
  <c r="K414"/>
  <c r="I388"/>
  <c r="E390"/>
  <c r="J387"/>
  <c r="C459"/>
  <c r="C458"/>
  <c r="C456"/>
  <c r="C454"/>
  <c r="C453"/>
  <c r="C452"/>
  <c r="C451"/>
  <c r="C450"/>
  <c r="C449"/>
  <c r="C448"/>
  <c r="C447"/>
  <c r="C446"/>
  <c r="C445"/>
  <c r="C444"/>
  <c r="A445"/>
  <c r="A446" s="1"/>
  <c r="A447" s="1"/>
  <c r="A448" s="1"/>
  <c r="A449" s="1"/>
  <c r="A450" s="1"/>
  <c r="O433"/>
  <c r="N433"/>
  <c r="M433"/>
  <c r="L433"/>
  <c r="H433"/>
  <c r="C433"/>
  <c r="A436" s="1"/>
  <c r="G432"/>
  <c r="F432"/>
  <c r="H454" s="1"/>
  <c r="E432"/>
  <c r="I454" s="1"/>
  <c r="D432"/>
  <c r="E454" s="1"/>
  <c r="A432"/>
  <c r="G431"/>
  <c r="F431"/>
  <c r="H453" s="1"/>
  <c r="E431"/>
  <c r="I453" s="1"/>
  <c r="D431"/>
  <c r="A431"/>
  <c r="G430"/>
  <c r="F430"/>
  <c r="H452" s="1"/>
  <c r="E430"/>
  <c r="I452" s="1"/>
  <c r="D430"/>
  <c r="E452" s="1"/>
  <c r="A430"/>
  <c r="G429"/>
  <c r="F429"/>
  <c r="H451" s="1"/>
  <c r="E429"/>
  <c r="I451" s="1"/>
  <c r="D429"/>
  <c r="E451" s="1"/>
  <c r="A429"/>
  <c r="G428"/>
  <c r="F428"/>
  <c r="H450" s="1"/>
  <c r="E428"/>
  <c r="I450" s="1"/>
  <c r="D428"/>
  <c r="E450" s="1"/>
  <c r="A428"/>
  <c r="G427"/>
  <c r="F427"/>
  <c r="H449" s="1"/>
  <c r="E427"/>
  <c r="I449" s="1"/>
  <c r="D427"/>
  <c r="A427"/>
  <c r="G426"/>
  <c r="F426"/>
  <c r="H448" s="1"/>
  <c r="E426"/>
  <c r="I448" s="1"/>
  <c r="D426"/>
  <c r="E448" s="1"/>
  <c r="A426"/>
  <c r="G425"/>
  <c r="F425"/>
  <c r="H447" s="1"/>
  <c r="E425"/>
  <c r="I447" s="1"/>
  <c r="D425"/>
  <c r="E447" s="1"/>
  <c r="A425"/>
  <c r="G424"/>
  <c r="F424"/>
  <c r="H446" s="1"/>
  <c r="E424"/>
  <c r="I446" s="1"/>
  <c r="D424"/>
  <c r="E446" s="1"/>
  <c r="A424"/>
  <c r="G423"/>
  <c r="F423"/>
  <c r="H445" s="1"/>
  <c r="E423"/>
  <c r="I445" s="1"/>
  <c r="D423"/>
  <c r="A423"/>
  <c r="G422"/>
  <c r="F422"/>
  <c r="H456" s="1"/>
  <c r="E422"/>
  <c r="I456" s="1"/>
  <c r="D422"/>
  <c r="E456" s="1"/>
  <c r="A422"/>
  <c r="G421"/>
  <c r="D459" s="1"/>
  <c r="F421"/>
  <c r="H459" s="1"/>
  <c r="E421"/>
  <c r="I459" s="1"/>
  <c r="D421"/>
  <c r="A421"/>
  <c r="G420"/>
  <c r="D458" s="1"/>
  <c r="F420"/>
  <c r="H458" s="1"/>
  <c r="E420"/>
  <c r="I458" s="1"/>
  <c r="D420"/>
  <c r="A420"/>
  <c r="G419"/>
  <c r="F419"/>
  <c r="H444" s="1"/>
  <c r="E419"/>
  <c r="I444" s="1"/>
  <c r="D419"/>
  <c r="E444" s="1"/>
  <c r="A419"/>
  <c r="E475"/>
  <c r="G433" l="1"/>
  <c r="B436" s="1"/>
  <c r="I421"/>
  <c r="J421" s="1"/>
  <c r="I420"/>
  <c r="J420" s="1"/>
  <c r="C460"/>
  <c r="J459"/>
  <c r="I423"/>
  <c r="J423" s="1"/>
  <c r="J447"/>
  <c r="I427"/>
  <c r="J427" s="1"/>
  <c r="J451"/>
  <c r="I431"/>
  <c r="J431" s="1"/>
  <c r="F433"/>
  <c r="J444"/>
  <c r="I460"/>
  <c r="J456"/>
  <c r="J448"/>
  <c r="J452"/>
  <c r="A452"/>
  <c r="A451"/>
  <c r="A453" s="1"/>
  <c r="A454" s="1"/>
  <c r="A456" s="1"/>
  <c r="A458" s="1"/>
  <c r="A459" s="1"/>
  <c r="J458"/>
  <c r="K458" s="1"/>
  <c r="J446"/>
  <c r="J450"/>
  <c r="J454"/>
  <c r="I424"/>
  <c r="J424" s="1"/>
  <c r="I428"/>
  <c r="J428" s="1"/>
  <c r="I432"/>
  <c r="J432" s="1"/>
  <c r="E433"/>
  <c r="C436" s="1"/>
  <c r="E445"/>
  <c r="J445" s="1"/>
  <c r="E449"/>
  <c r="J449" s="1"/>
  <c r="E453"/>
  <c r="J453" s="1"/>
  <c r="I425"/>
  <c r="J425" s="1"/>
  <c r="I429"/>
  <c r="J429" s="1"/>
  <c r="D433"/>
  <c r="I422"/>
  <c r="J422" s="1"/>
  <c r="I426"/>
  <c r="J426" s="1"/>
  <c r="I430"/>
  <c r="J430" s="1"/>
  <c r="I419"/>
  <c r="J419" s="1"/>
  <c r="N480"/>
  <c r="M480"/>
  <c r="O480"/>
  <c r="L480"/>
  <c r="D477"/>
  <c r="K449" l="1"/>
  <c r="D436"/>
  <c r="K445"/>
  <c r="K459"/>
  <c r="K454"/>
  <c r="G435"/>
  <c r="K453"/>
  <c r="I433"/>
  <c r="K451"/>
  <c r="K444"/>
  <c r="K456"/>
  <c r="K448"/>
  <c r="J460"/>
  <c r="K446"/>
  <c r="K450"/>
  <c r="K447"/>
  <c r="K452"/>
  <c r="J433" l="1"/>
  <c r="I434"/>
  <c r="E436"/>
  <c r="K460"/>
  <c r="C507" l="1"/>
  <c r="C506"/>
  <c r="C504"/>
  <c r="C502"/>
  <c r="C501"/>
  <c r="C500"/>
  <c r="C499"/>
  <c r="C498"/>
  <c r="C497"/>
  <c r="C496"/>
  <c r="C495"/>
  <c r="C494"/>
  <c r="C493"/>
  <c r="C492"/>
  <c r="A492"/>
  <c r="A493" s="1"/>
  <c r="A494" s="1"/>
  <c r="A495" s="1"/>
  <c r="A496" s="1"/>
  <c r="A497" s="1"/>
  <c r="A498" s="1"/>
  <c r="C491"/>
  <c r="H480"/>
  <c r="C480"/>
  <c r="A483" s="1"/>
  <c r="G479"/>
  <c r="F479"/>
  <c r="H502" s="1"/>
  <c r="E479"/>
  <c r="I502" s="1"/>
  <c r="D479"/>
  <c r="E502" s="1"/>
  <c r="A479"/>
  <c r="G478"/>
  <c r="F478"/>
  <c r="H501" s="1"/>
  <c r="E478"/>
  <c r="I501" s="1"/>
  <c r="D478"/>
  <c r="A478"/>
  <c r="G477"/>
  <c r="F477"/>
  <c r="H500" s="1"/>
  <c r="E477"/>
  <c r="A477"/>
  <c r="G476"/>
  <c r="F476"/>
  <c r="H499" s="1"/>
  <c r="E476"/>
  <c r="I499" s="1"/>
  <c r="D476"/>
  <c r="E499" s="1"/>
  <c r="A476"/>
  <c r="G475"/>
  <c r="F475"/>
  <c r="H498" s="1"/>
  <c r="I498"/>
  <c r="D475"/>
  <c r="E498" s="1"/>
  <c r="A475"/>
  <c r="G474"/>
  <c r="F474"/>
  <c r="H497" s="1"/>
  <c r="E474"/>
  <c r="I497" s="1"/>
  <c r="D474"/>
  <c r="A474"/>
  <c r="G473"/>
  <c r="F473"/>
  <c r="H496" s="1"/>
  <c r="E473"/>
  <c r="I496" s="1"/>
  <c r="D473"/>
  <c r="E496" s="1"/>
  <c r="A473"/>
  <c r="G472"/>
  <c r="F472"/>
  <c r="H495" s="1"/>
  <c r="E472"/>
  <c r="I495" s="1"/>
  <c r="D472"/>
  <c r="E495" s="1"/>
  <c r="A472"/>
  <c r="G471"/>
  <c r="F471"/>
  <c r="H494" s="1"/>
  <c r="E471"/>
  <c r="I494" s="1"/>
  <c r="D471"/>
  <c r="E494" s="1"/>
  <c r="A471"/>
  <c r="G470"/>
  <c r="F470"/>
  <c r="H493" s="1"/>
  <c r="E470"/>
  <c r="I493" s="1"/>
  <c r="D470"/>
  <c r="A470"/>
  <c r="G469"/>
  <c r="F469"/>
  <c r="H504" s="1"/>
  <c r="E469"/>
  <c r="I504" s="1"/>
  <c r="D469"/>
  <c r="E504" s="1"/>
  <c r="A469"/>
  <c r="G468"/>
  <c r="D507" s="1"/>
  <c r="F468"/>
  <c r="H507" s="1"/>
  <c r="E468"/>
  <c r="I507" s="1"/>
  <c r="D468"/>
  <c r="A468"/>
  <c r="G467"/>
  <c r="D506" s="1"/>
  <c r="F467"/>
  <c r="H506" s="1"/>
  <c r="E467"/>
  <c r="I506" s="1"/>
  <c r="D467"/>
  <c r="A467"/>
  <c r="G466"/>
  <c r="F466"/>
  <c r="H492" s="1"/>
  <c r="E466"/>
  <c r="I492" s="1"/>
  <c r="D466"/>
  <c r="E492" s="1"/>
  <c r="A466"/>
  <c r="G465"/>
  <c r="F465"/>
  <c r="E465"/>
  <c r="I491" s="1"/>
  <c r="D465"/>
  <c r="E491" s="1"/>
  <c r="A465"/>
  <c r="I500" l="1"/>
  <c r="I508" s="1"/>
  <c r="I477"/>
  <c r="J477" s="1"/>
  <c r="I470"/>
  <c r="J470" s="1"/>
  <c r="J496"/>
  <c r="G480"/>
  <c r="B483" s="1"/>
  <c r="C508"/>
  <c r="I478"/>
  <c r="J478" s="1"/>
  <c r="J504"/>
  <c r="I474"/>
  <c r="J474" s="1"/>
  <c r="I468"/>
  <c r="J468" s="1"/>
  <c r="F480"/>
  <c r="I467"/>
  <c r="J467" s="1"/>
  <c r="E500"/>
  <c r="H491"/>
  <c r="J507"/>
  <c r="J495"/>
  <c r="J499"/>
  <c r="J491"/>
  <c r="J506"/>
  <c r="J494"/>
  <c r="J498"/>
  <c r="J502"/>
  <c r="J492"/>
  <c r="A500"/>
  <c r="A499"/>
  <c r="A501" s="1"/>
  <c r="A502" s="1"/>
  <c r="A504" s="1"/>
  <c r="A506" s="1"/>
  <c r="A507" s="1"/>
  <c r="I472"/>
  <c r="J472" s="1"/>
  <c r="D480"/>
  <c r="I471"/>
  <c r="J471" s="1"/>
  <c r="I475"/>
  <c r="J475" s="1"/>
  <c r="I479"/>
  <c r="J479" s="1"/>
  <c r="E480"/>
  <c r="C483" s="1"/>
  <c r="E493"/>
  <c r="J493" s="1"/>
  <c r="E497"/>
  <c r="J497" s="1"/>
  <c r="E501"/>
  <c r="J501" s="1"/>
  <c r="I476"/>
  <c r="J476" s="1"/>
  <c r="I465"/>
  <c r="I469"/>
  <c r="J469" s="1"/>
  <c r="I473"/>
  <c r="J473" s="1"/>
  <c r="I466"/>
  <c r="J466" s="1"/>
  <c r="C555"/>
  <c r="C554"/>
  <c r="C552"/>
  <c r="C546"/>
  <c r="C547"/>
  <c r="C548"/>
  <c r="C549"/>
  <c r="C550"/>
  <c r="C545"/>
  <c r="C544"/>
  <c r="C543"/>
  <c r="C542"/>
  <c r="C541"/>
  <c r="C540"/>
  <c r="C539"/>
  <c r="C528"/>
  <c r="K506" l="1"/>
  <c r="D483"/>
  <c r="J500"/>
  <c r="K500" s="1"/>
  <c r="K493"/>
  <c r="K501"/>
  <c r="K507"/>
  <c r="K497"/>
  <c r="G482"/>
  <c r="K491"/>
  <c r="K498"/>
  <c r="K499"/>
  <c r="K504"/>
  <c r="K502"/>
  <c r="K496"/>
  <c r="K492"/>
  <c r="I480"/>
  <c r="J465"/>
  <c r="K494"/>
  <c r="K495"/>
  <c r="C556"/>
  <c r="A526"/>
  <c r="A527"/>
  <c r="J508" l="1"/>
  <c r="K508" s="1"/>
  <c r="J480"/>
  <c r="I481"/>
  <c r="E483"/>
  <c r="A540" l="1"/>
  <c r="A541" s="1"/>
  <c r="A542" s="1"/>
  <c r="A543" s="1"/>
  <c r="A544" s="1"/>
  <c r="A545" s="1"/>
  <c r="A546" s="1"/>
  <c r="C564"/>
  <c r="E600"/>
  <c r="H528"/>
  <c r="D513"/>
  <c r="E539" s="1"/>
  <c r="D514"/>
  <c r="E540" s="1"/>
  <c r="D515"/>
  <c r="D516"/>
  <c r="D517"/>
  <c r="D518"/>
  <c r="E541" s="1"/>
  <c r="D519"/>
  <c r="E542" s="1"/>
  <c r="D520"/>
  <c r="E543" s="1"/>
  <c r="D521"/>
  <c r="E544" s="1"/>
  <c r="D522"/>
  <c r="E545" s="1"/>
  <c r="D523"/>
  <c r="E546" s="1"/>
  <c r="D524"/>
  <c r="E547" s="1"/>
  <c r="D525"/>
  <c r="E548" s="1"/>
  <c r="D526"/>
  <c r="E549" s="1"/>
  <c r="E552" l="1"/>
  <c r="A548"/>
  <c r="A547"/>
  <c r="A549" s="1"/>
  <c r="A550" s="1"/>
  <c r="A552" s="1"/>
  <c r="A554" s="1"/>
  <c r="A555" s="1"/>
  <c r="E564"/>
  <c r="G526" l="1"/>
  <c r="G525"/>
  <c r="F525"/>
  <c r="H548" s="1"/>
  <c r="E513" l="1"/>
  <c r="I539" s="1"/>
  <c r="F513"/>
  <c r="H539" s="1"/>
  <c r="G513"/>
  <c r="G514"/>
  <c r="D579" s="1"/>
  <c r="G515"/>
  <c r="A524"/>
  <c r="A525"/>
  <c r="A513"/>
  <c r="E525"/>
  <c r="I548" s="1"/>
  <c r="J548" s="1"/>
  <c r="E573"/>
  <c r="H573"/>
  <c r="C573"/>
  <c r="J539" l="1"/>
  <c r="D580"/>
  <c r="D554"/>
  <c r="I573"/>
  <c r="J573" s="1"/>
  <c r="I525"/>
  <c r="J525" s="1"/>
  <c r="I564"/>
  <c r="I513"/>
  <c r="H564"/>
  <c r="J564" l="1"/>
  <c r="K564" s="1"/>
  <c r="K539"/>
  <c r="K548"/>
  <c r="K573"/>
  <c r="J513"/>
  <c r="C580" l="1"/>
  <c r="C579"/>
  <c r="C577"/>
  <c r="C575"/>
  <c r="C574"/>
  <c r="C572"/>
  <c r="C571"/>
  <c r="C570"/>
  <c r="C569"/>
  <c r="C568"/>
  <c r="C567"/>
  <c r="C566"/>
  <c r="A566"/>
  <c r="A567" s="1"/>
  <c r="A568" s="1"/>
  <c r="A569" s="1"/>
  <c r="A570" s="1"/>
  <c r="A571" s="1"/>
  <c r="C565"/>
  <c r="A531"/>
  <c r="G527"/>
  <c r="F527"/>
  <c r="E527"/>
  <c r="D527"/>
  <c r="E550" s="1"/>
  <c r="F526"/>
  <c r="E526"/>
  <c r="E574"/>
  <c r="G524"/>
  <c r="F524"/>
  <c r="E524"/>
  <c r="G523"/>
  <c r="F523"/>
  <c r="E523"/>
  <c r="A523"/>
  <c r="G522"/>
  <c r="F522"/>
  <c r="E522"/>
  <c r="E570"/>
  <c r="A522"/>
  <c r="G521"/>
  <c r="F521"/>
  <c r="E521"/>
  <c r="E569"/>
  <c r="A521"/>
  <c r="G520"/>
  <c r="F520"/>
  <c r="E520"/>
  <c r="E568"/>
  <c r="A520"/>
  <c r="G519"/>
  <c r="F519"/>
  <c r="E519"/>
  <c r="A519"/>
  <c r="G518"/>
  <c r="F518"/>
  <c r="E518"/>
  <c r="E566"/>
  <c r="A518"/>
  <c r="G517"/>
  <c r="F517"/>
  <c r="E517"/>
  <c r="E565"/>
  <c r="A517"/>
  <c r="G516"/>
  <c r="D555" s="1"/>
  <c r="F516"/>
  <c r="E516"/>
  <c r="I555" s="1"/>
  <c r="A516"/>
  <c r="F515"/>
  <c r="E515"/>
  <c r="A515"/>
  <c r="F514"/>
  <c r="H540" s="1"/>
  <c r="E514"/>
  <c r="I540" s="1"/>
  <c r="A514"/>
  <c r="H580" l="1"/>
  <c r="H554"/>
  <c r="H565"/>
  <c r="H552"/>
  <c r="I566"/>
  <c r="I541"/>
  <c r="I567"/>
  <c r="I542"/>
  <c r="J540"/>
  <c r="I580"/>
  <c r="I554"/>
  <c r="H577"/>
  <c r="H555"/>
  <c r="J555" s="1"/>
  <c r="I565"/>
  <c r="I552"/>
  <c r="I517"/>
  <c r="J517" s="1"/>
  <c r="H566"/>
  <c r="J566" s="1"/>
  <c r="H541"/>
  <c r="J541" s="1"/>
  <c r="H567"/>
  <c r="H542"/>
  <c r="J542" s="1"/>
  <c r="I568"/>
  <c r="I543"/>
  <c r="H569"/>
  <c r="H544"/>
  <c r="I570"/>
  <c r="I545"/>
  <c r="I571"/>
  <c r="I546"/>
  <c r="H572"/>
  <c r="H547"/>
  <c r="H574"/>
  <c r="H549"/>
  <c r="I575"/>
  <c r="I550"/>
  <c r="H568"/>
  <c r="H543"/>
  <c r="I569"/>
  <c r="I544"/>
  <c r="H570"/>
  <c r="H545"/>
  <c r="H571"/>
  <c r="H546"/>
  <c r="I572"/>
  <c r="I547"/>
  <c r="I574"/>
  <c r="I549"/>
  <c r="H575"/>
  <c r="H550"/>
  <c r="A572"/>
  <c r="A574" s="1"/>
  <c r="A575" s="1"/>
  <c r="A577" s="1"/>
  <c r="A579" s="1"/>
  <c r="A580" s="1"/>
  <c r="A573"/>
  <c r="I577"/>
  <c r="I516"/>
  <c r="J516" s="1"/>
  <c r="E575"/>
  <c r="D528"/>
  <c r="F528"/>
  <c r="I579"/>
  <c r="E528"/>
  <c r="C531" s="1"/>
  <c r="G528"/>
  <c r="B531" s="1"/>
  <c r="E577"/>
  <c r="C581"/>
  <c r="I514"/>
  <c r="I515"/>
  <c r="J515" s="1"/>
  <c r="I519"/>
  <c r="J519" s="1"/>
  <c r="I523"/>
  <c r="J523" s="1"/>
  <c r="I524"/>
  <c r="J524" s="1"/>
  <c r="I526"/>
  <c r="J526" s="1"/>
  <c r="I521"/>
  <c r="J521" s="1"/>
  <c r="I520"/>
  <c r="J520" s="1"/>
  <c r="I527"/>
  <c r="J527" s="1"/>
  <c r="E567"/>
  <c r="E571"/>
  <c r="E572"/>
  <c r="H579"/>
  <c r="I522"/>
  <c r="J522" s="1"/>
  <c r="I518"/>
  <c r="J518" s="1"/>
  <c r="C600"/>
  <c r="J567" l="1"/>
  <c r="K567" s="1"/>
  <c r="J574"/>
  <c r="K574" s="1"/>
  <c r="J570"/>
  <c r="K570" s="1"/>
  <c r="J568"/>
  <c r="K568" s="1"/>
  <c r="J550"/>
  <c r="J545"/>
  <c r="K545" s="1"/>
  <c r="J543"/>
  <c r="K543" s="1"/>
  <c r="J575"/>
  <c r="K575" s="1"/>
  <c r="J580"/>
  <c r="K580" s="1"/>
  <c r="J571"/>
  <c r="K571" s="1"/>
  <c r="J579"/>
  <c r="K579" s="1"/>
  <c r="J569"/>
  <c r="K569" s="1"/>
  <c r="J565"/>
  <c r="K565" s="1"/>
  <c r="J546"/>
  <c r="J572"/>
  <c r="K572" s="1"/>
  <c r="I556"/>
  <c r="D531"/>
  <c r="I581"/>
  <c r="K555"/>
  <c r="K540"/>
  <c r="K550"/>
  <c r="K546"/>
  <c r="J549"/>
  <c r="K549" s="1"/>
  <c r="J547"/>
  <c r="K547" s="1"/>
  <c r="J544"/>
  <c r="K544" s="1"/>
  <c r="K542"/>
  <c r="K541"/>
  <c r="J552"/>
  <c r="K552" s="1"/>
  <c r="J554"/>
  <c r="K554" s="1"/>
  <c r="G530"/>
  <c r="J577"/>
  <c r="K577" s="1"/>
  <c r="J514"/>
  <c r="I528"/>
  <c r="K566"/>
  <c r="E591"/>
  <c r="E590"/>
  <c r="E589"/>
  <c r="J581" l="1"/>
  <c r="K581" s="1"/>
  <c r="I529"/>
  <c r="J556"/>
  <c r="K556" s="1"/>
  <c r="E531"/>
  <c r="J528"/>
  <c r="A590" l="1"/>
  <c r="A591" s="1"/>
  <c r="A592" s="1"/>
  <c r="A593" s="1"/>
  <c r="A594" s="1"/>
  <c r="A595" s="1"/>
  <c r="A596" s="1"/>
  <c r="A597" s="1"/>
  <c r="C603"/>
  <c r="C602"/>
  <c r="C598"/>
  <c r="C597"/>
  <c r="C596"/>
  <c r="C595"/>
  <c r="C594"/>
  <c r="C593"/>
  <c r="C592"/>
  <c r="C591"/>
  <c r="C590"/>
  <c r="C589"/>
  <c r="H598"/>
  <c r="I598"/>
  <c r="E598"/>
  <c r="H597"/>
  <c r="I597"/>
  <c r="H596"/>
  <c r="I596"/>
  <c r="E596"/>
  <c r="H595"/>
  <c r="I595"/>
  <c r="E595"/>
  <c r="H594"/>
  <c r="I594"/>
  <c r="H593"/>
  <c r="I593"/>
  <c r="E593"/>
  <c r="H592"/>
  <c r="I592"/>
  <c r="E592"/>
  <c r="H591"/>
  <c r="I591"/>
  <c r="H590"/>
  <c r="I590"/>
  <c r="H589"/>
  <c r="I589"/>
  <c r="H600"/>
  <c r="I600"/>
  <c r="H603"/>
  <c r="I603"/>
  <c r="I602"/>
  <c r="A598" l="1"/>
  <c r="A600" s="1"/>
  <c r="A602" s="1"/>
  <c r="A603" s="1"/>
  <c r="J603"/>
  <c r="J595"/>
  <c r="J598"/>
  <c r="C604"/>
  <c r="J591"/>
  <c r="J589"/>
  <c r="J604" s="1"/>
  <c r="K604" s="1"/>
  <c r="J600"/>
  <c r="I604"/>
  <c r="J592"/>
  <c r="J596"/>
  <c r="J593"/>
  <c r="J590"/>
  <c r="E597"/>
  <c r="J597" s="1"/>
  <c r="E594"/>
  <c r="J594" s="1"/>
  <c r="H602"/>
  <c r="J602" s="1"/>
  <c r="K594" l="1"/>
  <c r="K597"/>
  <c r="K602"/>
  <c r="K598"/>
  <c r="K590"/>
  <c r="K600"/>
  <c r="K596"/>
  <c r="K591"/>
  <c r="K603"/>
  <c r="K593"/>
  <c r="K595"/>
  <c r="K589"/>
  <c r="K592"/>
  <c r="C626" l="1"/>
  <c r="C612"/>
  <c r="C621"/>
  <c r="I617" l="1"/>
  <c r="I618"/>
  <c r="I619"/>
  <c r="I620"/>
  <c r="I621"/>
  <c r="I622"/>
  <c r="I616"/>
  <c r="I615"/>
  <c r="I626"/>
  <c r="H621"/>
  <c r="E621"/>
  <c r="J621" l="1"/>
  <c r="K621" l="1"/>
  <c r="C627" l="1"/>
  <c r="C624"/>
  <c r="C622"/>
  <c r="C620"/>
  <c r="C619"/>
  <c r="C618"/>
  <c r="C617"/>
  <c r="C616"/>
  <c r="C615"/>
  <c r="C614"/>
  <c r="C613"/>
  <c r="H626"/>
  <c r="J626" s="1"/>
  <c r="C647"/>
  <c r="K626" l="1"/>
  <c r="C628"/>
  <c r="C650"/>
  <c r="J650" s="1"/>
  <c r="K650" s="1"/>
  <c r="C649"/>
  <c r="J649" s="1"/>
  <c r="K649" s="1"/>
  <c r="J647"/>
  <c r="C637"/>
  <c r="J637" s="1"/>
  <c r="C638"/>
  <c r="J638" s="1"/>
  <c r="C639"/>
  <c r="J639" s="1"/>
  <c r="C640"/>
  <c r="J640" s="1"/>
  <c r="C641"/>
  <c r="J641" s="1"/>
  <c r="C642"/>
  <c r="J642" s="1"/>
  <c r="C643"/>
  <c r="J643" s="1"/>
  <c r="C644"/>
  <c r="C645"/>
  <c r="J645" s="1"/>
  <c r="C636"/>
  <c r="J636" s="1"/>
  <c r="I651"/>
  <c r="J644"/>
  <c r="C651" l="1"/>
  <c r="J651"/>
  <c r="G652" s="1"/>
  <c r="K642" l="1"/>
  <c r="K638"/>
  <c r="K647"/>
  <c r="K645" l="1"/>
  <c r="K637"/>
  <c r="K636"/>
  <c r="K643"/>
  <c r="K639"/>
  <c r="K640"/>
  <c r="K641"/>
  <c r="K644"/>
  <c r="K651" l="1"/>
  <c r="F663" l="1"/>
  <c r="H662"/>
  <c r="F661"/>
  <c r="C671" l="1"/>
  <c r="J671" s="1"/>
  <c r="C670"/>
  <c r="J670" s="1"/>
  <c r="C669"/>
  <c r="J669" s="1"/>
  <c r="C668"/>
  <c r="J668" s="1"/>
  <c r="C667"/>
  <c r="J667" s="1"/>
  <c r="C666"/>
  <c r="J666" s="1"/>
  <c r="C665"/>
  <c r="J665" s="1"/>
  <c r="C664"/>
  <c r="J664" s="1"/>
  <c r="C663"/>
  <c r="J663" s="1"/>
  <c r="C662"/>
  <c r="J662" s="1"/>
  <c r="C661"/>
  <c r="J661" s="1"/>
  <c r="C660"/>
  <c r="J660" s="1"/>
  <c r="C673"/>
  <c r="J673" s="1"/>
  <c r="C676"/>
  <c r="J676" s="1"/>
  <c r="I677"/>
  <c r="C703"/>
  <c r="C675" l="1"/>
  <c r="J675" s="1"/>
  <c r="J677" s="1"/>
  <c r="C677" l="1"/>
  <c r="I703" l="1"/>
  <c r="J702" l="1"/>
  <c r="J701"/>
  <c r="J699"/>
  <c r="J697"/>
  <c r="J696"/>
  <c r="J695"/>
  <c r="J694"/>
  <c r="J693"/>
  <c r="J692"/>
  <c r="J691"/>
  <c r="J690"/>
  <c r="J689"/>
  <c r="J688"/>
  <c r="J687"/>
  <c r="J686"/>
  <c r="J685"/>
  <c r="J703" l="1"/>
  <c r="J722" l="1"/>
  <c r="J721"/>
  <c r="J720"/>
  <c r="J719"/>
  <c r="J718"/>
  <c r="J717"/>
  <c r="J716"/>
  <c r="J714"/>
  <c r="J711"/>
  <c r="J725"/>
  <c r="J728"/>
  <c r="J727"/>
  <c r="I729"/>
  <c r="J715"/>
  <c r="C729" l="1"/>
  <c r="J713"/>
  <c r="J712"/>
  <c r="J723"/>
  <c r="J729" l="1"/>
  <c r="F749" l="1"/>
  <c r="H749"/>
  <c r="F740"/>
  <c r="H739"/>
  <c r="F738"/>
  <c r="I755"/>
  <c r="J749" l="1"/>
  <c r="J748"/>
  <c r="J747"/>
  <c r="J746"/>
  <c r="J745"/>
  <c r="J744"/>
  <c r="J743"/>
  <c r="J742"/>
  <c r="J741"/>
  <c r="J740"/>
  <c r="J739"/>
  <c r="J738"/>
  <c r="J751"/>
  <c r="J754"/>
  <c r="J753"/>
  <c r="J737" l="1"/>
  <c r="J755" s="1"/>
  <c r="C755"/>
  <c r="I784" l="1"/>
  <c r="J778"/>
  <c r="J764" l="1"/>
  <c r="J777" l="1"/>
  <c r="J776"/>
  <c r="J775"/>
  <c r="J774"/>
  <c r="J773"/>
  <c r="J772"/>
  <c r="J771"/>
  <c r="J770"/>
  <c r="J769"/>
  <c r="J768"/>
  <c r="J767"/>
  <c r="J766"/>
  <c r="C780"/>
  <c r="J780" s="1"/>
  <c r="C783"/>
  <c r="J783" s="1"/>
  <c r="C782"/>
  <c r="J782" s="1"/>
  <c r="C811"/>
  <c r="J765" l="1"/>
  <c r="J784" s="1"/>
  <c r="C784"/>
  <c r="J824" l="1"/>
  <c r="J805" l="1"/>
  <c r="J804"/>
  <c r="J803"/>
  <c r="J802"/>
  <c r="J801"/>
  <c r="J800"/>
  <c r="J799"/>
  <c r="J798"/>
  <c r="J797"/>
  <c r="J796"/>
  <c r="J795"/>
  <c r="J794"/>
  <c r="J793"/>
  <c r="J807"/>
  <c r="J810"/>
  <c r="J809"/>
  <c r="I811"/>
  <c r="J792" l="1"/>
  <c r="J811" s="1"/>
  <c r="I839" l="1"/>
  <c r="J832" l="1"/>
  <c r="J829" l="1"/>
  <c r="J825"/>
  <c r="J821"/>
  <c r="J835"/>
  <c r="J837"/>
  <c r="J838"/>
  <c r="J831"/>
  <c r="J830"/>
  <c r="J828"/>
  <c r="J827"/>
  <c r="J826"/>
  <c r="J823"/>
  <c r="J822"/>
  <c r="J820"/>
  <c r="J833" l="1"/>
  <c r="J839" s="1"/>
  <c r="K839" s="1"/>
  <c r="C756" l="1"/>
  <c r="C730"/>
  <c r="J856"/>
  <c r="J857" l="1"/>
  <c r="J855"/>
  <c r="J854"/>
  <c r="J853"/>
  <c r="J852"/>
  <c r="J851"/>
  <c r="J850"/>
  <c r="J849"/>
  <c r="J848"/>
  <c r="J847"/>
  <c r="J861"/>
  <c r="J864"/>
  <c r="J863"/>
  <c r="J859" l="1"/>
  <c r="J858"/>
  <c r="J865" l="1"/>
  <c r="J883" l="1"/>
  <c r="F873" l="1"/>
  <c r="J907"/>
  <c r="J910"/>
  <c r="J891"/>
  <c r="J890"/>
  <c r="J889"/>
  <c r="C882" l="1"/>
  <c r="J882" s="1"/>
  <c r="C881"/>
  <c r="J881" s="1"/>
  <c r="C880"/>
  <c r="J880" s="1"/>
  <c r="C879"/>
  <c r="J879" s="1"/>
  <c r="C878"/>
  <c r="J878" s="1"/>
  <c r="J877"/>
  <c r="C876"/>
  <c r="J876" s="1"/>
  <c r="C875"/>
  <c r="J875" s="1"/>
  <c r="C874"/>
  <c r="J874" s="1"/>
  <c r="C873"/>
  <c r="J873" s="1"/>
  <c r="C885"/>
  <c r="J885" s="1"/>
  <c r="C888"/>
  <c r="J888" s="1"/>
  <c r="C887" l="1"/>
  <c r="J887" s="1"/>
  <c r="J892" s="1"/>
  <c r="J918" l="1"/>
  <c r="J917"/>
  <c r="J916"/>
  <c r="J969"/>
  <c r="J942"/>
  <c r="J941"/>
  <c r="J939"/>
  <c r="E937"/>
  <c r="J937" s="1"/>
  <c r="E936"/>
  <c r="J936" s="1"/>
  <c r="E934"/>
  <c r="J934" s="1"/>
  <c r="H933"/>
  <c r="E933"/>
  <c r="F932"/>
  <c r="E932"/>
  <c r="E931"/>
  <c r="J931" s="1"/>
  <c r="I930"/>
  <c r="H930"/>
  <c r="E930"/>
  <c r="I929"/>
  <c r="E929"/>
  <c r="H928"/>
  <c r="E928"/>
  <c r="I927"/>
  <c r="J919"/>
  <c r="J903"/>
  <c r="J915"/>
  <c r="B903" l="1"/>
  <c r="B907"/>
  <c r="B908"/>
  <c r="B901"/>
  <c r="B904"/>
  <c r="B905"/>
  <c r="B902"/>
  <c r="B906"/>
  <c r="J902"/>
  <c r="I944"/>
  <c r="J929"/>
  <c r="J912"/>
  <c r="J928"/>
  <c r="J900"/>
  <c r="J906"/>
  <c r="J901"/>
  <c r="J914"/>
  <c r="J909"/>
  <c r="J932"/>
  <c r="J930"/>
  <c r="J933"/>
  <c r="J927"/>
  <c r="J905" l="1"/>
  <c r="J904"/>
  <c r="J908"/>
  <c r="C935"/>
  <c r="J920" l="1"/>
  <c r="C944"/>
  <c r="J935"/>
  <c r="J944" s="1"/>
  <c r="K673" l="1"/>
  <c r="K660"/>
  <c r="K676"/>
  <c r="K666"/>
  <c r="K671"/>
  <c r="K670"/>
  <c r="K742" l="1"/>
  <c r="K664"/>
  <c r="K693"/>
  <c r="K667"/>
  <c r="K662"/>
  <c r="K694"/>
  <c r="K668"/>
  <c r="K663"/>
  <c r="K661"/>
  <c r="K691"/>
  <c r="K665"/>
  <c r="K695"/>
  <c r="K690"/>
  <c r="K743"/>
  <c r="K739"/>
  <c r="K754"/>
  <c r="K702"/>
  <c r="K689"/>
  <c r="K741"/>
  <c r="K696"/>
  <c r="K748"/>
  <c r="K697"/>
  <c r="K749"/>
  <c r="K744"/>
  <c r="K692"/>
  <c r="K751"/>
  <c r="K699"/>
  <c r="K675"/>
  <c r="K738"/>
  <c r="K746"/>
  <c r="K737"/>
  <c r="K745"/>
  <c r="K688"/>
  <c r="K686"/>
  <c r="K687"/>
  <c r="K740"/>
  <c r="K685"/>
  <c r="K747" l="1"/>
  <c r="K669"/>
  <c r="K753"/>
  <c r="K701"/>
  <c r="K677" l="1"/>
  <c r="K755"/>
  <c r="K892"/>
  <c r="K703"/>
  <c r="H612" l="1"/>
  <c r="H613"/>
  <c r="H624"/>
  <c r="H614"/>
  <c r="I624"/>
  <c r="H627"/>
  <c r="H618"/>
  <c r="H617"/>
  <c r="H615"/>
  <c r="H619"/>
  <c r="J619" s="1"/>
  <c r="I612"/>
  <c r="H616"/>
  <c r="I627"/>
  <c r="H620"/>
  <c r="H622"/>
  <c r="I614"/>
  <c r="E618"/>
  <c r="E617"/>
  <c r="E616"/>
  <c r="I613"/>
  <c r="E620"/>
  <c r="K619" l="1"/>
  <c r="J627"/>
  <c r="K627" s="1"/>
  <c r="J614"/>
  <c r="K614" s="1"/>
  <c r="E615"/>
  <c r="J615" s="1"/>
  <c r="K615" s="1"/>
  <c r="E613"/>
  <c r="J613" s="1"/>
  <c r="E622"/>
  <c r="J622" s="1"/>
  <c r="K622" s="1"/>
  <c r="I628"/>
  <c r="J617"/>
  <c r="J620"/>
  <c r="J616"/>
  <c r="E612"/>
  <c r="J612" s="1"/>
  <c r="J618"/>
  <c r="J624"/>
  <c r="K617" l="1"/>
  <c r="K624"/>
  <c r="K613"/>
  <c r="K612"/>
  <c r="J628"/>
  <c r="K616"/>
  <c r="K618"/>
  <c r="K620"/>
  <c r="G629" l="1"/>
  <c r="K628"/>
  <c r="G140" i="153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</calcChain>
</file>

<file path=xl/sharedStrings.xml><?xml version="1.0" encoding="utf-8"?>
<sst xmlns="http://schemas.openxmlformats.org/spreadsheetml/2006/main" count="3214" uniqueCount="551">
  <si>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</si>
  <si>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</si>
  <si>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</si>
  <si>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</si>
  <si>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</si>
  <si>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</si>
  <si>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</si>
  <si>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</si>
  <si>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</si>
  <si>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</si>
  <si>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</si>
  <si>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</si>
  <si>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</si>
  <si>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</si>
  <si>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</si>
  <si>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</si>
  <si>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</si>
  <si>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</si>
  <si>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</si>
  <si>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</si>
  <si>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</si>
  <si>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</si>
  <si>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</si>
  <si>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</si>
  <si>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</si>
  <si>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</si>
  <si>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</si>
  <si>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</si>
  <si>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</si>
  <si>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</si>
  <si>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</si>
  <si>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</si>
  <si>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</si>
  <si>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</si>
  <si>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</si>
  <si>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</si>
  <si>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</si>
  <si>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</si>
  <si>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</si>
  <si>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</si>
  <si>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</si>
  <si>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</si>
  <si>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</si>
  <si>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</si>
  <si>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</si>
  <si>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</si>
  <si>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</si>
  <si>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</si>
  <si>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</si>
  <si>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</si>
  <si>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</si>
  <si>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</si>
  <si>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</si>
  <si>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</si>
  <si>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</si>
  <si>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</si>
  <si>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</si>
  <si>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</si>
  <si>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</si>
  <si>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</si>
  <si>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</si>
  <si>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</si>
  <si>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</si>
  <si>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</si>
  <si>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</si>
  <si>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</si>
  <si>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</si>
  <si>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</si>
  <si>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</si>
  <si>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</si>
  <si>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</si>
  <si>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</si>
  <si>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</si>
  <si>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</si>
  <si>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</si>
  <si>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</si>
  <si>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</si>
  <si>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</si>
  <si>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</si>
  <si>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</si>
  <si>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</si>
  <si>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</si>
  <si>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</si>
  <si>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</si>
  <si>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</si>
  <si>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</si>
  <si>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</si>
  <si>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</si>
  <si>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</si>
  <si>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</si>
  <si>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</si>
  <si>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</si>
  <si>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</si>
  <si>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</si>
  <si>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</si>
  <si>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</si>
  <si>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</si>
  <si>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</si>
  <si>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</si>
  <si>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</si>
  <si>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</si>
  <si>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</si>
  <si>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</si>
  <si>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</si>
  <si>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</si>
  <si>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</si>
  <si>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</si>
  <si>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</si>
  <si>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</si>
  <si>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</si>
  <si>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</si>
  <si>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</si>
  <si>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</si>
  <si>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</si>
  <si>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</si>
  <si>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</si>
  <si>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</si>
  <si>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</si>
  <si>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</si>
  <si>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</si>
  <si>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</si>
  <si>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</si>
  <si>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</si>
  <si>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</si>
  <si>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</si>
  <si>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</si>
  <si>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</si>
  <si>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</si>
  <si>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</si>
  <si>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</si>
  <si>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</si>
  <si>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</si>
  <si>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</si>
  <si>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</si>
  <si>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</si>
  <si>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</si>
  <si>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</si>
  <si>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</si>
  <si>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</si>
  <si>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</si>
  <si>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</si>
  <si>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</si>
  <si>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</si>
  <si>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</si>
  <si>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</si>
  <si>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</si>
  <si>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</si>
  <si>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</si>
  <si>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</si>
  <si>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</si>
  <si>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</si>
  <si>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</si>
  <si>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</si>
  <si>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</si>
  <si>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</si>
  <si>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</si>
  <si>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</si>
  <si>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</si>
  <si>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</si>
  <si>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</si>
  <si>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</si>
  <si>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</si>
  <si>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</si>
  <si>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</si>
  <si>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</si>
  <si>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</si>
  <si>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</si>
  <si>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</si>
  <si>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</si>
  <si>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</si>
  <si>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</si>
  <si>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</si>
  <si>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</si>
  <si>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</si>
  <si>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</si>
  <si>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</si>
  <si>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</si>
  <si>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</si>
  <si>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</si>
  <si>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</si>
  <si>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</si>
  <si>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</si>
  <si>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</si>
  <si>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</si>
  <si>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</si>
  <si>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</si>
  <si>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</si>
  <si>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</si>
  <si>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</si>
  <si>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</si>
  <si>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</si>
  <si>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</si>
  <si>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</si>
  <si>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</si>
  <si>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</si>
  <si>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</si>
  <si>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</si>
  <si>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</si>
  <si>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</si>
  <si>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</si>
  <si>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</si>
  <si>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</si>
  <si>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</si>
  <si>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</si>
  <si>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</si>
  <si>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</si>
  <si>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</si>
  <si>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</si>
  <si>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</si>
  <si>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</si>
  <si>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</si>
  <si>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RALFF/Wildcat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</si>
  <si>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</si>
  <si>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</si>
  <si>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</si>
  <si>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</si>
  <si>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</si>
  <si>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</si>
  <si>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</si>
  <si>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</si>
  <si>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</si>
  <si>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</si>
  <si>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</si>
  <si>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</si>
  <si>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</si>
  <si>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Lawyer fees</t>
  </si>
  <si>
    <t>Trust building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</si>
  <si>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</si>
  <si>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</si>
  <si>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</si>
  <si>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</si>
  <si>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</si>
  <si>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</si>
  <si>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</si>
  <si>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</si>
  <si>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</si>
  <si>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</si>
  <si>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</si>
  <si>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</si>
  <si>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</si>
  <si>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</si>
  <si>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</si>
  <si>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</si>
  <si>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</si>
  <si>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</si>
  <si>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</si>
  <si>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</si>
  <si>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</si>
  <si>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</si>
  <si>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</si>
  <si>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</si>
  <si>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</si>
  <si>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</t>
  </si>
  <si>
    <t>Office Materials</t>
  </si>
  <si>
    <t>Crepin</t>
  </si>
  <si>
    <t>Relevé</t>
  </si>
  <si>
    <t>bank fees</t>
  </si>
  <si>
    <t>Operation</t>
  </si>
  <si>
    <t>Jail visit</t>
  </si>
  <si>
    <t>Retour caisse/Hurielle</t>
  </si>
  <si>
    <t>CONGO</t>
  </si>
  <si>
    <t>5.6</t>
  </si>
  <si>
    <t>4.5</t>
  </si>
  <si>
    <t>5.2.2</t>
  </si>
  <si>
    <t>1.1.1.7</t>
  </si>
  <si>
    <t>1.1.2.1</t>
  </si>
  <si>
    <t>1.1.1.4</t>
  </si>
  <si>
    <t>4.6</t>
  </si>
  <si>
    <t>2.2</t>
  </si>
  <si>
    <t>1.3.2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</si>
  <si>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</si>
  <si>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</si>
  <si>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</si>
  <si>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</si>
  <si>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</si>
  <si>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</si>
  <si>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</si>
  <si>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</si>
  <si>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versement</t>
  </si>
  <si>
    <t>Hurielle/Retour caisse</t>
  </si>
  <si>
    <t>Bonus media Portant sur la condamnation ferme d'un trafiquant au TGI de P/Noire le 15 Septembre 2022</t>
  </si>
  <si>
    <t>Décharge</t>
  </si>
  <si>
    <t>Lawyer Fees</t>
  </si>
  <si>
    <t>Reçu Caisse/ Tiffany</t>
  </si>
  <si>
    <t>Cumul frais de transport local mois de Septembre 2022/P29</t>
  </si>
  <si>
    <t>Trust Building</t>
  </si>
  <si>
    <t>Retour caisse/Merveille</t>
  </si>
  <si>
    <t>Recu caisse/Hurielle</t>
  </si>
  <si>
    <t>Achat billet aller Brazzaville-Dolisie/Hurielle</t>
  </si>
  <si>
    <t>Achat billet de retour Dolisie-Brazzaville/Hurielle</t>
  </si>
  <si>
    <t>1.1.1.1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</si>
  <si>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</si>
  <si>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</si>
  <si>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</si>
  <si>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</si>
  <si>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</si>
  <si>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</si>
  <si>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</si>
  <si>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RAPPORT FINANCIER OCTOBRE 2022</t>
  </si>
  <si>
    <t>Solde au 01/10/2022</t>
  </si>
  <si>
    <t>Decharge</t>
  </si>
  <si>
    <t>Bonus media sur l'interpellation de 03 présumés trafiquant d'ivoire le 21/09/2022 à Dolisie</t>
  </si>
  <si>
    <t>Merveille/retour caisse avance sur Salaire</t>
  </si>
  <si>
    <t>Crepin/Retour caisse</t>
  </si>
  <si>
    <t>Evariste/retour caisse</t>
  </si>
  <si>
    <t>Merveille/retour</t>
  </si>
  <si>
    <t>P29/retour caisse</t>
  </si>
  <si>
    <t>Bonus mois d'Août 2022/Crepin</t>
  </si>
  <si>
    <t>Bonus du mois de Septembre 2022/Hurielle</t>
  </si>
  <si>
    <t>Bonus du mois de Septembre 2022/Yan</t>
  </si>
  <si>
    <t>Bonus du mois de Septembre 2022/Evariste</t>
  </si>
  <si>
    <t>Bonus du mois de Septembre 2022/Crepin</t>
  </si>
  <si>
    <t>Bonus Operations 13,14 et 21 Septembre 2022/Hurielle</t>
  </si>
  <si>
    <t>Bonus Operations 13,14 et 21 Septembre 2022/Evariste</t>
  </si>
  <si>
    <t>Bonus Operations 13,14 et 21 Septembre 2022/Crepin</t>
  </si>
  <si>
    <t>Bonus Operation du 21 Septembre 2022/Merveille</t>
  </si>
  <si>
    <t>Bonus Operation du 21 Septembre 2022/Yan</t>
  </si>
  <si>
    <t>P10</t>
  </si>
  <si>
    <t>Bonus Operation à MAKABANA/Crepin</t>
  </si>
  <si>
    <t>OUI</t>
  </si>
  <si>
    <t>Achat carte pour vœux à la Ministre</t>
  </si>
  <si>
    <t>Frais de mission maitre Marie Hélène du 06 au 08 Octobre 2022 à Dolisie/suivi audience cas KONDO,MOUTOMBO et consorts</t>
  </si>
  <si>
    <t>Bonus média portant sur les audiences du 07 Octobre 2022 au TGI à Dolisie</t>
  </si>
  <si>
    <t xml:space="preserve">Crepin </t>
  </si>
  <si>
    <t>3654516-34</t>
  </si>
  <si>
    <t>Entretien général Palmier</t>
  </si>
  <si>
    <t>Bonus media portant sur les audiences du 14/10/2022</t>
  </si>
  <si>
    <t>Achat credit  teléphonique MTN/PALF/Deuxième  partie Octobre 2022/Management</t>
  </si>
  <si>
    <t>Achat credit  teléphonique MTN/PALF/Deuxième partie Octobre 2022/Legal</t>
  </si>
  <si>
    <t>Achat credit  teléphonique MTN/PALF/Deuxième partie Octobre 2022/Investigation</t>
  </si>
  <si>
    <t>Achat credit  teléphonique MTN/PALF/Deuxième partie Octobre 2022/Investigation Volontaire</t>
  </si>
  <si>
    <t>Achat credit  teléphonique MTN/PALF/Deuxième partie Octobre 2022/Media</t>
  </si>
  <si>
    <t>Achat credit  teléphonique Airtel/PALF/Deuxième partie Octobre 2022/Management</t>
  </si>
  <si>
    <t>Achat credit  teléphonique Airtel/PALF/Deuxième partie Octobre 2022/Legal</t>
  </si>
  <si>
    <t>Achat credit  teléphonique Airtel/PALF/Deuxième partie Octobre 2022/Investigation</t>
  </si>
  <si>
    <t>Bonus média sur les audiences du 17/10/2022 au TGI de Brazzaville</t>
  </si>
  <si>
    <t>Bonus média portant sur la condamnation de trois trafiquant d'ivoire le 14/10/2022 au TGI de Dolisie</t>
  </si>
  <si>
    <t>Frais de transfert charden farell à Crépin</t>
  </si>
  <si>
    <t>Bonus média portant sur la mise en liberté de perroquets gris du gabon par l'IJG</t>
  </si>
  <si>
    <t>Bonus média portant sur l'audience du 21/10/2022 au TGI de Mossendjo</t>
  </si>
  <si>
    <t xml:space="preserve">P29 </t>
  </si>
  <si>
    <t>Frais de transfert charden farell à P29</t>
  </si>
  <si>
    <t>Frais de mission maitre Hélène NANITELAMIO à Dolisie du 27 au 29/10/2022 suivi audience cas YAMIDZALA et MOUTOMBO</t>
  </si>
  <si>
    <t xml:space="preserve">Evariste </t>
  </si>
  <si>
    <t>3654417-34</t>
  </si>
  <si>
    <t>Reglemeent Facture Internet (Canal Box_Periode de 01 Novembre au 01 Decembre 2022)</t>
  </si>
  <si>
    <t>Achat credit  teléphonique MTN/PALF/Prémière partie Novembre 2022/Management</t>
  </si>
  <si>
    <t>Achat credit  teléphonique MTN/PALF/Prémière partie Novembre 2022/Legal</t>
  </si>
  <si>
    <t>Achat credit  teléphonique MTN/PALF/Prémière partie Novembre 2022/Legal volontaire</t>
  </si>
  <si>
    <t>Achat credit  teléphonique MTN/PALF/Prémière partie Novembre 2022/Investigation</t>
  </si>
  <si>
    <t>Achat credit  teléphonique MTN/PALF/Prémière partie Novembre 2022/Investigation Volontaire</t>
  </si>
  <si>
    <t>Achat credit  teléphonique MTN/PALF/Prémière partie Novembre 2022/Media</t>
  </si>
  <si>
    <t>Achat credit  teléphonique Airtel/PALF/Prémière partie Novembre 2022/Management</t>
  </si>
  <si>
    <t>Achat credit  teléphonique Airtel/PALF/Prémière partie Novembre 2022/Legal</t>
  </si>
  <si>
    <t>Achat credit  teléphonique Airtel/PALF/Prémière partie Novembre 2022/Investigation</t>
  </si>
  <si>
    <t>Achat credit  teléphonique Airtel/PALF/Prémière partie Novembre 2022/Media</t>
  </si>
  <si>
    <t>Entretretien général Jardin, Bureau PALF Mois d'Octobre 2022</t>
  </si>
  <si>
    <t>Donald-Romeo</t>
  </si>
  <si>
    <t xml:space="preserve">Acompte Honoraire contrat Me MISSENGUE Evral Galin N°54/cas NDEMBI TCHIAMA Jimmy et consorts </t>
  </si>
  <si>
    <t>Retrait especes/appro caisse/bord n°3654516</t>
  </si>
  <si>
    <t>Paiement Honoraire Me LOCKO/Mois de Septembre 2022</t>
  </si>
  <si>
    <t>Retrait especes/appro caisse/bord n°3654517</t>
  </si>
  <si>
    <t>Reglement Facture Gardiennage Mois d'Octobre 2022/3654520</t>
  </si>
  <si>
    <t>Reglèment loyer mois de Septembre 2022</t>
  </si>
  <si>
    <t>office</t>
  </si>
  <si>
    <t>Reglèment loyer mois de Octobre 2022</t>
  </si>
  <si>
    <t>Acompte Honoraire contrat N°49 Brazzaville cas BIHONDA/maitre Marie Hélène NANITELAMIO</t>
  </si>
  <si>
    <t>Acompte Honoraire contrat N°53 Dolisie cas KONDO et Consort /maitre Marie Hélène NANITELAMIO</t>
  </si>
  <si>
    <t>Paiement CNSS Troisième  trimestre /Juillet Août et Septembre 2022/Crépin IBOUILI IBOUILI</t>
  </si>
  <si>
    <t>Paiement CNSS Troisième  trimestre /Juillet Août et Septembre 2022/Merveille</t>
  </si>
  <si>
    <t>Paiement CNSS Troisième  trimestre /Juillet Août et Septembre 2022/Grace</t>
  </si>
  <si>
    <t>Paiement CNSS Troisième  trimestre /Juillet Août et Septembre 2022/Hurielle</t>
  </si>
  <si>
    <t>Paiement CNSS Troisième  trimestre /Juillet Août et Septembre 2022/Evariste</t>
  </si>
  <si>
    <t>Paiement CNSS Troisième  trimestre /Juillet Août et Septembre 2022/Yan</t>
  </si>
  <si>
    <t>Paiement salaire mois de Octobre 2022/Crepin IBOUILI IBOUILI</t>
  </si>
  <si>
    <t>Paiement salaire mois de Octobre 2022/Hurielle</t>
  </si>
  <si>
    <t>Paiement salaire mois de Octobre 2022/Merveille MAHANGA</t>
  </si>
  <si>
    <t>Paiement salaire mois de Octobre 2022/Evariste LELOUSSI</t>
  </si>
  <si>
    <t>Paiement salaire mois de Octobre 2022/Tiffany GOBERT</t>
  </si>
  <si>
    <t>Rapatriement Tc (fonds UE)</t>
  </si>
  <si>
    <t>TIFFANY GOBERT - CONGO Food allowance du 16 au 19 octobre 2022</t>
  </si>
  <si>
    <t>Travel subsistence</t>
  </si>
  <si>
    <t>Billet bus Brazzaville- Pointe Noire/ Tiffany</t>
  </si>
  <si>
    <t>TIFFANY GOBERT - CONGO Frais d'Hotel 03 nuitées du 16 au 19 octobre 2022 à Pointe Noire</t>
  </si>
  <si>
    <t>Billet avion Pointe Noire- Brazzaville/Tiffany</t>
  </si>
  <si>
    <t>Flight</t>
  </si>
  <si>
    <t>Cumul frais de transport local mois d'Octobre 2022 /Tiffany GOBERT</t>
  </si>
  <si>
    <t>Cumul frais de transport local mois d'Octobre 2022/Merveille MAHANGA</t>
  </si>
  <si>
    <t>Cumul frais de transport Local mois d'Octobre 2022/Yan</t>
  </si>
  <si>
    <t>Reçu Caisse/Yan</t>
  </si>
  <si>
    <t>Billet: Brazzaville-Pointe-Noire/Crépin</t>
  </si>
  <si>
    <t>CREPIN - CONGO Food-Allowance du 09 au 12/10/2022 à Pointe-Noire</t>
  </si>
  <si>
    <t>Billet: Pointe-Noire-Brazzaville/Crépin</t>
  </si>
  <si>
    <t>CREPIN - CONGO Frais d'hotel 03 Nuitées à Pointe-Noire du 09 au 12/10/2022</t>
  </si>
  <si>
    <t>Billet: Brazzaville-Dolisie/Crépin</t>
  </si>
  <si>
    <t>CREPIN - CONGO Food-Allowance du 13 au 15/10/2022 à Dolisie</t>
  </si>
  <si>
    <t>Billet: Dolisie-Brazzaville/Crépin</t>
  </si>
  <si>
    <t>CREPIN - CONGO Frais d'hotel 02 Nuitées du 13 au 15/10/2022 à Dolisie</t>
  </si>
  <si>
    <t>CREPIN - CONGO Food-Allowance du 17 au 23/10/2022 à Pointe-Noire, Dolisie et Mossendjo</t>
  </si>
  <si>
    <t>CREPIN - CONGO Frais d'hotel 01 Nuitée du 17 au 18/10/2022 à Pointe Noire</t>
  </si>
  <si>
    <t>Billet: Pointe-Noire-Dolisie/Crépin</t>
  </si>
  <si>
    <t>CREPIN - CONGO Frais d'hotel 01 Nuitée à Dolisie du 18 au 19/10/2022</t>
  </si>
  <si>
    <t>Billet: Dolisie-Mossendjo/Crépin</t>
  </si>
  <si>
    <t>CREPIN - CONGO Frais d'hotel 03 Nuitées à Mossendjo du 19 au 22/10/2022</t>
  </si>
  <si>
    <t>Billet: Mossendjo-Dolisie/ Crépin</t>
  </si>
  <si>
    <t>Cumul frais de jail visit mois d'Octobre 2022/Crépin</t>
  </si>
  <si>
    <t>CREPIN - CONGO Frais d'hotel 01 Nuitée à Dolisie du 22 au 23/10/2022</t>
  </si>
  <si>
    <t>Cumul frais de transport local mois d'Octobre 2022/Crépin</t>
  </si>
  <si>
    <t>Reçu de caisse/Crépin</t>
  </si>
  <si>
    <t>Retour Caisse/Evariste</t>
  </si>
  <si>
    <t>Achat une bouteille eau minérale lors des entretiens pour le recrutement des juristes</t>
  </si>
  <si>
    <t>Cumul frais de transport local du mois d'Octobre 22/Evariste</t>
  </si>
  <si>
    <t>Reçu de la caisse /Evariste</t>
  </si>
  <si>
    <t>Reçu caisse</t>
  </si>
  <si>
    <t>Donald</t>
  </si>
  <si>
    <t>Cumul frais de ration journaliere mois d'octobre 22/Donald</t>
  </si>
  <si>
    <t>Cumul frais de transport local mois d'octobre 22/Donald</t>
  </si>
  <si>
    <t>HURIELLE - CONGO FoodAllowance du 06 au 08/10/2022 à Dolisie</t>
  </si>
  <si>
    <t>HURIELLE - CONGO Frais d'Hôtel 02 nuitées du 06 au 08/10/2022 à l'Hôtel la gloire (Dolisie).</t>
  </si>
  <si>
    <t>HURIELLE - CONGO Food Allowance du 27 au 29/10/2022 à Dolisie</t>
  </si>
  <si>
    <t>HURIELLE - CONGO Frais d'Hôtel 02 nuitées à Dolisie du 27 au 29/10/2022</t>
  </si>
  <si>
    <t>Achat billet aller Brazzaville -Owando/Hurielle</t>
  </si>
  <si>
    <t>HURIELLE - CONGO Food Allowance du 31/10/2022 au 05/11/2022</t>
  </si>
  <si>
    <t>Cumul Frais de Jail visit mois d'Octobre 2022/Hurielle</t>
  </si>
  <si>
    <t>Cumul frais de transport local mois d'Octobre 2022/Hurielle</t>
  </si>
  <si>
    <t>Reçu caisse/P10</t>
  </si>
  <si>
    <t>Cumul frais de trust Building mois d'Octobre 2022/P10</t>
  </si>
  <si>
    <t>Transfert à P29/ P10</t>
  </si>
  <si>
    <t>Cumul frais de  Ration journalière mois d'Octobre 2022/P10</t>
  </si>
  <si>
    <t>Cumul frais de transport local mois d'Octobre 2022/P10</t>
  </si>
  <si>
    <t>Retour caisse/P29</t>
  </si>
  <si>
    <t>Reçu de caisse/P29</t>
  </si>
  <si>
    <t>Achat billet Brazzaville-Pointe Noire/ P29</t>
  </si>
  <si>
    <t xml:space="preserve">P29 - CONGO Food allowance mission du 23 au 30-10-2022 </t>
  </si>
  <si>
    <t>P29 - CONGO Paiement 4 nuitées du 23 au 27-10-2022  à pointe -noire</t>
  </si>
  <si>
    <t xml:space="preserve">Achat billet, Pointe Noire - bouansa / P29 </t>
  </si>
  <si>
    <t>Reçu de caisse-Avance sur Salaire/P29</t>
  </si>
  <si>
    <t>P29 - CONGO Paiement 2 nuitées du 27 au 29-10-2022  à Bouansa</t>
  </si>
  <si>
    <t>Achat billet bouansa-mindouli / P29</t>
  </si>
  <si>
    <t>P29 - CONGO Paiement 1 nuitée du 29 au 30-10-2022  à Mindouli</t>
  </si>
  <si>
    <t>Achat billet mindouli-Brazzaville / P29</t>
  </si>
  <si>
    <t>Reçu de  P10 /P29</t>
  </si>
  <si>
    <t>Cumul Frais de Trust Building du Mois d'Octombre 2022/P29</t>
  </si>
  <si>
    <t>Grant</t>
  </si>
  <si>
    <t>Retour caisse/Crépin</t>
  </si>
  <si>
    <t>Frais bancaires/56</t>
  </si>
  <si>
    <t>Frais bancaire/34</t>
  </si>
  <si>
    <t>2.1</t>
  </si>
  <si>
    <t>Achat enveloppe A5/Bureau PALF</t>
  </si>
  <si>
    <t>Paiement salaire Yan Gomat /Pour 02 jours travaillés en octobre 2022</t>
  </si>
  <si>
    <t>4.2</t>
  </si>
  <si>
    <t>Règlement prestation technicienne de surface (mois d'Octobre 2022)/Odile</t>
  </si>
  <si>
    <t>Frais de Test Covid/Yan</t>
  </si>
  <si>
    <t>Travel Expenses</t>
  </si>
  <si>
    <t>Billet: Dolisie-Mossendjo/Chef faune EF</t>
  </si>
  <si>
    <t>Ration chef faune/EF</t>
  </si>
  <si>
    <t>Ration chef faune Matin/Soir:/EF</t>
  </si>
  <si>
    <t>Ration du chef faune :/EF</t>
  </si>
  <si>
    <t>Frais d'hotel 03 Nuitées à Mossendjo du 19 au 22/10/2022 pour Chef faune/EF</t>
  </si>
  <si>
    <t>Billet: Mossendjo-Dolisie /Chef faune/EF</t>
  </si>
  <si>
    <t>Transport local de chef faune à Mossendjo et Dolisie du 19 au 21/10/2022/EF</t>
  </si>
  <si>
    <t>Remboursement frais de loyer mois d'Octobre 2022 appartement Tiffany GOBERT</t>
  </si>
  <si>
    <t>Bonus média sur l'interpellation de 3 trafiquants d'Ivoire à Dolisie le 21/09/2022</t>
  </si>
  <si>
    <t>Frais de mission maitre Marie Hélène du 13 au 15 Octobre 2022 à Dolisie/suivi audience cas KONDO,MOUTOMBO et consorts</t>
  </si>
  <si>
    <t>Frais de mission maitre Marie Hélène du 18 au 23 Octobre 2022 à Dolisie/suivi Juridique et suivi audience cas KAYA Christine.</t>
  </si>
  <si>
    <t>RALFF-CO3891</t>
  </si>
  <si>
    <t>RALFF-CO3892</t>
  </si>
  <si>
    <t>RALFF-CO3893</t>
  </si>
  <si>
    <t>RALFF-CO3894</t>
  </si>
  <si>
    <t>RALFF-CO3895</t>
  </si>
  <si>
    <t>RALFF-CO3896</t>
  </si>
  <si>
    <t>RALFF-CO3897</t>
  </si>
  <si>
    <t>RALFF-CO3898</t>
  </si>
  <si>
    <t>RALFF-CO3899</t>
  </si>
  <si>
    <t>RALFF-CO3900</t>
  </si>
  <si>
    <t>RALFF-CO3901</t>
  </si>
  <si>
    <t>RALFF-CO3902</t>
  </si>
  <si>
    <t>RALFF-CO3903</t>
  </si>
  <si>
    <t>RALFF-CO3904</t>
  </si>
  <si>
    <t>RALFF-CO3905</t>
  </si>
  <si>
    <t>RALFF-CO3906</t>
  </si>
  <si>
    <t>RALFF-CO3907</t>
  </si>
  <si>
    <t>RALFF-CO3908</t>
  </si>
  <si>
    <t>RALFF-CO3909</t>
  </si>
  <si>
    <t>RALFF-CO3910</t>
  </si>
  <si>
    <t>RALFF-CO3911</t>
  </si>
  <si>
    <t>RALFF-CO3912</t>
  </si>
  <si>
    <t>RALFF-CO3913</t>
  </si>
  <si>
    <t>RALFF-CO3914</t>
  </si>
  <si>
    <t>RALFF-CO3915</t>
  </si>
  <si>
    <t>RALFF-CO3916</t>
  </si>
  <si>
    <t>RALFF-CO3917</t>
  </si>
  <si>
    <t>RALFF-CO3918</t>
  </si>
  <si>
    <t>RALFF-CO3919</t>
  </si>
  <si>
    <t>RALFF-CO3920</t>
  </si>
  <si>
    <t>RALFF-CO3921</t>
  </si>
  <si>
    <t>RALFF-CO3922</t>
  </si>
  <si>
    <t>RALFF-CO3923</t>
  </si>
  <si>
    <t>RALFF-CO3924</t>
  </si>
  <si>
    <t>RALFF-CO3925</t>
  </si>
  <si>
    <t>RALFF-CO3926</t>
  </si>
  <si>
    <t>RALFF-CO3927</t>
  </si>
  <si>
    <t>RALFF-CO3928</t>
  </si>
  <si>
    <t>RALFF-CO3929</t>
  </si>
  <si>
    <t>RALFF-CO3930</t>
  </si>
  <si>
    <t>RALFF-CO3931</t>
  </si>
  <si>
    <t>RALFF-CO3932</t>
  </si>
  <si>
    <t>RALFF-CO3933</t>
  </si>
  <si>
    <t>RALFF-CO3934</t>
  </si>
  <si>
    <t>RALFF-CO3935</t>
  </si>
  <si>
    <t>RALFF-CO3936</t>
  </si>
  <si>
    <t>RALFF-CO3937</t>
  </si>
  <si>
    <t>RALFF-CO3938</t>
  </si>
  <si>
    <t>RALFF-CO3939</t>
  </si>
  <si>
    <t>RALFF-CO3940</t>
  </si>
  <si>
    <t>RALFF-CO3941</t>
  </si>
  <si>
    <t>RALFF-CO3942</t>
  </si>
  <si>
    <t>RALFF-CO3943</t>
  </si>
  <si>
    <t>RALFF-CO3944</t>
  </si>
  <si>
    <t>RALFF-CO3945</t>
  </si>
  <si>
    <t>RALFF-CO3946</t>
  </si>
  <si>
    <t>RALFF-CO3947</t>
  </si>
  <si>
    <t>RALFF-CO3948</t>
  </si>
  <si>
    <t>RALFF-CO3949</t>
  </si>
  <si>
    <t>RALFF-CO3950</t>
  </si>
  <si>
    <t>RALFF-CO3951</t>
  </si>
  <si>
    <t>RALFF-CO3952</t>
  </si>
  <si>
    <t>RALFF-CO3953</t>
  </si>
  <si>
    <t>RALFF-CO3954</t>
  </si>
  <si>
    <t>RALFF-CO3955</t>
  </si>
  <si>
    <t>RALFF-CO3956</t>
  </si>
  <si>
    <t>RALFF-CO3957</t>
  </si>
  <si>
    <t>RALFF-CO3958</t>
  </si>
  <si>
    <t>RALFF-CO3959</t>
  </si>
  <si>
    <t>RALFF-CO3960</t>
  </si>
  <si>
    <t>RALFF-CO3961</t>
  </si>
  <si>
    <t>RALFF-CO3962</t>
  </si>
  <si>
    <t>RALFF-CO3963</t>
  </si>
  <si>
    <t>RALFF-CO3964</t>
  </si>
  <si>
    <t>RALFF-CO3965</t>
  </si>
  <si>
    <t>RALFF-CO3966</t>
  </si>
  <si>
    <t>RALFF-CO3967</t>
  </si>
  <si>
    <t>RALFF-CO3968</t>
  </si>
  <si>
    <t>RALFF-CO3969</t>
  </si>
  <si>
    <t>RALFF-CO3970</t>
  </si>
  <si>
    <t>RALFF-CO3971</t>
  </si>
  <si>
    <t>RALFF-CO3972</t>
  </si>
  <si>
    <t>RALFF-CO3973</t>
  </si>
  <si>
    <t>RALFF-CO3974</t>
  </si>
  <si>
    <t>RALFF-CO3975</t>
  </si>
  <si>
    <t>RALFF-CO3976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</si>
</sst>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19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1" xfId="0" applyBorder="1"/>
    <xf numFmtId="0" fontId="41" fillId="0" borderId="1" xfId="0" applyFont="1" applyFill="1" applyBorder="1" applyAlignment="1"/>
    <xf numFmtId="0" fontId="43" fillId="0" borderId="1" xfId="0" applyFont="1" applyFill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9" fontId="25" fillId="0" borderId="1" xfId="0" applyNumberFormat="1" applyFont="1" applyFill="1" applyBorder="1" applyAlignment="1"/>
    <xf numFmtId="171" fontId="25" fillId="0" borderId="1" xfId="0" applyNumberFormat="1" applyFont="1" applyFill="1" applyBorder="1"/>
    <xf numFmtId="171" fontId="25" fillId="0" borderId="1" xfId="2" applyNumberFormat="1" applyFont="1" applyFill="1" applyBorder="1"/>
    <xf numFmtId="171" fontId="25" fillId="0" borderId="1" xfId="2" applyNumberFormat="1" applyFont="1" applyFill="1" applyBorder="1" applyAlignment="1"/>
    <xf numFmtId="171" fontId="25" fillId="0" borderId="1" xfId="2" applyNumberFormat="1" applyFont="1" applyFill="1" applyBorder="1" applyAlignment="1">
      <alignment vertical="top" wrapText="1"/>
    </xf>
    <xf numFmtId="171" fontId="25" fillId="0" borderId="1" xfId="0" applyNumberFormat="1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9" fontId="25" fillId="12" borderId="12" xfId="0" applyNumberFormat="1" applyFont="1" applyFill="1" applyBorder="1" applyAlignment="1"/>
    <xf numFmtId="0" fontId="36" fillId="12" borderId="12" xfId="0" applyFont="1" applyFill="1" applyBorder="1" applyAlignment="1">
      <alignment vertical="center"/>
    </xf>
    <xf numFmtId="0" fontId="36" fillId="12" borderId="12" xfId="0" applyFont="1" applyFill="1" applyBorder="1" applyAlignment="1">
      <alignment horizontal="center" vertical="center"/>
    </xf>
    <xf numFmtId="3" fontId="36" fillId="12" borderId="12" xfId="1" applyNumberFormat="1" applyFont="1" applyFill="1" applyBorder="1" applyAlignment="1" applyProtection="1">
      <alignment vertical="center"/>
    </xf>
    <xf numFmtId="41" fontId="36" fillId="12" borderId="12" xfId="4" applyFont="1" applyFill="1" applyBorder="1" applyAlignment="1" applyProtection="1">
      <alignment horizontal="right"/>
    </xf>
    <xf numFmtId="165" fontId="36" fillId="12" borderId="12" xfId="1" applyNumberFormat="1" applyFont="1" applyFill="1" applyBorder="1" applyAlignment="1" applyProtection="1">
      <alignment vertical="center"/>
    </xf>
    <xf numFmtId="0" fontId="36" fillId="12" borderId="12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vertical="center"/>
    </xf>
    <xf numFmtId="0" fontId="25" fillId="0" borderId="1" xfId="0" applyFont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/>
    <xf numFmtId="165" fontId="25" fillId="0" borderId="1" xfId="1" applyNumberFormat="1" applyFont="1" applyFill="1" applyBorder="1"/>
    <xf numFmtId="3" fontId="25" fillId="0" borderId="1" xfId="0" applyNumberFormat="1" applyFont="1" applyFill="1" applyBorder="1"/>
    <xf numFmtId="0" fontId="25" fillId="0" borderId="1" xfId="0" applyNumberFormat="1" applyFont="1" applyFill="1" applyBorder="1"/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170" fontId="25" fillId="0" borderId="1" xfId="0" applyNumberFormat="1" applyFont="1" applyFill="1" applyBorder="1"/>
    <xf numFmtId="165" fontId="25" fillId="0" borderId="1" xfId="0" applyNumberFormat="1" applyFont="1" applyFill="1" applyBorder="1"/>
    <xf numFmtId="0" fontId="25" fillId="0" borderId="1" xfId="2" applyFont="1" applyFill="1" applyBorder="1" applyAlignment="1"/>
    <xf numFmtId="167" fontId="25" fillId="0" borderId="1" xfId="2" applyNumberFormat="1" applyFont="1" applyFill="1" applyBorder="1" applyAlignment="1">
      <alignment vertical="top"/>
    </xf>
    <xf numFmtId="3" fontId="25" fillId="0" borderId="1" xfId="1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/>
    <xf numFmtId="165" fontId="25" fillId="0" borderId="1" xfId="0" applyNumberFormat="1" applyFont="1" applyFill="1" applyBorder="1" applyAlignment="1">
      <alignment vertical="center"/>
    </xf>
    <xf numFmtId="168" fontId="25" fillId="0" borderId="1" xfId="6" applyNumberFormat="1" applyFont="1" applyFill="1" applyBorder="1" applyAlignment="1">
      <alignment vertical="top" wrapText="1"/>
    </xf>
    <xf numFmtId="167" fontId="25" fillId="0" borderId="1" xfId="2" applyNumberFormat="1" applyFont="1" applyFill="1" applyBorder="1" applyAlignment="1">
      <alignment vertical="top" wrapText="1"/>
    </xf>
    <xf numFmtId="168" fontId="25" fillId="0" borderId="1" xfId="6" applyNumberFormat="1" applyFont="1" applyFill="1" applyBorder="1" applyAlignment="1">
      <alignment horizontal="right" vertical="top" wrapText="1"/>
    </xf>
    <xf numFmtId="0" fontId="25" fillId="5" borderId="1" xfId="0" applyFont="1" applyFill="1" applyBorder="1" applyAlignment="1">
      <alignment vertical="center"/>
    </xf>
    <xf numFmtId="165" fontId="6" fillId="0" borderId="1" xfId="1" applyNumberFormat="1" applyFont="1" applyFill="1" applyBorder="1"/>
    <xf numFmtId="170" fontId="25" fillId="0" borderId="1" xfId="0" applyNumberFormat="1" applyFont="1" applyFill="1" applyBorder="1" applyAlignment="1">
      <alignment vertical="top"/>
    </xf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/>
    <xf numFmtId="0" fontId="36" fillId="0" borderId="1" xfId="0" applyNumberFormat="1" applyFont="1" applyFill="1" applyBorder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  <xf numFmtId="165" fontId="25" fillId="0" borderId="1" xfId="1" applyNumberFormat="1" applyFont="1" applyFill="1" applyBorder="1" applyAlignment="1">
      <alignment vertical="center"/>
    </xf>
    <xf numFmtId="3" fontId="25" fillId="0" borderId="1" xfId="1" applyNumberFormat="1" applyFont="1" applyFill="1" applyBorder="1" applyAlignment="1" applyProtection="1">
      <alignment horizontal="right" vertical="center"/>
    </xf>
    <xf numFmtId="165" fontId="25" fillId="0" borderId="1" xfId="1" applyNumberFormat="1" applyFont="1" applyFill="1" applyBorder="1" applyAlignment="1" applyProtection="1">
      <alignment horizontal="left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881.702545601853" createdVersion="3" refreshedVersion="3" minRefreshableVersion="3" recordCount="204">
  <cacheSource type="worksheet">
    <worksheetSource ref="A12:O216" sheet="DATA OCTOBRE 22"/>
  </cacheSource>
  <cacheFields count="15">
    <cacheField name="Date" numFmtId="171">
      <sharedItems containsSemiMixedTypes="0" containsNonDate="0" containsDate="1" containsString="0" minDate="2022-10-01T00:00:00" maxDate="2022-11-01T00:00:00"/>
    </cacheField>
    <cacheField name="Details" numFmtId="0">
      <sharedItems/>
    </cacheField>
    <cacheField name="Type de dépenses" numFmtId="0">
      <sharedItems containsBlank="1" count="19">
        <m/>
        <s v="Bonus"/>
        <s v="Versement"/>
        <s v="bank fees"/>
        <s v="Transport"/>
        <s v="Personnel"/>
        <s v="Rent &amp; Utilities"/>
        <s v="Travel Expenses"/>
        <s v="Office Materials"/>
        <s v="Lawyer fees"/>
        <s v="Travel Subsistence"/>
        <s v="Telephone"/>
        <s v="Flight"/>
        <s v="Transfer fees"/>
        <s v="Jail visit"/>
        <s v="Services"/>
        <s v="Grant"/>
        <s v="Internet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6000" maxValue="5426732"/>
    </cacheField>
    <cacheField name="Spent" numFmtId="0">
      <sharedItems containsString="0" containsBlank="1" containsNumber="1" containsInteger="1" minValue="650" maxValue="2000000"/>
    </cacheField>
    <cacheField name="Balance" numFmtId="165">
      <sharedItems containsSemiMixedTypes="0" containsString="0" containsNumber="1" containsInteger="1" minValue="19980516" maxValue="27389248"/>
    </cacheField>
    <cacheField name="Name" numFmtId="0">
      <sharedItems containsBlank="1" count="13">
        <m/>
        <s v="Caisse"/>
        <s v="BCI-Sous Compte"/>
        <s v="Merveille"/>
        <s v="Yan"/>
        <s v="Evariste"/>
        <s v="Hurielle"/>
        <s v="P10"/>
        <s v="P29"/>
        <s v="Crépin"/>
        <s v="BCI"/>
        <s v="Tiffany"/>
        <s v="Donald"/>
      </sharedItems>
    </cacheField>
    <cacheField name="Receipt" numFmtId="0">
      <sharedItems containsBlank="1" containsMixedTypes="1" containsNumber="1" containsInteger="1" minValue="366762" maxValue="3667260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d v="2022-10-01T00:00:00"/>
    <s v="Solde au 01/10/2022"/>
    <x v="0"/>
    <m/>
    <m/>
    <m/>
    <n v="25430796"/>
    <x v="0"/>
    <m/>
    <x v="0"/>
    <x v="0"/>
    <m/>
    <m/>
    <m/>
    <m/>
  </r>
  <r>
    <d v="2022-10-03T00:00:00"/>
    <s v="Bonus media Portant sur la condamnation ferme d'un trafiquant au TGI de P/Noire le 15 Septembre 2022"/>
    <x v="1"/>
    <s v="Media"/>
    <m/>
    <n v="5000"/>
    <n v="25425796"/>
    <x v="1"/>
    <s v="Decharge"/>
    <x v="1"/>
    <x v="1"/>
    <s v="CONGO"/>
    <m/>
    <m/>
    <m/>
  </r>
  <r>
    <d v="2022-10-03T00:00:00"/>
    <s v="Bonus media sur l'interpellation de 03 présumés trafiquant d'ivoire le 21/09/2022 à Dolisie"/>
    <x v="1"/>
    <s v="Media"/>
    <m/>
    <n v="45000"/>
    <n v="25380796"/>
    <x v="1"/>
    <s v="Decharge"/>
    <x v="1"/>
    <x v="1"/>
    <s v="CONGO"/>
    <m/>
    <m/>
    <m/>
  </r>
  <r>
    <d v="2022-10-03T00:00:00"/>
    <s v="Merveille/retour caisse avance sur Salaire"/>
    <x v="2"/>
    <m/>
    <n v="40000"/>
    <m/>
    <n v="25420796"/>
    <x v="1"/>
    <m/>
    <x v="0"/>
    <x v="0"/>
    <m/>
    <m/>
    <m/>
    <m/>
  </r>
  <r>
    <d v="2022-10-03T00:00:00"/>
    <s v="Crepin/Retour caisse"/>
    <x v="2"/>
    <m/>
    <n v="400000"/>
    <m/>
    <n v="25820796"/>
    <x v="1"/>
    <m/>
    <x v="0"/>
    <x v="0"/>
    <m/>
    <m/>
    <m/>
    <m/>
  </r>
  <r>
    <d v="2022-10-03T00:00:00"/>
    <s v="Evariste/retour caisse"/>
    <x v="2"/>
    <m/>
    <n v="45000"/>
    <m/>
    <n v="25865796"/>
    <x v="1"/>
    <m/>
    <x v="0"/>
    <x v="0"/>
    <m/>
    <m/>
    <m/>
    <m/>
  </r>
  <r>
    <d v="2022-10-03T00:00:00"/>
    <s v="Merveille/retour"/>
    <x v="2"/>
    <m/>
    <n v="20000"/>
    <m/>
    <n v="25885796"/>
    <x v="1"/>
    <m/>
    <x v="0"/>
    <x v="0"/>
    <m/>
    <m/>
    <m/>
    <m/>
  </r>
  <r>
    <d v="2022-10-03T00:00:00"/>
    <s v="P29/retour caisse"/>
    <x v="2"/>
    <m/>
    <n v="60950"/>
    <m/>
    <n v="25946746"/>
    <x v="1"/>
    <m/>
    <x v="0"/>
    <x v="0"/>
    <m/>
    <m/>
    <m/>
    <m/>
  </r>
  <r>
    <d v="2022-10-03T00:00:00"/>
    <s v="Hurielle/Retour caisse"/>
    <x v="2"/>
    <m/>
    <n v="30000"/>
    <m/>
    <n v="25976746"/>
    <x v="1"/>
    <m/>
    <x v="0"/>
    <x v="0"/>
    <m/>
    <m/>
    <m/>
    <m/>
  </r>
  <r>
    <d v="2022-10-03T00:00:00"/>
    <s v="Bonus mois d'Août 2022/Crepin"/>
    <x v="1"/>
    <s v="Legal"/>
    <m/>
    <n v="50000"/>
    <n v="25926746"/>
    <x v="1"/>
    <s v="Decharge"/>
    <x v="1"/>
    <x v="1"/>
    <s v="CONGO"/>
    <m/>
    <m/>
    <m/>
  </r>
  <r>
    <d v="2022-10-03T00:00:00"/>
    <s v="Bonus du mois de Septembre 2022/Hurielle"/>
    <x v="1"/>
    <s v="Legal"/>
    <m/>
    <n v="20000"/>
    <n v="25906746"/>
    <x v="1"/>
    <s v="Decharge"/>
    <x v="1"/>
    <x v="1"/>
    <s v="CONGO"/>
    <m/>
    <m/>
    <m/>
  </r>
  <r>
    <d v="2022-10-03T00:00:00"/>
    <s v="Bonus du mois de Septembre 2022/Yan"/>
    <x v="1"/>
    <s v="Legal"/>
    <m/>
    <n v="15000"/>
    <n v="25891746"/>
    <x v="1"/>
    <s v="Decharge"/>
    <x v="1"/>
    <x v="1"/>
    <s v="CONGO"/>
    <m/>
    <m/>
    <m/>
  </r>
  <r>
    <d v="2022-10-03T00:00:00"/>
    <s v="Bonus du mois de Septembre 2022/Evariste"/>
    <x v="1"/>
    <s v="Media"/>
    <m/>
    <n v="20000"/>
    <n v="25871746"/>
    <x v="1"/>
    <s v="Decharge"/>
    <x v="1"/>
    <x v="1"/>
    <s v="CONGO"/>
    <m/>
    <m/>
    <m/>
  </r>
  <r>
    <d v="2022-10-03T00:00:00"/>
    <s v="Bonus du mois de Septembre 2022/Crepin"/>
    <x v="1"/>
    <s v="Legal"/>
    <m/>
    <n v="50000"/>
    <n v="25821746"/>
    <x v="1"/>
    <s v="Decharge"/>
    <x v="1"/>
    <x v="1"/>
    <s v="CONGO"/>
    <m/>
    <m/>
    <m/>
  </r>
  <r>
    <d v="2022-10-03T00:00:00"/>
    <s v="Bonus Operations 13,14 et 21 Septembre 2022/Hurielle"/>
    <x v="1"/>
    <s v="Operation"/>
    <m/>
    <n v="60000"/>
    <n v="25761746"/>
    <x v="1"/>
    <s v="Decharge"/>
    <x v="1"/>
    <x v="1"/>
    <s v="CONGO"/>
    <m/>
    <m/>
    <m/>
  </r>
  <r>
    <d v="2022-10-03T00:00:00"/>
    <s v="Bonus Operations 13,14 et 21 Septembre 2022/Evariste"/>
    <x v="1"/>
    <s v="Operation"/>
    <m/>
    <n v="60000"/>
    <n v="25701746"/>
    <x v="1"/>
    <s v="Decharge"/>
    <x v="1"/>
    <x v="1"/>
    <s v="CONGO"/>
    <m/>
    <m/>
    <m/>
  </r>
  <r>
    <d v="2022-10-03T00:00:00"/>
    <s v="Bonus Operations 13,14 et 21 Septembre 2022/Crepin"/>
    <x v="1"/>
    <s v="Operation"/>
    <m/>
    <n v="80000"/>
    <n v="25621746"/>
    <x v="1"/>
    <s v="Decharge"/>
    <x v="1"/>
    <x v="1"/>
    <s v="CONGO"/>
    <m/>
    <m/>
    <m/>
  </r>
  <r>
    <d v="2022-10-03T00:00:00"/>
    <s v="Bonus Operation du 21 Septembre 2022/Merveille"/>
    <x v="1"/>
    <s v="Operation"/>
    <m/>
    <n v="20000"/>
    <n v="25601746"/>
    <x v="1"/>
    <s v="Decharge"/>
    <x v="1"/>
    <x v="1"/>
    <s v="CONGO"/>
    <m/>
    <m/>
    <m/>
  </r>
  <r>
    <d v="2022-10-03T00:00:00"/>
    <s v="Bonus Operation du 21 Septembre 2022/Yan"/>
    <x v="1"/>
    <s v="Operation"/>
    <m/>
    <n v="20000"/>
    <n v="25581746"/>
    <x v="1"/>
    <s v="Decharge"/>
    <x v="1"/>
    <x v="1"/>
    <s v="CONGO"/>
    <m/>
    <m/>
    <m/>
  </r>
  <r>
    <d v="2022-10-03T00:00:00"/>
    <s v="P10"/>
    <x v="2"/>
    <m/>
    <m/>
    <n v="15000"/>
    <n v="25566746"/>
    <x v="1"/>
    <m/>
    <x v="0"/>
    <x v="0"/>
    <m/>
    <m/>
    <m/>
    <m/>
  </r>
  <r>
    <d v="2022-10-03T00:00:00"/>
    <s v="Bonus Operation à MAKABANA/Crepin"/>
    <x v="1"/>
    <s v="Operation"/>
    <m/>
    <n v="30000"/>
    <n v="25536746"/>
    <x v="1"/>
    <s v="Decharge"/>
    <x v="1"/>
    <x v="1"/>
    <s v="CONGO"/>
    <m/>
    <m/>
    <m/>
  </r>
  <r>
    <d v="2022-10-03T00:00:00"/>
    <s v="Frais bancaires/56"/>
    <x v="3"/>
    <s v="Office"/>
    <m/>
    <n v="14701"/>
    <n v="25522045"/>
    <x v="2"/>
    <s v="Relevé"/>
    <x v="1"/>
    <x v="2"/>
    <s v="CONGO"/>
    <s v="RALFF-CO3891"/>
    <s v="5.6"/>
    <m/>
  </r>
  <r>
    <d v="2022-10-03T00:00:00"/>
    <s v="Retour caisse/Merveille"/>
    <x v="2"/>
    <m/>
    <m/>
    <n v="40000"/>
    <n v="25482045"/>
    <x v="3"/>
    <m/>
    <x v="0"/>
    <x v="0"/>
    <m/>
    <m/>
    <m/>
    <m/>
  </r>
  <r>
    <d v="2022-10-03T00:00:00"/>
    <s v="Retour caisse/Merveille"/>
    <x v="2"/>
    <m/>
    <m/>
    <n v="20000"/>
    <n v="25462045"/>
    <x v="3"/>
    <m/>
    <x v="0"/>
    <x v="0"/>
    <m/>
    <m/>
    <m/>
    <m/>
  </r>
  <r>
    <d v="2022-10-03T00:00:00"/>
    <s v="Cumul frais de transport Local mois d'Octobre 2022/Yan"/>
    <x v="4"/>
    <s v="Legal"/>
    <m/>
    <n v="2500"/>
    <n v="25459545"/>
    <x v="4"/>
    <s v="Decharge"/>
    <x v="1"/>
    <x v="2"/>
    <s v="CONGO"/>
    <s v="RALFF-CO3892"/>
    <s v="2.2"/>
    <m/>
  </r>
  <r>
    <d v="2022-10-03T00:00:00"/>
    <s v="Retour Caisse/Evariste"/>
    <x v="2"/>
    <m/>
    <m/>
    <n v="45000"/>
    <n v="25414545"/>
    <x v="5"/>
    <m/>
    <x v="0"/>
    <x v="0"/>
    <m/>
    <m/>
    <m/>
    <m/>
  </r>
  <r>
    <d v="2022-10-03T00:00:00"/>
    <s v="Retour caisse/Hurielle"/>
    <x v="2"/>
    <m/>
    <m/>
    <n v="30000"/>
    <n v="25384545"/>
    <x v="6"/>
    <m/>
    <x v="0"/>
    <x v="0"/>
    <m/>
    <m/>
    <m/>
    <m/>
  </r>
  <r>
    <d v="2022-10-03T00:00:00"/>
    <s v="Reçu caisse/P10"/>
    <x v="2"/>
    <m/>
    <n v="15000"/>
    <m/>
    <n v="25399545"/>
    <x v="7"/>
    <m/>
    <x v="0"/>
    <x v="0"/>
    <m/>
    <m/>
    <m/>
    <m/>
  </r>
  <r>
    <d v="2022-10-03T00:00:00"/>
    <s v="Retour caisse/P29"/>
    <x v="2"/>
    <m/>
    <m/>
    <n v="60950"/>
    <n v="25338595"/>
    <x v="8"/>
    <m/>
    <x v="0"/>
    <x v="0"/>
    <m/>
    <m/>
    <m/>
    <m/>
  </r>
  <r>
    <d v="2022-10-03T00:00:00"/>
    <s v="Retour caisse/Crépin"/>
    <x v="2"/>
    <m/>
    <m/>
    <n v="400000"/>
    <n v="24938595"/>
    <x v="9"/>
    <m/>
    <x v="0"/>
    <x v="0"/>
    <m/>
    <m/>
    <m/>
    <m/>
  </r>
  <r>
    <d v="2022-10-04T00:00:00"/>
    <s v="Yan"/>
    <x v="2"/>
    <m/>
    <m/>
    <n v="24200"/>
    <n v="24914395"/>
    <x v="1"/>
    <m/>
    <x v="0"/>
    <x v="0"/>
    <m/>
    <m/>
    <m/>
    <m/>
  </r>
  <r>
    <d v="2022-10-04T00:00:00"/>
    <s v="Remboursement frais de loyer mois d'Octobre 2022 appartement Tiffany GOBERT"/>
    <x v="5"/>
    <s v="Management"/>
    <m/>
    <n v="270331"/>
    <n v="24644064"/>
    <x v="1"/>
    <s v="OUI"/>
    <x v="1"/>
    <x v="1"/>
    <s v="CONGO"/>
    <m/>
    <m/>
    <m/>
  </r>
  <r>
    <d v="2022-10-04T00:00:00"/>
    <s v="Paiement salaire Yan Gomat /Pour 02 jours travaillés en octobre 2022"/>
    <x v="5"/>
    <s v="Legal"/>
    <m/>
    <n v="26667"/>
    <n v="24617397"/>
    <x v="1"/>
    <s v="OUI"/>
    <x v="2"/>
    <x v="2"/>
    <s v="CONGO"/>
    <s v="RALFF-CO3893"/>
    <s v="1.1.1.7"/>
    <m/>
  </r>
  <r>
    <d v="2022-10-04T00:00:00"/>
    <s v="Bonus média sur l'interpellation de 3 trafiquants d'Ivoire à Dolisie le 21/09/2022"/>
    <x v="1"/>
    <s v="Media"/>
    <m/>
    <n v="5000"/>
    <n v="24612397"/>
    <x v="1"/>
    <s v="Decharge"/>
    <x v="1"/>
    <x v="1"/>
    <s v="CONGO"/>
    <m/>
    <m/>
    <m/>
  </r>
  <r>
    <d v="2022-10-04T00:00:00"/>
    <s v="Reglèment loyer mois de Septembre 2022"/>
    <x v="6"/>
    <s v="Office"/>
    <m/>
    <n v="500000"/>
    <n v="24112397"/>
    <x v="2"/>
    <n v="3667246"/>
    <x v="2"/>
    <x v="2"/>
    <s v="CONGO"/>
    <s v="RALFF-CO3894"/>
    <s v="4.2"/>
    <m/>
  </r>
  <r>
    <d v="2022-10-04T00:00:00"/>
    <s v="Reglèment loyer mois de Octobre 2022"/>
    <x v="6"/>
    <s v="Office"/>
    <m/>
    <n v="500000"/>
    <n v="23612397"/>
    <x v="2"/>
    <n v="3667247"/>
    <x v="2"/>
    <x v="2"/>
    <s v="CONGO"/>
    <s v="RALFF-CO3895"/>
    <s v="4.2"/>
    <m/>
  </r>
  <r>
    <d v="2022-10-04T00:00:00"/>
    <s v="Frais de Test Covid/Yan"/>
    <x v="7"/>
    <s v="Legal"/>
    <m/>
    <n v="20000"/>
    <n v="23592397"/>
    <x v="4"/>
    <s v="OUI"/>
    <x v="1"/>
    <x v="1"/>
    <s v="CONGO"/>
    <m/>
    <m/>
    <m/>
  </r>
  <r>
    <d v="2022-10-04T00:00:00"/>
    <s v="Reçu Caisse/Yan"/>
    <x v="2"/>
    <m/>
    <n v="24200"/>
    <m/>
    <n v="23616597"/>
    <x v="4"/>
    <m/>
    <x v="0"/>
    <x v="0"/>
    <m/>
    <m/>
    <m/>
    <m/>
  </r>
  <r>
    <d v="2022-10-05T00:00:00"/>
    <s v="Achat carte pour vœux à la Ministre"/>
    <x v="8"/>
    <s v="Office"/>
    <m/>
    <n v="4000"/>
    <n v="23612597"/>
    <x v="1"/>
    <s v="OUI"/>
    <x v="1"/>
    <x v="1"/>
    <s v="CONGO"/>
    <m/>
    <m/>
    <m/>
  </r>
  <r>
    <d v="2022-10-05T00:00:00"/>
    <s v="Hurielle"/>
    <x v="2"/>
    <m/>
    <m/>
    <n v="97000"/>
    <n v="23515597"/>
    <x v="1"/>
    <m/>
    <x v="0"/>
    <x v="0"/>
    <m/>
    <m/>
    <m/>
    <m/>
  </r>
  <r>
    <d v="2022-10-05T00:00:00"/>
    <s v="Frais de mission maitre Marie Hélène du 06 au 08 Octobre 2022 à Dolisie/suivi audience cas KONDO,MOUTOMBO et consorts"/>
    <x v="9"/>
    <s v="Legal"/>
    <m/>
    <n v="76000"/>
    <n v="23439597"/>
    <x v="1"/>
    <s v="OUI"/>
    <x v="1"/>
    <x v="2"/>
    <s v="CONGO"/>
    <s v="RALFF-CO3896"/>
    <s v="5.2.2"/>
    <m/>
  </r>
  <r>
    <d v="2022-10-05T00:00:00"/>
    <s v="Acompte Honoraire contrat N°49 Brazzaville cas BIHONDA/maitre Marie Hélène NANITELAMIO"/>
    <x v="9"/>
    <s v="Legal"/>
    <m/>
    <n v="200000"/>
    <n v="23239597"/>
    <x v="2"/>
    <n v="3667248"/>
    <x v="2"/>
    <x v="2"/>
    <s v="CONGO"/>
    <s v="RALFF-CO3897"/>
    <s v="5.2.2"/>
    <m/>
  </r>
  <r>
    <d v="2022-10-05T00:00:00"/>
    <s v="Acompte Honoraire contrat N°53 Dolisie cas KONDO et Consort /maitre Marie Hélène NANITELAMIO"/>
    <x v="9"/>
    <s v="Legal"/>
    <m/>
    <n v="200000"/>
    <n v="23039597"/>
    <x v="2"/>
    <n v="3667249"/>
    <x v="2"/>
    <x v="2"/>
    <s v="CONGO"/>
    <s v="RALFF-CO3898"/>
    <s v="5.2.2"/>
    <m/>
  </r>
  <r>
    <d v="2022-10-05T00:00:00"/>
    <s v="Recu caisse/Hurielle"/>
    <x v="2"/>
    <m/>
    <n v="97000"/>
    <m/>
    <n v="23136597"/>
    <x v="6"/>
    <m/>
    <x v="0"/>
    <x v="0"/>
    <m/>
    <m/>
    <m/>
    <m/>
  </r>
  <r>
    <d v="2022-10-05T00:00:00"/>
    <s v="Achat billet aller Brazzaville-Dolisie/Hurielle"/>
    <x v="4"/>
    <s v="Legal"/>
    <m/>
    <n v="10000"/>
    <n v="23126597"/>
    <x v="6"/>
    <s v="OUI"/>
    <x v="1"/>
    <x v="2"/>
    <s v="CONGO"/>
    <s v="RALFF-CO3899"/>
    <s v="2.2"/>
    <m/>
  </r>
  <r>
    <d v="2022-10-06T00:00:00"/>
    <s v="Frais bancaire/34"/>
    <x v="3"/>
    <s v="Office"/>
    <m/>
    <n v="23748"/>
    <n v="23102849"/>
    <x v="10"/>
    <s v="Relevé"/>
    <x v="1"/>
    <x v="1"/>
    <s v="CONGO"/>
    <m/>
    <m/>
    <m/>
  </r>
  <r>
    <d v="2022-10-06T00:00:00"/>
    <s v="HURIELLE - CONGO FoodAllowance du 06 au 08/10/2022 à Dolisie"/>
    <x v="10"/>
    <s v="Legal"/>
    <m/>
    <n v="20000"/>
    <n v="23082849"/>
    <x v="6"/>
    <s v="Decharge"/>
    <x v="1"/>
    <x v="2"/>
    <s v="CONGO"/>
    <s v="RALFF-CO3900"/>
    <s v="1.3.2"/>
    <m/>
  </r>
  <r>
    <d v="2022-10-07T00:00:00"/>
    <s v="Bonus média portant sur les audiences du 07 Octobre 2022 au TGI à Dolisie"/>
    <x v="1"/>
    <s v="Media"/>
    <m/>
    <n v="35000"/>
    <n v="23047849"/>
    <x v="1"/>
    <s v="Decharge"/>
    <x v="1"/>
    <x v="1"/>
    <s v="CONGO"/>
    <m/>
    <m/>
    <m/>
  </r>
  <r>
    <d v="2022-10-07T00:00:00"/>
    <s v="Crepin "/>
    <x v="2"/>
    <m/>
    <m/>
    <n v="129500"/>
    <n v="22918349"/>
    <x v="1"/>
    <m/>
    <x v="0"/>
    <x v="0"/>
    <m/>
    <m/>
    <m/>
    <m/>
  </r>
  <r>
    <d v="2022-10-07T00:00:00"/>
    <s v="P10"/>
    <x v="2"/>
    <m/>
    <m/>
    <n v="15000"/>
    <n v="22903349"/>
    <x v="1"/>
    <m/>
    <x v="0"/>
    <x v="0"/>
    <m/>
    <m/>
    <m/>
    <m/>
  </r>
  <r>
    <d v="2022-10-07T00:00:00"/>
    <s v="Reçu caisse/P10"/>
    <x v="2"/>
    <m/>
    <n v="15000"/>
    <m/>
    <n v="22918349"/>
    <x v="7"/>
    <m/>
    <x v="0"/>
    <x v="0"/>
    <m/>
    <m/>
    <m/>
    <m/>
  </r>
  <r>
    <d v="2022-10-07T00:00:00"/>
    <s v="Reçu de caisse/Crépin"/>
    <x v="2"/>
    <m/>
    <n v="129500"/>
    <m/>
    <n v="23047849"/>
    <x v="9"/>
    <m/>
    <x v="0"/>
    <x v="0"/>
    <m/>
    <m/>
    <m/>
    <m/>
  </r>
  <r>
    <d v="2022-10-08T00:00:00"/>
    <s v="HURIELLE - CONGO Frais d'Hôtel 02 nuitées du 06 au 08/10/2022 à l'Hôtel la gloire (Dolisie)."/>
    <x v="10"/>
    <s v="Legal"/>
    <m/>
    <n v="30000"/>
    <n v="23017849"/>
    <x v="6"/>
    <s v="OUI"/>
    <x v="1"/>
    <x v="2"/>
    <s v="CONGO"/>
    <s v="RALFF-CO3901"/>
    <s v="1.3.2"/>
    <m/>
  </r>
  <r>
    <d v="2022-10-08T00:00:00"/>
    <s v="Achat billet de retour Dolisie-Brazzaville/Hurielle"/>
    <x v="4"/>
    <s v="Legal"/>
    <m/>
    <n v="10000"/>
    <n v="23007849"/>
    <x v="6"/>
    <s v="OUI"/>
    <x v="1"/>
    <x v="2"/>
    <s v="CONGO"/>
    <s v="RALFF-CO3902"/>
    <s v="2.2"/>
    <m/>
  </r>
  <r>
    <d v="2022-10-08T00:00:00"/>
    <s v="Billet: Brazzaville-Pointe-Noire/Crépin"/>
    <x v="4"/>
    <s v="Management"/>
    <m/>
    <n v="15000"/>
    <n v="22992849"/>
    <x v="9"/>
    <s v="OUI"/>
    <x v="1"/>
    <x v="2"/>
    <s v="CONGO"/>
    <s v="RALFF-CO3903"/>
    <s v="2.2"/>
    <m/>
  </r>
  <r>
    <d v="2022-10-09T00:00:00"/>
    <s v="CREPIN - CONGO Food-Allowance du 09 au 12/10/2022 à Pointe-Noire"/>
    <x v="10"/>
    <s v="Management"/>
    <m/>
    <n v="30000"/>
    <n v="22962849"/>
    <x v="9"/>
    <s v="OUI"/>
    <x v="1"/>
    <x v="2"/>
    <s v="CONGO"/>
    <s v="RALFF-CO3904"/>
    <s v="1.3.2"/>
    <m/>
  </r>
  <r>
    <d v="2022-10-10T00:00:00"/>
    <s v="Acompte Honoraire contrat Me MISSENGUE Evral Galin N°54/cas NDEMBI TCHIAMA Jimmy et consorts "/>
    <x v="9"/>
    <s v="Legal"/>
    <m/>
    <n v="200000"/>
    <n v="22762849"/>
    <x v="10"/>
    <n v="3654508"/>
    <x v="1"/>
    <x v="1"/>
    <s v="CONGO"/>
    <m/>
    <m/>
    <m/>
  </r>
  <r>
    <d v="2022-10-11T00:00:00"/>
    <s v="Billet: Pointe-Noire-Brazzaville/Crépin"/>
    <x v="4"/>
    <s v="Management"/>
    <m/>
    <n v="15000"/>
    <n v="22747849"/>
    <x v="9"/>
    <s v="Décharge"/>
    <x v="1"/>
    <x v="2"/>
    <s v="CONGO"/>
    <s v="RALFF-CO3905"/>
    <s v="2.2"/>
    <m/>
  </r>
  <r>
    <d v="2022-10-12T00:00:00"/>
    <s v="Hurielle"/>
    <x v="2"/>
    <m/>
    <m/>
    <n v="6000"/>
    <n v="22741849"/>
    <x v="1"/>
    <m/>
    <x v="0"/>
    <x v="0"/>
    <m/>
    <m/>
    <m/>
    <m/>
  </r>
  <r>
    <d v="2022-10-12T00:00:00"/>
    <s v="Crepin"/>
    <x v="2"/>
    <m/>
    <m/>
    <n v="97000"/>
    <n v="22644849"/>
    <x v="1"/>
    <m/>
    <x v="0"/>
    <x v="0"/>
    <m/>
    <m/>
    <m/>
    <m/>
  </r>
  <r>
    <d v="2022-10-12T00:00:00"/>
    <s v="Frais de mission maitre Marie Hélène du 13 au 15 Octobre 2022 à Dolisie/suivi audience cas KONDO,MOUTOMBO et consorts"/>
    <x v="9"/>
    <s v="Legal"/>
    <m/>
    <n v="76000"/>
    <n v="22568849"/>
    <x v="1"/>
    <s v="OUI"/>
    <x v="1"/>
    <x v="2"/>
    <s v="CONGO"/>
    <s v="RALFF-CO3906"/>
    <s v="5.2.2"/>
    <m/>
  </r>
  <r>
    <d v="2022-10-12T00:00:00"/>
    <s v="Crepin"/>
    <x v="2"/>
    <m/>
    <m/>
    <n v="206000"/>
    <n v="22362849"/>
    <x v="1"/>
    <m/>
    <x v="0"/>
    <x v="0"/>
    <m/>
    <m/>
    <m/>
    <m/>
  </r>
  <r>
    <d v="2022-10-12T00:00:00"/>
    <s v="Recu caisse/Hurielle"/>
    <x v="2"/>
    <m/>
    <n v="6000"/>
    <m/>
    <n v="22368849"/>
    <x v="6"/>
    <m/>
    <x v="0"/>
    <x v="0"/>
    <m/>
    <m/>
    <m/>
    <m/>
  </r>
  <r>
    <d v="2022-10-12T00:00:00"/>
    <s v="CREPIN - CONGO Frais d'hotel 03 Nuitées à Pointe-Noire du 09 au 12/10/2022"/>
    <x v="10"/>
    <s v="Management"/>
    <m/>
    <n v="45000"/>
    <n v="22323849"/>
    <x v="9"/>
    <s v="OUI"/>
    <x v="1"/>
    <x v="2"/>
    <s v="CONGO"/>
    <s v="RALFF-CO3907"/>
    <s v="1.3.2"/>
    <m/>
  </r>
  <r>
    <d v="2022-10-12T00:00:00"/>
    <s v="Reçu de caisse/Crépin"/>
    <x v="2"/>
    <m/>
    <n v="97000"/>
    <m/>
    <n v="22420849"/>
    <x v="9"/>
    <m/>
    <x v="0"/>
    <x v="0"/>
    <m/>
    <m/>
    <m/>
    <m/>
  </r>
  <r>
    <d v="2022-10-12T00:00:00"/>
    <s v="Reçu de caisse/Crépin"/>
    <x v="2"/>
    <m/>
    <n v="206000"/>
    <m/>
    <n v="22626849"/>
    <x v="9"/>
    <m/>
    <x v="0"/>
    <x v="0"/>
    <m/>
    <m/>
    <m/>
    <m/>
  </r>
  <r>
    <d v="2022-10-12T00:00:00"/>
    <s v="Billet: Brazzaville-Dolisie/Crépin"/>
    <x v="4"/>
    <s v="Management"/>
    <m/>
    <n v="10000"/>
    <n v="22616849"/>
    <x v="9"/>
    <s v="OUI"/>
    <x v="1"/>
    <x v="2"/>
    <s v="CONGO"/>
    <s v="RALFF-CO3908"/>
    <s v="2.2"/>
    <m/>
  </r>
  <r>
    <d v="2022-10-13T00:00:00"/>
    <s v="P10"/>
    <x v="2"/>
    <m/>
    <m/>
    <n v="10000"/>
    <n v="22606849"/>
    <x v="1"/>
    <m/>
    <x v="0"/>
    <x v="0"/>
    <m/>
    <m/>
    <m/>
    <m/>
  </r>
  <r>
    <d v="2022-10-13T00:00:00"/>
    <s v="3654516-34"/>
    <x v="2"/>
    <m/>
    <n v="2000000"/>
    <m/>
    <n v="24606849"/>
    <x v="1"/>
    <m/>
    <x v="0"/>
    <x v="0"/>
    <m/>
    <m/>
    <m/>
    <m/>
  </r>
  <r>
    <d v="2022-10-13T00:00:00"/>
    <s v="Retrait especes/appro caisse/bord n°3654516"/>
    <x v="2"/>
    <m/>
    <m/>
    <n v="2000000"/>
    <n v="22606849"/>
    <x v="10"/>
    <n v="3654516"/>
    <x v="0"/>
    <x v="0"/>
    <m/>
    <m/>
    <m/>
    <m/>
  </r>
  <r>
    <d v="2022-10-13T00:00:00"/>
    <s v="Paiement CNSS Troisième  trimestre /Juillet Août et Septembre 2022/Crépin IBOUILI IBOUILI"/>
    <x v="5"/>
    <s v="Legal"/>
    <m/>
    <n v="221501"/>
    <n v="22385348"/>
    <x v="2"/>
    <n v="3667260"/>
    <x v="2"/>
    <x v="2"/>
    <s v="CONGO"/>
    <s v="RALFF-CO3909"/>
    <s v="1.1.1.7"/>
    <m/>
  </r>
  <r>
    <d v="2022-10-13T00:00:00"/>
    <s v="Paiement CNSS Troisième  trimestre /Juillet Août et Septembre 2022/Merveille"/>
    <x v="5"/>
    <s v="Management"/>
    <m/>
    <n v="150728"/>
    <n v="22234620"/>
    <x v="2"/>
    <n v="3667260"/>
    <x v="2"/>
    <x v="2"/>
    <s v="CONGO"/>
    <s v="RALFF-CO3910"/>
    <s v="1.1.2.1"/>
    <m/>
  </r>
  <r>
    <d v="2022-10-13T00:00:00"/>
    <s v="Paiement CNSS Troisième  trimestre /Juillet Août et Septembre 2022/Grace"/>
    <x v="5"/>
    <s v="Management"/>
    <m/>
    <n v="292170"/>
    <n v="21942450"/>
    <x v="2"/>
    <n v="3667260"/>
    <x v="2"/>
    <x v="2"/>
    <s v="CONGO"/>
    <s v="RALFF-CO3911"/>
    <s v="1.1.2.1"/>
    <m/>
  </r>
  <r>
    <d v="2022-10-13T00:00:00"/>
    <s v="Paiement CNSS Troisième  trimestre /Juillet Août et Septembre 2022/Hurielle"/>
    <x v="5"/>
    <s v="Legal"/>
    <m/>
    <n v="103494"/>
    <n v="21838956"/>
    <x v="2"/>
    <n v="3667260"/>
    <x v="2"/>
    <x v="2"/>
    <s v="CONGO"/>
    <s v="RALFF-CO3976"/>
    <s v="1.1.1.7"/>
    <m/>
  </r>
  <r>
    <d v="2022-10-13T00:00:00"/>
    <s v="Paiement CNSS Troisième  trimestre /Juillet Août et Septembre 2022/Evariste"/>
    <x v="5"/>
    <s v="Media"/>
    <m/>
    <n v="116297"/>
    <n v="21722659"/>
    <x v="2"/>
    <n v="3667260"/>
    <x v="2"/>
    <x v="2"/>
    <s v="CONGO"/>
    <s v="RALFF-CO3912"/>
    <s v="1.1.1.4"/>
    <m/>
  </r>
  <r>
    <d v="2022-10-13T00:00:00"/>
    <s v="Paiement CNSS Troisième  trimestre /Juillet Août et Septembre 2022/Yan"/>
    <x v="5"/>
    <s v="Legal"/>
    <m/>
    <n v="28748"/>
    <n v="21693911"/>
    <x v="2"/>
    <n v="3667260"/>
    <x v="2"/>
    <x v="2"/>
    <s v="CONGO"/>
    <s v="RALFF-CO3913"/>
    <s v="1.1.1.7"/>
    <m/>
  </r>
  <r>
    <d v="2022-10-13T00:00:00"/>
    <s v="Reçu caisse/P10"/>
    <x v="2"/>
    <m/>
    <n v="10000"/>
    <m/>
    <n v="21703911"/>
    <x v="7"/>
    <m/>
    <x v="0"/>
    <x v="0"/>
    <m/>
    <m/>
    <m/>
    <m/>
  </r>
  <r>
    <d v="2022-10-13T00:00:00"/>
    <s v="CREPIN - CONGO Food-Allowance du 13 au 15/10/2022 à Dolisie"/>
    <x v="10"/>
    <s v="Management"/>
    <m/>
    <n v="20000"/>
    <n v="21683911"/>
    <x v="9"/>
    <s v="OUI"/>
    <x v="1"/>
    <x v="2"/>
    <s v="CONGO"/>
    <s v="RALFF-CO3914"/>
    <s v="1.3.2"/>
    <m/>
  </r>
  <r>
    <d v="2022-10-14T00:00:00"/>
    <s v="Entretien général Palmier"/>
    <x v="6"/>
    <s v="Office"/>
    <m/>
    <n v="5000"/>
    <n v="21678911"/>
    <x v="1"/>
    <s v="OUI"/>
    <x v="1"/>
    <x v="1"/>
    <s v="CONGO"/>
    <m/>
    <m/>
    <m/>
  </r>
  <r>
    <d v="2022-10-14T00:00:00"/>
    <s v="Bonus media portant sur les audiences du 14/10/2022"/>
    <x v="1"/>
    <s v="Media"/>
    <m/>
    <n v="30000"/>
    <n v="21648911"/>
    <x v="1"/>
    <s v="Decharge"/>
    <x v="1"/>
    <x v="1"/>
    <s v="CONGO"/>
    <m/>
    <m/>
    <m/>
  </r>
  <r>
    <d v="2022-10-14T00:00:00"/>
    <s v="Achat credit  teléphonique MTN/PALF/Deuxième  partie Octobre 2022/Management"/>
    <x v="11"/>
    <s v="Management"/>
    <m/>
    <n v="15000"/>
    <n v="21633911"/>
    <x v="1"/>
    <s v="OUI"/>
    <x v="1"/>
    <x v="2"/>
    <s v="CONGO"/>
    <s v="RALFF-CO3915"/>
    <s v="4.6"/>
    <m/>
  </r>
  <r>
    <d v="2022-10-14T00:00:00"/>
    <s v="Achat credit  teléphonique MTN/PALF/Deuxième partie Octobre 2022/Legal"/>
    <x v="11"/>
    <s v="Legal"/>
    <m/>
    <n v="10000"/>
    <n v="21623911"/>
    <x v="1"/>
    <s v="OUI"/>
    <x v="1"/>
    <x v="2"/>
    <s v="CONGO"/>
    <s v="RALFF-CO3916"/>
    <s v="4.6"/>
    <m/>
  </r>
  <r>
    <d v="2022-10-14T00:00:00"/>
    <s v="Achat credit  teléphonique MTN/PALF/Deuxième partie Octobre 2022/Investigation"/>
    <x v="11"/>
    <s v="Investigation"/>
    <m/>
    <n v="10000"/>
    <n v="21613911"/>
    <x v="1"/>
    <s v="OUI"/>
    <x v="1"/>
    <x v="2"/>
    <s v="CONGO"/>
    <s v="RALFF-CO3917"/>
    <s v="4.6"/>
    <m/>
  </r>
  <r>
    <d v="2022-10-14T00:00:00"/>
    <s v="Achat credit  teléphonique MTN/PALF/Deuxième partie Octobre 2022/Investigation Volontaire"/>
    <x v="11"/>
    <s v="Investigation"/>
    <m/>
    <n v="15000"/>
    <n v="21598911"/>
    <x v="1"/>
    <s v="OUI"/>
    <x v="1"/>
    <x v="1"/>
    <s v="CONGO"/>
    <m/>
    <m/>
    <m/>
  </r>
  <r>
    <d v="2022-10-14T00:00:00"/>
    <s v="Achat credit  teléphonique MTN/PALF/Deuxième partie Octobre 2022/Media"/>
    <x v="11"/>
    <s v="Media"/>
    <m/>
    <n v="10000"/>
    <n v="21588911"/>
    <x v="1"/>
    <s v="OUI"/>
    <x v="1"/>
    <x v="2"/>
    <s v="CONGO"/>
    <s v="RALFF-CO3918"/>
    <s v="4.6"/>
    <m/>
  </r>
  <r>
    <d v="2022-10-14T00:00:00"/>
    <s v="Achat credit  teléphonique Airtel/PALF/Deuxième partie Octobre 2022/Management"/>
    <x v="11"/>
    <s v="Management"/>
    <m/>
    <n v="5000"/>
    <n v="21583911"/>
    <x v="1"/>
    <s v="OUI"/>
    <x v="1"/>
    <x v="2"/>
    <s v="CONGO"/>
    <s v="RALFF-CO3919"/>
    <s v="4.6"/>
    <m/>
  </r>
  <r>
    <d v="2022-10-14T00:00:00"/>
    <s v="Achat credit  teléphonique Airtel/PALF/Deuxième partie Octobre 2022/Legal"/>
    <x v="11"/>
    <s v="Legal"/>
    <m/>
    <n v="10000"/>
    <n v="21573911"/>
    <x v="1"/>
    <s v="OUI"/>
    <x v="1"/>
    <x v="2"/>
    <s v="CONGO"/>
    <s v="RALFF-CO3920"/>
    <s v="4.6"/>
    <m/>
  </r>
  <r>
    <d v="2022-10-14T00:00:00"/>
    <s v="Achat credit  teléphonique Airtel/PALF/Deuxième partie Octobre 2022/Investigation"/>
    <x v="11"/>
    <s v="Investigation"/>
    <m/>
    <n v="5000"/>
    <n v="21568911"/>
    <x v="1"/>
    <s v="OUI"/>
    <x v="1"/>
    <x v="2"/>
    <s v="CONGO"/>
    <s v="RALFF-CO3921"/>
    <s v="4.6"/>
    <m/>
  </r>
  <r>
    <d v="2022-10-14T00:00:00"/>
    <s v="Tiffany"/>
    <x v="2"/>
    <m/>
    <m/>
    <n v="150000"/>
    <n v="21418911"/>
    <x v="1"/>
    <m/>
    <x v="0"/>
    <x v="0"/>
    <m/>
    <m/>
    <m/>
    <m/>
  </r>
  <r>
    <d v="2022-10-14T00:00:00"/>
    <s v="Reçu Caisse/ Tiffany"/>
    <x v="2"/>
    <m/>
    <n v="150000"/>
    <m/>
    <n v="21568911"/>
    <x v="11"/>
    <m/>
    <x v="0"/>
    <x v="0"/>
    <m/>
    <m/>
    <m/>
    <m/>
  </r>
  <r>
    <d v="2022-10-15T00:00:00"/>
    <s v="Billet: Dolisie-Brazzaville/Crépin"/>
    <x v="4"/>
    <s v="Management"/>
    <m/>
    <n v="10000"/>
    <n v="21558911"/>
    <x v="9"/>
    <s v="OUI"/>
    <x v="1"/>
    <x v="2"/>
    <s v="CONGO"/>
    <s v="RALFF-CO3922"/>
    <s v="2.2"/>
    <m/>
  </r>
  <r>
    <d v="2022-10-15T00:00:00"/>
    <s v="CREPIN - CONGO Frais d'hotel 02 Nuitées du 13 au 15/10/2022 à Dolisie"/>
    <x v="10"/>
    <s v="Management"/>
    <m/>
    <n v="30000"/>
    <n v="21528911"/>
    <x v="9"/>
    <s v="OUI"/>
    <x v="1"/>
    <x v="2"/>
    <s v="CONGO"/>
    <s v="RALFF-CO3923"/>
    <s v="1.3.2"/>
    <m/>
  </r>
  <r>
    <d v="2022-10-16T00:00:00"/>
    <s v="TIFFANY GOBERT - CONGO Food allowance du 16 au 19 octobre 2022"/>
    <x v="10"/>
    <s v="Management"/>
    <m/>
    <n v="30000"/>
    <n v="21498911"/>
    <x v="11"/>
    <s v="Decharge"/>
    <x v="1"/>
    <x v="2"/>
    <s v="CONGO"/>
    <s v="RALFF-CO3924"/>
    <s v="1.3.2"/>
    <m/>
  </r>
  <r>
    <d v="2022-10-16T00:00:00"/>
    <s v="Billet bus Brazzaville- Pointe Noire/ Tiffany"/>
    <x v="4"/>
    <s v="Management"/>
    <m/>
    <n v="15000"/>
    <n v="21483911"/>
    <x v="11"/>
    <s v="OUI"/>
    <x v="1"/>
    <x v="2"/>
    <s v="CONGO"/>
    <s v="RALFF-CO3925"/>
    <s v="2.2"/>
    <m/>
  </r>
  <r>
    <d v="2022-10-16T00:00:00"/>
    <s v="Billet: Brazzaville-Pointe-Noire/Crépin"/>
    <x v="4"/>
    <s v="Management"/>
    <m/>
    <n v="15000"/>
    <n v="21468911"/>
    <x v="9"/>
    <s v="OUI"/>
    <x v="1"/>
    <x v="2"/>
    <s v="CONGO"/>
    <s v="RALFF-CO3926"/>
    <s v="2.2"/>
    <m/>
  </r>
  <r>
    <d v="2022-10-17T00:00:00"/>
    <s v="Frais de mission maitre Marie Hélène du 18 au 23 Octobre 2022 à Dolisie/suivi Juridique et suivi audience cas KAYA Christine."/>
    <x v="9"/>
    <s v="Legal"/>
    <m/>
    <n v="169000"/>
    <n v="21299911"/>
    <x v="1"/>
    <s v="OUI"/>
    <x v="2"/>
    <x v="2"/>
    <s v="CONGO"/>
    <s v="RALFF-CO3927"/>
    <s v="5.2.2"/>
    <m/>
  </r>
  <r>
    <d v="2022-10-17T00:00:00"/>
    <s v="CREPIN - CONGO Food-Allowance du 17 au 23/10/2022 à Pointe-Noire, Dolisie et Mossendjo"/>
    <x v="10"/>
    <s v="Management"/>
    <m/>
    <n v="60000"/>
    <n v="21239911"/>
    <x v="9"/>
    <s v="Décharge"/>
    <x v="1"/>
    <x v="2"/>
    <s v="CONGO"/>
    <s v="RALFF-CO3928"/>
    <s v="1.3.2"/>
    <m/>
  </r>
  <r>
    <d v="2022-10-17T00:00:00"/>
    <s v="CREPIN - CONGO Frais d'hotel 01 Nuitée du 17 au 18/10/2022 à Pointe Noire"/>
    <x v="10"/>
    <s v="Management"/>
    <m/>
    <n v="15000"/>
    <n v="21224911"/>
    <x v="9"/>
    <s v="OUI"/>
    <x v="1"/>
    <x v="2"/>
    <s v="CONGO"/>
    <s v="RALFF-CO3929"/>
    <s v="1.3.2"/>
    <m/>
  </r>
  <r>
    <d v="2022-10-18T00:00:00"/>
    <s v="Billet: Pointe-Noire-Dolisie/Crépin"/>
    <x v="4"/>
    <s v="Management"/>
    <m/>
    <n v="5000"/>
    <n v="21219911"/>
    <x v="9"/>
    <s v="OUI"/>
    <x v="1"/>
    <x v="2"/>
    <s v="CONGO"/>
    <s v="RALFF-CO3930"/>
    <s v="2.2"/>
    <m/>
  </r>
  <r>
    <d v="2022-10-19T00:00:00"/>
    <s v="Bonus média sur les audiences du 17/10/2022 au TGI de Brazzaville"/>
    <x v="1"/>
    <s v="Media"/>
    <m/>
    <n v="35000"/>
    <n v="21184911"/>
    <x v="1"/>
    <s v="Decharge"/>
    <x v="1"/>
    <x v="1"/>
    <s v="CONGO"/>
    <m/>
    <m/>
    <m/>
  </r>
  <r>
    <d v="2022-10-19T00:00:00"/>
    <s v="Bonus média portant sur la condamnation de trois trafiquant d'ivoire le 14/10/2022 au TGI de Dolisie"/>
    <x v="1"/>
    <s v="Media"/>
    <m/>
    <n v="150000"/>
    <n v="21034911"/>
    <x v="1"/>
    <s v="Decharge"/>
    <x v="1"/>
    <x v="1"/>
    <s v="CONGO"/>
    <m/>
    <m/>
    <m/>
  </r>
  <r>
    <d v="2022-10-19T00:00:00"/>
    <s v="P10"/>
    <x v="2"/>
    <m/>
    <m/>
    <n v="20000"/>
    <n v="21014911"/>
    <x v="1"/>
    <m/>
    <x v="0"/>
    <x v="0"/>
    <m/>
    <m/>
    <m/>
    <m/>
  </r>
  <r>
    <d v="2022-10-19T00:00:00"/>
    <s v="TIFFANY GOBERT - CONGO Frais d'Hotel 03 nuitées du 16 au 19 octobre 2022 à Pointe Noire"/>
    <x v="10"/>
    <s v="Management"/>
    <m/>
    <n v="45000"/>
    <n v="20969911"/>
    <x v="11"/>
    <s v="OUI"/>
    <x v="1"/>
    <x v="2"/>
    <s v="CONGO"/>
    <s v="RALFF-CO3931"/>
    <s v="1.3.2"/>
    <m/>
  </r>
  <r>
    <d v="2022-10-19T00:00:00"/>
    <s v="Billet avion Pointe Noire- Brazzaville/Tiffany"/>
    <x v="12"/>
    <s v="Management"/>
    <m/>
    <n v="40000"/>
    <n v="20929911"/>
    <x v="11"/>
    <s v="OUI"/>
    <x v="2"/>
    <x v="2"/>
    <s v="CONGO"/>
    <s v="RALFF-CO3932"/>
    <s v="2.1"/>
    <m/>
  </r>
  <r>
    <d v="2022-10-19T00:00:00"/>
    <s v="Reçu caisse/P10"/>
    <x v="2"/>
    <m/>
    <n v="20000"/>
    <m/>
    <n v="20949911"/>
    <x v="7"/>
    <m/>
    <x v="0"/>
    <x v="0"/>
    <m/>
    <m/>
    <m/>
    <m/>
  </r>
  <r>
    <d v="2022-10-19T00:00:00"/>
    <s v="CREPIN - CONGO Frais d'hotel 01 Nuitée à Dolisie du 18 au 19/10/2022"/>
    <x v="10"/>
    <s v="Management"/>
    <m/>
    <n v="15000"/>
    <n v="20934911"/>
    <x v="9"/>
    <s v="OUI"/>
    <x v="1"/>
    <x v="2"/>
    <s v="CONGO"/>
    <s v="RALFF-CO3933"/>
    <s v="1.3.2"/>
    <m/>
  </r>
  <r>
    <d v="2022-10-19T00:00:00"/>
    <s v="Billet: Dolisie-Mossendjo/Crépin"/>
    <x v="4"/>
    <s v="Management"/>
    <m/>
    <n v="7000"/>
    <n v="20927911"/>
    <x v="9"/>
    <s v="OUI"/>
    <x v="1"/>
    <x v="2"/>
    <s v="CONGO"/>
    <s v="RALFF-CO3934"/>
    <s v="2.2"/>
    <m/>
  </r>
  <r>
    <d v="2022-10-19T00:00:00"/>
    <s v="Billet: Dolisie-Mossendjo/Chef faune EF"/>
    <x v="4"/>
    <s v="Office"/>
    <m/>
    <n v="7000"/>
    <n v="20920911"/>
    <x v="9"/>
    <s v="OUI"/>
    <x v="1"/>
    <x v="1"/>
    <s v="CONGO"/>
    <m/>
    <m/>
    <m/>
  </r>
  <r>
    <d v="2022-10-19T00:00:00"/>
    <s v="Ration chef faune/EF"/>
    <x v="10"/>
    <s v="Management"/>
    <m/>
    <n v="4000"/>
    <n v="20916911"/>
    <x v="9"/>
    <s v="OUI"/>
    <x v="1"/>
    <x v="1"/>
    <s v="CONGO"/>
    <m/>
    <m/>
    <m/>
  </r>
  <r>
    <d v="2022-10-20T00:00:00"/>
    <s v="Paiement Honoraire Me LOCKO/Mois de Septembre 2022"/>
    <x v="9"/>
    <s v="Legal"/>
    <m/>
    <n v="150000"/>
    <n v="20766911"/>
    <x v="10"/>
    <n v="3654518"/>
    <x v="1"/>
    <x v="1"/>
    <s v="CONGO"/>
    <m/>
    <m/>
    <m/>
  </r>
  <r>
    <d v="2022-10-20T00:00:00"/>
    <s v="Ration chef faune Matin/Soir:/EF"/>
    <x v="10"/>
    <s v="Management"/>
    <m/>
    <n v="6200"/>
    <n v="20760711"/>
    <x v="9"/>
    <s v="OUI"/>
    <x v="1"/>
    <x v="1"/>
    <s v="CONGO"/>
    <m/>
    <m/>
    <m/>
  </r>
  <r>
    <d v="2022-10-21T00:00:00"/>
    <s v="Crepin"/>
    <x v="2"/>
    <m/>
    <m/>
    <n v="120000"/>
    <n v="20640711"/>
    <x v="1"/>
    <m/>
    <x v="0"/>
    <x v="0"/>
    <m/>
    <m/>
    <m/>
    <m/>
  </r>
  <r>
    <d v="2022-10-21T00:00:00"/>
    <s v="Frais de transfert charden farell à Crépin"/>
    <x v="13"/>
    <s v="Office"/>
    <m/>
    <n v="6270"/>
    <n v="20634441"/>
    <x v="1"/>
    <s v="OUI"/>
    <x v="2"/>
    <x v="2"/>
    <s v="CONGO"/>
    <s v="RALFF-CO3935"/>
    <s v="5.6"/>
    <m/>
  </r>
  <r>
    <d v="2022-10-21T00:00:00"/>
    <s v="Bonus média portant sur la mise en liberté de perroquets gris du gabon par l'IJG"/>
    <x v="1"/>
    <s v="Media"/>
    <m/>
    <n v="150000"/>
    <n v="20484441"/>
    <x v="1"/>
    <s v="Decharge"/>
    <x v="1"/>
    <x v="1"/>
    <s v="CONGO"/>
    <m/>
    <m/>
    <m/>
  </r>
  <r>
    <d v="2022-10-21T00:00:00"/>
    <s v="Bonus média portant sur l'audience du 21/10/2022 au TGI de Mossendjo"/>
    <x v="1"/>
    <s v="Media"/>
    <m/>
    <n v="40000"/>
    <n v="20444441"/>
    <x v="1"/>
    <s v="Decharge"/>
    <x v="1"/>
    <x v="1"/>
    <s v="CONGO"/>
    <m/>
    <m/>
    <m/>
  </r>
  <r>
    <d v="2022-10-21T00:00:00"/>
    <s v="P29 "/>
    <x v="2"/>
    <m/>
    <m/>
    <n v="120000"/>
    <n v="20324441"/>
    <x v="1"/>
    <m/>
    <x v="0"/>
    <x v="0"/>
    <m/>
    <m/>
    <m/>
    <m/>
  </r>
  <r>
    <d v="2022-10-21T00:00:00"/>
    <s v="P29"/>
    <x v="2"/>
    <m/>
    <m/>
    <n v="10000"/>
    <n v="20314441"/>
    <x v="1"/>
    <m/>
    <x v="0"/>
    <x v="0"/>
    <m/>
    <m/>
    <m/>
    <m/>
  </r>
  <r>
    <d v="2022-10-21T00:00:00"/>
    <s v="Reçu de caisse/P29"/>
    <x v="2"/>
    <m/>
    <n v="120000"/>
    <m/>
    <n v="20434441"/>
    <x v="8"/>
    <m/>
    <x v="0"/>
    <x v="0"/>
    <m/>
    <m/>
    <m/>
    <m/>
  </r>
  <r>
    <d v="2022-10-21T00:00:00"/>
    <s v="Reçu de caisse/P29"/>
    <x v="2"/>
    <m/>
    <n v="10000"/>
    <m/>
    <n v="20444441"/>
    <x v="8"/>
    <m/>
    <x v="0"/>
    <x v="0"/>
    <m/>
    <m/>
    <m/>
    <m/>
  </r>
  <r>
    <d v="2022-10-21T00:00:00"/>
    <s v="Reçu de caisse/Crépin"/>
    <x v="2"/>
    <m/>
    <n v="120000"/>
    <m/>
    <n v="20564441"/>
    <x v="9"/>
    <m/>
    <x v="0"/>
    <x v="0"/>
    <m/>
    <m/>
    <m/>
    <m/>
  </r>
  <r>
    <d v="2022-10-21T00:00:00"/>
    <s v="Ration du chef faune :/EF"/>
    <x v="10"/>
    <s v="Management"/>
    <m/>
    <n v="4200"/>
    <n v="20560241"/>
    <x v="9"/>
    <s v="OUI"/>
    <x v="1"/>
    <x v="1"/>
    <s v="CONGO"/>
    <m/>
    <m/>
    <m/>
  </r>
  <r>
    <d v="2022-10-22T00:00:00"/>
    <s v="Achat billet Brazzaville-Pointe Noire/ P29"/>
    <x v="4"/>
    <s v="Investigation"/>
    <m/>
    <n v="15000"/>
    <n v="20545241"/>
    <x v="8"/>
    <s v="OUI"/>
    <x v="1"/>
    <x v="2"/>
    <s v="CONGO"/>
    <s v="RALFF-CO3936"/>
    <s v="2.2"/>
    <m/>
  </r>
  <r>
    <d v="2022-10-22T00:00:00"/>
    <s v="CREPIN - CONGO Frais d'hotel 03 Nuitées à Mossendjo du 19 au 22/10/2022"/>
    <x v="10"/>
    <s v="Management"/>
    <m/>
    <n v="45000"/>
    <n v="20500241"/>
    <x v="9"/>
    <s v="OUI"/>
    <x v="1"/>
    <x v="2"/>
    <s v="CONGO"/>
    <s v="RALFF-CO3937"/>
    <s v="1.3.2"/>
    <m/>
  </r>
  <r>
    <d v="2022-10-22T00:00:00"/>
    <s v="Frais d'hotel 03 Nuitées à Mossendjo du 19 au 22/10/2022 pour Chef faune/EF"/>
    <x v="10"/>
    <s v="Management"/>
    <m/>
    <n v="45000"/>
    <n v="20455241"/>
    <x v="9"/>
    <s v="OUI"/>
    <x v="1"/>
    <x v="1"/>
    <s v="CONGO"/>
    <m/>
    <m/>
    <m/>
  </r>
  <r>
    <d v="2022-10-22T00:00:00"/>
    <s v="Billet: Mossendjo-Dolisie/ Crépin"/>
    <x v="4"/>
    <s v="Management"/>
    <m/>
    <n v="5000"/>
    <n v="20450241"/>
    <x v="9"/>
    <s v="OUI"/>
    <x v="1"/>
    <x v="2"/>
    <s v="CONGO"/>
    <s v="RALFF-CO3938"/>
    <s v="2.2"/>
    <m/>
  </r>
  <r>
    <d v="2022-10-22T00:00:00"/>
    <s v="Billet: Mossendjo-Dolisie /Chef faune/EF"/>
    <x v="4"/>
    <s v="Office"/>
    <m/>
    <n v="5000"/>
    <n v="20445241"/>
    <x v="9"/>
    <s v="OUI"/>
    <x v="1"/>
    <x v="1"/>
    <s v="CONGO"/>
    <m/>
    <m/>
    <m/>
  </r>
  <r>
    <d v="2022-10-22T00:00:00"/>
    <s v="Transport local de chef faune à Mossendjo et Dolisie du 19 au 21/10/2022/EF"/>
    <x v="4"/>
    <s v="Office"/>
    <m/>
    <n v="6000"/>
    <n v="20439241"/>
    <x v="9"/>
    <s v="Décharge"/>
    <x v="1"/>
    <x v="1"/>
    <s v="CONGO"/>
    <m/>
    <m/>
    <m/>
  </r>
  <r>
    <d v="2022-10-22T00:00:00"/>
    <s v="Cumul frais de jail visit mois d'Octobre 2022/Crépin"/>
    <x v="14"/>
    <s v="Legal"/>
    <m/>
    <n v="32000"/>
    <n v="20407241"/>
    <x v="9"/>
    <s v="Décharge"/>
    <x v="1"/>
    <x v="1"/>
    <s v="CONGO"/>
    <m/>
    <m/>
    <m/>
  </r>
  <r>
    <d v="2022-10-23T00:00:00"/>
    <s v="Billet: Dolisie-Brazzaville/Crépin"/>
    <x v="4"/>
    <s v="Management"/>
    <m/>
    <n v="10000"/>
    <n v="20397241"/>
    <x v="9"/>
    <s v="OUI"/>
    <x v="1"/>
    <x v="2"/>
    <s v="CONGO"/>
    <s v="RALFF-CO3939"/>
    <s v="2.2"/>
    <m/>
  </r>
  <r>
    <d v="2022-10-23T00:00:00"/>
    <s v="P29 - CONGO Food allowance mission du 23 au 30-10-2022 "/>
    <x v="10"/>
    <s v="Investigation"/>
    <m/>
    <n v="70000"/>
    <n v="20327241"/>
    <x v="8"/>
    <s v="Decharge"/>
    <x v="1"/>
    <x v="2"/>
    <s v="CONGO"/>
    <s v="RALFF-CO3940"/>
    <s v="1.3.2"/>
    <m/>
  </r>
  <r>
    <d v="2022-10-23T00:00:00"/>
    <s v="CREPIN - CONGO Frais d'hotel 01 Nuitée à Dolisie du 22 au 23/10/2022"/>
    <x v="10"/>
    <s v="Management"/>
    <m/>
    <n v="15000"/>
    <n v="20312241"/>
    <x v="9"/>
    <s v="OUI"/>
    <x v="1"/>
    <x v="2"/>
    <s v="CONGO"/>
    <s v="RALFF-CO3941"/>
    <s v="1.3.2"/>
    <m/>
  </r>
  <r>
    <d v="2022-10-24T00:00:00"/>
    <s v="P10"/>
    <x v="2"/>
    <m/>
    <m/>
    <n v="15000"/>
    <n v="20297241"/>
    <x v="1"/>
    <m/>
    <x v="0"/>
    <x v="0"/>
    <m/>
    <m/>
    <m/>
    <m/>
  </r>
  <r>
    <d v="2022-10-24T00:00:00"/>
    <s v="Achat une bouteille eau minérale lors des entretiens pour le recrutement des juristes"/>
    <x v="8"/>
    <s v="Office"/>
    <m/>
    <n v="650"/>
    <n v="20296591"/>
    <x v="5"/>
    <s v="OUI"/>
    <x v="1"/>
    <x v="1"/>
    <s v="CONGO"/>
    <m/>
    <m/>
    <m/>
  </r>
  <r>
    <d v="2022-10-24T00:00:00"/>
    <s v="Reçu caisse/P10"/>
    <x v="2"/>
    <m/>
    <n v="15000"/>
    <m/>
    <n v="20311591"/>
    <x v="7"/>
    <m/>
    <x v="0"/>
    <x v="0"/>
    <m/>
    <m/>
    <m/>
    <m/>
  </r>
  <r>
    <d v="2022-10-25T00:00:00"/>
    <s v="P29"/>
    <x v="2"/>
    <m/>
    <m/>
    <n v="115000"/>
    <n v="20196591"/>
    <x v="1"/>
    <m/>
    <x v="0"/>
    <x v="0"/>
    <m/>
    <m/>
    <m/>
    <m/>
  </r>
  <r>
    <d v="2022-10-25T00:00:00"/>
    <s v="Frais de transfert charden farell à P29"/>
    <x v="13"/>
    <s v="Office"/>
    <m/>
    <n v="3450"/>
    <n v="20193141"/>
    <x v="1"/>
    <s v="OUI"/>
    <x v="2"/>
    <x v="2"/>
    <s v="CONGO"/>
    <s v="RALFF-CO3942"/>
    <s v="5.6"/>
    <m/>
  </r>
  <r>
    <d v="2022-10-25T00:00:00"/>
    <s v="Reçu de caisse/P29"/>
    <x v="2"/>
    <m/>
    <n v="115000"/>
    <m/>
    <n v="20308141"/>
    <x v="8"/>
    <m/>
    <x v="0"/>
    <x v="0"/>
    <m/>
    <m/>
    <m/>
    <m/>
  </r>
  <r>
    <d v="2022-10-26T00:00:00"/>
    <s v="Frais de mission maitre Hélène NANITELAMIO à Dolisie du 27 au 29/10/2022 suivi audience cas YAMIDZALA et MOUTOMBO"/>
    <x v="9"/>
    <s v="Legal"/>
    <m/>
    <n v="76000"/>
    <n v="20232141"/>
    <x v="1"/>
    <s v="OUI"/>
    <x v="1"/>
    <x v="2"/>
    <s v="CONGO"/>
    <s v="RALFF-CO3943"/>
    <s v="5.2.2"/>
    <m/>
  </r>
  <r>
    <d v="2022-10-26T00:00:00"/>
    <s v="Hurielle"/>
    <x v="2"/>
    <m/>
    <m/>
    <n v="91000"/>
    <n v="20141141"/>
    <x v="1"/>
    <m/>
    <x v="0"/>
    <x v="0"/>
    <m/>
    <m/>
    <m/>
    <m/>
  </r>
  <r>
    <d v="2022-10-26T00:00:00"/>
    <s v="Evariste "/>
    <x v="2"/>
    <m/>
    <m/>
    <n v="15000"/>
    <n v="20126141"/>
    <x v="1"/>
    <m/>
    <x v="0"/>
    <x v="0"/>
    <m/>
    <m/>
    <m/>
    <m/>
  </r>
  <r>
    <d v="2022-10-26T00:00:00"/>
    <s v="Bonus média portant sur la mise en liberté de perroquets gris du gabon par l'IJG"/>
    <x v="1"/>
    <s v="Media"/>
    <m/>
    <n v="35000"/>
    <n v="20091141"/>
    <x v="1"/>
    <s v="Decharge"/>
    <x v="1"/>
    <x v="1"/>
    <s v="CONGO"/>
    <m/>
    <m/>
    <m/>
  </r>
  <r>
    <d v="2022-10-26T00:00:00"/>
    <s v="Bonus média portant sur la condamnation de trois trafiquant d'ivoire le 14/10/2022 au TGI de Dolisie"/>
    <x v="1"/>
    <s v="Media"/>
    <m/>
    <n v="35000"/>
    <n v="20056141"/>
    <x v="1"/>
    <s v="Decharge"/>
    <x v="1"/>
    <x v="1"/>
    <s v="CONGO"/>
    <m/>
    <m/>
    <m/>
  </r>
  <r>
    <d v="2022-10-26T00:00:00"/>
    <s v="Règlement prestation technicienne de surface (mois d'Octobre 2022)/Odile"/>
    <x v="15"/>
    <s v="Office"/>
    <m/>
    <n v="75625"/>
    <n v="19980516"/>
    <x v="1"/>
    <s v="OUI"/>
    <x v="1"/>
    <x v="1"/>
    <s v="CONGO"/>
    <m/>
    <m/>
    <m/>
  </r>
  <r>
    <d v="2022-10-26T00:00:00"/>
    <s v="Rapatriement Tc (fonds UE)"/>
    <x v="16"/>
    <m/>
    <n v="5426732"/>
    <m/>
    <n v="25407248"/>
    <x v="2"/>
    <s v="Relevé"/>
    <x v="2"/>
    <x v="0"/>
    <s v="CONGO"/>
    <m/>
    <m/>
    <m/>
  </r>
  <r>
    <d v="2022-10-26T00:00:00"/>
    <s v="Cumul frais de transport local du mois d'Octobre 22/Evariste"/>
    <x v="4"/>
    <s v="Media"/>
    <m/>
    <n v="34000"/>
    <n v="25373248"/>
    <x v="5"/>
    <s v="Decharge"/>
    <x v="1"/>
    <x v="2"/>
    <s v="CONGO"/>
    <s v="RALFF-CO3944"/>
    <s v="2.2"/>
    <m/>
  </r>
  <r>
    <d v="2022-10-26T00:00:00"/>
    <s v="Reçu de la caisse /Evariste"/>
    <x v="2"/>
    <m/>
    <n v="15000"/>
    <m/>
    <n v="25388248"/>
    <x v="5"/>
    <m/>
    <x v="0"/>
    <x v="0"/>
    <m/>
    <m/>
    <m/>
    <m/>
  </r>
  <r>
    <d v="2022-10-26T00:00:00"/>
    <s v="Recu caisse/Hurielle"/>
    <x v="2"/>
    <m/>
    <n v="91000"/>
    <m/>
    <n v="25479248"/>
    <x v="6"/>
    <m/>
    <x v="0"/>
    <x v="0"/>
    <m/>
    <m/>
    <m/>
    <m/>
  </r>
  <r>
    <d v="2022-10-26T00:00:00"/>
    <s v="Achat billet aller Brazzaville-Dolisie/Hurielle"/>
    <x v="4"/>
    <s v="Legal"/>
    <m/>
    <n v="10000"/>
    <n v="25469248"/>
    <x v="6"/>
    <s v="OUI"/>
    <x v="1"/>
    <x v="2"/>
    <s v="CONGO"/>
    <s v="RALFF-CO3945"/>
    <s v="2.2"/>
    <m/>
  </r>
  <r>
    <d v="2022-10-27T00:00:00"/>
    <s v="P10"/>
    <x v="2"/>
    <m/>
    <m/>
    <n v="20000"/>
    <n v="25449248"/>
    <x v="1"/>
    <m/>
    <x v="0"/>
    <x v="0"/>
    <m/>
    <m/>
    <m/>
    <m/>
  </r>
  <r>
    <d v="2022-10-27T00:00:00"/>
    <s v="P29"/>
    <x v="2"/>
    <m/>
    <m/>
    <n v="60000"/>
    <n v="25389248"/>
    <x v="1"/>
    <m/>
    <x v="0"/>
    <x v="0"/>
    <m/>
    <m/>
    <m/>
    <m/>
  </r>
  <r>
    <d v="2022-10-27T00:00:00"/>
    <s v="3654417-34"/>
    <x v="2"/>
    <m/>
    <n v="2000000"/>
    <m/>
    <n v="27389248"/>
    <x v="1"/>
    <m/>
    <x v="0"/>
    <x v="0"/>
    <m/>
    <m/>
    <m/>
    <m/>
  </r>
  <r>
    <d v="2022-10-27T00:00:00"/>
    <s v="Reglemeent Facture Internet (Canal Box_Periode de 01 Novembre au 01 Decembre 2022)"/>
    <x v="17"/>
    <s v="Office"/>
    <m/>
    <n v="45050"/>
    <n v="27344198"/>
    <x v="1"/>
    <s v="OUI"/>
    <x v="1"/>
    <x v="2"/>
    <s v="CONGO"/>
    <s v="RALFF-CO3946"/>
    <s v="4.5"/>
    <m/>
  </r>
  <r>
    <d v="2022-10-27T00:00:00"/>
    <s v="Retrait especes/appro caisse/bord n°3654517"/>
    <x v="2"/>
    <m/>
    <m/>
    <n v="2000000"/>
    <n v="25344198"/>
    <x v="10"/>
    <n v="3654517"/>
    <x v="0"/>
    <x v="0"/>
    <m/>
    <m/>
    <m/>
    <m/>
  </r>
  <r>
    <d v="2022-10-27T00:00:00"/>
    <s v="Paiement salaire mois de Octobre 2022/Crepin IBOUILI IBOUILI"/>
    <x v="5"/>
    <s v="Legal"/>
    <m/>
    <n v="357982"/>
    <n v="24986216"/>
    <x v="2"/>
    <n v="366762"/>
    <x v="2"/>
    <x v="2"/>
    <s v="CONGO"/>
    <s v="RALFF-CO3947"/>
    <s v="1.1.1.7"/>
    <m/>
  </r>
  <r>
    <d v="2022-10-27T00:00:00"/>
    <s v="Paiement salaire mois de Octobre 2022/Hurielle"/>
    <x v="5"/>
    <s v="Legal"/>
    <m/>
    <n v="200000"/>
    <n v="24786216"/>
    <x v="2"/>
    <n v="366763"/>
    <x v="2"/>
    <x v="2"/>
    <s v="CONGO"/>
    <s v="RALFF-CO3948"/>
    <s v="1.1.1.7"/>
    <m/>
  </r>
  <r>
    <d v="2022-10-27T00:00:00"/>
    <s v="Paiement salaire mois de Octobre 2022/Merveille MAHANGA"/>
    <x v="5"/>
    <s v="Management"/>
    <m/>
    <n v="300000"/>
    <n v="24486216"/>
    <x v="2"/>
    <n v="366764"/>
    <x v="2"/>
    <x v="2"/>
    <s v="CONGO"/>
    <s v="RALFF-CO3949"/>
    <s v="1.1.2.1"/>
    <m/>
  </r>
  <r>
    <d v="2022-10-27T00:00:00"/>
    <s v="Paiement salaire mois de Octobre 2022/Evariste LELOUSSI"/>
    <x v="5"/>
    <s v="Media"/>
    <m/>
    <n v="234309"/>
    <n v="24251907"/>
    <x v="2"/>
    <n v="366765"/>
    <x v="2"/>
    <x v="2"/>
    <s v="CONGO"/>
    <s v="RALFF-CO3950"/>
    <s v="1.1.1.4"/>
    <m/>
  </r>
  <r>
    <d v="2022-10-27T00:00:00"/>
    <s v="Paiement salaire mois de Octobre 2022/Tiffany GOBERT"/>
    <x v="5"/>
    <s v="Management"/>
    <m/>
    <n v="1311914"/>
    <n v="22939993"/>
    <x v="2"/>
    <n v="366766"/>
    <x v="2"/>
    <x v="2"/>
    <s v="CONGO"/>
    <s v="RALFF-CO3951"/>
    <s v="1.1.1.1"/>
    <m/>
  </r>
  <r>
    <d v="2022-10-27T00:00:00"/>
    <s v="Cumul frais de transport local mois d'Octobre 2022 /Tiffany GOBERT"/>
    <x v="4"/>
    <s v="Management"/>
    <m/>
    <n v="28000"/>
    <n v="22911993"/>
    <x v="11"/>
    <s v="Decharge"/>
    <x v="1"/>
    <x v="2"/>
    <s v="CONGO"/>
    <s v="RALFF-CO3952"/>
    <s v="2.2"/>
    <m/>
  </r>
  <r>
    <d v="2022-10-27T00:00:00"/>
    <s v="HURIELLE - CONGO Food Allowance du 27 au 29/10/2022 à Dolisie"/>
    <x v="10"/>
    <s v="Legal"/>
    <m/>
    <n v="20000"/>
    <n v="22891993"/>
    <x v="6"/>
    <s v="Decharge"/>
    <x v="1"/>
    <x v="2"/>
    <s v="CONGO"/>
    <s v="RALFF-CO3953"/>
    <s v="1.3.2"/>
    <m/>
  </r>
  <r>
    <d v="2022-10-27T00:00:00"/>
    <s v="Reçu caisse/P10"/>
    <x v="2"/>
    <m/>
    <n v="20000"/>
    <m/>
    <n v="22911993"/>
    <x v="7"/>
    <m/>
    <x v="0"/>
    <x v="0"/>
    <m/>
    <m/>
    <m/>
    <m/>
  </r>
  <r>
    <d v="2022-10-27T00:00:00"/>
    <s v="P29 - CONGO Paiement 4 nuitées du 23 au 27-10-2022  à pointe -noire"/>
    <x v="10"/>
    <s v="Investigation"/>
    <m/>
    <n v="60000"/>
    <n v="22851993"/>
    <x v="8"/>
    <s v="OUI"/>
    <x v="1"/>
    <x v="2"/>
    <s v="CONGO"/>
    <s v="RALFF-CO3954"/>
    <s v="1.3.2"/>
    <m/>
  </r>
  <r>
    <d v="2022-10-27T00:00:00"/>
    <s v="Achat billet, Pointe Noire - bouansa / P29 "/>
    <x v="4"/>
    <s v="Investigation"/>
    <m/>
    <n v="8000"/>
    <n v="22843993"/>
    <x v="8"/>
    <s v="OUI"/>
    <x v="1"/>
    <x v="2"/>
    <s v="CONGO"/>
    <s v="RALFF-CO3955"/>
    <s v="2.2"/>
    <m/>
  </r>
  <r>
    <d v="2022-10-27T00:00:00"/>
    <s v="Reçu de caisse-Avance sur Salaire/P29"/>
    <x v="2"/>
    <m/>
    <n v="60000"/>
    <m/>
    <n v="22903993"/>
    <x v="8"/>
    <m/>
    <x v="0"/>
    <x v="0"/>
    <m/>
    <m/>
    <m/>
    <m/>
  </r>
  <r>
    <d v="2022-10-28T00:00:00"/>
    <s v="Achat credit  teléphonique MTN/PALF/Prémière partie Novembre 2022/Management"/>
    <x v="11"/>
    <s v="Management"/>
    <m/>
    <n v="38000"/>
    <n v="22865993"/>
    <x v="1"/>
    <s v="OUI"/>
    <x v="1"/>
    <x v="2"/>
    <s v="CONGO"/>
    <s v="RALFF-CO3956"/>
    <s v="4.6"/>
    <m/>
  </r>
  <r>
    <d v="2022-10-28T00:00:00"/>
    <s v="Achat credit  teléphonique MTN/PALF/Prémière partie Novembre 2022/Legal"/>
    <x v="11"/>
    <s v="Legal"/>
    <m/>
    <n v="32000"/>
    <n v="22833993"/>
    <x v="1"/>
    <s v="OUI"/>
    <x v="1"/>
    <x v="2"/>
    <s v="CONGO"/>
    <s v="RALFF-CO3957"/>
    <s v="4.6"/>
    <m/>
  </r>
  <r>
    <d v="2022-10-28T00:00:00"/>
    <s v="Achat credit  teléphonique MTN/PALF/Prémière partie Novembre 2022/Legal volontaire"/>
    <x v="11"/>
    <s v="Legal"/>
    <m/>
    <n v="21000"/>
    <n v="22812993"/>
    <x v="1"/>
    <s v="OUI"/>
    <x v="1"/>
    <x v="1"/>
    <s v="CONGO"/>
    <m/>
    <m/>
    <m/>
  </r>
  <r>
    <d v="2022-10-28T00:00:00"/>
    <s v="Achat credit  teléphonique MTN/PALF/Prémière partie Novembre 2022/Investigation"/>
    <x v="11"/>
    <s v="Investigation"/>
    <m/>
    <n v="10000"/>
    <n v="22802993"/>
    <x v="1"/>
    <s v="OUI"/>
    <x v="1"/>
    <x v="2"/>
    <s v="CONGO"/>
    <s v="RALFF-CO3958"/>
    <s v="4.6"/>
    <m/>
  </r>
  <r>
    <d v="2022-10-28T00:00:00"/>
    <s v="Achat credit  teléphonique MTN/PALF/Prémière partie Novembre 2022/Investigation Volontaire"/>
    <x v="11"/>
    <s v="Investigation"/>
    <m/>
    <n v="21000"/>
    <n v="22781993"/>
    <x v="1"/>
    <s v="OUI"/>
    <x v="1"/>
    <x v="1"/>
    <s v="CONGO"/>
    <m/>
    <m/>
    <m/>
  </r>
  <r>
    <d v="2022-10-28T00:00:00"/>
    <s v="Achat credit  teléphonique MTN/PALF/Prémière partie Novembre 2022/Media"/>
    <x v="11"/>
    <s v="Media"/>
    <m/>
    <n v="5000"/>
    <n v="22776993"/>
    <x v="1"/>
    <s v="OUI"/>
    <x v="1"/>
    <x v="2"/>
    <s v="CONGO"/>
    <s v="RALFF-CO3959"/>
    <s v="4.6"/>
    <m/>
  </r>
  <r>
    <d v="2022-10-28T00:00:00"/>
    <s v="Achat credit  teléphonique Airtel/PALF/Prémière partie Novembre 2022/Management"/>
    <x v="11"/>
    <s v="Management"/>
    <m/>
    <n v="15000"/>
    <n v="22761993"/>
    <x v="1"/>
    <s v="OUI"/>
    <x v="1"/>
    <x v="2"/>
    <s v="CONGO"/>
    <s v="RALFF-CO3960"/>
    <s v="4.6"/>
    <m/>
  </r>
  <r>
    <d v="2022-10-28T00:00:00"/>
    <s v="Achat credit  teléphonique Airtel/PALF/Prémière partie Novembre 2022/Legal"/>
    <x v="11"/>
    <s v="Legal"/>
    <m/>
    <n v="10000"/>
    <n v="22751993"/>
    <x v="1"/>
    <s v="OUI"/>
    <x v="1"/>
    <x v="2"/>
    <s v="CONGO"/>
    <s v="RALFF-CO3961"/>
    <s v="4.6"/>
    <m/>
  </r>
  <r>
    <d v="2022-10-28T00:00:00"/>
    <s v="Achat credit  teléphonique Airtel/PALF/Prémière partie Novembre 2022/Investigation"/>
    <x v="11"/>
    <s v="Investigation"/>
    <m/>
    <n v="16000"/>
    <n v="22735993"/>
    <x v="1"/>
    <s v="OUI"/>
    <x v="1"/>
    <x v="2"/>
    <s v="CONGO"/>
    <s v="RALFF-CO3962"/>
    <s v="4.6"/>
    <m/>
  </r>
  <r>
    <d v="2022-10-28T00:00:00"/>
    <s v="Achat credit  teléphonique Airtel/PALF/Prémière partie Novembre 2022/Media"/>
    <x v="11"/>
    <s v="Media"/>
    <m/>
    <n v="11000"/>
    <n v="22724993"/>
    <x v="1"/>
    <s v="OUI"/>
    <x v="1"/>
    <x v="2"/>
    <s v="CONGO"/>
    <s v="RALFF-CO3963"/>
    <s v="4.6"/>
    <m/>
  </r>
  <r>
    <d v="2022-10-28T00:00:00"/>
    <s v="Entretretien général Jardin, Bureau PALF Mois d'Octobre 2022"/>
    <x v="15"/>
    <s v="Office"/>
    <m/>
    <n v="20000"/>
    <n v="22704993"/>
    <x v="1"/>
    <s v="OUI"/>
    <x v="1"/>
    <x v="1"/>
    <s v="CONGO"/>
    <m/>
    <m/>
    <m/>
  </r>
  <r>
    <d v="2022-10-28T00:00:00"/>
    <s v="Achat enveloppe A5/Bureau PALF"/>
    <x v="8"/>
    <s v="Office"/>
    <m/>
    <n v="4000"/>
    <n v="22700993"/>
    <x v="1"/>
    <s v="OUI"/>
    <x v="1"/>
    <x v="1"/>
    <s v="CONGO"/>
    <m/>
    <m/>
    <m/>
  </r>
  <r>
    <d v="2022-10-28T00:00:00"/>
    <s v="Donald-Romeo"/>
    <x v="2"/>
    <m/>
    <m/>
    <n v="20000"/>
    <n v="22680993"/>
    <x v="1"/>
    <m/>
    <x v="0"/>
    <x v="0"/>
    <m/>
    <m/>
    <m/>
    <m/>
  </r>
  <r>
    <d v="2022-10-28T00:00:00"/>
    <s v="P10"/>
    <x v="2"/>
    <m/>
    <m/>
    <n v="10000"/>
    <n v="22670993"/>
    <x v="1"/>
    <m/>
    <x v="0"/>
    <x v="0"/>
    <m/>
    <m/>
    <m/>
    <m/>
  </r>
  <r>
    <d v="2022-10-28T00:00:00"/>
    <s v="Hurielle"/>
    <x v="2"/>
    <m/>
    <m/>
    <n v="100000"/>
    <n v="22570993"/>
    <x v="1"/>
    <m/>
    <x v="0"/>
    <x v="0"/>
    <m/>
    <m/>
    <m/>
    <m/>
  </r>
  <r>
    <d v="2022-10-28T00:00:00"/>
    <s v="Reglement Facture Gardiennage Mois d'Octobre 2022/3654520"/>
    <x v="15"/>
    <s v="Office"/>
    <m/>
    <n v="260000"/>
    <n v="22310993"/>
    <x v="10"/>
    <n v="3654520"/>
    <x v="1"/>
    <x v="1"/>
    <s v="CONGO"/>
    <m/>
    <m/>
    <m/>
  </r>
  <r>
    <d v="2022-10-28T00:00:00"/>
    <s v="Reçu caisse"/>
    <x v="2"/>
    <m/>
    <n v="20000"/>
    <m/>
    <n v="22330993"/>
    <x v="12"/>
    <m/>
    <x v="0"/>
    <x v="0"/>
    <m/>
    <m/>
    <m/>
    <m/>
  </r>
  <r>
    <d v="2022-10-28T00:00:00"/>
    <s v="Recu caisse/Hurielle"/>
    <x v="2"/>
    <m/>
    <n v="100000"/>
    <m/>
    <n v="22430993"/>
    <x v="6"/>
    <m/>
    <x v="0"/>
    <x v="0"/>
    <m/>
    <m/>
    <m/>
    <m/>
  </r>
  <r>
    <d v="2022-10-28T00:00:00"/>
    <s v="Cumul frais de trust Building mois d'Octobre 2022/P10"/>
    <x v="18"/>
    <s v="Investigation"/>
    <m/>
    <n v="2000"/>
    <n v="22428993"/>
    <x v="7"/>
    <s v="Decharge"/>
    <x v="1"/>
    <x v="1"/>
    <s v="CONGO"/>
    <m/>
    <m/>
    <m/>
  </r>
  <r>
    <d v="2022-10-28T00:00:00"/>
    <s v="Reçu caisse/P10"/>
    <x v="2"/>
    <m/>
    <n v="10000"/>
    <m/>
    <n v="22438993"/>
    <x v="7"/>
    <m/>
    <x v="0"/>
    <x v="0"/>
    <m/>
    <m/>
    <m/>
    <m/>
  </r>
  <r>
    <d v="2022-10-29T00:00:00"/>
    <s v="HURIELLE - CONGO Frais d'Hôtel 02 nuitées à Dolisie du 27 au 29/10/2022"/>
    <x v="10"/>
    <s v="Legal"/>
    <m/>
    <n v="30000"/>
    <n v="22408993"/>
    <x v="6"/>
    <s v="OUI"/>
    <x v="1"/>
    <x v="2"/>
    <s v="CONGO"/>
    <s v="RALFF-CO3964"/>
    <s v="1.3.2"/>
    <m/>
  </r>
  <r>
    <d v="2022-10-29T00:00:00"/>
    <s v="Achat billet de retour Dolisie-Brazzaville/Hurielle"/>
    <x v="4"/>
    <s v="Legal"/>
    <m/>
    <n v="10000"/>
    <n v="22398993"/>
    <x v="6"/>
    <s v="OUI"/>
    <x v="1"/>
    <x v="2"/>
    <s v="CONGO"/>
    <s v="RALFF-CO3965"/>
    <s v="2.2"/>
    <m/>
  </r>
  <r>
    <d v="2022-10-29T00:00:00"/>
    <s v="P29 - CONGO Paiement 2 nuitées du 27 au 29-10-2022  à Bouansa"/>
    <x v="10"/>
    <s v="Investigation"/>
    <m/>
    <n v="30000"/>
    <n v="22368993"/>
    <x v="8"/>
    <s v="OUI"/>
    <x v="1"/>
    <x v="2"/>
    <s v="CONGO"/>
    <s v="RALFF-CO3966"/>
    <s v="1.3.2"/>
    <m/>
  </r>
  <r>
    <d v="2022-10-29T00:00:00"/>
    <s v="Achat billet bouansa-mindouli / P29"/>
    <x v="4"/>
    <s v="Investigation"/>
    <m/>
    <n v="3000"/>
    <n v="22365993"/>
    <x v="8"/>
    <s v="OUI"/>
    <x v="1"/>
    <x v="2"/>
    <s v="CONGO"/>
    <s v="RALFF-CO3967"/>
    <s v="2.2"/>
    <m/>
  </r>
  <r>
    <d v="2022-10-30T00:00:00"/>
    <s v="Achat billet aller Brazzaville -Owando/Hurielle"/>
    <x v="4"/>
    <s v="Legal"/>
    <m/>
    <n v="10000"/>
    <n v="22355993"/>
    <x v="6"/>
    <s v="OUI"/>
    <x v="1"/>
    <x v="2"/>
    <s v="CONGO"/>
    <s v="RALFF-CO3968"/>
    <s v="2.2"/>
    <m/>
  </r>
  <r>
    <d v="2022-10-30T00:00:00"/>
    <s v="P29 - CONGO Paiement 1 nuitée du 29 au 30-10-2022  à Mindouli"/>
    <x v="10"/>
    <s v="Investigation"/>
    <m/>
    <n v="10000"/>
    <n v="22345993"/>
    <x v="8"/>
    <s v="OUI"/>
    <x v="1"/>
    <x v="2"/>
    <s v="CONGO"/>
    <s v="RALFF-CO3969"/>
    <s v="1.3.2"/>
    <m/>
  </r>
  <r>
    <d v="2022-10-30T00:00:00"/>
    <s v="Achat billet mindouli-Brazzaville / P29"/>
    <x v="4"/>
    <s v="Investigation"/>
    <m/>
    <n v="5000"/>
    <n v="22340993"/>
    <x v="8"/>
    <s v="OUI"/>
    <x v="1"/>
    <x v="2"/>
    <s v="CONGO"/>
    <s v="RALFF-CO3970"/>
    <s v="2.2"/>
    <m/>
  </r>
  <r>
    <d v="2022-10-31T00:00:00"/>
    <s v="Cumul frais de transport local mois d'Octobre 2022/Merveille MAHANGA"/>
    <x v="4"/>
    <s v="Management"/>
    <m/>
    <n v="24000"/>
    <n v="22316993"/>
    <x v="3"/>
    <s v="Decharge"/>
    <x v="1"/>
    <x v="2"/>
    <s v="CONGO"/>
    <s v="RALFF-CO3971"/>
    <s v="2.2"/>
    <m/>
  </r>
  <r>
    <d v="2022-10-31T00:00:00"/>
    <s v="Cumul frais de ration journaliere mois d'octobre 22/Donald"/>
    <x v="10"/>
    <s v="Legal"/>
    <m/>
    <n v="2000"/>
    <n v="22314993"/>
    <x v="12"/>
    <s v="Décharge"/>
    <x v="1"/>
    <x v="1"/>
    <s v="CONGO"/>
    <m/>
    <m/>
    <m/>
  </r>
  <r>
    <d v="2022-10-31T00:00:00"/>
    <s v="Cumul frais de transport local mois d'octobre 22/Donald"/>
    <x v="4"/>
    <s v="Legal"/>
    <m/>
    <n v="5000"/>
    <n v="22309993"/>
    <x v="12"/>
    <s v="Décharge"/>
    <x v="1"/>
    <x v="1"/>
    <s v="CONGO"/>
    <m/>
    <m/>
    <m/>
  </r>
  <r>
    <d v="2022-10-31T00:00:00"/>
    <s v="HURIELLE - CONGO Food Allowance du 31/10/2022 au 05/11/2022"/>
    <x v="10"/>
    <s v="Legal"/>
    <m/>
    <n v="50000"/>
    <n v="22259993"/>
    <x v="6"/>
    <s v="Decharge"/>
    <x v="1"/>
    <x v="2"/>
    <s v="CONGO"/>
    <s v="RALFF-CO3972"/>
    <s v="1.3.2"/>
    <m/>
  </r>
  <r>
    <d v="2022-10-31T00:00:00"/>
    <s v="Cumul Frais de Jail visit mois d'Octobre 2022/Hurielle"/>
    <x v="14"/>
    <s v="Legal"/>
    <m/>
    <n v="22000"/>
    <n v="22237993"/>
    <x v="6"/>
    <s v="Decharge"/>
    <x v="1"/>
    <x v="1"/>
    <s v="CONGO"/>
    <m/>
    <m/>
    <m/>
  </r>
  <r>
    <d v="2022-10-31T00:00:00"/>
    <s v="Cumul frais de transport local mois d'Octobre 2022/Hurielle"/>
    <x v="4"/>
    <s v="Legal"/>
    <m/>
    <n v="36300"/>
    <n v="22201693"/>
    <x v="6"/>
    <s v="Decharge"/>
    <x v="1"/>
    <x v="2"/>
    <s v="CONGO"/>
    <s v="RALFF-CO3973"/>
    <s v="2.2"/>
    <m/>
  </r>
  <r>
    <d v="2022-10-31T00:00:00"/>
    <s v="Transfert à P29/ P10"/>
    <x v="2"/>
    <m/>
    <m/>
    <n v="10000"/>
    <n v="22191693"/>
    <x v="7"/>
    <m/>
    <x v="0"/>
    <x v="0"/>
    <m/>
    <m/>
    <m/>
    <m/>
  </r>
  <r>
    <d v="2022-10-31T00:00:00"/>
    <s v="Cumul frais de  Ration journalière mois d'Octobre 2022/P10"/>
    <x v="10"/>
    <s v="Investigation"/>
    <m/>
    <n v="21000"/>
    <n v="22170693"/>
    <x v="7"/>
    <s v="Decharge"/>
    <x v="1"/>
    <x v="1"/>
    <s v="CONGO"/>
    <m/>
    <m/>
    <m/>
  </r>
  <r>
    <d v="2022-10-31T00:00:00"/>
    <s v="Cumul frais de transport local mois d'Octobre 2022/P10"/>
    <x v="4"/>
    <s v="Investigation"/>
    <m/>
    <n v="75000"/>
    <n v="22095693"/>
    <x v="7"/>
    <s v="Decharge"/>
    <x v="1"/>
    <x v="1"/>
    <s v="CONGO"/>
    <m/>
    <m/>
    <m/>
  </r>
  <r>
    <d v="2022-10-31T00:00:00"/>
    <s v="Reçu de  P10 /P29"/>
    <x v="2"/>
    <m/>
    <n v="10000"/>
    <m/>
    <n v="22105693"/>
    <x v="8"/>
    <m/>
    <x v="0"/>
    <x v="0"/>
    <m/>
    <m/>
    <m/>
    <m/>
  </r>
  <r>
    <d v="2022-10-31T00:00:00"/>
    <s v="Cumul Frais de Trust Building du Mois d'Octombre 2022/P29"/>
    <x v="18"/>
    <s v="Investigation"/>
    <m/>
    <n v="26000"/>
    <n v="22079693"/>
    <x v="8"/>
    <s v="Decharge"/>
    <x v="1"/>
    <x v="1"/>
    <s v="CONGO"/>
    <m/>
    <m/>
    <m/>
  </r>
  <r>
    <d v="2022-10-31T00:00:00"/>
    <s v="Cumul frais de transport local mois de Septembre 2022/P29"/>
    <x v="4"/>
    <s v="Investigation"/>
    <m/>
    <n v="32000"/>
    <n v="22047693"/>
    <x v="8"/>
    <s v="Decharge"/>
    <x v="1"/>
    <x v="2"/>
    <s v="CONGO"/>
    <s v="RALFF-CO3974"/>
    <s v="2.2"/>
    <m/>
  </r>
  <r>
    <d v="2022-10-31T00:00:00"/>
    <s v="Cumul frais de transport local mois d'Octobre 2022/Crépin"/>
    <x v="4"/>
    <s v="Management"/>
    <m/>
    <n v="45500"/>
    <n v="22002193"/>
    <x v="9"/>
    <s v="Décharge"/>
    <x v="1"/>
    <x v="2"/>
    <s v="CONGO"/>
    <s v="RALFF-CO3975"/>
    <s v="2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15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4">
        <item x="2"/>
        <item x="1"/>
        <item h="1" x="0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formats count="2">
    <format dxfId="1">
      <pivotArea dataOnly="0" labelOnly="1" fieldPosition="0">
        <references count="1">
          <reference field="9" count="2">
            <x v="1"/>
            <x v="2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15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8" firstHeaderRow="1" firstDataRow="3" firstDataCol="1"/>
  <pivotFields count="15">
    <pivotField numFmtId="171" showAll="0"/>
    <pivotField showAll="0"/>
    <pivotField axis="axisCol" showAll="0">
      <items count="20">
        <item x="3"/>
        <item x="1"/>
        <item x="12"/>
        <item x="16"/>
        <item x="17"/>
        <item x="14"/>
        <item x="9"/>
        <item x="8"/>
        <item x="5"/>
        <item x="6"/>
        <item x="15"/>
        <item x="11"/>
        <item x="13"/>
        <item x="4"/>
        <item x="7"/>
        <item x="10"/>
        <item x="18"/>
        <item x="2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4">
        <item x="10"/>
        <item x="2"/>
        <item x="1"/>
        <item x="9"/>
        <item x="12"/>
        <item x="5"/>
        <item x="6"/>
        <item x="3"/>
        <item x="7"/>
        <item x="8"/>
        <item x="11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Q969"/>
  <sheetViews>
    <sheetView zoomScale="77" zoomScaleNormal="77" workbookViewId="0">
      <pane xSplit="1" topLeftCell="B1" activePane="topRight" state="frozen"/>
      <selection pane="topRight" activeCell="I22" sqref="I22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22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194" customWidth="1"/>
    <col min="18" max="16384" width="11.42578125" style="5"/>
  </cols>
  <sheetData>
    <row r="3" spans="1:17" ht="15.75">
      <c r="A3" s="6" t="s">
        <v>36</v>
      </c>
      <c r="B3" s="6" t="s">
        <v>1</v>
      </c>
      <c r="C3" s="6">
        <v>44835</v>
      </c>
      <c r="D3" s="7" t="s">
        <v>37</v>
      </c>
      <c r="E3" s="7" t="s">
        <v>38</v>
      </c>
      <c r="F3" s="7" t="s">
        <v>39</v>
      </c>
      <c r="G3" s="7" t="s">
        <v>40</v>
      </c>
      <c r="H3" s="6">
        <v>44865</v>
      </c>
      <c r="I3" s="7" t="s">
        <v>41</v>
      </c>
      <c r="K3" s="47"/>
      <c r="L3" s="47" t="s">
        <v>42</v>
      </c>
      <c r="M3" s="47" t="s">
        <v>43</v>
      </c>
      <c r="N3" s="47" t="s">
        <v>44</v>
      </c>
      <c r="O3" s="47" t="s">
        <v>45</v>
      </c>
      <c r="Q3" s="5"/>
    </row>
    <row r="4" spans="1:17" ht="16.5">
      <c r="A4" s="60" t="str">
        <f>K4</f>
        <v>BCI</v>
      </c>
      <c r="B4" s="61" t="s">
        <v>46</v>
      </c>
      <c r="C4" s="63">
        <v>14237475</v>
      </c>
      <c r="D4" s="63">
        <f>+L4</f>
        <v>0</v>
      </c>
      <c r="E4" s="63">
        <f>+N4</f>
        <v>633748</v>
      </c>
      <c r="F4" s="63">
        <f>+M4</f>
        <v>4000000</v>
      </c>
      <c r="G4" s="63">
        <f t="shared" ref="G4:G17" si="0">+O4</f>
        <v>0</v>
      </c>
      <c r="H4" s="63">
        <v>9603727</v>
      </c>
      <c r="I4" s="63">
        <f>+C4+D4-E4-F4+G4</f>
        <v>9603727</v>
      </c>
      <c r="J4" s="9">
        <f>I4-H4</f>
        <v>0</v>
      </c>
      <c r="K4" s="47" t="s">
        <v>24</v>
      </c>
      <c r="L4" s="49">
        <v>0</v>
      </c>
      <c r="M4" s="49">
        <v>4000000</v>
      </c>
      <c r="N4" s="49">
        <v>633748</v>
      </c>
      <c r="O4" s="49">
        <v>0</v>
      </c>
      <c r="Q4" s="5"/>
    </row>
    <row r="5" spans="1:17" ht="16.5">
      <c r="A5" s="60" t="str">
        <f t="shared" ref="A5:A17" si="1">K5</f>
        <v>BCI-Sous Compte</v>
      </c>
      <c r="B5" s="61" t="s">
        <v>46</v>
      </c>
      <c r="C5" s="63">
        <v>8844061</v>
      </c>
      <c r="D5" s="63">
        <f t="shared" ref="D5:D17" si="2">+L5</f>
        <v>0</v>
      </c>
      <c r="E5" s="63">
        <f t="shared" ref="E5:E9" si="3">+N5</f>
        <v>4731844</v>
      </c>
      <c r="F5" s="63">
        <f t="shared" ref="F5:F9" si="4">+M5</f>
        <v>0</v>
      </c>
      <c r="G5" s="63">
        <f t="shared" si="0"/>
        <v>5426732</v>
      </c>
      <c r="H5" s="63">
        <v>9538949</v>
      </c>
      <c r="I5" s="63">
        <f>+C5+D5-E5-F5+G5</f>
        <v>9538949</v>
      </c>
      <c r="J5" s="9">
        <f t="shared" ref="J5:J12" si="5">I5-H5</f>
        <v>0</v>
      </c>
      <c r="K5" s="47" t="s">
        <v>157</v>
      </c>
      <c r="L5" s="48">
        <v>0</v>
      </c>
      <c r="M5" s="49">
        <v>0</v>
      </c>
      <c r="N5" s="49">
        <v>4731844</v>
      </c>
      <c r="O5" s="49">
        <v>5426732</v>
      </c>
      <c r="Q5" s="5"/>
    </row>
    <row r="6" spans="1:17" ht="16.5">
      <c r="A6" s="60" t="str">
        <f t="shared" si="1"/>
        <v>Caisse</v>
      </c>
      <c r="B6" s="61" t="s">
        <v>25</v>
      </c>
      <c r="C6" s="63">
        <v>1081474</v>
      </c>
      <c r="D6" s="63">
        <f t="shared" si="2"/>
        <v>4595950</v>
      </c>
      <c r="E6" s="63">
        <f t="shared" si="3"/>
        <v>2106393</v>
      </c>
      <c r="F6" s="63">
        <f t="shared" si="4"/>
        <v>1465700</v>
      </c>
      <c r="G6" s="63">
        <f t="shared" si="0"/>
        <v>0</v>
      </c>
      <c r="H6" s="63">
        <v>2105331</v>
      </c>
      <c r="I6" s="63">
        <f>+C6+D6-E6-F6+G6</f>
        <v>2105331</v>
      </c>
      <c r="J6" s="108">
        <f t="shared" si="5"/>
        <v>0</v>
      </c>
      <c r="K6" s="47" t="s">
        <v>25</v>
      </c>
      <c r="L6" s="49">
        <v>4595950</v>
      </c>
      <c r="M6" s="49">
        <v>1465700</v>
      </c>
      <c r="N6" s="49">
        <v>2106393</v>
      </c>
      <c r="O6" s="49">
        <v>0</v>
      </c>
      <c r="Q6" s="5"/>
    </row>
    <row r="7" spans="1:17" ht="16.5">
      <c r="A7" s="60" t="str">
        <f t="shared" si="1"/>
        <v>Crépin</v>
      </c>
      <c r="B7" s="61" t="s">
        <v>163</v>
      </c>
      <c r="C7" s="63">
        <v>483330</v>
      </c>
      <c r="D7" s="63">
        <f t="shared" si="2"/>
        <v>552500</v>
      </c>
      <c r="E7" s="63">
        <f t="shared" si="3"/>
        <v>521900</v>
      </c>
      <c r="F7" s="63">
        <f t="shared" si="4"/>
        <v>400000</v>
      </c>
      <c r="G7" s="63">
        <f t="shared" si="0"/>
        <v>0</v>
      </c>
      <c r="H7" s="63">
        <v>113930</v>
      </c>
      <c r="I7" s="63">
        <f>+C7+D7-E7-F7+G7</f>
        <v>113930</v>
      </c>
      <c r="J7" s="9">
        <f t="shared" si="5"/>
        <v>0</v>
      </c>
      <c r="K7" s="47" t="s">
        <v>47</v>
      </c>
      <c r="L7" s="49">
        <v>552500</v>
      </c>
      <c r="M7" s="49">
        <v>400000</v>
      </c>
      <c r="N7" s="49">
        <v>521900</v>
      </c>
      <c r="O7" s="49">
        <v>0</v>
      </c>
      <c r="Q7" s="5"/>
    </row>
    <row r="8" spans="1:17" ht="16.5">
      <c r="A8" s="60" t="str">
        <f t="shared" si="1"/>
        <v>Donald</v>
      </c>
      <c r="B8" s="61" t="s">
        <v>163</v>
      </c>
      <c r="C8" s="63">
        <v>0</v>
      </c>
      <c r="D8" s="63">
        <f t="shared" ref="D8" si="6">+L8</f>
        <v>20000</v>
      </c>
      <c r="E8" s="63">
        <f t="shared" si="3"/>
        <v>7000</v>
      </c>
      <c r="F8" s="63">
        <f t="shared" si="4"/>
        <v>0</v>
      </c>
      <c r="G8" s="63">
        <f t="shared" ref="G8" si="7">+O8</f>
        <v>0</v>
      </c>
      <c r="H8" s="63">
        <v>13000</v>
      </c>
      <c r="I8" s="63">
        <f t="shared" ref="I8" si="8">+C8+D8-E8-F8+G8</f>
        <v>13000</v>
      </c>
      <c r="J8" s="9">
        <f t="shared" ref="J8" si="9">I8-H8</f>
        <v>0</v>
      </c>
      <c r="K8" s="47" t="s">
        <v>414</v>
      </c>
      <c r="L8" s="49">
        <v>20000</v>
      </c>
      <c r="M8" s="49">
        <v>0</v>
      </c>
      <c r="N8" s="49">
        <v>7000</v>
      </c>
      <c r="O8" s="49">
        <v>0</v>
      </c>
      <c r="Q8" s="5"/>
    </row>
    <row r="9" spans="1:17" ht="16.5">
      <c r="A9" s="60" t="str">
        <f t="shared" si="1"/>
        <v>Evariste</v>
      </c>
      <c r="B9" s="61" t="s">
        <v>164</v>
      </c>
      <c r="C9" s="63">
        <v>76225</v>
      </c>
      <c r="D9" s="63">
        <f t="shared" si="2"/>
        <v>15000</v>
      </c>
      <c r="E9" s="63">
        <f t="shared" si="3"/>
        <v>34650</v>
      </c>
      <c r="F9" s="63">
        <f t="shared" si="4"/>
        <v>45000</v>
      </c>
      <c r="G9" s="63">
        <f t="shared" si="0"/>
        <v>0</v>
      </c>
      <c r="H9" s="63">
        <v>11575</v>
      </c>
      <c r="I9" s="63">
        <f t="shared" ref="I9" si="10">+C9+D9-E9-F9+G9</f>
        <v>11575</v>
      </c>
      <c r="J9" s="9">
        <f t="shared" si="5"/>
        <v>0</v>
      </c>
      <c r="K9" s="47" t="s">
        <v>31</v>
      </c>
      <c r="L9" s="49">
        <v>15000</v>
      </c>
      <c r="M9" s="49">
        <v>45000</v>
      </c>
      <c r="N9" s="49">
        <v>34650</v>
      </c>
      <c r="O9" s="49">
        <v>0</v>
      </c>
      <c r="Q9" s="5"/>
    </row>
    <row r="10" spans="1:17" ht="16.5">
      <c r="A10" s="60" t="str">
        <f t="shared" si="1"/>
        <v>I55S</v>
      </c>
      <c r="B10" s="124" t="s">
        <v>4</v>
      </c>
      <c r="C10" s="126">
        <v>233614</v>
      </c>
      <c r="D10" s="126">
        <f t="shared" si="2"/>
        <v>0</v>
      </c>
      <c r="E10" s="126">
        <f>+N10</f>
        <v>0</v>
      </c>
      <c r="F10" s="126">
        <f t="shared" ref="F10:F11" si="11">+M10</f>
        <v>0</v>
      </c>
      <c r="G10" s="126">
        <f t="shared" si="0"/>
        <v>0</v>
      </c>
      <c r="H10" s="126">
        <v>233614</v>
      </c>
      <c r="I10" s="126">
        <f>+C10+D10-E10-F10+G10</f>
        <v>233614</v>
      </c>
      <c r="J10" s="9">
        <f t="shared" si="5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>
      <c r="A11" s="60" t="str">
        <f t="shared" si="1"/>
        <v>I73X</v>
      </c>
      <c r="B11" s="124" t="s">
        <v>4</v>
      </c>
      <c r="C11" s="126">
        <v>249769</v>
      </c>
      <c r="D11" s="126">
        <f t="shared" si="2"/>
        <v>0</v>
      </c>
      <c r="E11" s="126">
        <f>+N11</f>
        <v>0</v>
      </c>
      <c r="F11" s="126">
        <f t="shared" si="11"/>
        <v>0</v>
      </c>
      <c r="G11" s="126">
        <f t="shared" si="0"/>
        <v>0</v>
      </c>
      <c r="H11" s="126">
        <v>249769</v>
      </c>
      <c r="I11" s="126">
        <f t="shared" ref="I11:I14" si="12">+C11+D11-E11-F11+G11</f>
        <v>249769</v>
      </c>
      <c r="J11" s="9">
        <f t="shared" si="5"/>
        <v>0</v>
      </c>
      <c r="K11" s="47" t="s">
        <v>83</v>
      </c>
      <c r="L11" s="49">
        <v>0</v>
      </c>
      <c r="M11" s="49">
        <v>0</v>
      </c>
      <c r="N11" s="49">
        <v>0</v>
      </c>
      <c r="O11" s="49">
        <v>0</v>
      </c>
      <c r="Q11" s="5"/>
    </row>
    <row r="12" spans="1:17" ht="16.5">
      <c r="A12" s="60" t="str">
        <f t="shared" si="1"/>
        <v>Hurielle</v>
      </c>
      <c r="B12" s="104" t="s">
        <v>163</v>
      </c>
      <c r="C12" s="63">
        <v>41200</v>
      </c>
      <c r="D12" s="63">
        <f t="shared" si="2"/>
        <v>294000</v>
      </c>
      <c r="E12" s="63">
        <f>+N12</f>
        <v>258300</v>
      </c>
      <c r="F12" s="63">
        <f>+M12</f>
        <v>30000</v>
      </c>
      <c r="G12" s="63">
        <f t="shared" si="0"/>
        <v>0</v>
      </c>
      <c r="H12" s="63">
        <v>46900</v>
      </c>
      <c r="I12" s="63">
        <f t="shared" si="12"/>
        <v>46900</v>
      </c>
      <c r="J12" s="9">
        <f t="shared" si="5"/>
        <v>0</v>
      </c>
      <c r="K12" s="47" t="s">
        <v>207</v>
      </c>
      <c r="L12" s="49">
        <v>294000</v>
      </c>
      <c r="M12" s="49">
        <v>30000</v>
      </c>
      <c r="N12" s="49">
        <v>258300</v>
      </c>
      <c r="O12" s="49">
        <v>0</v>
      </c>
      <c r="Q12" s="5"/>
    </row>
    <row r="13" spans="1:17" s="296" customFormat="1" ht="16.5">
      <c r="A13" s="60" t="str">
        <f t="shared" si="1"/>
        <v>Merveille</v>
      </c>
      <c r="B13" s="291" t="s">
        <v>2</v>
      </c>
      <c r="C13" s="292">
        <v>98100</v>
      </c>
      <c r="D13" s="63">
        <f t="shared" si="2"/>
        <v>0</v>
      </c>
      <c r="E13" s="63">
        <f t="shared" ref="E13:E17" si="13">+N13</f>
        <v>24000</v>
      </c>
      <c r="F13" s="63">
        <f t="shared" ref="F13:F17" si="14">+M13</f>
        <v>60000</v>
      </c>
      <c r="G13" s="63">
        <f t="shared" si="0"/>
        <v>0</v>
      </c>
      <c r="H13" s="292">
        <v>14100</v>
      </c>
      <c r="I13" s="292">
        <f t="shared" si="12"/>
        <v>14100</v>
      </c>
      <c r="J13" s="293">
        <f>I13-H13</f>
        <v>0</v>
      </c>
      <c r="K13" s="294" t="s">
        <v>93</v>
      </c>
      <c r="L13" s="295">
        <v>0</v>
      </c>
      <c r="M13" s="295">
        <v>60000</v>
      </c>
      <c r="N13" s="49">
        <v>24000</v>
      </c>
      <c r="O13" s="295">
        <v>0</v>
      </c>
    </row>
    <row r="14" spans="1:17" ht="16.5">
      <c r="A14" s="60" t="str">
        <f t="shared" si="1"/>
        <v>P10</v>
      </c>
      <c r="B14" s="227" t="s">
        <v>4</v>
      </c>
      <c r="C14" s="63">
        <v>0</v>
      </c>
      <c r="D14" s="63">
        <f t="shared" si="2"/>
        <v>105000</v>
      </c>
      <c r="E14" s="63">
        <f t="shared" si="13"/>
        <v>98000</v>
      </c>
      <c r="F14" s="63">
        <f t="shared" si="14"/>
        <v>10000</v>
      </c>
      <c r="G14" s="63">
        <f t="shared" si="0"/>
        <v>0</v>
      </c>
      <c r="H14" s="63">
        <v>-3000</v>
      </c>
      <c r="I14" s="63">
        <f t="shared" si="12"/>
        <v>-3000</v>
      </c>
      <c r="J14" s="9">
        <f t="shared" ref="J14:J15" si="15">I14-H14</f>
        <v>0</v>
      </c>
      <c r="K14" s="47" t="s">
        <v>317</v>
      </c>
      <c r="L14" s="49">
        <v>105000</v>
      </c>
      <c r="M14" s="49">
        <v>10000</v>
      </c>
      <c r="N14" s="49">
        <v>98000</v>
      </c>
      <c r="O14" s="49">
        <v>0</v>
      </c>
      <c r="Q14" s="5"/>
    </row>
    <row r="15" spans="1:17" ht="16.5">
      <c r="A15" s="60" t="str">
        <f t="shared" si="1"/>
        <v>P29</v>
      </c>
      <c r="B15" s="227" t="s">
        <v>4</v>
      </c>
      <c r="C15" s="63">
        <v>60950</v>
      </c>
      <c r="D15" s="63">
        <f>+L15</f>
        <v>315000</v>
      </c>
      <c r="E15" s="63">
        <f t="shared" si="13"/>
        <v>259000</v>
      </c>
      <c r="F15" s="63">
        <f t="shared" si="14"/>
        <v>60950</v>
      </c>
      <c r="G15" s="63">
        <f t="shared" si="0"/>
        <v>0</v>
      </c>
      <c r="H15" s="63">
        <v>56000</v>
      </c>
      <c r="I15" s="63">
        <f>+C15+D15-E15-F15+G15</f>
        <v>56000</v>
      </c>
      <c r="J15" s="9">
        <f t="shared" si="15"/>
        <v>0</v>
      </c>
      <c r="K15" s="47" t="s">
        <v>29</v>
      </c>
      <c r="L15" s="49">
        <v>315000</v>
      </c>
      <c r="M15" s="49">
        <v>60950</v>
      </c>
      <c r="N15" s="295">
        <v>259000</v>
      </c>
      <c r="O15" s="49">
        <v>0</v>
      </c>
      <c r="Q15" s="5"/>
    </row>
    <row r="16" spans="1:17" ht="16.5">
      <c r="A16" s="60" t="str">
        <f t="shared" si="1"/>
        <v>Tiffany</v>
      </c>
      <c r="B16" s="227" t="s">
        <v>2</v>
      </c>
      <c r="C16" s="63">
        <v>26298</v>
      </c>
      <c r="D16" s="63">
        <f t="shared" si="2"/>
        <v>150000</v>
      </c>
      <c r="E16" s="63">
        <f t="shared" si="13"/>
        <v>158000</v>
      </c>
      <c r="F16" s="63">
        <f t="shared" si="14"/>
        <v>0</v>
      </c>
      <c r="G16" s="63">
        <f t="shared" si="0"/>
        <v>0</v>
      </c>
      <c r="H16" s="63">
        <v>18298</v>
      </c>
      <c r="I16" s="63">
        <f>+C16+D16-E16-F16+G16</f>
        <v>18298</v>
      </c>
      <c r="J16" s="9">
        <f>I16-H16</f>
        <v>0</v>
      </c>
      <c r="K16" s="47" t="s">
        <v>113</v>
      </c>
      <c r="L16" s="49">
        <v>150000</v>
      </c>
      <c r="M16" s="49">
        <v>0</v>
      </c>
      <c r="N16" s="49">
        <v>158000</v>
      </c>
      <c r="O16" s="49">
        <v>0</v>
      </c>
      <c r="Q16" s="5"/>
    </row>
    <row r="17" spans="1:17" ht="16.5">
      <c r="A17" s="60" t="str">
        <f t="shared" si="1"/>
        <v>Yan</v>
      </c>
      <c r="B17" s="61" t="s">
        <v>163</v>
      </c>
      <c r="C17" s="63">
        <v>-1700</v>
      </c>
      <c r="D17" s="63">
        <f t="shared" si="2"/>
        <v>24200</v>
      </c>
      <c r="E17" s="63">
        <f t="shared" si="13"/>
        <v>22500</v>
      </c>
      <c r="F17" s="63">
        <f t="shared" si="14"/>
        <v>0</v>
      </c>
      <c r="G17" s="63">
        <f t="shared" si="0"/>
        <v>0</v>
      </c>
      <c r="H17" s="63">
        <v>0</v>
      </c>
      <c r="I17" s="63">
        <f t="shared" ref="I17" si="16">+C17+D17-E17-F17+G17</f>
        <v>0</v>
      </c>
      <c r="J17" s="9">
        <f t="shared" ref="J17" si="17">I17-H17</f>
        <v>0</v>
      </c>
      <c r="K17" s="47" t="s">
        <v>223</v>
      </c>
      <c r="L17" s="49">
        <v>24200</v>
      </c>
      <c r="M17" s="49">
        <v>0</v>
      </c>
      <c r="N17" s="49">
        <v>22500</v>
      </c>
      <c r="O17" s="49">
        <v>0</v>
      </c>
      <c r="Q17" s="5"/>
    </row>
    <row r="18" spans="1:17" ht="16.5">
      <c r="A18" s="10" t="s">
        <v>50</v>
      </c>
      <c r="B18" s="11"/>
      <c r="C18" s="12">
        <f t="shared" ref="C18:G18" si="18">SUM(C4:C17)</f>
        <v>25430796</v>
      </c>
      <c r="D18" s="59">
        <f t="shared" si="18"/>
        <v>6071650</v>
      </c>
      <c r="E18" s="59">
        <f t="shared" si="18"/>
        <v>8855335</v>
      </c>
      <c r="F18" s="59">
        <f t="shared" si="18"/>
        <v>6071650</v>
      </c>
      <c r="G18" s="59">
        <f t="shared" si="18"/>
        <v>5426732</v>
      </c>
      <c r="H18" s="59">
        <f>SUM(H4:H17)</f>
        <v>22002193</v>
      </c>
      <c r="I18" s="59">
        <f t="shared" ref="I18" si="19">SUM(I4:I17)</f>
        <v>22002193</v>
      </c>
      <c r="J18" s="9">
        <f>I18-H18</f>
        <v>0</v>
      </c>
      <c r="K18" s="3"/>
      <c r="L18" s="49">
        <f>+SUM(L4:L17)</f>
        <v>6071650</v>
      </c>
      <c r="M18" s="49">
        <f>+SUM(M4:M17)</f>
        <v>6071650</v>
      </c>
      <c r="N18" s="49">
        <f>+SUM(N4:N17)</f>
        <v>8855335</v>
      </c>
      <c r="O18" s="49">
        <f>+SUM(O4:O17)</f>
        <v>5426732</v>
      </c>
      <c r="Q18" s="5"/>
    </row>
    <row r="19" spans="1:17" ht="16.5">
      <c r="A19" s="10"/>
      <c r="B19" s="11"/>
      <c r="C19" s="12"/>
      <c r="D19" s="13"/>
      <c r="E19" s="12"/>
      <c r="F19" s="13"/>
      <c r="G19" s="12"/>
      <c r="H19" s="12"/>
      <c r="I19" s="143" t="b">
        <f>I18=D21</f>
        <v>1</v>
      </c>
      <c r="J19" s="9">
        <f>H18-I18</f>
        <v>0</v>
      </c>
      <c r="L19" s="5"/>
      <c r="M19" s="5"/>
      <c r="N19" s="5"/>
      <c r="O19" s="5"/>
      <c r="Q19" s="5"/>
    </row>
    <row r="20" spans="1:17" ht="16.5">
      <c r="A20" s="10" t="s">
        <v>291</v>
      </c>
      <c r="B20" s="11" t="s">
        <v>292</v>
      </c>
      <c r="C20" s="12" t="s">
        <v>293</v>
      </c>
      <c r="D20" s="12" t="s">
        <v>294</v>
      </c>
      <c r="E20" s="12" t="s">
        <v>51</v>
      </c>
      <c r="F20" s="12"/>
      <c r="G20" s="12">
        <f>+D18-F18</f>
        <v>0</v>
      </c>
      <c r="H20" s="12"/>
      <c r="I20" s="12"/>
      <c r="Q20" s="5"/>
    </row>
    <row r="21" spans="1:17" ht="16.5">
      <c r="A21" s="14">
        <f>C18</f>
        <v>25430796</v>
      </c>
      <c r="B21" s="15">
        <f>G18</f>
        <v>5426732</v>
      </c>
      <c r="C21" s="12">
        <f>E18</f>
        <v>8855335</v>
      </c>
      <c r="D21" s="12">
        <f>A21+B21-C21</f>
        <v>22002193</v>
      </c>
      <c r="E21" s="13">
        <f>I18-D21</f>
        <v>0</v>
      </c>
      <c r="F21" s="12"/>
      <c r="G21" s="12"/>
      <c r="H21" s="12"/>
      <c r="I21" s="12"/>
      <c r="Q21" s="5"/>
    </row>
    <row r="22" spans="1:17" ht="16.5">
      <c r="A22" s="14"/>
      <c r="B22" s="15"/>
      <c r="C22" s="12"/>
      <c r="D22" s="12"/>
      <c r="E22" s="13"/>
      <c r="F22" s="12"/>
      <c r="G22" s="12"/>
      <c r="H22" s="12"/>
      <c r="I22" s="12"/>
      <c r="Q22" s="5"/>
    </row>
    <row r="23" spans="1:17">
      <c r="A23" s="16" t="s">
        <v>52</v>
      </c>
      <c r="B23" s="16"/>
      <c r="C23" s="16"/>
      <c r="D23" s="17"/>
      <c r="E23" s="17"/>
      <c r="F23" s="17"/>
      <c r="G23" s="17"/>
      <c r="H23" s="17"/>
      <c r="I23" s="17"/>
      <c r="Q23" s="5"/>
    </row>
    <row r="24" spans="1:17">
      <c r="A24" s="18" t="s">
        <v>297</v>
      </c>
      <c r="B24" s="18"/>
      <c r="C24" s="18"/>
      <c r="D24" s="18"/>
      <c r="E24" s="18"/>
      <c r="F24" s="18"/>
      <c r="G24" s="18"/>
      <c r="H24" s="18"/>
      <c r="I24" s="18"/>
      <c r="J24" s="18"/>
      <c r="Q24" s="5"/>
    </row>
    <row r="25" spans="1:17">
      <c r="A25" s="19"/>
      <c r="B25" s="20"/>
      <c r="C25" s="21"/>
      <c r="D25" s="21"/>
      <c r="E25" s="21"/>
      <c r="F25" s="21"/>
      <c r="G25" s="21"/>
      <c r="H25" s="20"/>
      <c r="I25" s="20"/>
      <c r="Q25" s="5"/>
    </row>
    <row r="26" spans="1:17" ht="45" customHeight="1">
      <c r="A26" s="322" t="s">
        <v>53</v>
      </c>
      <c r="B26" s="324" t="s">
        <v>54</v>
      </c>
      <c r="C26" s="326" t="s">
        <v>295</v>
      </c>
      <c r="D26" s="328" t="s">
        <v>55</v>
      </c>
      <c r="E26" s="329"/>
      <c r="F26" s="329"/>
      <c r="G26" s="330"/>
      <c r="H26" s="331" t="s">
        <v>56</v>
      </c>
      <c r="I26" s="318" t="s">
        <v>57</v>
      </c>
      <c r="J26" s="20"/>
      <c r="Q26" s="5"/>
    </row>
    <row r="27" spans="1:17" ht="28.5" customHeight="1">
      <c r="A27" s="323"/>
      <c r="B27" s="325"/>
      <c r="C27" s="327"/>
      <c r="D27" s="22" t="s">
        <v>24</v>
      </c>
      <c r="E27" s="22" t="s">
        <v>25</v>
      </c>
      <c r="F27" s="327" t="s">
        <v>123</v>
      </c>
      <c r="G27" s="22" t="s">
        <v>58</v>
      </c>
      <c r="H27" s="332"/>
      <c r="I27" s="319"/>
      <c r="J27" s="320" t="s">
        <v>296</v>
      </c>
      <c r="K27" s="155"/>
      <c r="Q27" s="5"/>
    </row>
    <row r="28" spans="1:17">
      <c r="A28" s="24"/>
      <c r="B28" s="25" t="s">
        <v>59</v>
      </c>
      <c r="C28" s="26"/>
      <c r="D28" s="26"/>
      <c r="E28" s="26"/>
      <c r="F28" s="26"/>
      <c r="G28" s="26"/>
      <c r="H28" s="26"/>
      <c r="I28" s="27"/>
      <c r="J28" s="321"/>
      <c r="K28" s="155"/>
      <c r="Q28" s="5"/>
    </row>
    <row r="29" spans="1:17">
      <c r="A29" s="130" t="s">
        <v>90</v>
      </c>
      <c r="B29" s="135" t="s">
        <v>47</v>
      </c>
      <c r="C29" s="33">
        <f>+C7</f>
        <v>483330</v>
      </c>
      <c r="D29" s="32"/>
      <c r="E29" s="33">
        <f>+D7</f>
        <v>552500</v>
      </c>
      <c r="F29" s="33"/>
      <c r="G29" s="33"/>
      <c r="H29" s="57">
        <f>+F7</f>
        <v>400000</v>
      </c>
      <c r="I29" s="33">
        <f>+E7</f>
        <v>521900</v>
      </c>
      <c r="J29" s="31">
        <f t="shared" ref="J29" si="20">+SUM(C29:G29)-(H29+I29)</f>
        <v>113930</v>
      </c>
      <c r="K29" s="156" t="b">
        <f>J29=I7</f>
        <v>1</v>
      </c>
      <c r="Q29" s="5"/>
    </row>
    <row r="30" spans="1:17">
      <c r="A30" s="130" t="str">
        <f>+A29</f>
        <v>OCTOBRE</v>
      </c>
      <c r="B30" s="135" t="s">
        <v>414</v>
      </c>
      <c r="C30" s="33">
        <f>+C8</f>
        <v>0</v>
      </c>
      <c r="D30" s="32"/>
      <c r="E30" s="33">
        <f>+D8</f>
        <v>20000</v>
      </c>
      <c r="F30" s="33"/>
      <c r="G30" s="33"/>
      <c r="H30" s="57">
        <f>+F8</f>
        <v>0</v>
      </c>
      <c r="I30" s="33">
        <f>+E8</f>
        <v>7000</v>
      </c>
      <c r="J30" s="107">
        <f>+SUM(C30:G30)-(H30+I30)</f>
        <v>13000</v>
      </c>
      <c r="K30" s="156" t="b">
        <f>J30=I8</f>
        <v>1</v>
      </c>
      <c r="Q30" s="5"/>
    </row>
    <row r="31" spans="1:17">
      <c r="A31" s="130" t="str">
        <f t="shared" ref="A31:A35" si="21">+A30</f>
        <v>OCTOBRE</v>
      </c>
      <c r="B31" s="137" t="s">
        <v>84</v>
      </c>
      <c r="C31" s="128">
        <f t="shared" ref="C31:C32" si="22">+C10</f>
        <v>233614</v>
      </c>
      <c r="D31" s="131"/>
      <c r="E31" s="128">
        <f t="shared" ref="E31:E32" si="23">+D10</f>
        <v>0</v>
      </c>
      <c r="F31" s="146"/>
      <c r="G31" s="146"/>
      <c r="H31" s="178">
        <f t="shared" ref="H31:H32" si="24">+F10</f>
        <v>0</v>
      </c>
      <c r="I31" s="128">
        <f t="shared" ref="I31:I32" si="25">+E10</f>
        <v>0</v>
      </c>
      <c r="J31" s="129">
        <f>+SUM(C31:G31)-(H31+I31)</f>
        <v>233614</v>
      </c>
      <c r="K31" s="156" t="b">
        <f t="shared" ref="K31:K32" si="26">J31=I10</f>
        <v>1</v>
      </c>
      <c r="Q31" s="5"/>
    </row>
    <row r="32" spans="1:17">
      <c r="A32" s="130" t="str">
        <f t="shared" si="21"/>
        <v>OCTOBRE</v>
      </c>
      <c r="B32" s="137" t="s">
        <v>83</v>
      </c>
      <c r="C32" s="128">
        <f t="shared" si="22"/>
        <v>249769</v>
      </c>
      <c r="D32" s="131"/>
      <c r="E32" s="128">
        <f t="shared" si="23"/>
        <v>0</v>
      </c>
      <c r="F32" s="146"/>
      <c r="G32" s="146"/>
      <c r="H32" s="178">
        <f t="shared" si="24"/>
        <v>0</v>
      </c>
      <c r="I32" s="128">
        <f t="shared" si="25"/>
        <v>0</v>
      </c>
      <c r="J32" s="129">
        <f t="shared" ref="J32:J39" si="27">+SUM(C32:G32)-(H32+I32)</f>
        <v>249769</v>
      </c>
      <c r="K32" s="156" t="b">
        <f t="shared" si="26"/>
        <v>1</v>
      </c>
      <c r="Q32" s="5"/>
    </row>
    <row r="33" spans="1:17">
      <c r="A33" s="130" t="str">
        <f t="shared" si="21"/>
        <v>OCTOBRE</v>
      </c>
      <c r="B33" s="135" t="s">
        <v>31</v>
      </c>
      <c r="C33" s="33">
        <f>C9</f>
        <v>76225</v>
      </c>
      <c r="D33" s="32"/>
      <c r="E33" s="33">
        <f>+D9</f>
        <v>15000</v>
      </c>
      <c r="F33" s="33"/>
      <c r="G33" s="110"/>
      <c r="H33" s="57">
        <f>+F9</f>
        <v>45000</v>
      </c>
      <c r="I33" s="33">
        <f>+E9</f>
        <v>34650</v>
      </c>
      <c r="J33" s="31">
        <f t="shared" si="27"/>
        <v>11575</v>
      </c>
      <c r="K33" s="156" t="b">
        <f>J33=I9</f>
        <v>1</v>
      </c>
      <c r="Q33" s="5"/>
    </row>
    <row r="34" spans="1:17">
      <c r="A34" s="130" t="str">
        <f t="shared" si="21"/>
        <v>OCTOBRE</v>
      </c>
      <c r="B34" s="135" t="s">
        <v>207</v>
      </c>
      <c r="C34" s="33">
        <f>C12</f>
        <v>41200</v>
      </c>
      <c r="D34" s="32"/>
      <c r="E34" s="33">
        <f>+D12</f>
        <v>294000</v>
      </c>
      <c r="F34" s="33"/>
      <c r="G34" s="110"/>
      <c r="H34" s="57">
        <f>+F12</f>
        <v>30000</v>
      </c>
      <c r="I34" s="33">
        <f>+E12</f>
        <v>258300</v>
      </c>
      <c r="J34" s="31">
        <f t="shared" si="27"/>
        <v>46900</v>
      </c>
      <c r="K34" s="156" t="b">
        <f>J34=I12</f>
        <v>1</v>
      </c>
      <c r="Q34" s="5"/>
    </row>
    <row r="35" spans="1:17">
      <c r="A35" s="130" t="str">
        <f t="shared" si="21"/>
        <v>OCTOBRE</v>
      </c>
      <c r="B35" s="135" t="s">
        <v>30</v>
      </c>
      <c r="C35" s="33">
        <f t="shared" ref="C35:C39" si="28">C13</f>
        <v>98100</v>
      </c>
      <c r="D35" s="32"/>
      <c r="E35" s="33">
        <f t="shared" ref="E35:E39" si="29">+D13</f>
        <v>0</v>
      </c>
      <c r="F35" s="33"/>
      <c r="G35" s="110"/>
      <c r="H35" s="57">
        <f t="shared" ref="H35:H39" si="30">+F13</f>
        <v>60000</v>
      </c>
      <c r="I35" s="33">
        <f t="shared" ref="I35:I39" si="31">+E13</f>
        <v>24000</v>
      </c>
      <c r="J35" s="31">
        <f t="shared" si="27"/>
        <v>14100</v>
      </c>
      <c r="K35" s="156" t="b">
        <f t="shared" ref="K35:K39" si="32">J35=I13</f>
        <v>1</v>
      </c>
      <c r="Q35" s="5"/>
    </row>
    <row r="36" spans="1:17">
      <c r="A36" s="130" t="str">
        <f>+A34</f>
        <v>OCTOBRE</v>
      </c>
      <c r="B36" s="135" t="s">
        <v>93</v>
      </c>
      <c r="C36" s="33">
        <f t="shared" si="28"/>
        <v>0</v>
      </c>
      <c r="D36" s="32"/>
      <c r="E36" s="33">
        <f t="shared" si="29"/>
        <v>105000</v>
      </c>
      <c r="F36" s="33"/>
      <c r="G36" s="110"/>
      <c r="H36" s="57">
        <f t="shared" si="30"/>
        <v>10000</v>
      </c>
      <c r="I36" s="33">
        <f t="shared" si="31"/>
        <v>98000</v>
      </c>
      <c r="J36" s="31">
        <f t="shared" si="27"/>
        <v>-3000</v>
      </c>
      <c r="K36" s="156" t="b">
        <f t="shared" si="32"/>
        <v>1</v>
      </c>
      <c r="Q36" s="5"/>
    </row>
    <row r="37" spans="1:17">
      <c r="A37" s="130" t="str">
        <f t="shared" ref="A37:A39" si="33">+A35</f>
        <v>OCTOBRE</v>
      </c>
      <c r="B37" s="135" t="s">
        <v>29</v>
      </c>
      <c r="C37" s="33">
        <f t="shared" si="28"/>
        <v>60950</v>
      </c>
      <c r="D37" s="32"/>
      <c r="E37" s="33">
        <f t="shared" si="29"/>
        <v>315000</v>
      </c>
      <c r="F37" s="33"/>
      <c r="G37" s="110"/>
      <c r="H37" s="57">
        <f t="shared" si="30"/>
        <v>60950</v>
      </c>
      <c r="I37" s="33">
        <f t="shared" si="31"/>
        <v>259000</v>
      </c>
      <c r="J37" s="31">
        <f t="shared" si="27"/>
        <v>56000</v>
      </c>
      <c r="K37" s="156" t="b">
        <f t="shared" si="32"/>
        <v>1</v>
      </c>
      <c r="Q37" s="5"/>
    </row>
    <row r="38" spans="1:17">
      <c r="A38" s="130" t="str">
        <f t="shared" si="33"/>
        <v>OCTOBRE</v>
      </c>
      <c r="B38" s="136" t="s">
        <v>113</v>
      </c>
      <c r="C38" s="33">
        <f t="shared" si="28"/>
        <v>26298</v>
      </c>
      <c r="D38" s="127"/>
      <c r="E38" s="33">
        <f t="shared" si="29"/>
        <v>150000</v>
      </c>
      <c r="F38" s="53"/>
      <c r="G38" s="147"/>
      <c r="H38" s="57">
        <f t="shared" si="30"/>
        <v>0</v>
      </c>
      <c r="I38" s="33">
        <f t="shared" si="31"/>
        <v>158000</v>
      </c>
      <c r="J38" s="31">
        <f t="shared" ref="J38" si="34">+SUM(C38:G38)-(H38+I38)</f>
        <v>18298</v>
      </c>
      <c r="K38" s="156" t="b">
        <f t="shared" si="32"/>
        <v>1</v>
      </c>
      <c r="Q38" s="5"/>
    </row>
    <row r="39" spans="1:17">
      <c r="A39" s="130" t="str">
        <f t="shared" si="33"/>
        <v>OCTOBRE</v>
      </c>
      <c r="B39" s="136" t="s">
        <v>223</v>
      </c>
      <c r="C39" s="33">
        <f t="shared" si="28"/>
        <v>-1700</v>
      </c>
      <c r="D39" s="127"/>
      <c r="E39" s="33">
        <f t="shared" si="29"/>
        <v>24200</v>
      </c>
      <c r="F39" s="53"/>
      <c r="G39" s="147"/>
      <c r="H39" s="57">
        <f t="shared" si="30"/>
        <v>0</v>
      </c>
      <c r="I39" s="33">
        <f t="shared" si="31"/>
        <v>22500</v>
      </c>
      <c r="J39" s="31">
        <f t="shared" si="27"/>
        <v>0</v>
      </c>
      <c r="K39" s="156" t="b">
        <f t="shared" si="32"/>
        <v>1</v>
      </c>
      <c r="Q39" s="5"/>
    </row>
    <row r="40" spans="1:17">
      <c r="A40" s="35" t="s">
        <v>60</v>
      </c>
      <c r="B40" s="36"/>
      <c r="C40" s="36"/>
      <c r="D40" s="36"/>
      <c r="E40" s="36"/>
      <c r="F40" s="36"/>
      <c r="G40" s="36"/>
      <c r="H40" s="36"/>
      <c r="I40" s="36"/>
      <c r="J40" s="37"/>
      <c r="K40" s="155"/>
      <c r="Q40" s="5"/>
    </row>
    <row r="41" spans="1:17">
      <c r="A41" s="130" t="str">
        <f>A39</f>
        <v>OCTOBRE</v>
      </c>
      <c r="B41" s="38" t="s">
        <v>61</v>
      </c>
      <c r="C41" s="39">
        <f>+C6</f>
        <v>1081474</v>
      </c>
      <c r="D41" s="51"/>
      <c r="E41" s="51">
        <f>D6</f>
        <v>4595950</v>
      </c>
      <c r="F41" s="51"/>
      <c r="G41" s="133"/>
      <c r="H41" s="53">
        <f>+F6</f>
        <v>1465700</v>
      </c>
      <c r="I41" s="134">
        <f>+E6</f>
        <v>2106393</v>
      </c>
      <c r="J41" s="46">
        <f>+SUM(C41:G41)-(H41+I41)</f>
        <v>2105331</v>
      </c>
      <c r="K41" s="156" t="b">
        <f>J41=I6</f>
        <v>1</v>
      </c>
      <c r="Q41" s="5"/>
    </row>
    <row r="42" spans="1:17">
      <c r="A42" s="44" t="s">
        <v>62</v>
      </c>
      <c r="B42" s="25"/>
      <c r="C42" s="36"/>
      <c r="D42" s="25"/>
      <c r="E42" s="25"/>
      <c r="F42" s="25"/>
      <c r="G42" s="25"/>
      <c r="H42" s="25"/>
      <c r="I42" s="25"/>
      <c r="J42" s="37"/>
      <c r="K42" s="155"/>
      <c r="Q42" s="5"/>
    </row>
    <row r="43" spans="1:17">
      <c r="A43" s="130" t="str">
        <f>+A41</f>
        <v>OCTOBRE</v>
      </c>
      <c r="B43" s="38" t="s">
        <v>166</v>
      </c>
      <c r="C43" s="133">
        <f>+C4</f>
        <v>14237475</v>
      </c>
      <c r="D43" s="140">
        <f>+G4</f>
        <v>0</v>
      </c>
      <c r="E43" s="51"/>
      <c r="F43" s="51"/>
      <c r="G43" s="51"/>
      <c r="H43" s="53">
        <f>+F4</f>
        <v>4000000</v>
      </c>
      <c r="I43" s="55">
        <f>+E4</f>
        <v>633748</v>
      </c>
      <c r="J43" s="46">
        <f>+SUM(C43:G43)-(H43+I43)</f>
        <v>9603727</v>
      </c>
      <c r="K43" s="156" t="b">
        <f>+J43=I4</f>
        <v>1</v>
      </c>
      <c r="Q43" s="5"/>
    </row>
    <row r="44" spans="1:17">
      <c r="A44" s="130" t="str">
        <f t="shared" ref="A44" si="35">+A43</f>
        <v>OCTOBRE</v>
      </c>
      <c r="B44" s="38" t="s">
        <v>64</v>
      </c>
      <c r="C44" s="133">
        <f>+C5</f>
        <v>8844061</v>
      </c>
      <c r="D44" s="51">
        <f>+G5</f>
        <v>5426732</v>
      </c>
      <c r="E44" s="50"/>
      <c r="F44" s="50"/>
      <c r="G44" s="50"/>
      <c r="H44" s="33">
        <f>+F5</f>
        <v>0</v>
      </c>
      <c r="I44" s="52">
        <f>+E5</f>
        <v>4731844</v>
      </c>
      <c r="J44" s="46">
        <f>SUM(C44:G44)-(H44+I44)</f>
        <v>9538949</v>
      </c>
      <c r="K44" s="156" t="b">
        <f>+J44=I5</f>
        <v>1</v>
      </c>
      <c r="Q44" s="5"/>
    </row>
    <row r="45" spans="1:17" ht="15.75">
      <c r="C45" s="151">
        <f>SUM(C29:C44)</f>
        <v>25430796</v>
      </c>
      <c r="I45" s="149">
        <f>SUM(I29:I44)</f>
        <v>8855335</v>
      </c>
      <c r="J45" s="111">
        <f>+SUM(J29:J44)</f>
        <v>22002193</v>
      </c>
      <c r="K45" s="5" t="b">
        <f>J45=I18</f>
        <v>1</v>
      </c>
      <c r="Q45" s="5"/>
    </row>
    <row r="46" spans="1:17" ht="15.75">
      <c r="A46" s="189"/>
      <c r="B46" s="189"/>
      <c r="C46" s="190"/>
      <c r="D46" s="189"/>
      <c r="E46" s="189"/>
      <c r="F46" s="189"/>
      <c r="G46" s="189"/>
      <c r="H46" s="189"/>
      <c r="I46" s="191"/>
      <c r="J46" s="192"/>
      <c r="K46" s="189"/>
      <c r="L46" s="193"/>
      <c r="M46" s="193"/>
      <c r="N46" s="193"/>
      <c r="O46" s="193"/>
      <c r="P46" s="189"/>
      <c r="Q46" s="5"/>
    </row>
    <row r="49" spans="1:17" ht="15.75">
      <c r="A49" s="6" t="s">
        <v>36</v>
      </c>
      <c r="B49" s="6" t="s">
        <v>1</v>
      </c>
      <c r="C49" s="6">
        <v>44805</v>
      </c>
      <c r="D49" s="7" t="s">
        <v>37</v>
      </c>
      <c r="E49" s="7" t="s">
        <v>38</v>
      </c>
      <c r="F49" s="7" t="s">
        <v>39</v>
      </c>
      <c r="G49" s="7" t="s">
        <v>40</v>
      </c>
      <c r="H49" s="6" t="s">
        <v>270</v>
      </c>
      <c r="I49" s="7" t="s">
        <v>41</v>
      </c>
      <c r="K49" s="47"/>
      <c r="L49" s="47" t="s">
        <v>42</v>
      </c>
      <c r="M49" s="47" t="s">
        <v>43</v>
      </c>
      <c r="N49" s="47" t="s">
        <v>44</v>
      </c>
      <c r="O49" s="47" t="s">
        <v>45</v>
      </c>
      <c r="Q49" s="5"/>
    </row>
    <row r="50" spans="1:17" ht="16.5">
      <c r="A50" s="60" t="str">
        <f>K50</f>
        <v>BCI</v>
      </c>
      <c r="B50" s="61" t="s">
        <v>46</v>
      </c>
      <c r="C50" s="63">
        <v>23820820</v>
      </c>
      <c r="D50" s="63">
        <f>+L50</f>
        <v>0</v>
      </c>
      <c r="E50" s="63">
        <f>+N50</f>
        <v>583345</v>
      </c>
      <c r="F50" s="63">
        <f>+M50</f>
        <v>9000000</v>
      </c>
      <c r="G50" s="63">
        <f t="shared" ref="G50:G62" si="36">+O50</f>
        <v>0</v>
      </c>
      <c r="H50" s="63">
        <v>14237475</v>
      </c>
      <c r="I50" s="63">
        <f>+C50+D50-E50-F50+G50</f>
        <v>14237475</v>
      </c>
      <c r="J50" s="9">
        <f>I50-H50</f>
        <v>0</v>
      </c>
      <c r="K50" s="47" t="s">
        <v>24</v>
      </c>
      <c r="L50" s="49">
        <v>0</v>
      </c>
      <c r="M50" s="49">
        <v>9000000</v>
      </c>
      <c r="N50" s="49">
        <v>583345</v>
      </c>
      <c r="O50" s="49">
        <v>0</v>
      </c>
      <c r="Q50" s="5"/>
    </row>
    <row r="51" spans="1:17" ht="16.5">
      <c r="A51" s="60" t="str">
        <f t="shared" ref="A51:A62" si="37">K51</f>
        <v>BCI-Sous Compte</v>
      </c>
      <c r="B51" s="61" t="s">
        <v>46</v>
      </c>
      <c r="C51" s="63">
        <v>14424581</v>
      </c>
      <c r="D51" s="63">
        <f t="shared" ref="D51:D62" si="38">+L51</f>
        <v>0</v>
      </c>
      <c r="E51" s="63">
        <f t="shared" ref="E51:E62" si="39">+N51</f>
        <v>5580520</v>
      </c>
      <c r="F51" s="63">
        <f t="shared" ref="F51:F62" si="40">+M51</f>
        <v>0</v>
      </c>
      <c r="G51" s="63">
        <f t="shared" si="36"/>
        <v>0</v>
      </c>
      <c r="H51" s="63">
        <v>8844061</v>
      </c>
      <c r="I51" s="63">
        <f>+C51+D51-E51-F51+G51</f>
        <v>8844061</v>
      </c>
      <c r="J51" s="9">
        <f t="shared" ref="J51:J57" si="41">I51-H51</f>
        <v>0</v>
      </c>
      <c r="K51" s="47" t="s">
        <v>157</v>
      </c>
      <c r="L51" s="48">
        <v>0</v>
      </c>
      <c r="M51" s="49">
        <v>0</v>
      </c>
      <c r="N51" s="49">
        <v>5580520</v>
      </c>
      <c r="O51" s="49">
        <v>0</v>
      </c>
      <c r="Q51" s="5"/>
    </row>
    <row r="52" spans="1:17" ht="16.5">
      <c r="A52" s="60" t="str">
        <f t="shared" si="37"/>
        <v>Caisse</v>
      </c>
      <c r="B52" s="61" t="s">
        <v>25</v>
      </c>
      <c r="C52" s="63">
        <v>980042</v>
      </c>
      <c r="D52" s="63">
        <f t="shared" si="38"/>
        <v>9476115</v>
      </c>
      <c r="E52" s="63">
        <f t="shared" si="39"/>
        <v>2448183</v>
      </c>
      <c r="F52" s="63">
        <f t="shared" si="40"/>
        <v>6926500</v>
      </c>
      <c r="G52" s="63">
        <f t="shared" si="36"/>
        <v>0</v>
      </c>
      <c r="H52" s="63">
        <v>1081474</v>
      </c>
      <c r="I52" s="63">
        <f>+C52+D52-E52-F52+G52</f>
        <v>1081474</v>
      </c>
      <c r="J52" s="108">
        <f t="shared" si="41"/>
        <v>0</v>
      </c>
      <c r="K52" s="47" t="s">
        <v>25</v>
      </c>
      <c r="L52" s="49">
        <v>9476115</v>
      </c>
      <c r="M52" s="49">
        <v>6926500</v>
      </c>
      <c r="N52" s="49">
        <v>2448183</v>
      </c>
      <c r="O52" s="49">
        <v>0</v>
      </c>
      <c r="Q52" s="5"/>
    </row>
    <row r="53" spans="1:17" ht="16.5">
      <c r="A53" s="60" t="str">
        <f t="shared" si="37"/>
        <v>Crépin</v>
      </c>
      <c r="B53" s="61" t="s">
        <v>163</v>
      </c>
      <c r="C53" s="63">
        <v>65910</v>
      </c>
      <c r="D53" s="63">
        <f t="shared" si="38"/>
        <v>2886000</v>
      </c>
      <c r="E53" s="63">
        <f t="shared" si="39"/>
        <v>1968580</v>
      </c>
      <c r="F53" s="63">
        <f t="shared" si="40"/>
        <v>500000</v>
      </c>
      <c r="G53" s="63">
        <f t="shared" si="36"/>
        <v>0</v>
      </c>
      <c r="H53" s="63">
        <v>483330</v>
      </c>
      <c r="I53" s="63">
        <f>+C53+D53-E53-F53+G53</f>
        <v>483330</v>
      </c>
      <c r="J53" s="9">
        <f t="shared" si="41"/>
        <v>0</v>
      </c>
      <c r="K53" s="47" t="s">
        <v>47</v>
      </c>
      <c r="L53" s="49">
        <v>2886000</v>
      </c>
      <c r="M53" s="49">
        <v>500000</v>
      </c>
      <c r="N53" s="49">
        <v>1968580</v>
      </c>
      <c r="O53" s="49">
        <v>0</v>
      </c>
      <c r="Q53" s="5"/>
    </row>
    <row r="54" spans="1:17" ht="16.5">
      <c r="A54" s="60" t="str">
        <f t="shared" si="37"/>
        <v>Evariste</v>
      </c>
      <c r="B54" s="61" t="s">
        <v>164</v>
      </c>
      <c r="C54" s="63">
        <v>4795</v>
      </c>
      <c r="D54" s="63">
        <f t="shared" si="38"/>
        <v>782000</v>
      </c>
      <c r="E54" s="63">
        <f t="shared" si="39"/>
        <v>710570</v>
      </c>
      <c r="F54" s="63">
        <f t="shared" si="40"/>
        <v>0</v>
      </c>
      <c r="G54" s="63">
        <f t="shared" si="36"/>
        <v>0</v>
      </c>
      <c r="H54" s="63">
        <v>76225</v>
      </c>
      <c r="I54" s="63">
        <f t="shared" ref="I54" si="42">+C54+D54-E54-F54+G54</f>
        <v>76225</v>
      </c>
      <c r="J54" s="9">
        <f t="shared" si="41"/>
        <v>0</v>
      </c>
      <c r="K54" s="47" t="s">
        <v>31</v>
      </c>
      <c r="L54" s="49">
        <v>782000</v>
      </c>
      <c r="M54" s="49">
        <v>0</v>
      </c>
      <c r="N54" s="49">
        <v>710570</v>
      </c>
      <c r="O54" s="49">
        <v>0</v>
      </c>
      <c r="Q54" s="5"/>
    </row>
    <row r="55" spans="1:17" ht="16.5">
      <c r="A55" s="60" t="str">
        <f t="shared" si="37"/>
        <v>I55S</v>
      </c>
      <c r="B55" s="124" t="s">
        <v>4</v>
      </c>
      <c r="C55" s="126">
        <v>233614</v>
      </c>
      <c r="D55" s="126">
        <f t="shared" si="38"/>
        <v>0</v>
      </c>
      <c r="E55" s="126">
        <f t="shared" si="39"/>
        <v>0</v>
      </c>
      <c r="F55" s="126">
        <f t="shared" si="40"/>
        <v>0</v>
      </c>
      <c r="G55" s="126">
        <f t="shared" si="36"/>
        <v>0</v>
      </c>
      <c r="H55" s="126">
        <v>233614</v>
      </c>
      <c r="I55" s="126">
        <f>+C55+D55-E55-F55+G55</f>
        <v>233614</v>
      </c>
      <c r="J55" s="9">
        <f t="shared" si="41"/>
        <v>0</v>
      </c>
      <c r="K55" s="47" t="s">
        <v>84</v>
      </c>
      <c r="L55" s="49">
        <v>0</v>
      </c>
      <c r="M55" s="49">
        <v>0</v>
      </c>
      <c r="N55" s="49">
        <v>0</v>
      </c>
      <c r="O55" s="49">
        <v>0</v>
      </c>
      <c r="Q55" s="5"/>
    </row>
    <row r="56" spans="1:17" ht="16.5">
      <c r="A56" s="60" t="str">
        <f t="shared" si="37"/>
        <v>I73X</v>
      </c>
      <c r="B56" s="124" t="s">
        <v>4</v>
      </c>
      <c r="C56" s="126">
        <v>249769</v>
      </c>
      <c r="D56" s="126">
        <f t="shared" si="38"/>
        <v>0</v>
      </c>
      <c r="E56" s="126">
        <f t="shared" si="39"/>
        <v>0</v>
      </c>
      <c r="F56" s="126">
        <f t="shared" si="40"/>
        <v>0</v>
      </c>
      <c r="G56" s="126">
        <f t="shared" si="36"/>
        <v>0</v>
      </c>
      <c r="H56" s="126">
        <v>249769</v>
      </c>
      <c r="I56" s="126">
        <f t="shared" ref="I56:I59" si="43">+C56+D56-E56-F56+G56</f>
        <v>249769</v>
      </c>
      <c r="J56" s="9">
        <f t="shared" si="41"/>
        <v>0</v>
      </c>
      <c r="K56" s="47" t="s">
        <v>83</v>
      </c>
      <c r="L56" s="49">
        <v>0</v>
      </c>
      <c r="M56" s="49">
        <v>0</v>
      </c>
      <c r="N56" s="49">
        <v>0</v>
      </c>
      <c r="O56" s="49">
        <v>0</v>
      </c>
      <c r="Q56" s="5"/>
    </row>
    <row r="57" spans="1:17" ht="16.5">
      <c r="A57" s="60" t="str">
        <f t="shared" si="37"/>
        <v>Grace</v>
      </c>
      <c r="B57" s="104" t="s">
        <v>2</v>
      </c>
      <c r="C57" s="63">
        <v>116815</v>
      </c>
      <c r="D57" s="63">
        <f t="shared" si="38"/>
        <v>1388000</v>
      </c>
      <c r="E57" s="63">
        <f t="shared" si="39"/>
        <v>228700</v>
      </c>
      <c r="F57" s="63">
        <f t="shared" si="40"/>
        <v>1276115</v>
      </c>
      <c r="G57" s="63">
        <f t="shared" si="36"/>
        <v>0</v>
      </c>
      <c r="H57" s="63">
        <v>0</v>
      </c>
      <c r="I57" s="63">
        <f t="shared" si="43"/>
        <v>0</v>
      </c>
      <c r="J57" s="9">
        <f t="shared" si="41"/>
        <v>0</v>
      </c>
      <c r="K57" s="47" t="s">
        <v>151</v>
      </c>
      <c r="L57" s="49">
        <v>1388000</v>
      </c>
      <c r="M57" s="49">
        <v>1276115</v>
      </c>
      <c r="N57" s="49">
        <v>228700</v>
      </c>
      <c r="O57" s="49">
        <v>0</v>
      </c>
      <c r="Q57" s="5"/>
    </row>
    <row r="58" spans="1:17" s="296" customFormat="1" ht="16.5">
      <c r="A58" s="60" t="str">
        <f t="shared" si="37"/>
        <v>Hurielle</v>
      </c>
      <c r="B58" s="291" t="s">
        <v>163</v>
      </c>
      <c r="C58" s="292">
        <v>700</v>
      </c>
      <c r="D58" s="63">
        <f t="shared" si="38"/>
        <v>629000</v>
      </c>
      <c r="E58" s="63">
        <f t="shared" si="39"/>
        <v>513500</v>
      </c>
      <c r="F58" s="63">
        <f t="shared" si="40"/>
        <v>75000</v>
      </c>
      <c r="G58" s="63">
        <f t="shared" si="36"/>
        <v>0</v>
      </c>
      <c r="H58" s="292">
        <f>5000+36200</f>
        <v>41200</v>
      </c>
      <c r="I58" s="292">
        <f t="shared" si="43"/>
        <v>41200</v>
      </c>
      <c r="J58" s="293">
        <f>I58-H58</f>
        <v>0</v>
      </c>
      <c r="K58" s="294" t="s">
        <v>207</v>
      </c>
      <c r="L58" s="295">
        <v>629000</v>
      </c>
      <c r="M58" s="295">
        <v>75000</v>
      </c>
      <c r="N58" s="295">
        <v>513500</v>
      </c>
      <c r="O58" s="295">
        <v>0</v>
      </c>
    </row>
    <row r="59" spans="1:17" ht="16.5">
      <c r="A59" s="60" t="str">
        <f t="shared" si="37"/>
        <v>Merveille</v>
      </c>
      <c r="B59" s="228" t="s">
        <v>2</v>
      </c>
      <c r="C59" s="63">
        <v>6900</v>
      </c>
      <c r="D59" s="63">
        <f t="shared" si="38"/>
        <v>521000</v>
      </c>
      <c r="E59" s="63">
        <f>+N59</f>
        <v>394800</v>
      </c>
      <c r="F59" s="63">
        <f t="shared" si="40"/>
        <v>35000</v>
      </c>
      <c r="G59" s="63">
        <f t="shared" si="36"/>
        <v>0</v>
      </c>
      <c r="H59" s="63">
        <f>97600+500</f>
        <v>98100</v>
      </c>
      <c r="I59" s="63">
        <f t="shared" si="43"/>
        <v>98100</v>
      </c>
      <c r="J59" s="9">
        <f t="shared" ref="J59:J60" si="44">I59-H59</f>
        <v>0</v>
      </c>
      <c r="K59" s="47" t="s">
        <v>93</v>
      </c>
      <c r="L59" s="49">
        <v>521000</v>
      </c>
      <c r="M59" s="49">
        <v>35000</v>
      </c>
      <c r="N59" s="49">
        <f>395300-500</f>
        <v>394800</v>
      </c>
      <c r="O59" s="49">
        <v>0</v>
      </c>
      <c r="Q59" s="5"/>
    </row>
    <row r="60" spans="1:17" ht="16.5">
      <c r="A60" s="60" t="str">
        <f t="shared" si="37"/>
        <v>P29</v>
      </c>
      <c r="B60" s="227" t="s">
        <v>4</v>
      </c>
      <c r="C60" s="63">
        <v>24050</v>
      </c>
      <c r="D60" s="63">
        <f t="shared" si="38"/>
        <v>885000</v>
      </c>
      <c r="E60" s="63">
        <f t="shared" si="39"/>
        <v>798100</v>
      </c>
      <c r="F60" s="63">
        <f t="shared" si="40"/>
        <v>50000</v>
      </c>
      <c r="G60" s="63">
        <f t="shared" si="36"/>
        <v>0</v>
      </c>
      <c r="H60" s="63">
        <v>60950</v>
      </c>
      <c r="I60" s="63">
        <f>+C60+D60-E60-F60+G60</f>
        <v>60950</v>
      </c>
      <c r="J60" s="9">
        <f t="shared" si="44"/>
        <v>0</v>
      </c>
      <c r="K60" s="47" t="s">
        <v>29</v>
      </c>
      <c r="L60" s="49">
        <v>885000</v>
      </c>
      <c r="M60" s="49">
        <v>50000</v>
      </c>
      <c r="N60" s="49">
        <v>798100</v>
      </c>
      <c r="O60" s="49">
        <v>0</v>
      </c>
      <c r="Q60" s="5"/>
    </row>
    <row r="61" spans="1:17" ht="16.5">
      <c r="A61" s="60" t="str">
        <f t="shared" si="37"/>
        <v>Tiffany</v>
      </c>
      <c r="B61" s="227" t="s">
        <v>2</v>
      </c>
      <c r="C61" s="63">
        <v>-653702</v>
      </c>
      <c r="D61" s="63">
        <f t="shared" si="38"/>
        <v>731000</v>
      </c>
      <c r="E61" s="63">
        <f t="shared" si="39"/>
        <v>51000</v>
      </c>
      <c r="F61" s="63">
        <f t="shared" si="40"/>
        <v>0</v>
      </c>
      <c r="G61" s="63">
        <f t="shared" si="36"/>
        <v>0</v>
      </c>
      <c r="H61" s="63">
        <v>26298</v>
      </c>
      <c r="I61" s="63">
        <f>+C61+D61-E61-F61+G61</f>
        <v>26298</v>
      </c>
      <c r="J61" s="9">
        <f>I61-H61</f>
        <v>0</v>
      </c>
      <c r="K61" s="47" t="s">
        <v>113</v>
      </c>
      <c r="L61" s="49">
        <v>731000</v>
      </c>
      <c r="M61" s="49">
        <v>0</v>
      </c>
      <c r="N61" s="49">
        <v>51000</v>
      </c>
      <c r="O61" s="49">
        <v>0</v>
      </c>
      <c r="Q61" s="5"/>
    </row>
    <row r="62" spans="1:17" ht="16.5">
      <c r="A62" s="60" t="str">
        <f t="shared" si="37"/>
        <v>Yan</v>
      </c>
      <c r="B62" s="61" t="s">
        <v>163</v>
      </c>
      <c r="C62" s="63">
        <v>0</v>
      </c>
      <c r="D62" s="63">
        <f t="shared" si="38"/>
        <v>599500</v>
      </c>
      <c r="E62" s="63">
        <f t="shared" si="39"/>
        <v>566200</v>
      </c>
      <c r="F62" s="63">
        <f t="shared" si="40"/>
        <v>35000</v>
      </c>
      <c r="G62" s="63">
        <f t="shared" si="36"/>
        <v>0</v>
      </c>
      <c r="H62" s="63">
        <v>-1700</v>
      </c>
      <c r="I62" s="63">
        <f t="shared" ref="I62" si="45">+C62+D62-E62-F62+G62</f>
        <v>-1700</v>
      </c>
      <c r="J62" s="9">
        <f t="shared" ref="J62" si="46">I62-H62</f>
        <v>0</v>
      </c>
      <c r="K62" s="47" t="s">
        <v>223</v>
      </c>
      <c r="L62" s="49">
        <v>599500</v>
      </c>
      <c r="M62" s="49">
        <v>35000</v>
      </c>
      <c r="N62" s="49">
        <v>566200</v>
      </c>
      <c r="O62" s="49">
        <v>0</v>
      </c>
      <c r="Q62" s="5"/>
    </row>
    <row r="63" spans="1:17" ht="16.5">
      <c r="A63" s="10" t="s">
        <v>50</v>
      </c>
      <c r="B63" s="11"/>
      <c r="C63" s="12">
        <f t="shared" ref="C63:I63" si="47">SUM(C50:C62)</f>
        <v>39274294</v>
      </c>
      <c r="D63" s="59">
        <f t="shared" si="47"/>
        <v>17897615</v>
      </c>
      <c r="E63" s="59">
        <f t="shared" si="47"/>
        <v>13843498</v>
      </c>
      <c r="F63" s="59">
        <f t="shared" si="47"/>
        <v>17897615</v>
      </c>
      <c r="G63" s="59">
        <f t="shared" si="47"/>
        <v>0</v>
      </c>
      <c r="H63" s="59">
        <f>SUM(H50:H62)</f>
        <v>25430796</v>
      </c>
      <c r="I63" s="59">
        <f t="shared" si="47"/>
        <v>25430796</v>
      </c>
      <c r="J63" s="9">
        <f>I63-H63</f>
        <v>0</v>
      </c>
      <c r="K63" s="3"/>
      <c r="L63" s="49">
        <f>+SUM(L50:L62)</f>
        <v>17897615</v>
      </c>
      <c r="M63" s="49">
        <f>+SUM(M50:M62)</f>
        <v>17897615</v>
      </c>
      <c r="N63" s="49">
        <f>+SUM(N50:N62)</f>
        <v>13843498</v>
      </c>
      <c r="O63" s="49">
        <f>+SUM(O50:O62)</f>
        <v>0</v>
      </c>
      <c r="Q63" s="5"/>
    </row>
    <row r="64" spans="1:17" ht="16.5">
      <c r="A64" s="10"/>
      <c r="B64" s="11"/>
      <c r="C64" s="12"/>
      <c r="D64" s="13"/>
      <c r="E64" s="12"/>
      <c r="F64" s="13"/>
      <c r="G64" s="12"/>
      <c r="H64" s="12"/>
      <c r="I64" s="143" t="b">
        <f>I63=D66</f>
        <v>1</v>
      </c>
      <c r="J64" s="9">
        <f>H63-I63</f>
        <v>0</v>
      </c>
      <c r="L64" s="5"/>
      <c r="M64" s="5"/>
      <c r="N64" s="5"/>
      <c r="O64" s="5"/>
      <c r="Q64" s="5"/>
    </row>
    <row r="65" spans="1:17" ht="16.5">
      <c r="A65" s="10" t="s">
        <v>274</v>
      </c>
      <c r="B65" s="11" t="s">
        <v>273</v>
      </c>
      <c r="C65" s="12" t="s">
        <v>272</v>
      </c>
      <c r="D65" s="12" t="s">
        <v>271</v>
      </c>
      <c r="E65" s="12" t="s">
        <v>51</v>
      </c>
      <c r="F65" s="12"/>
      <c r="G65" s="12">
        <f>+D63-F63</f>
        <v>0</v>
      </c>
      <c r="H65" s="12"/>
      <c r="I65" s="12"/>
      <c r="Q65" s="5"/>
    </row>
    <row r="66" spans="1:17" ht="16.5">
      <c r="A66" s="14">
        <f>C63</f>
        <v>39274294</v>
      </c>
      <c r="B66" s="15">
        <f>G63</f>
        <v>0</v>
      </c>
      <c r="C66" s="12">
        <f>E63</f>
        <v>13843498</v>
      </c>
      <c r="D66" s="12">
        <f>A66+B66-C66</f>
        <v>25430796</v>
      </c>
      <c r="E66" s="13">
        <f>I63-D66</f>
        <v>0</v>
      </c>
      <c r="F66" s="12"/>
      <c r="G66" s="12"/>
      <c r="H66" s="12"/>
      <c r="I66" s="12"/>
      <c r="Q66" s="5"/>
    </row>
    <row r="67" spans="1:17" ht="16.5">
      <c r="A67" s="14"/>
      <c r="B67" s="15"/>
      <c r="C67" s="12"/>
      <c r="D67" s="12"/>
      <c r="E67" s="13"/>
      <c r="F67" s="12"/>
      <c r="G67" s="12"/>
      <c r="H67" s="12"/>
      <c r="I67" s="12"/>
      <c r="Q67" s="5"/>
    </row>
    <row r="68" spans="1:17">
      <c r="A68" s="16" t="s">
        <v>52</v>
      </c>
      <c r="B68" s="16"/>
      <c r="C68" s="16"/>
      <c r="D68" s="17"/>
      <c r="E68" s="17"/>
      <c r="F68" s="17"/>
      <c r="G68" s="17"/>
      <c r="H68" s="17"/>
      <c r="I68" s="17"/>
      <c r="Q68" s="5"/>
    </row>
    <row r="69" spans="1:17">
      <c r="A69" s="18" t="s">
        <v>275</v>
      </c>
      <c r="B69" s="18"/>
      <c r="C69" s="18"/>
      <c r="D69" s="18"/>
      <c r="E69" s="18"/>
      <c r="F69" s="18"/>
      <c r="G69" s="18"/>
      <c r="H69" s="18"/>
      <c r="I69" s="18"/>
      <c r="J69" s="18"/>
      <c r="Q69" s="5"/>
    </row>
    <row r="70" spans="1:17">
      <c r="A70" s="19"/>
      <c r="B70" s="20"/>
      <c r="C70" s="21"/>
      <c r="D70" s="21"/>
      <c r="E70" s="21"/>
      <c r="F70" s="21"/>
      <c r="G70" s="21"/>
      <c r="H70" s="20"/>
      <c r="I70" s="20"/>
      <c r="Q70" s="5"/>
    </row>
    <row r="71" spans="1:17" ht="45" customHeight="1">
      <c r="A71" s="297" t="s">
        <v>53</v>
      </c>
      <c r="B71" s="299" t="s">
        <v>54</v>
      </c>
      <c r="C71" s="301" t="s">
        <v>276</v>
      </c>
      <c r="D71" s="303" t="s">
        <v>55</v>
      </c>
      <c r="E71" s="304"/>
      <c r="F71" s="304"/>
      <c r="G71" s="305"/>
      <c r="H71" s="306" t="s">
        <v>56</v>
      </c>
      <c r="I71" s="308" t="s">
        <v>57</v>
      </c>
      <c r="J71" s="20"/>
      <c r="Q71" s="5"/>
    </row>
    <row r="72" spans="1:17" ht="28.5" customHeight="1">
      <c r="A72" s="298"/>
      <c r="B72" s="300"/>
      <c r="C72" s="302"/>
      <c r="D72" s="22" t="s">
        <v>24</v>
      </c>
      <c r="E72" s="22" t="s">
        <v>25</v>
      </c>
      <c r="F72" s="302" t="s">
        <v>123</v>
      </c>
      <c r="G72" s="22" t="s">
        <v>58</v>
      </c>
      <c r="H72" s="307"/>
      <c r="I72" s="309"/>
      <c r="J72" s="310" t="s">
        <v>277</v>
      </c>
      <c r="K72" s="155"/>
      <c r="Q72" s="5"/>
    </row>
    <row r="73" spans="1:17">
      <c r="A73" s="24"/>
      <c r="B73" s="25" t="s">
        <v>59</v>
      </c>
      <c r="C73" s="26"/>
      <c r="D73" s="26"/>
      <c r="E73" s="26"/>
      <c r="F73" s="26"/>
      <c r="G73" s="26"/>
      <c r="H73" s="26"/>
      <c r="I73" s="27"/>
      <c r="J73" s="311"/>
      <c r="K73" s="155"/>
      <c r="Q73" s="5"/>
    </row>
    <row r="74" spans="1:17">
      <c r="A74" s="130" t="s">
        <v>79</v>
      </c>
      <c r="B74" s="135" t="s">
        <v>47</v>
      </c>
      <c r="C74" s="33">
        <f t="shared" ref="C74:C83" si="48">+C53</f>
        <v>65910</v>
      </c>
      <c r="D74" s="32"/>
      <c r="E74" s="33">
        <f t="shared" ref="E74:E83" si="49">+D53</f>
        <v>2886000</v>
      </c>
      <c r="F74" s="33"/>
      <c r="G74" s="33"/>
      <c r="H74" s="57">
        <f t="shared" ref="H74:H83" si="50">+F53</f>
        <v>500000</v>
      </c>
      <c r="I74" s="33">
        <f t="shared" ref="I74:I83" si="51">+E53</f>
        <v>1968580</v>
      </c>
      <c r="J74" s="31">
        <f t="shared" ref="J74:J75" si="52">+SUM(C74:G74)-(H74+I74)</f>
        <v>483330</v>
      </c>
      <c r="K74" s="156" t="b">
        <f t="shared" ref="K74:K83" si="53">J74=I53</f>
        <v>1</v>
      </c>
      <c r="Q74" s="5"/>
    </row>
    <row r="75" spans="1:17">
      <c r="A75" s="130" t="str">
        <f>+A74</f>
        <v>SEPTEMBRE</v>
      </c>
      <c r="B75" s="135" t="s">
        <v>31</v>
      </c>
      <c r="C75" s="33">
        <f t="shared" si="48"/>
        <v>4795</v>
      </c>
      <c r="D75" s="32"/>
      <c r="E75" s="33">
        <f t="shared" si="49"/>
        <v>782000</v>
      </c>
      <c r="F75" s="33"/>
      <c r="G75" s="33"/>
      <c r="H75" s="57">
        <f t="shared" si="50"/>
        <v>0</v>
      </c>
      <c r="I75" s="33">
        <f t="shared" si="51"/>
        <v>710570</v>
      </c>
      <c r="J75" s="107">
        <f t="shared" si="52"/>
        <v>76225</v>
      </c>
      <c r="K75" s="156" t="b">
        <f t="shared" si="53"/>
        <v>1</v>
      </c>
      <c r="Q75" s="5"/>
    </row>
    <row r="76" spans="1:17">
      <c r="A76" s="130" t="str">
        <f t="shared" ref="A76:A80" si="54">+A75</f>
        <v>SEPTEMBRE</v>
      </c>
      <c r="B76" s="137" t="s">
        <v>84</v>
      </c>
      <c r="C76" s="128">
        <f t="shared" si="48"/>
        <v>233614</v>
      </c>
      <c r="D76" s="131"/>
      <c r="E76" s="128">
        <f t="shared" si="49"/>
        <v>0</v>
      </c>
      <c r="F76" s="146"/>
      <c r="G76" s="146"/>
      <c r="H76" s="178">
        <f t="shared" si="50"/>
        <v>0</v>
      </c>
      <c r="I76" s="128">
        <f t="shared" si="51"/>
        <v>0</v>
      </c>
      <c r="J76" s="129">
        <f>+SUM(C76:G76)-(H76+I76)</f>
        <v>233614</v>
      </c>
      <c r="K76" s="156" t="b">
        <f t="shared" si="53"/>
        <v>1</v>
      </c>
      <c r="Q76" s="5"/>
    </row>
    <row r="77" spans="1:17">
      <c r="A77" s="130" t="str">
        <f t="shared" si="54"/>
        <v>SEPTEMBRE</v>
      </c>
      <c r="B77" s="137" t="s">
        <v>83</v>
      </c>
      <c r="C77" s="128">
        <f t="shared" si="48"/>
        <v>249769</v>
      </c>
      <c r="D77" s="131"/>
      <c r="E77" s="128">
        <f t="shared" si="49"/>
        <v>0</v>
      </c>
      <c r="F77" s="146"/>
      <c r="G77" s="146"/>
      <c r="H77" s="178">
        <f t="shared" si="50"/>
        <v>0</v>
      </c>
      <c r="I77" s="128">
        <f t="shared" si="51"/>
        <v>0</v>
      </c>
      <c r="J77" s="129">
        <f t="shared" ref="J77:J83" si="55">+SUM(C77:G77)-(H77+I77)</f>
        <v>249769</v>
      </c>
      <c r="K77" s="156" t="b">
        <f t="shared" si="53"/>
        <v>1</v>
      </c>
      <c r="Q77" s="5"/>
    </row>
    <row r="78" spans="1:17">
      <c r="A78" s="130" t="str">
        <f t="shared" si="54"/>
        <v>SEPTEMBRE</v>
      </c>
      <c r="B78" s="135" t="s">
        <v>151</v>
      </c>
      <c r="C78" s="33">
        <f t="shared" si="48"/>
        <v>116815</v>
      </c>
      <c r="D78" s="32"/>
      <c r="E78" s="33">
        <f t="shared" si="49"/>
        <v>1388000</v>
      </c>
      <c r="F78" s="33"/>
      <c r="G78" s="110"/>
      <c r="H78" s="57">
        <f t="shared" si="50"/>
        <v>1276115</v>
      </c>
      <c r="I78" s="33">
        <f t="shared" si="51"/>
        <v>228700</v>
      </c>
      <c r="J78" s="31">
        <f t="shared" si="55"/>
        <v>0</v>
      </c>
      <c r="K78" s="156" t="b">
        <f t="shared" si="53"/>
        <v>1</v>
      </c>
      <c r="Q78" s="5"/>
    </row>
    <row r="79" spans="1:17">
      <c r="A79" s="130" t="str">
        <f t="shared" si="54"/>
        <v>SEPTEMBRE</v>
      </c>
      <c r="B79" s="135" t="s">
        <v>207</v>
      </c>
      <c r="C79" s="33">
        <f t="shared" si="48"/>
        <v>700</v>
      </c>
      <c r="D79" s="32"/>
      <c r="E79" s="33">
        <f t="shared" si="49"/>
        <v>629000</v>
      </c>
      <c r="F79" s="33"/>
      <c r="G79" s="110"/>
      <c r="H79" s="57">
        <f t="shared" si="50"/>
        <v>75000</v>
      </c>
      <c r="I79" s="33">
        <f t="shared" si="51"/>
        <v>513500</v>
      </c>
      <c r="J79" s="31">
        <f t="shared" si="55"/>
        <v>41200</v>
      </c>
      <c r="K79" s="156" t="b">
        <f t="shared" si="53"/>
        <v>1</v>
      </c>
      <c r="Q79" s="5"/>
    </row>
    <row r="80" spans="1:17">
      <c r="A80" s="130" t="str">
        <f t="shared" si="54"/>
        <v>SEPTEMBRE</v>
      </c>
      <c r="B80" s="135" t="s">
        <v>30</v>
      </c>
      <c r="C80" s="33">
        <f t="shared" si="48"/>
        <v>6900</v>
      </c>
      <c r="D80" s="32"/>
      <c r="E80" s="33">
        <f t="shared" si="49"/>
        <v>521000</v>
      </c>
      <c r="F80" s="33"/>
      <c r="G80" s="110"/>
      <c r="H80" s="57">
        <f t="shared" si="50"/>
        <v>35000</v>
      </c>
      <c r="I80" s="33">
        <f t="shared" si="51"/>
        <v>394800</v>
      </c>
      <c r="J80" s="31">
        <f t="shared" si="55"/>
        <v>98100</v>
      </c>
      <c r="K80" s="156" t="b">
        <f t="shared" si="53"/>
        <v>1</v>
      </c>
      <c r="Q80" s="5"/>
    </row>
    <row r="81" spans="1:17">
      <c r="A81" s="130" t="str">
        <f>+A79</f>
        <v>SEPTEMBRE</v>
      </c>
      <c r="B81" s="135" t="s">
        <v>93</v>
      </c>
      <c r="C81" s="33">
        <f t="shared" si="48"/>
        <v>24050</v>
      </c>
      <c r="D81" s="32"/>
      <c r="E81" s="33">
        <f t="shared" si="49"/>
        <v>885000</v>
      </c>
      <c r="F81" s="33"/>
      <c r="G81" s="110"/>
      <c r="H81" s="57">
        <f t="shared" si="50"/>
        <v>50000</v>
      </c>
      <c r="I81" s="33">
        <f t="shared" si="51"/>
        <v>798100</v>
      </c>
      <c r="J81" s="31">
        <f t="shared" si="55"/>
        <v>60950</v>
      </c>
      <c r="K81" s="156" t="b">
        <f t="shared" si="53"/>
        <v>1</v>
      </c>
      <c r="Q81" s="5"/>
    </row>
    <row r="82" spans="1:17">
      <c r="A82" s="130" t="str">
        <f>+A80</f>
        <v>SEPTEMBRE</v>
      </c>
      <c r="B82" s="135" t="s">
        <v>29</v>
      </c>
      <c r="C82" s="33">
        <f t="shared" si="48"/>
        <v>-653702</v>
      </c>
      <c r="D82" s="32"/>
      <c r="E82" s="33">
        <f t="shared" si="49"/>
        <v>731000</v>
      </c>
      <c r="F82" s="33"/>
      <c r="G82" s="110"/>
      <c r="H82" s="57">
        <f t="shared" si="50"/>
        <v>0</v>
      </c>
      <c r="I82" s="33">
        <f t="shared" si="51"/>
        <v>51000</v>
      </c>
      <c r="J82" s="31">
        <f t="shared" si="55"/>
        <v>26298</v>
      </c>
      <c r="K82" s="156" t="b">
        <f t="shared" si="53"/>
        <v>1</v>
      </c>
      <c r="Q82" s="5"/>
    </row>
    <row r="83" spans="1:17">
      <c r="A83" s="130" t="str">
        <f>+A81</f>
        <v>SEPTEMBRE</v>
      </c>
      <c r="B83" s="136" t="s">
        <v>113</v>
      </c>
      <c r="C83" s="33">
        <f t="shared" si="48"/>
        <v>0</v>
      </c>
      <c r="D83" s="127"/>
      <c r="E83" s="33">
        <f t="shared" si="49"/>
        <v>599500</v>
      </c>
      <c r="F83" s="53"/>
      <c r="G83" s="147"/>
      <c r="H83" s="57">
        <f t="shared" si="50"/>
        <v>35000</v>
      </c>
      <c r="I83" s="33">
        <f t="shared" si="51"/>
        <v>566200</v>
      </c>
      <c r="J83" s="31">
        <f t="shared" si="55"/>
        <v>-1700</v>
      </c>
      <c r="K83" s="156" t="b">
        <f t="shared" si="53"/>
        <v>1</v>
      </c>
      <c r="Q83" s="5"/>
    </row>
    <row r="84" spans="1:17">
      <c r="A84" s="35" t="s">
        <v>60</v>
      </c>
      <c r="B84" s="36"/>
      <c r="C84" s="36"/>
      <c r="D84" s="36"/>
      <c r="E84" s="36"/>
      <c r="F84" s="36"/>
      <c r="G84" s="36"/>
      <c r="H84" s="36"/>
      <c r="I84" s="36"/>
      <c r="J84" s="37"/>
      <c r="K84" s="155"/>
      <c r="Q84" s="5"/>
    </row>
    <row r="85" spans="1:17">
      <c r="A85" s="130" t="str">
        <f>A83</f>
        <v>SEPTEMBRE</v>
      </c>
      <c r="B85" s="38" t="s">
        <v>61</v>
      </c>
      <c r="C85" s="39">
        <f>+C52</f>
        <v>980042</v>
      </c>
      <c r="D85" s="51"/>
      <c r="E85" s="51">
        <f>D52</f>
        <v>9476115</v>
      </c>
      <c r="F85" s="51"/>
      <c r="G85" s="133"/>
      <c r="H85" s="53">
        <f>+F52</f>
        <v>6926500</v>
      </c>
      <c r="I85" s="134">
        <f>+E52</f>
        <v>2448183</v>
      </c>
      <c r="J85" s="46">
        <f>+SUM(C85:G85)-(H85+I85)</f>
        <v>1081474</v>
      </c>
      <c r="K85" s="156" t="b">
        <f>J85=I52</f>
        <v>1</v>
      </c>
      <c r="Q85" s="5"/>
    </row>
    <row r="86" spans="1:17">
      <c r="A86" s="44" t="s">
        <v>62</v>
      </c>
      <c r="B86" s="25"/>
      <c r="C86" s="36"/>
      <c r="D86" s="25"/>
      <c r="E86" s="25"/>
      <c r="F86" s="25"/>
      <c r="G86" s="25"/>
      <c r="H86" s="25"/>
      <c r="I86" s="25"/>
      <c r="J86" s="37"/>
      <c r="K86" s="155"/>
      <c r="Q86" s="5"/>
    </row>
    <row r="87" spans="1:17">
      <c r="A87" s="130" t="str">
        <f>+A85</f>
        <v>SEPTEMBRE</v>
      </c>
      <c r="B87" s="38" t="s">
        <v>166</v>
      </c>
      <c r="C87" s="133">
        <f>+C50</f>
        <v>23820820</v>
      </c>
      <c r="D87" s="140">
        <f>+G50</f>
        <v>0</v>
      </c>
      <c r="E87" s="51"/>
      <c r="F87" s="51"/>
      <c r="G87" s="51"/>
      <c r="H87" s="53">
        <f>+F50</f>
        <v>9000000</v>
      </c>
      <c r="I87" s="55">
        <f>+E50</f>
        <v>583345</v>
      </c>
      <c r="J87" s="46">
        <f>+SUM(C87:G87)-(H87+I87)</f>
        <v>14237475</v>
      </c>
      <c r="K87" s="156" t="b">
        <f>+J87=I50</f>
        <v>1</v>
      </c>
      <c r="Q87" s="5"/>
    </row>
    <row r="88" spans="1:17">
      <c r="A88" s="130" t="str">
        <f t="shared" ref="A88" si="56">+A87</f>
        <v>SEPTEMBRE</v>
      </c>
      <c r="B88" s="38" t="s">
        <v>64</v>
      </c>
      <c r="C88" s="133">
        <f>+C51</f>
        <v>14424581</v>
      </c>
      <c r="D88" s="51">
        <f>+G51</f>
        <v>0</v>
      </c>
      <c r="E88" s="50"/>
      <c r="F88" s="50"/>
      <c r="G88" s="50"/>
      <c r="H88" s="33">
        <f>+F51</f>
        <v>0</v>
      </c>
      <c r="I88" s="52">
        <f>+E51</f>
        <v>5580520</v>
      </c>
      <c r="J88" s="46">
        <f>SUM(C88:G88)-(H88+I88)</f>
        <v>8844061</v>
      </c>
      <c r="K88" s="156" t="b">
        <f>+J88=I51</f>
        <v>1</v>
      </c>
      <c r="Q88" s="5"/>
    </row>
    <row r="89" spans="1:17" ht="15.75">
      <c r="C89" s="151">
        <f>SUM(C74:C88)</f>
        <v>39274294</v>
      </c>
      <c r="I89" s="149">
        <f>SUM(I74:I88)</f>
        <v>13843498</v>
      </c>
      <c r="J89" s="111">
        <f>+SUM(J74:J88)</f>
        <v>25430796</v>
      </c>
      <c r="K89" s="5" t="b">
        <f>J89=I63</f>
        <v>1</v>
      </c>
      <c r="Q89" s="5"/>
    </row>
    <row r="90" spans="1:17" ht="15.75">
      <c r="A90" s="189"/>
      <c r="B90" s="189"/>
      <c r="C90" s="190"/>
      <c r="D90" s="189"/>
      <c r="E90" s="189"/>
      <c r="F90" s="189"/>
      <c r="G90" s="189"/>
      <c r="H90" s="189"/>
      <c r="I90" s="191"/>
      <c r="J90" s="192"/>
      <c r="K90" s="189"/>
      <c r="L90" s="193"/>
      <c r="M90" s="193"/>
      <c r="N90" s="193"/>
      <c r="O90" s="193"/>
      <c r="P90" s="189"/>
      <c r="Q90" s="5"/>
    </row>
    <row r="92" spans="1:17" ht="15.75">
      <c r="A92" s="6" t="s">
        <v>36</v>
      </c>
      <c r="B92" s="6" t="s">
        <v>1</v>
      </c>
      <c r="C92" s="6">
        <v>44774</v>
      </c>
      <c r="D92" s="7" t="s">
        <v>37</v>
      </c>
      <c r="E92" s="7" t="s">
        <v>38</v>
      </c>
      <c r="F92" s="7" t="s">
        <v>39</v>
      </c>
      <c r="G92" s="7" t="s">
        <v>40</v>
      </c>
      <c r="H92" s="6">
        <v>44804</v>
      </c>
      <c r="I92" s="7" t="s">
        <v>41</v>
      </c>
      <c r="K92" s="47"/>
      <c r="L92" s="47" t="s">
        <v>42</v>
      </c>
      <c r="M92" s="47" t="s">
        <v>43</v>
      </c>
      <c r="N92" s="47" t="s">
        <v>44</v>
      </c>
      <c r="O92" s="47" t="s">
        <v>45</v>
      </c>
      <c r="Q92" s="5"/>
    </row>
    <row r="93" spans="1:17" ht="16.5">
      <c r="A93" s="60" t="str">
        <f>K93</f>
        <v>BCI</v>
      </c>
      <c r="B93" s="61" t="s">
        <v>46</v>
      </c>
      <c r="C93" s="63">
        <v>168348</v>
      </c>
      <c r="D93" s="63">
        <f>+L93</f>
        <v>0</v>
      </c>
      <c r="E93" s="63">
        <f>+N93</f>
        <v>286008</v>
      </c>
      <c r="F93" s="63">
        <f>+M93</f>
        <v>1000000</v>
      </c>
      <c r="G93" s="63">
        <f t="shared" ref="G93:G103" si="57">+O93</f>
        <v>24938480</v>
      </c>
      <c r="H93" s="63">
        <v>23820820</v>
      </c>
      <c r="I93" s="63">
        <f>+C93+D93-E93-F93+G93</f>
        <v>23820820</v>
      </c>
      <c r="J93" s="9">
        <f>I93-H93</f>
        <v>0</v>
      </c>
      <c r="K93" s="47" t="s">
        <v>24</v>
      </c>
      <c r="L93" s="49">
        <v>0</v>
      </c>
      <c r="M93" s="49">
        <v>1000000</v>
      </c>
      <c r="N93" s="49">
        <v>286008</v>
      </c>
      <c r="O93" s="49">
        <v>24938480</v>
      </c>
      <c r="Q93" s="5"/>
    </row>
    <row r="94" spans="1:17" ht="16.5">
      <c r="A94" s="60" t="str">
        <f t="shared" ref="A94:A105" si="58">K94</f>
        <v>BCI-Sous Compte</v>
      </c>
      <c r="B94" s="61" t="s">
        <v>46</v>
      </c>
      <c r="C94" s="63">
        <v>21477810</v>
      </c>
      <c r="D94" s="63">
        <f t="shared" ref="D94:D105" si="59">+L94</f>
        <v>0</v>
      </c>
      <c r="E94" s="63">
        <f t="shared" ref="E94:E105" si="60">+N94</f>
        <v>4453229</v>
      </c>
      <c r="F94" s="63">
        <f t="shared" ref="F94:F105" si="61">+M94</f>
        <v>2600000</v>
      </c>
      <c r="G94" s="63">
        <f t="shared" si="57"/>
        <v>0</v>
      </c>
      <c r="H94" s="63">
        <v>14424581</v>
      </c>
      <c r="I94" s="63">
        <f>+C94+D94-E94-F94+G94</f>
        <v>14424581</v>
      </c>
      <c r="J94" s="9">
        <f t="shared" ref="J94:J100" si="62">I94-H94</f>
        <v>0</v>
      </c>
      <c r="K94" s="47" t="s">
        <v>157</v>
      </c>
      <c r="L94" s="48">
        <v>0</v>
      </c>
      <c r="M94" s="49">
        <v>2600000</v>
      </c>
      <c r="N94" s="49">
        <v>4453229</v>
      </c>
      <c r="O94" s="49">
        <v>0</v>
      </c>
      <c r="Q94" s="5"/>
    </row>
    <row r="95" spans="1:17" ht="16.5">
      <c r="A95" s="60" t="str">
        <f t="shared" si="58"/>
        <v>Caisse</v>
      </c>
      <c r="B95" s="61" t="s">
        <v>25</v>
      </c>
      <c r="C95" s="63">
        <v>103032</v>
      </c>
      <c r="D95" s="63">
        <f t="shared" si="59"/>
        <v>3946550</v>
      </c>
      <c r="E95" s="63">
        <f t="shared" si="60"/>
        <v>994290</v>
      </c>
      <c r="F95" s="63">
        <f t="shared" si="61"/>
        <v>2075250</v>
      </c>
      <c r="G95" s="63">
        <f t="shared" si="57"/>
        <v>0</v>
      </c>
      <c r="H95" s="63">
        <v>980042</v>
      </c>
      <c r="I95" s="63">
        <f>+C95+D95-E95-F95+G95</f>
        <v>980042</v>
      </c>
      <c r="J95" s="108">
        <f t="shared" si="62"/>
        <v>0</v>
      </c>
      <c r="K95" s="47" t="s">
        <v>25</v>
      </c>
      <c r="L95" s="49">
        <v>3946550</v>
      </c>
      <c r="M95" s="49">
        <v>2075250</v>
      </c>
      <c r="N95" s="49">
        <v>994290</v>
      </c>
      <c r="O95" s="49">
        <v>0</v>
      </c>
      <c r="Q95" s="5"/>
    </row>
    <row r="96" spans="1:17" ht="16.5">
      <c r="A96" s="60" t="str">
        <f t="shared" si="58"/>
        <v>Crépin</v>
      </c>
      <c r="B96" s="61" t="s">
        <v>163</v>
      </c>
      <c r="C96" s="63">
        <v>-5640</v>
      </c>
      <c r="D96" s="63">
        <f t="shared" si="59"/>
        <v>600250</v>
      </c>
      <c r="E96" s="63">
        <f t="shared" si="60"/>
        <v>421700</v>
      </c>
      <c r="F96" s="63">
        <f t="shared" si="61"/>
        <v>107000</v>
      </c>
      <c r="G96" s="63">
        <f t="shared" si="57"/>
        <v>0</v>
      </c>
      <c r="H96" s="63">
        <v>65910</v>
      </c>
      <c r="I96" s="63">
        <f>+C96+D96-E96-F96+G96</f>
        <v>65910</v>
      </c>
      <c r="J96" s="9">
        <f t="shared" si="62"/>
        <v>0</v>
      </c>
      <c r="K96" s="47" t="s">
        <v>47</v>
      </c>
      <c r="L96" s="49">
        <v>600250</v>
      </c>
      <c r="M96" s="49">
        <v>107000</v>
      </c>
      <c r="N96" s="49">
        <v>421700</v>
      </c>
      <c r="O96" s="49">
        <v>0</v>
      </c>
      <c r="Q96" s="5"/>
    </row>
    <row r="97" spans="1:17" ht="16.5">
      <c r="A97" s="60" t="str">
        <f t="shared" si="58"/>
        <v>Evariste</v>
      </c>
      <c r="B97" s="61" t="s">
        <v>164</v>
      </c>
      <c r="C97" s="63">
        <v>4795</v>
      </c>
      <c r="D97" s="63">
        <f t="shared" si="59"/>
        <v>0</v>
      </c>
      <c r="E97" s="63">
        <f t="shared" si="60"/>
        <v>0</v>
      </c>
      <c r="F97" s="63">
        <f t="shared" si="61"/>
        <v>0</v>
      </c>
      <c r="G97" s="63">
        <f t="shared" si="57"/>
        <v>0</v>
      </c>
      <c r="H97" s="63">
        <v>4795</v>
      </c>
      <c r="I97" s="63">
        <f t="shared" ref="I97" si="63">+C97+D97-E97-F97+G97</f>
        <v>4795</v>
      </c>
      <c r="J97" s="9">
        <f t="shared" si="62"/>
        <v>0</v>
      </c>
      <c r="K97" s="47" t="s">
        <v>31</v>
      </c>
      <c r="L97" s="49">
        <v>0</v>
      </c>
      <c r="M97" s="49">
        <v>0</v>
      </c>
      <c r="N97" s="49">
        <v>0</v>
      </c>
      <c r="O97" s="49">
        <v>0</v>
      </c>
      <c r="Q97" s="5"/>
    </row>
    <row r="98" spans="1:17" ht="16.5">
      <c r="A98" s="60" t="str">
        <f t="shared" si="58"/>
        <v>I55S</v>
      </c>
      <c r="B98" s="124" t="s">
        <v>4</v>
      </c>
      <c r="C98" s="126">
        <v>233614</v>
      </c>
      <c r="D98" s="126">
        <f t="shared" si="59"/>
        <v>0</v>
      </c>
      <c r="E98" s="126">
        <f t="shared" si="60"/>
        <v>0</v>
      </c>
      <c r="F98" s="126">
        <f t="shared" si="61"/>
        <v>0</v>
      </c>
      <c r="G98" s="126">
        <f t="shared" si="57"/>
        <v>0</v>
      </c>
      <c r="H98" s="126">
        <v>233614</v>
      </c>
      <c r="I98" s="126">
        <f>+C98+D98-E98-F98+G98</f>
        <v>233614</v>
      </c>
      <c r="J98" s="9">
        <f t="shared" si="62"/>
        <v>0</v>
      </c>
      <c r="K98" s="47" t="s">
        <v>84</v>
      </c>
      <c r="L98" s="49">
        <v>0</v>
      </c>
      <c r="M98" s="49">
        <v>0</v>
      </c>
      <c r="N98" s="49">
        <v>0</v>
      </c>
      <c r="O98" s="49">
        <v>0</v>
      </c>
      <c r="Q98" s="5"/>
    </row>
    <row r="99" spans="1:17" ht="16.5">
      <c r="A99" s="60" t="str">
        <f t="shared" si="58"/>
        <v>I73X</v>
      </c>
      <c r="B99" s="124" t="s">
        <v>4</v>
      </c>
      <c r="C99" s="126">
        <v>249769</v>
      </c>
      <c r="D99" s="126">
        <f t="shared" si="59"/>
        <v>0</v>
      </c>
      <c r="E99" s="126">
        <f t="shared" si="60"/>
        <v>0</v>
      </c>
      <c r="F99" s="126">
        <f t="shared" si="61"/>
        <v>0</v>
      </c>
      <c r="G99" s="126">
        <f t="shared" si="57"/>
        <v>0</v>
      </c>
      <c r="H99" s="126">
        <v>249769</v>
      </c>
      <c r="I99" s="126">
        <f t="shared" ref="I99:I102" si="64">+C99+D99-E99-F99+G99</f>
        <v>249769</v>
      </c>
      <c r="J99" s="9">
        <f t="shared" si="62"/>
        <v>0</v>
      </c>
      <c r="K99" s="47" t="s">
        <v>83</v>
      </c>
      <c r="L99" s="49">
        <v>0</v>
      </c>
      <c r="M99" s="49">
        <v>0</v>
      </c>
      <c r="N99" s="49">
        <v>0</v>
      </c>
      <c r="O99" s="49">
        <v>0</v>
      </c>
      <c r="Q99" s="5"/>
    </row>
    <row r="100" spans="1:17" ht="16.5">
      <c r="A100" s="60" t="str">
        <f t="shared" si="58"/>
        <v>Grace</v>
      </c>
      <c r="B100" s="104" t="s">
        <v>2</v>
      </c>
      <c r="C100" s="63">
        <v>18815</v>
      </c>
      <c r="D100" s="63">
        <f t="shared" si="59"/>
        <v>105000</v>
      </c>
      <c r="E100" s="63">
        <f t="shared" si="60"/>
        <v>7000</v>
      </c>
      <c r="F100" s="63">
        <f t="shared" si="61"/>
        <v>0</v>
      </c>
      <c r="G100" s="63">
        <f t="shared" si="57"/>
        <v>0</v>
      </c>
      <c r="H100" s="63">
        <v>116815</v>
      </c>
      <c r="I100" s="63">
        <f t="shared" si="64"/>
        <v>116815</v>
      </c>
      <c r="J100" s="9">
        <f t="shared" si="62"/>
        <v>0</v>
      </c>
      <c r="K100" s="47" t="s">
        <v>151</v>
      </c>
      <c r="L100" s="49">
        <v>105000</v>
      </c>
      <c r="M100" s="49">
        <v>0</v>
      </c>
      <c r="N100" s="49">
        <v>7000</v>
      </c>
      <c r="O100" s="49">
        <v>0</v>
      </c>
      <c r="Q100" s="5"/>
    </row>
    <row r="101" spans="1:17" s="296" customFormat="1" ht="15.75">
      <c r="A101" s="290" t="str">
        <f t="shared" si="58"/>
        <v>Hurielle</v>
      </c>
      <c r="B101" s="291" t="s">
        <v>163</v>
      </c>
      <c r="C101" s="292">
        <v>36500</v>
      </c>
      <c r="D101" s="292">
        <f t="shared" si="59"/>
        <v>266000</v>
      </c>
      <c r="E101" s="292">
        <f t="shared" si="60"/>
        <v>213800</v>
      </c>
      <c r="F101" s="292">
        <f t="shared" si="61"/>
        <v>88000</v>
      </c>
      <c r="G101" s="292">
        <f t="shared" si="57"/>
        <v>0</v>
      </c>
      <c r="H101" s="292">
        <v>700</v>
      </c>
      <c r="I101" s="292">
        <f t="shared" si="64"/>
        <v>700</v>
      </c>
      <c r="J101" s="293">
        <f>I101-H101</f>
        <v>0</v>
      </c>
      <c r="K101" s="294" t="s">
        <v>207</v>
      </c>
      <c r="L101" s="295">
        <v>266000</v>
      </c>
      <c r="M101" s="295">
        <v>88000</v>
      </c>
      <c r="N101" s="295">
        <v>213800</v>
      </c>
      <c r="O101" s="295">
        <v>0</v>
      </c>
    </row>
    <row r="102" spans="1:17" ht="16.5">
      <c r="A102" s="60" t="str">
        <f t="shared" si="58"/>
        <v>I23C</v>
      </c>
      <c r="B102" s="228" t="s">
        <v>4</v>
      </c>
      <c r="C102" s="63">
        <v>79550</v>
      </c>
      <c r="D102" s="63">
        <f t="shared" si="59"/>
        <v>506000</v>
      </c>
      <c r="E102" s="63">
        <f t="shared" si="60"/>
        <v>484000</v>
      </c>
      <c r="F102" s="63">
        <f t="shared" si="61"/>
        <v>101550</v>
      </c>
      <c r="G102" s="63">
        <f t="shared" si="57"/>
        <v>0</v>
      </c>
      <c r="H102" s="63">
        <v>0</v>
      </c>
      <c r="I102" s="63">
        <f t="shared" si="64"/>
        <v>0</v>
      </c>
      <c r="J102" s="9">
        <f t="shared" ref="J102:J103" si="65">I102-H102</f>
        <v>0</v>
      </c>
      <c r="K102" s="47" t="s">
        <v>30</v>
      </c>
      <c r="L102" s="49">
        <v>506000</v>
      </c>
      <c r="M102" s="49">
        <v>101550</v>
      </c>
      <c r="N102" s="49">
        <v>484000</v>
      </c>
      <c r="O102" s="49">
        <v>0</v>
      </c>
      <c r="Q102" s="5"/>
    </row>
    <row r="103" spans="1:17" ht="16.5">
      <c r="A103" s="60" t="str">
        <f t="shared" si="58"/>
        <v>Merveille</v>
      </c>
      <c r="B103" s="227" t="s">
        <v>2</v>
      </c>
      <c r="C103" s="63">
        <v>5900</v>
      </c>
      <c r="D103" s="63">
        <f t="shared" si="59"/>
        <v>20000</v>
      </c>
      <c r="E103" s="63">
        <f t="shared" si="60"/>
        <v>19000</v>
      </c>
      <c r="F103" s="63">
        <f t="shared" si="61"/>
        <v>0</v>
      </c>
      <c r="G103" s="63">
        <f t="shared" si="57"/>
        <v>0</v>
      </c>
      <c r="H103" s="63">
        <v>6900</v>
      </c>
      <c r="I103" s="63">
        <f>+C103+D103-E103-F103+G103</f>
        <v>6900</v>
      </c>
      <c r="J103" s="9">
        <f t="shared" si="65"/>
        <v>0</v>
      </c>
      <c r="K103" s="47" t="s">
        <v>93</v>
      </c>
      <c r="L103" s="49">
        <v>20000</v>
      </c>
      <c r="M103" s="49">
        <v>0</v>
      </c>
      <c r="N103" s="49">
        <v>19000</v>
      </c>
      <c r="O103" s="49">
        <v>0</v>
      </c>
      <c r="Q103" s="5"/>
    </row>
    <row r="104" spans="1:17" ht="16.5">
      <c r="A104" s="60" t="str">
        <f t="shared" si="58"/>
        <v>P29</v>
      </c>
      <c r="B104" s="227" t="s">
        <v>4</v>
      </c>
      <c r="C104" s="63">
        <v>29850</v>
      </c>
      <c r="D104" s="63">
        <f t="shared" si="59"/>
        <v>578000</v>
      </c>
      <c r="E104" s="63">
        <f t="shared" si="60"/>
        <v>533800</v>
      </c>
      <c r="F104" s="63">
        <f t="shared" si="61"/>
        <v>50000</v>
      </c>
      <c r="G104" s="63">
        <f>+O104</f>
        <v>0</v>
      </c>
      <c r="H104" s="63">
        <v>24050</v>
      </c>
      <c r="I104" s="63">
        <f>+C104+D104-E104-F104+G104</f>
        <v>24050</v>
      </c>
      <c r="J104" s="9">
        <f>I104-H104</f>
        <v>0</v>
      </c>
      <c r="K104" s="47" t="s">
        <v>29</v>
      </c>
      <c r="L104" s="49">
        <v>578000</v>
      </c>
      <c r="M104" s="49">
        <v>50000</v>
      </c>
      <c r="N104" s="49">
        <v>533800</v>
      </c>
      <c r="O104" s="49">
        <v>0</v>
      </c>
      <c r="Q104" s="5"/>
    </row>
    <row r="105" spans="1:17" ht="16.5">
      <c r="A105" s="60" t="str">
        <f t="shared" si="58"/>
        <v>Tiffany</v>
      </c>
      <c r="B105" s="61" t="s">
        <v>2</v>
      </c>
      <c r="C105" s="63">
        <v>1123541</v>
      </c>
      <c r="D105" s="63">
        <f t="shared" si="59"/>
        <v>0</v>
      </c>
      <c r="E105" s="63">
        <f t="shared" si="60"/>
        <v>1777243</v>
      </c>
      <c r="F105" s="63">
        <f t="shared" si="61"/>
        <v>0</v>
      </c>
      <c r="G105" s="63">
        <f t="shared" ref="G105" si="66">+O105</f>
        <v>0</v>
      </c>
      <c r="H105" s="63">
        <v>-653702</v>
      </c>
      <c r="I105" s="63">
        <f t="shared" ref="I105" si="67">+C105+D105-E105-F105+G105</f>
        <v>-653702</v>
      </c>
      <c r="J105" s="9">
        <f t="shared" ref="J105" si="68">I105-H105</f>
        <v>0</v>
      </c>
      <c r="K105" s="47" t="s">
        <v>113</v>
      </c>
      <c r="L105" s="49">
        <v>0</v>
      </c>
      <c r="M105" s="49">
        <v>0</v>
      </c>
      <c r="N105" s="49">
        <v>1777243</v>
      </c>
      <c r="O105" s="49">
        <v>0</v>
      </c>
      <c r="Q105" s="5"/>
    </row>
    <row r="106" spans="1:17" ht="16.5">
      <c r="A106" s="10" t="s">
        <v>50</v>
      </c>
      <c r="B106" s="11"/>
      <c r="C106" s="12">
        <f t="shared" ref="C106:I106" si="69">SUM(C93:C105)</f>
        <v>23525884</v>
      </c>
      <c r="D106" s="59">
        <f t="shared" si="69"/>
        <v>6021800</v>
      </c>
      <c r="E106" s="59">
        <f t="shared" si="69"/>
        <v>9190070</v>
      </c>
      <c r="F106" s="59">
        <f t="shared" si="69"/>
        <v>6021800</v>
      </c>
      <c r="G106" s="59">
        <f t="shared" si="69"/>
        <v>24938480</v>
      </c>
      <c r="H106" s="59">
        <f t="shared" si="69"/>
        <v>39274294</v>
      </c>
      <c r="I106" s="59">
        <f t="shared" si="69"/>
        <v>39274294</v>
      </c>
      <c r="J106" s="9">
        <f>I106-H106</f>
        <v>0</v>
      </c>
      <c r="K106" s="3"/>
      <c r="L106" s="49">
        <f>+SUM(L93:L105)</f>
        <v>6021800</v>
      </c>
      <c r="M106" s="49">
        <f>+SUM(M93:M105)</f>
        <v>6021800</v>
      </c>
      <c r="N106" s="49">
        <f>+SUM(N93:N105)</f>
        <v>9190070</v>
      </c>
      <c r="O106" s="49">
        <f>+SUM(O93:O105)</f>
        <v>24938480</v>
      </c>
      <c r="Q106" s="5"/>
    </row>
    <row r="107" spans="1:17" ht="16.5">
      <c r="A107" s="10"/>
      <c r="B107" s="11"/>
      <c r="C107" s="12"/>
      <c r="D107" s="13"/>
      <c r="E107" s="12"/>
      <c r="F107" s="13"/>
      <c r="G107" s="12"/>
      <c r="H107" s="12"/>
      <c r="I107" s="143" t="b">
        <f>I106=D109</f>
        <v>1</v>
      </c>
      <c r="L107" s="5"/>
      <c r="M107" s="5"/>
      <c r="N107" s="5"/>
      <c r="O107" s="5"/>
      <c r="Q107" s="5"/>
    </row>
    <row r="108" spans="1:17" ht="16.5">
      <c r="A108" s="10" t="s">
        <v>244</v>
      </c>
      <c r="B108" s="11" t="s">
        <v>245</v>
      </c>
      <c r="C108" s="12" t="s">
        <v>246</v>
      </c>
      <c r="D108" s="12" t="s">
        <v>247</v>
      </c>
      <c r="E108" s="12" t="s">
        <v>51</v>
      </c>
      <c r="F108" s="12"/>
      <c r="G108" s="12">
        <f>+D106-F106</f>
        <v>0</v>
      </c>
      <c r="H108" s="12"/>
      <c r="I108" s="12"/>
      <c r="Q108" s="5"/>
    </row>
    <row r="109" spans="1:17" ht="16.5">
      <c r="A109" s="14">
        <f>C106</f>
        <v>23525884</v>
      </c>
      <c r="B109" s="15">
        <f>G106</f>
        <v>24938480</v>
      </c>
      <c r="C109" s="12">
        <f>E106</f>
        <v>9190070</v>
      </c>
      <c r="D109" s="12">
        <f>A109+B109-C109</f>
        <v>39274294</v>
      </c>
      <c r="E109" s="13">
        <f>I106-D109</f>
        <v>0</v>
      </c>
      <c r="F109" s="12"/>
      <c r="G109" s="12"/>
      <c r="H109" s="12"/>
      <c r="I109" s="12"/>
      <c r="Q109" s="5"/>
    </row>
    <row r="110" spans="1:17" ht="16.5">
      <c r="A110" s="14"/>
      <c r="B110" s="15"/>
      <c r="C110" s="12"/>
      <c r="D110" s="12"/>
      <c r="E110" s="13"/>
      <c r="F110" s="12"/>
      <c r="G110" s="12"/>
      <c r="H110" s="12"/>
      <c r="I110" s="12"/>
      <c r="Q110" s="5"/>
    </row>
    <row r="111" spans="1:17">
      <c r="A111" s="16" t="s">
        <v>52</v>
      </c>
      <c r="B111" s="16"/>
      <c r="C111" s="16"/>
      <c r="D111" s="17"/>
      <c r="E111" s="17"/>
      <c r="F111" s="17"/>
      <c r="G111" s="17"/>
      <c r="H111" s="17"/>
      <c r="I111" s="17"/>
      <c r="Q111" s="5"/>
    </row>
    <row r="112" spans="1:17">
      <c r="A112" s="18" t="s">
        <v>249</v>
      </c>
      <c r="B112" s="18"/>
      <c r="C112" s="18"/>
      <c r="D112" s="18"/>
      <c r="E112" s="18"/>
      <c r="F112" s="18"/>
      <c r="G112" s="18"/>
      <c r="H112" s="18"/>
      <c r="I112" s="18"/>
      <c r="J112" s="18"/>
      <c r="Q112" s="5"/>
    </row>
    <row r="113" spans="1:17">
      <c r="A113" s="19"/>
      <c r="B113" s="20"/>
      <c r="C113" s="21"/>
      <c r="D113" s="21"/>
      <c r="E113" s="21"/>
      <c r="F113" s="21"/>
      <c r="G113" s="21"/>
      <c r="H113" s="20"/>
      <c r="I113" s="20"/>
      <c r="Q113" s="5"/>
    </row>
    <row r="114" spans="1:17">
      <c r="A114" s="278" t="s">
        <v>53</v>
      </c>
      <c r="B114" s="280" t="s">
        <v>54</v>
      </c>
      <c r="C114" s="282" t="s">
        <v>250</v>
      </c>
      <c r="D114" s="284" t="s">
        <v>55</v>
      </c>
      <c r="E114" s="285"/>
      <c r="F114" s="285"/>
      <c r="G114" s="286"/>
      <c r="H114" s="287" t="s">
        <v>56</v>
      </c>
      <c r="I114" s="274" t="s">
        <v>57</v>
      </c>
      <c r="J114" s="20"/>
      <c r="Q114" s="5"/>
    </row>
    <row r="115" spans="1:17" ht="28.5" customHeight="1">
      <c r="A115" s="279"/>
      <c r="B115" s="281"/>
      <c r="C115" s="283"/>
      <c r="D115" s="22" t="s">
        <v>24</v>
      </c>
      <c r="E115" s="22" t="s">
        <v>25</v>
      </c>
      <c r="F115" s="283" t="s">
        <v>123</v>
      </c>
      <c r="G115" s="22" t="s">
        <v>58</v>
      </c>
      <c r="H115" s="288"/>
      <c r="I115" s="275"/>
      <c r="J115" s="276" t="s">
        <v>251</v>
      </c>
      <c r="K115" s="155"/>
      <c r="Q115" s="5"/>
    </row>
    <row r="116" spans="1:17">
      <c r="A116" s="24"/>
      <c r="B116" s="25" t="s">
        <v>59</v>
      </c>
      <c r="C116" s="26"/>
      <c r="D116" s="26"/>
      <c r="E116" s="26"/>
      <c r="F116" s="26"/>
      <c r="G116" s="26"/>
      <c r="H116" s="26"/>
      <c r="I116" s="27"/>
      <c r="J116" s="277"/>
      <c r="K116" s="155"/>
      <c r="Q116" s="5"/>
    </row>
    <row r="117" spans="1:17">
      <c r="A117" s="130" t="s">
        <v>147</v>
      </c>
      <c r="B117" s="135" t="s">
        <v>47</v>
      </c>
      <c r="C117" s="33">
        <f t="shared" ref="C117:C126" si="70">+C96</f>
        <v>-5640</v>
      </c>
      <c r="D117" s="32"/>
      <c r="E117" s="33">
        <f t="shared" ref="E117:E126" si="71">+D96</f>
        <v>600250</v>
      </c>
      <c r="F117" s="33"/>
      <c r="G117" s="33"/>
      <c r="H117" s="57">
        <f t="shared" ref="H117:H126" si="72">+F96</f>
        <v>107000</v>
      </c>
      <c r="I117" s="33">
        <f t="shared" ref="I117:I126" si="73">+E96</f>
        <v>421700</v>
      </c>
      <c r="J117" s="31">
        <f t="shared" ref="J117:J118" si="74">+SUM(C117:G117)-(H117+I117)</f>
        <v>65910</v>
      </c>
      <c r="K117" s="156" t="b">
        <f t="shared" ref="K117:K126" si="75">J117=I96</f>
        <v>1</v>
      </c>
      <c r="Q117" s="5"/>
    </row>
    <row r="118" spans="1:17">
      <c r="A118" s="130" t="str">
        <f>+A117</f>
        <v>AOUT</v>
      </c>
      <c r="B118" s="135" t="s">
        <v>31</v>
      </c>
      <c r="C118" s="33">
        <f t="shared" si="70"/>
        <v>4795</v>
      </c>
      <c r="D118" s="32"/>
      <c r="E118" s="33">
        <f t="shared" si="71"/>
        <v>0</v>
      </c>
      <c r="F118" s="33"/>
      <c r="G118" s="33"/>
      <c r="H118" s="57">
        <f t="shared" si="72"/>
        <v>0</v>
      </c>
      <c r="I118" s="33">
        <f t="shared" si="73"/>
        <v>0</v>
      </c>
      <c r="J118" s="107">
        <f t="shared" si="74"/>
        <v>4795</v>
      </c>
      <c r="K118" s="156" t="b">
        <f t="shared" si="75"/>
        <v>1</v>
      </c>
      <c r="Q118" s="5"/>
    </row>
    <row r="119" spans="1:17">
      <c r="A119" s="130" t="str">
        <f t="shared" ref="A119:A123" si="76">+A118</f>
        <v>AOUT</v>
      </c>
      <c r="B119" s="137" t="s">
        <v>84</v>
      </c>
      <c r="C119" s="128">
        <f t="shared" si="70"/>
        <v>233614</v>
      </c>
      <c r="D119" s="131"/>
      <c r="E119" s="128">
        <f t="shared" si="71"/>
        <v>0</v>
      </c>
      <c r="F119" s="146"/>
      <c r="G119" s="146"/>
      <c r="H119" s="178">
        <f t="shared" si="72"/>
        <v>0</v>
      </c>
      <c r="I119" s="128">
        <f t="shared" si="73"/>
        <v>0</v>
      </c>
      <c r="J119" s="129">
        <f>+SUM(C119:G119)-(H119+I119)</f>
        <v>233614</v>
      </c>
      <c r="K119" s="156" t="b">
        <f t="shared" si="75"/>
        <v>1</v>
      </c>
      <c r="Q119" s="5"/>
    </row>
    <row r="120" spans="1:17">
      <c r="A120" s="130" t="str">
        <f t="shared" si="76"/>
        <v>AOUT</v>
      </c>
      <c r="B120" s="137" t="s">
        <v>83</v>
      </c>
      <c r="C120" s="128">
        <f t="shared" si="70"/>
        <v>249769</v>
      </c>
      <c r="D120" s="131"/>
      <c r="E120" s="128">
        <f t="shared" si="71"/>
        <v>0</v>
      </c>
      <c r="F120" s="146"/>
      <c r="G120" s="146"/>
      <c r="H120" s="178">
        <f t="shared" si="72"/>
        <v>0</v>
      </c>
      <c r="I120" s="128">
        <f t="shared" si="73"/>
        <v>0</v>
      </c>
      <c r="J120" s="129">
        <f t="shared" ref="J120:J126" si="77">+SUM(C120:G120)-(H120+I120)</f>
        <v>249769</v>
      </c>
      <c r="K120" s="156" t="b">
        <f t="shared" si="75"/>
        <v>1</v>
      </c>
      <c r="Q120" s="5"/>
    </row>
    <row r="121" spans="1:17">
      <c r="A121" s="130" t="str">
        <f t="shared" si="76"/>
        <v>AOUT</v>
      </c>
      <c r="B121" s="135" t="s">
        <v>151</v>
      </c>
      <c r="C121" s="33">
        <f t="shared" si="70"/>
        <v>18815</v>
      </c>
      <c r="D121" s="32"/>
      <c r="E121" s="33">
        <f t="shared" si="71"/>
        <v>105000</v>
      </c>
      <c r="F121" s="33"/>
      <c r="G121" s="110"/>
      <c r="H121" s="57">
        <f t="shared" si="72"/>
        <v>0</v>
      </c>
      <c r="I121" s="33">
        <f t="shared" si="73"/>
        <v>7000</v>
      </c>
      <c r="J121" s="31">
        <f t="shared" si="77"/>
        <v>116815</v>
      </c>
      <c r="K121" s="156" t="b">
        <f t="shared" si="75"/>
        <v>1</v>
      </c>
      <c r="Q121" s="5"/>
    </row>
    <row r="122" spans="1:17">
      <c r="A122" s="130" t="str">
        <f t="shared" si="76"/>
        <v>AOUT</v>
      </c>
      <c r="B122" s="135" t="s">
        <v>207</v>
      </c>
      <c r="C122" s="33">
        <f t="shared" si="70"/>
        <v>36500</v>
      </c>
      <c r="D122" s="32"/>
      <c r="E122" s="33">
        <f t="shared" si="71"/>
        <v>266000</v>
      </c>
      <c r="F122" s="33"/>
      <c r="G122" s="110"/>
      <c r="H122" s="57">
        <f t="shared" si="72"/>
        <v>88000</v>
      </c>
      <c r="I122" s="33">
        <f t="shared" si="73"/>
        <v>213800</v>
      </c>
      <c r="J122" s="31">
        <f t="shared" si="77"/>
        <v>700</v>
      </c>
      <c r="K122" s="156" t="b">
        <f t="shared" si="75"/>
        <v>1</v>
      </c>
      <c r="Q122" s="5"/>
    </row>
    <row r="123" spans="1:17">
      <c r="A123" s="130" t="str">
        <f t="shared" si="76"/>
        <v>AOUT</v>
      </c>
      <c r="B123" s="135" t="s">
        <v>30</v>
      </c>
      <c r="C123" s="33">
        <f t="shared" si="70"/>
        <v>79550</v>
      </c>
      <c r="D123" s="32"/>
      <c r="E123" s="33">
        <f t="shared" si="71"/>
        <v>506000</v>
      </c>
      <c r="F123" s="33"/>
      <c r="G123" s="110"/>
      <c r="H123" s="57">
        <f t="shared" si="72"/>
        <v>101550</v>
      </c>
      <c r="I123" s="33">
        <f t="shared" si="73"/>
        <v>484000</v>
      </c>
      <c r="J123" s="31">
        <f t="shared" si="77"/>
        <v>0</v>
      </c>
      <c r="K123" s="156" t="b">
        <f t="shared" si="75"/>
        <v>1</v>
      </c>
      <c r="Q123" s="5"/>
    </row>
    <row r="124" spans="1:17">
      <c r="A124" s="130" t="str">
        <f>+A122</f>
        <v>AOUT</v>
      </c>
      <c r="B124" s="135" t="s">
        <v>93</v>
      </c>
      <c r="C124" s="33">
        <f t="shared" si="70"/>
        <v>5900</v>
      </c>
      <c r="D124" s="32"/>
      <c r="E124" s="33">
        <f t="shared" si="71"/>
        <v>20000</v>
      </c>
      <c r="F124" s="33"/>
      <c r="G124" s="110"/>
      <c r="H124" s="57">
        <f t="shared" si="72"/>
        <v>0</v>
      </c>
      <c r="I124" s="33">
        <f t="shared" si="73"/>
        <v>19000</v>
      </c>
      <c r="J124" s="31">
        <f t="shared" si="77"/>
        <v>6900</v>
      </c>
      <c r="K124" s="156" t="b">
        <f t="shared" si="75"/>
        <v>1</v>
      </c>
      <c r="Q124" s="5"/>
    </row>
    <row r="125" spans="1:17">
      <c r="A125" s="130" t="str">
        <f>+A123</f>
        <v>AOUT</v>
      </c>
      <c r="B125" s="135" t="s">
        <v>29</v>
      </c>
      <c r="C125" s="33">
        <f t="shared" si="70"/>
        <v>29850</v>
      </c>
      <c r="D125" s="32"/>
      <c r="E125" s="33">
        <f t="shared" si="71"/>
        <v>578000</v>
      </c>
      <c r="F125" s="33"/>
      <c r="G125" s="110"/>
      <c r="H125" s="57">
        <f t="shared" si="72"/>
        <v>50000</v>
      </c>
      <c r="I125" s="33">
        <f t="shared" si="73"/>
        <v>533800</v>
      </c>
      <c r="J125" s="31">
        <f t="shared" si="77"/>
        <v>24050</v>
      </c>
      <c r="K125" s="156" t="b">
        <f t="shared" si="75"/>
        <v>1</v>
      </c>
      <c r="Q125" s="5"/>
    </row>
    <row r="126" spans="1:17">
      <c r="A126" s="130" t="str">
        <f>+A124</f>
        <v>AOUT</v>
      </c>
      <c r="B126" s="136" t="s">
        <v>113</v>
      </c>
      <c r="C126" s="33">
        <f t="shared" si="70"/>
        <v>1123541</v>
      </c>
      <c r="D126" s="127"/>
      <c r="E126" s="33">
        <f t="shared" si="71"/>
        <v>0</v>
      </c>
      <c r="F126" s="53"/>
      <c r="G126" s="147"/>
      <c r="H126" s="57">
        <f t="shared" si="72"/>
        <v>0</v>
      </c>
      <c r="I126" s="33">
        <f t="shared" si="73"/>
        <v>1777243</v>
      </c>
      <c r="J126" s="31">
        <f t="shared" si="77"/>
        <v>-653702</v>
      </c>
      <c r="K126" s="156" t="b">
        <f t="shared" si="75"/>
        <v>1</v>
      </c>
      <c r="Q126" s="5"/>
    </row>
    <row r="127" spans="1:17">
      <c r="A127" s="35" t="s">
        <v>60</v>
      </c>
      <c r="B127" s="36"/>
      <c r="C127" s="36"/>
      <c r="D127" s="36"/>
      <c r="E127" s="36"/>
      <c r="F127" s="36"/>
      <c r="G127" s="36"/>
      <c r="H127" s="36"/>
      <c r="I127" s="36"/>
      <c r="J127" s="37"/>
      <c r="K127" s="155"/>
      <c r="Q127" s="5"/>
    </row>
    <row r="128" spans="1:17">
      <c r="A128" s="130" t="str">
        <f>A126</f>
        <v>AOUT</v>
      </c>
      <c r="B128" s="38" t="s">
        <v>61</v>
      </c>
      <c r="C128" s="39">
        <f>+C95</f>
        <v>103032</v>
      </c>
      <c r="D128" s="51"/>
      <c r="E128" s="51">
        <f>D95</f>
        <v>3946550</v>
      </c>
      <c r="F128" s="51"/>
      <c r="G128" s="133"/>
      <c r="H128" s="53">
        <f>+F95</f>
        <v>2075250</v>
      </c>
      <c r="I128" s="134">
        <f>+E95</f>
        <v>994290</v>
      </c>
      <c r="J128" s="46">
        <f>+SUM(C128:G128)-(H128+I128)</f>
        <v>980042</v>
      </c>
      <c r="K128" s="156" t="b">
        <f>J128=I95</f>
        <v>1</v>
      </c>
      <c r="Q128" s="5"/>
    </row>
    <row r="129" spans="1:17">
      <c r="A129" s="44" t="s">
        <v>62</v>
      </c>
      <c r="B129" s="25"/>
      <c r="C129" s="36"/>
      <c r="D129" s="25"/>
      <c r="E129" s="25"/>
      <c r="F129" s="25"/>
      <c r="G129" s="25"/>
      <c r="H129" s="25"/>
      <c r="I129" s="25"/>
      <c r="J129" s="37"/>
      <c r="K129" s="155"/>
      <c r="Q129" s="5"/>
    </row>
    <row r="130" spans="1:17">
      <c r="A130" s="130" t="str">
        <f>+A128</f>
        <v>AOUT</v>
      </c>
      <c r="B130" s="38" t="s">
        <v>166</v>
      </c>
      <c r="C130" s="133">
        <f>+C93</f>
        <v>168348</v>
      </c>
      <c r="D130" s="140">
        <f>+G93</f>
        <v>24938480</v>
      </c>
      <c r="E130" s="51"/>
      <c r="F130" s="51"/>
      <c r="G130" s="51"/>
      <c r="H130" s="53">
        <f>+F93</f>
        <v>1000000</v>
      </c>
      <c r="I130" s="55">
        <f>+E93</f>
        <v>286008</v>
      </c>
      <c r="J130" s="46">
        <f>+SUM(C130:G130)-(H130+I130)</f>
        <v>23820820</v>
      </c>
      <c r="K130" s="156" t="b">
        <f>+J130=I93</f>
        <v>1</v>
      </c>
      <c r="Q130" s="5"/>
    </row>
    <row r="131" spans="1:17">
      <c r="A131" s="130" t="str">
        <f t="shared" ref="A131" si="78">+A130</f>
        <v>AOUT</v>
      </c>
      <c r="B131" s="38" t="s">
        <v>64</v>
      </c>
      <c r="C131" s="133">
        <f>+C94</f>
        <v>21477810</v>
      </c>
      <c r="D131" s="51">
        <f>+G94</f>
        <v>0</v>
      </c>
      <c r="E131" s="50"/>
      <c r="F131" s="50"/>
      <c r="G131" s="50"/>
      <c r="H131" s="33">
        <f>+F94</f>
        <v>2600000</v>
      </c>
      <c r="I131" s="52">
        <f>+E94</f>
        <v>4453229</v>
      </c>
      <c r="J131" s="46">
        <f>SUM(C131:G131)-(H131+I131)</f>
        <v>14424581</v>
      </c>
      <c r="K131" s="156" t="b">
        <f>+J131=I94</f>
        <v>1</v>
      </c>
      <c r="Q131" s="5"/>
    </row>
    <row r="132" spans="1:17" ht="15.75">
      <c r="C132" s="151">
        <f>SUM(C117:C131)</f>
        <v>23525884</v>
      </c>
      <c r="I132" s="149">
        <f>SUM(I117:I131)</f>
        <v>9190070</v>
      </c>
      <c r="J132" s="111">
        <f>+SUM(J117:J131)</f>
        <v>39274294</v>
      </c>
      <c r="K132" s="5" t="b">
        <f>J132=I106</f>
        <v>1</v>
      </c>
      <c r="Q132" s="5"/>
    </row>
    <row r="133" spans="1:17" ht="15.75">
      <c r="A133" s="189"/>
      <c r="B133" s="189"/>
      <c r="C133" s="190"/>
      <c r="D133" s="189"/>
      <c r="E133" s="189"/>
      <c r="F133" s="189"/>
      <c r="G133" s="189"/>
      <c r="H133" s="189"/>
      <c r="I133" s="191"/>
      <c r="J133" s="192"/>
      <c r="K133" s="189"/>
      <c r="L133" s="193"/>
      <c r="M133" s="193"/>
      <c r="N133" s="193"/>
      <c r="O133" s="193"/>
      <c r="P133" s="189"/>
      <c r="Q133" s="5"/>
    </row>
    <row r="135" spans="1:17" ht="15.75">
      <c r="A135" s="6" t="s">
        <v>36</v>
      </c>
      <c r="B135" s="6" t="s">
        <v>1</v>
      </c>
      <c r="C135" s="6">
        <v>44743</v>
      </c>
      <c r="D135" s="7" t="s">
        <v>37</v>
      </c>
      <c r="E135" s="7" t="s">
        <v>38</v>
      </c>
      <c r="F135" s="7" t="s">
        <v>39</v>
      </c>
      <c r="G135" s="7" t="s">
        <v>40</v>
      </c>
      <c r="H135" s="6">
        <v>44773</v>
      </c>
      <c r="I135" s="7" t="s">
        <v>41</v>
      </c>
      <c r="K135" s="47"/>
      <c r="L135" s="47" t="s">
        <v>42</v>
      </c>
      <c r="M135" s="47" t="s">
        <v>43</v>
      </c>
      <c r="N135" s="47" t="s">
        <v>44</v>
      </c>
      <c r="O135" s="47" t="s">
        <v>45</v>
      </c>
      <c r="Q135" s="5"/>
    </row>
    <row r="136" spans="1:17" ht="16.5">
      <c r="A136" s="60" t="str">
        <f>K136</f>
        <v>BCI</v>
      </c>
      <c r="B136" s="61" t="s">
        <v>46</v>
      </c>
      <c r="C136" s="63">
        <v>4291693</v>
      </c>
      <c r="D136" s="63">
        <f>+L136</f>
        <v>0</v>
      </c>
      <c r="E136" s="63">
        <f>+N136</f>
        <v>23345</v>
      </c>
      <c r="F136" s="63">
        <f>+M136</f>
        <v>4100000</v>
      </c>
      <c r="G136" s="63">
        <f t="shared" ref="G136:G146" si="79">+O136</f>
        <v>0</v>
      </c>
      <c r="H136" s="63">
        <v>168348</v>
      </c>
      <c r="I136" s="63">
        <f>+C136+D136-E136-F136+G136</f>
        <v>168348</v>
      </c>
      <c r="J136" s="9">
        <f>I136-H136</f>
        <v>0</v>
      </c>
      <c r="K136" s="47" t="s">
        <v>24</v>
      </c>
      <c r="L136" s="49">
        <v>0</v>
      </c>
      <c r="M136" s="49">
        <v>4100000</v>
      </c>
      <c r="N136" s="49">
        <v>23345</v>
      </c>
      <c r="O136" s="49">
        <v>0</v>
      </c>
      <c r="Q136" s="5"/>
    </row>
    <row r="137" spans="1:17" ht="16.5">
      <c r="A137" s="60" t="str">
        <f t="shared" ref="A137:A149" si="80">K137</f>
        <v>BCI-Sous Compte</v>
      </c>
      <c r="B137" s="61" t="s">
        <v>46</v>
      </c>
      <c r="C137" s="63">
        <v>4852627</v>
      </c>
      <c r="D137" s="63">
        <f t="shared" ref="D137:D140" si="81">+L137</f>
        <v>0</v>
      </c>
      <c r="E137" s="63">
        <f t="shared" ref="E137:E149" si="82">+N137</f>
        <v>3777704</v>
      </c>
      <c r="F137" s="63">
        <f t="shared" ref="F137:F149" si="83">+M137</f>
        <v>0</v>
      </c>
      <c r="G137" s="63">
        <f t="shared" si="79"/>
        <v>20402887</v>
      </c>
      <c r="H137" s="63">
        <v>21477810</v>
      </c>
      <c r="I137" s="63">
        <f>+C137+D137-E137-F137+G137</f>
        <v>21477810</v>
      </c>
      <c r="J137" s="9">
        <f t="shared" ref="J137:J143" si="84">I137-H137</f>
        <v>0</v>
      </c>
      <c r="K137" s="47" t="s">
        <v>157</v>
      </c>
      <c r="L137" s="48">
        <v>0</v>
      </c>
      <c r="M137" s="49">
        <v>0</v>
      </c>
      <c r="N137" s="49">
        <v>3777704</v>
      </c>
      <c r="O137" s="49">
        <v>20402887</v>
      </c>
      <c r="Q137" s="5"/>
    </row>
    <row r="138" spans="1:17" ht="16.5">
      <c r="A138" s="60" t="str">
        <f t="shared" si="80"/>
        <v>Caisse</v>
      </c>
      <c r="B138" s="61" t="s">
        <v>25</v>
      </c>
      <c r="C138" s="63">
        <v>1696326</v>
      </c>
      <c r="D138" s="63">
        <f t="shared" si="81"/>
        <v>4430000</v>
      </c>
      <c r="E138" s="63">
        <f t="shared" si="82"/>
        <v>1453294</v>
      </c>
      <c r="F138" s="63">
        <f t="shared" si="83"/>
        <v>4570000</v>
      </c>
      <c r="G138" s="63">
        <f t="shared" si="79"/>
        <v>0</v>
      </c>
      <c r="H138" s="63">
        <v>103032</v>
      </c>
      <c r="I138" s="63">
        <f>+C138+D138-E138-F138+G138</f>
        <v>103032</v>
      </c>
      <c r="J138" s="108">
        <f t="shared" si="84"/>
        <v>0</v>
      </c>
      <c r="K138" s="47" t="s">
        <v>25</v>
      </c>
      <c r="L138" s="49">
        <v>4430000</v>
      </c>
      <c r="M138" s="49">
        <v>4570000</v>
      </c>
      <c r="N138" s="49">
        <v>1453294</v>
      </c>
      <c r="O138" s="49">
        <v>0</v>
      </c>
      <c r="Q138" s="5"/>
    </row>
    <row r="139" spans="1:17" ht="16.5">
      <c r="A139" s="60" t="str">
        <f t="shared" si="80"/>
        <v>Crépin</v>
      </c>
      <c r="B139" s="61" t="s">
        <v>163</v>
      </c>
      <c r="C139" s="63">
        <v>9800</v>
      </c>
      <c r="D139" s="63">
        <f t="shared" si="81"/>
        <v>1043000</v>
      </c>
      <c r="E139" s="63">
        <f t="shared" si="82"/>
        <v>975940</v>
      </c>
      <c r="F139" s="63">
        <f t="shared" si="83"/>
        <v>82500</v>
      </c>
      <c r="G139" s="63">
        <f t="shared" si="79"/>
        <v>0</v>
      </c>
      <c r="H139" s="63">
        <v>-5640</v>
      </c>
      <c r="I139" s="63">
        <f>+C139+D139-E139-F139+G139</f>
        <v>-5640</v>
      </c>
      <c r="J139" s="9">
        <f t="shared" si="84"/>
        <v>0</v>
      </c>
      <c r="K139" s="47" t="s">
        <v>47</v>
      </c>
      <c r="L139" s="49">
        <v>1043000</v>
      </c>
      <c r="M139" s="49">
        <v>82500</v>
      </c>
      <c r="N139" s="49">
        <v>975940</v>
      </c>
      <c r="O139" s="49">
        <v>0</v>
      </c>
      <c r="Q139" s="5"/>
    </row>
    <row r="140" spans="1:17" ht="16.5">
      <c r="A140" s="60" t="str">
        <f t="shared" si="80"/>
        <v>Evariste</v>
      </c>
      <c r="B140" s="61" t="s">
        <v>164</v>
      </c>
      <c r="C140" s="63">
        <v>2295</v>
      </c>
      <c r="D140" s="63">
        <f t="shared" si="81"/>
        <v>242500</v>
      </c>
      <c r="E140" s="63">
        <f t="shared" si="82"/>
        <v>240000</v>
      </c>
      <c r="F140" s="63">
        <f t="shared" si="83"/>
        <v>0</v>
      </c>
      <c r="G140" s="63">
        <f t="shared" si="79"/>
        <v>0</v>
      </c>
      <c r="H140" s="63">
        <v>4795</v>
      </c>
      <c r="I140" s="63">
        <f t="shared" ref="I140" si="85">+C140+D140-E140-F140+G140</f>
        <v>4795</v>
      </c>
      <c r="J140" s="9">
        <f t="shared" si="84"/>
        <v>0</v>
      </c>
      <c r="K140" s="47" t="s">
        <v>31</v>
      </c>
      <c r="L140" s="49">
        <v>242500</v>
      </c>
      <c r="M140" s="49">
        <v>0</v>
      </c>
      <c r="N140" s="49">
        <v>240000</v>
      </c>
      <c r="O140" s="49">
        <v>0</v>
      </c>
      <c r="Q140" s="5"/>
    </row>
    <row r="141" spans="1:17" ht="16.5">
      <c r="A141" s="60" t="str">
        <f t="shared" si="80"/>
        <v>I55S</v>
      </c>
      <c r="B141" s="124" t="s">
        <v>4</v>
      </c>
      <c r="C141" s="126">
        <v>233614</v>
      </c>
      <c r="D141" s="126">
        <f t="shared" ref="D141:D149" si="86">+L141</f>
        <v>0</v>
      </c>
      <c r="E141" s="126">
        <f t="shared" si="82"/>
        <v>0</v>
      </c>
      <c r="F141" s="126">
        <f t="shared" si="83"/>
        <v>0</v>
      </c>
      <c r="G141" s="126">
        <f t="shared" si="79"/>
        <v>0</v>
      </c>
      <c r="H141" s="126">
        <v>233614</v>
      </c>
      <c r="I141" s="126">
        <f>+C141+D141-E141-F141+G141</f>
        <v>233614</v>
      </c>
      <c r="J141" s="9">
        <f t="shared" si="84"/>
        <v>0</v>
      </c>
      <c r="K141" s="47" t="s">
        <v>84</v>
      </c>
      <c r="L141" s="49">
        <v>0</v>
      </c>
      <c r="M141" s="49">
        <v>0</v>
      </c>
      <c r="N141" s="49">
        <v>0</v>
      </c>
      <c r="O141" s="49">
        <v>0</v>
      </c>
      <c r="Q141" s="5"/>
    </row>
    <row r="142" spans="1:17" ht="16.5">
      <c r="A142" s="60" t="str">
        <f t="shared" si="80"/>
        <v>I73X</v>
      </c>
      <c r="B142" s="124" t="s">
        <v>4</v>
      </c>
      <c r="C142" s="126">
        <v>249769</v>
      </c>
      <c r="D142" s="126">
        <f t="shared" si="86"/>
        <v>0</v>
      </c>
      <c r="E142" s="126">
        <f t="shared" si="82"/>
        <v>0</v>
      </c>
      <c r="F142" s="126">
        <f t="shared" si="83"/>
        <v>0</v>
      </c>
      <c r="G142" s="126">
        <f t="shared" si="79"/>
        <v>0</v>
      </c>
      <c r="H142" s="126">
        <v>249769</v>
      </c>
      <c r="I142" s="126">
        <f t="shared" ref="I142:I145" si="87">+C142+D142-E142-F142+G142</f>
        <v>249769</v>
      </c>
      <c r="J142" s="9">
        <f t="shared" si="84"/>
        <v>0</v>
      </c>
      <c r="K142" s="47" t="s">
        <v>83</v>
      </c>
      <c r="L142" s="49">
        <v>0</v>
      </c>
      <c r="M142" s="49">
        <v>0</v>
      </c>
      <c r="N142" s="49">
        <v>0</v>
      </c>
      <c r="O142" s="49">
        <v>0</v>
      </c>
      <c r="Q142" s="5"/>
    </row>
    <row r="143" spans="1:17" ht="16.5">
      <c r="A143" s="60" t="str">
        <f t="shared" si="80"/>
        <v>Grace</v>
      </c>
      <c r="B143" s="104" t="s">
        <v>2</v>
      </c>
      <c r="C143" s="63">
        <v>28600</v>
      </c>
      <c r="D143" s="63">
        <f t="shared" si="86"/>
        <v>389000</v>
      </c>
      <c r="E143" s="63">
        <f t="shared" si="82"/>
        <v>87785</v>
      </c>
      <c r="F143" s="63">
        <f t="shared" si="83"/>
        <v>311000</v>
      </c>
      <c r="G143" s="63">
        <f t="shared" si="79"/>
        <v>0</v>
      </c>
      <c r="H143" s="63">
        <v>18815</v>
      </c>
      <c r="I143" s="63">
        <f t="shared" si="87"/>
        <v>18815</v>
      </c>
      <c r="J143" s="9">
        <f t="shared" si="84"/>
        <v>0</v>
      </c>
      <c r="K143" s="47" t="s">
        <v>151</v>
      </c>
      <c r="L143" s="49">
        <v>389000</v>
      </c>
      <c r="M143" s="49">
        <v>311000</v>
      </c>
      <c r="N143" s="49">
        <v>87785</v>
      </c>
      <c r="O143" s="49">
        <v>0</v>
      </c>
      <c r="Q143" s="5"/>
    </row>
    <row r="144" spans="1:17" ht="16.5">
      <c r="A144" s="60" t="str">
        <f t="shared" si="80"/>
        <v>Hurielle</v>
      </c>
      <c r="B144" s="227" t="s">
        <v>163</v>
      </c>
      <c r="C144" s="63">
        <v>18000</v>
      </c>
      <c r="D144" s="63">
        <f t="shared" si="86"/>
        <v>354000</v>
      </c>
      <c r="E144" s="63">
        <f t="shared" si="82"/>
        <v>335500</v>
      </c>
      <c r="F144" s="63">
        <f t="shared" si="83"/>
        <v>0</v>
      </c>
      <c r="G144" s="63">
        <f t="shared" si="79"/>
        <v>0</v>
      </c>
      <c r="H144" s="63">
        <v>36500</v>
      </c>
      <c r="I144" s="63">
        <f t="shared" si="87"/>
        <v>36500</v>
      </c>
      <c r="J144" s="9">
        <f>I144-H144</f>
        <v>0</v>
      </c>
      <c r="K144" s="47" t="s">
        <v>207</v>
      </c>
      <c r="L144" s="49">
        <v>354000</v>
      </c>
      <c r="M144" s="49">
        <v>0</v>
      </c>
      <c r="N144" s="49">
        <v>335500</v>
      </c>
      <c r="O144" s="49">
        <v>0</v>
      </c>
      <c r="Q144" s="5"/>
    </row>
    <row r="145" spans="1:17" ht="16.5">
      <c r="A145" s="60" t="str">
        <f t="shared" si="80"/>
        <v>I23C</v>
      </c>
      <c r="B145" s="228" t="s">
        <v>4</v>
      </c>
      <c r="C145" s="63">
        <v>262050</v>
      </c>
      <c r="D145" s="63">
        <f t="shared" si="86"/>
        <v>602000</v>
      </c>
      <c r="E145" s="63">
        <f t="shared" si="82"/>
        <v>784500</v>
      </c>
      <c r="F145" s="63">
        <f t="shared" si="83"/>
        <v>0</v>
      </c>
      <c r="G145" s="63">
        <f t="shared" si="79"/>
        <v>0</v>
      </c>
      <c r="H145" s="63">
        <v>79550</v>
      </c>
      <c r="I145" s="63">
        <f t="shared" si="87"/>
        <v>79550</v>
      </c>
      <c r="J145" s="9">
        <f t="shared" ref="J145:J146" si="88">I145-H145</f>
        <v>0</v>
      </c>
      <c r="K145" s="47" t="s">
        <v>30</v>
      </c>
      <c r="L145" s="49">
        <v>602000</v>
      </c>
      <c r="M145" s="49">
        <v>0</v>
      </c>
      <c r="N145" s="49">
        <v>784500</v>
      </c>
      <c r="O145" s="49">
        <v>0</v>
      </c>
      <c r="Q145" s="5"/>
    </row>
    <row r="146" spans="1:17" ht="16.5">
      <c r="A146" s="60" t="str">
        <f t="shared" si="80"/>
        <v>Merveille</v>
      </c>
      <c r="B146" s="227" t="s">
        <v>2</v>
      </c>
      <c r="C146" s="63">
        <v>11900</v>
      </c>
      <c r="D146" s="63">
        <f t="shared" si="86"/>
        <v>96000</v>
      </c>
      <c r="E146" s="63">
        <f t="shared" si="82"/>
        <v>72000</v>
      </c>
      <c r="F146" s="63">
        <f t="shared" si="83"/>
        <v>30000</v>
      </c>
      <c r="G146" s="63">
        <f t="shared" si="79"/>
        <v>0</v>
      </c>
      <c r="H146" s="63">
        <v>5900</v>
      </c>
      <c r="I146" s="63">
        <f>+C146+D146-E146-F146+G146</f>
        <v>5900</v>
      </c>
      <c r="J146" s="9">
        <f t="shared" si="88"/>
        <v>0</v>
      </c>
      <c r="K146" s="47" t="s">
        <v>93</v>
      </c>
      <c r="L146" s="49">
        <v>96000</v>
      </c>
      <c r="M146" s="49">
        <v>30000</v>
      </c>
      <c r="N146" s="49">
        <v>72000</v>
      </c>
      <c r="O146" s="49">
        <v>0</v>
      </c>
      <c r="Q146" s="5"/>
    </row>
    <row r="147" spans="1:17" ht="16.5">
      <c r="A147" s="60" t="str">
        <f t="shared" si="80"/>
        <v>P29</v>
      </c>
      <c r="B147" s="227" t="s">
        <v>4</v>
      </c>
      <c r="C147" s="63">
        <v>221050</v>
      </c>
      <c r="D147" s="63">
        <f t="shared" si="86"/>
        <v>608500</v>
      </c>
      <c r="E147" s="63">
        <f t="shared" si="82"/>
        <v>799700</v>
      </c>
      <c r="F147" s="63">
        <f t="shared" si="83"/>
        <v>0</v>
      </c>
      <c r="G147" s="63">
        <f>+O147</f>
        <v>0</v>
      </c>
      <c r="H147" s="63">
        <v>29850</v>
      </c>
      <c r="I147" s="63">
        <f>+C147+D147-E147-F147+G147</f>
        <v>29850</v>
      </c>
      <c r="J147" s="9">
        <f>I147-H147</f>
        <v>0</v>
      </c>
      <c r="K147" s="47" t="s">
        <v>29</v>
      </c>
      <c r="L147" s="49">
        <v>608500</v>
      </c>
      <c r="M147" s="49">
        <v>0</v>
      </c>
      <c r="N147" s="49">
        <v>799700</v>
      </c>
      <c r="O147" s="49">
        <v>0</v>
      </c>
      <c r="Q147" s="5"/>
    </row>
    <row r="148" spans="1:17" ht="16.5">
      <c r="A148" s="60" t="str">
        <f t="shared" si="80"/>
        <v>Tiffany</v>
      </c>
      <c r="B148" s="61" t="s">
        <v>2</v>
      </c>
      <c r="C148" s="63">
        <v>-3959</v>
      </c>
      <c r="D148" s="63">
        <f t="shared" si="86"/>
        <v>1340000</v>
      </c>
      <c r="E148" s="63">
        <f t="shared" si="82"/>
        <v>12500</v>
      </c>
      <c r="F148" s="63">
        <f t="shared" si="83"/>
        <v>200000</v>
      </c>
      <c r="G148" s="63">
        <f t="shared" ref="G148:G149" si="89">+O148</f>
        <v>0</v>
      </c>
      <c r="H148" s="63">
        <v>1123541</v>
      </c>
      <c r="I148" s="63">
        <f t="shared" ref="I148" si="90">+C148+D148-E148-F148+G148</f>
        <v>1123541</v>
      </c>
      <c r="J148" s="9">
        <f t="shared" ref="J148" si="91">I148-H148</f>
        <v>0</v>
      </c>
      <c r="K148" s="47" t="s">
        <v>113</v>
      </c>
      <c r="L148" s="49">
        <v>1340000</v>
      </c>
      <c r="M148" s="49">
        <v>200000</v>
      </c>
      <c r="N148" s="49">
        <v>12500</v>
      </c>
      <c r="O148" s="49">
        <v>0</v>
      </c>
      <c r="Q148" s="5"/>
    </row>
    <row r="149" spans="1:17" ht="16.5">
      <c r="A149" s="60" t="str">
        <f t="shared" si="80"/>
        <v>Yan</v>
      </c>
      <c r="B149" s="61" t="s">
        <v>163</v>
      </c>
      <c r="C149" s="63">
        <v>95000</v>
      </c>
      <c r="D149" s="63">
        <f t="shared" si="86"/>
        <v>248500</v>
      </c>
      <c r="E149" s="63">
        <f t="shared" si="82"/>
        <v>283500</v>
      </c>
      <c r="F149" s="63">
        <f t="shared" si="83"/>
        <v>60000</v>
      </c>
      <c r="G149" s="63">
        <f t="shared" si="89"/>
        <v>0</v>
      </c>
      <c r="H149" s="63">
        <v>0</v>
      </c>
      <c r="I149" s="63">
        <f>+C149+D149-E149-F149+G149</f>
        <v>0</v>
      </c>
      <c r="J149" s="9">
        <f>I149-H149</f>
        <v>0</v>
      </c>
      <c r="K149" s="47" t="s">
        <v>223</v>
      </c>
      <c r="L149" s="49">
        <v>248500</v>
      </c>
      <c r="M149" s="49">
        <v>60000</v>
      </c>
      <c r="N149" s="49">
        <v>283500</v>
      </c>
      <c r="O149" s="49">
        <v>0</v>
      </c>
      <c r="Q149" s="5"/>
    </row>
    <row r="150" spans="1:17" ht="16.5">
      <c r="A150" s="10" t="s">
        <v>50</v>
      </c>
      <c r="B150" s="11"/>
      <c r="C150" s="12">
        <f t="shared" ref="C150:I150" si="92">SUM(C136:C149)</f>
        <v>11968765</v>
      </c>
      <c r="D150" s="59">
        <f t="shared" si="92"/>
        <v>9353500</v>
      </c>
      <c r="E150" s="59">
        <f t="shared" si="92"/>
        <v>8845768</v>
      </c>
      <c r="F150" s="59">
        <f t="shared" si="92"/>
        <v>9353500</v>
      </c>
      <c r="G150" s="59">
        <f t="shared" si="92"/>
        <v>20402887</v>
      </c>
      <c r="H150" s="59">
        <f t="shared" si="92"/>
        <v>23525884</v>
      </c>
      <c r="I150" s="59">
        <f t="shared" si="92"/>
        <v>23525884</v>
      </c>
      <c r="J150" s="9">
        <f>I150-H150</f>
        <v>0</v>
      </c>
      <c r="K150" s="3"/>
      <c r="L150" s="49">
        <f>+SUM(L136:L149)</f>
        <v>9353500</v>
      </c>
      <c r="M150" s="49">
        <f>+SUM(M136:M149)</f>
        <v>9353500</v>
      </c>
      <c r="N150" s="49">
        <f>+SUM(N136:N149)</f>
        <v>8845768</v>
      </c>
      <c r="O150" s="49">
        <f>+SUM(O136:O148)</f>
        <v>20402887</v>
      </c>
      <c r="Q150" s="5"/>
    </row>
    <row r="151" spans="1:17" ht="16.5">
      <c r="A151" s="10"/>
      <c r="B151" s="11"/>
      <c r="C151" s="12"/>
      <c r="D151" s="13"/>
      <c r="E151" s="12"/>
      <c r="F151" s="13"/>
      <c r="G151" s="12"/>
      <c r="H151" s="12"/>
      <c r="I151" s="143" t="b">
        <f>I150=D153</f>
        <v>1</v>
      </c>
      <c r="L151" s="5"/>
      <c r="M151" s="5"/>
      <c r="N151" s="5"/>
      <c r="O151" s="5"/>
      <c r="Q151" s="5"/>
    </row>
    <row r="152" spans="1:17" ht="16.5">
      <c r="A152" s="10" t="s">
        <v>240</v>
      </c>
      <c r="B152" s="11" t="s">
        <v>248</v>
      </c>
      <c r="C152" s="12" t="s">
        <v>241</v>
      </c>
      <c r="D152" s="12" t="s">
        <v>242</v>
      </c>
      <c r="E152" s="12" t="s">
        <v>51</v>
      </c>
      <c r="F152" s="12"/>
      <c r="G152" s="12">
        <f>+D150-F150</f>
        <v>0</v>
      </c>
      <c r="H152" s="12"/>
      <c r="I152" s="12"/>
      <c r="Q152" s="5"/>
    </row>
    <row r="153" spans="1:17" ht="16.5">
      <c r="A153" s="14">
        <f>C150</f>
        <v>11968765</v>
      </c>
      <c r="B153" s="15">
        <f>G150</f>
        <v>20402887</v>
      </c>
      <c r="C153" s="12">
        <f>E150</f>
        <v>8845768</v>
      </c>
      <c r="D153" s="12">
        <f>A153+B153-C153</f>
        <v>23525884</v>
      </c>
      <c r="E153" s="13">
        <f>I150-D153</f>
        <v>0</v>
      </c>
      <c r="F153" s="12"/>
      <c r="G153" s="12"/>
      <c r="H153" s="12"/>
      <c r="I153" s="12"/>
      <c r="Q153" s="5"/>
    </row>
    <row r="154" spans="1:17" ht="16.5">
      <c r="A154" s="14"/>
      <c r="B154" s="15"/>
      <c r="C154" s="12"/>
      <c r="D154" s="12"/>
      <c r="E154" s="13"/>
      <c r="F154" s="12"/>
      <c r="G154" s="12"/>
      <c r="H154" s="12"/>
      <c r="I154" s="12"/>
      <c r="Q154" s="5"/>
    </row>
    <row r="155" spans="1:17">
      <c r="A155" s="16" t="s">
        <v>52</v>
      </c>
      <c r="B155" s="16"/>
      <c r="C155" s="16"/>
      <c r="D155" s="17"/>
      <c r="E155" s="17"/>
      <c r="F155" s="17"/>
      <c r="G155" s="17"/>
      <c r="H155" s="17"/>
      <c r="I155" s="17"/>
      <c r="Q155" s="5"/>
    </row>
    <row r="156" spans="1:17">
      <c r="A156" s="18" t="s">
        <v>239</v>
      </c>
      <c r="B156" s="18"/>
      <c r="C156" s="18"/>
      <c r="D156" s="18"/>
      <c r="E156" s="18"/>
      <c r="F156" s="18"/>
      <c r="G156" s="18"/>
      <c r="H156" s="18"/>
      <c r="I156" s="18"/>
      <c r="J156" s="18"/>
      <c r="Q156" s="5"/>
    </row>
    <row r="157" spans="1:17">
      <c r="A157" s="19"/>
      <c r="B157" s="20"/>
      <c r="C157" s="21"/>
      <c r="D157" s="21"/>
      <c r="E157" s="21"/>
      <c r="F157" s="21"/>
      <c r="G157" s="21"/>
      <c r="H157" s="20"/>
      <c r="I157" s="20"/>
      <c r="Q157" s="5"/>
    </row>
    <row r="158" spans="1:17">
      <c r="A158" s="259" t="s">
        <v>53</v>
      </c>
      <c r="B158" s="261" t="s">
        <v>54</v>
      </c>
      <c r="C158" s="263" t="s">
        <v>237</v>
      </c>
      <c r="D158" s="265" t="s">
        <v>55</v>
      </c>
      <c r="E158" s="266"/>
      <c r="F158" s="266"/>
      <c r="G158" s="267"/>
      <c r="H158" s="268" t="s">
        <v>56</v>
      </c>
      <c r="I158" s="270" t="s">
        <v>57</v>
      </c>
      <c r="J158" s="20"/>
      <c r="Q158" s="5"/>
    </row>
    <row r="159" spans="1:17" ht="28.5" customHeight="1">
      <c r="A159" s="260"/>
      <c r="B159" s="262"/>
      <c r="C159" s="264"/>
      <c r="D159" s="22" t="s">
        <v>24</v>
      </c>
      <c r="E159" s="22" t="s">
        <v>25</v>
      </c>
      <c r="F159" s="264" t="s">
        <v>123</v>
      </c>
      <c r="G159" s="22" t="s">
        <v>58</v>
      </c>
      <c r="H159" s="269"/>
      <c r="I159" s="271"/>
      <c r="J159" s="272" t="s">
        <v>238</v>
      </c>
      <c r="K159" s="155"/>
      <c r="Q159" s="5"/>
    </row>
    <row r="160" spans="1:17">
      <c r="A160" s="24"/>
      <c r="B160" s="25" t="s">
        <v>59</v>
      </c>
      <c r="C160" s="26"/>
      <c r="D160" s="26"/>
      <c r="E160" s="26"/>
      <c r="F160" s="26"/>
      <c r="G160" s="26"/>
      <c r="H160" s="26"/>
      <c r="I160" s="27"/>
      <c r="J160" s="273"/>
      <c r="K160" s="155"/>
      <c r="Q160" s="5"/>
    </row>
    <row r="161" spans="1:17">
      <c r="A161" s="130" t="s">
        <v>72</v>
      </c>
      <c r="B161" s="135" t="s">
        <v>47</v>
      </c>
      <c r="C161" s="33">
        <f>+C139</f>
        <v>9800</v>
      </c>
      <c r="D161" s="32"/>
      <c r="E161" s="33">
        <f t="shared" ref="E161:E171" si="93">+D139</f>
        <v>1043000</v>
      </c>
      <c r="F161" s="33"/>
      <c r="G161" s="33"/>
      <c r="H161" s="57">
        <f t="shared" ref="H161:H171" si="94">+F139</f>
        <v>82500</v>
      </c>
      <c r="I161" s="33">
        <f t="shared" ref="I161:I171" si="95">+E139</f>
        <v>975940</v>
      </c>
      <c r="J161" s="31">
        <f t="shared" ref="J161:J162" si="96">+SUM(C161:G161)-(H161+I161)</f>
        <v>-5640</v>
      </c>
      <c r="K161" s="156" t="b">
        <f t="shared" ref="K161:K171" si="97">J161=I139</f>
        <v>1</v>
      </c>
      <c r="Q161" s="5"/>
    </row>
    <row r="162" spans="1:17">
      <c r="A162" s="130" t="str">
        <f>+A161</f>
        <v>JUILLET</v>
      </c>
      <c r="B162" s="135" t="s">
        <v>31</v>
      </c>
      <c r="C162" s="33">
        <f>+C140</f>
        <v>2295</v>
      </c>
      <c r="D162" s="32"/>
      <c r="E162" s="33">
        <f t="shared" si="93"/>
        <v>242500</v>
      </c>
      <c r="F162" s="33"/>
      <c r="G162" s="33"/>
      <c r="H162" s="57">
        <f t="shared" si="94"/>
        <v>0</v>
      </c>
      <c r="I162" s="33">
        <f t="shared" si="95"/>
        <v>240000</v>
      </c>
      <c r="J162" s="107">
        <f t="shared" si="96"/>
        <v>4795</v>
      </c>
      <c r="K162" s="156" t="b">
        <f t="shared" si="97"/>
        <v>1</v>
      </c>
      <c r="Q162" s="5"/>
    </row>
    <row r="163" spans="1:17">
      <c r="A163" s="130" t="str">
        <f t="shared" ref="A163:A167" si="98">+A162</f>
        <v>JUILLET</v>
      </c>
      <c r="B163" s="137" t="s">
        <v>84</v>
      </c>
      <c r="C163" s="128">
        <f>+C141</f>
        <v>233614</v>
      </c>
      <c r="D163" s="131"/>
      <c r="E163" s="128">
        <f t="shared" si="93"/>
        <v>0</v>
      </c>
      <c r="F163" s="146"/>
      <c r="G163" s="146"/>
      <c r="H163" s="178">
        <f t="shared" si="94"/>
        <v>0</v>
      </c>
      <c r="I163" s="128">
        <f t="shared" si="95"/>
        <v>0</v>
      </c>
      <c r="J163" s="129">
        <f>+SUM(C163:G163)-(H163+I163)</f>
        <v>233614</v>
      </c>
      <c r="K163" s="156" t="b">
        <f t="shared" si="97"/>
        <v>1</v>
      </c>
      <c r="Q163" s="5"/>
    </row>
    <row r="164" spans="1:17">
      <c r="A164" s="130" t="str">
        <f t="shared" si="98"/>
        <v>JUILLET</v>
      </c>
      <c r="B164" s="137" t="s">
        <v>83</v>
      </c>
      <c r="C164" s="128">
        <f>+C142</f>
        <v>249769</v>
      </c>
      <c r="D164" s="131"/>
      <c r="E164" s="128">
        <f t="shared" si="93"/>
        <v>0</v>
      </c>
      <c r="F164" s="146"/>
      <c r="G164" s="146"/>
      <c r="H164" s="178">
        <f t="shared" si="94"/>
        <v>0</v>
      </c>
      <c r="I164" s="128">
        <f t="shared" si="95"/>
        <v>0</v>
      </c>
      <c r="J164" s="129">
        <f t="shared" ref="J164:J171" si="99">+SUM(C164:G164)-(H164+I164)</f>
        <v>249769</v>
      </c>
      <c r="K164" s="156" t="b">
        <f t="shared" si="97"/>
        <v>1</v>
      </c>
      <c r="Q164" s="5"/>
    </row>
    <row r="165" spans="1:17">
      <c r="A165" s="130" t="str">
        <f t="shared" si="98"/>
        <v>JUILLET</v>
      </c>
      <c r="B165" s="135" t="s">
        <v>151</v>
      </c>
      <c r="C165" s="33">
        <f>+C143</f>
        <v>28600</v>
      </c>
      <c r="D165" s="32"/>
      <c r="E165" s="33">
        <f t="shared" si="93"/>
        <v>389000</v>
      </c>
      <c r="F165" s="33"/>
      <c r="G165" s="110"/>
      <c r="H165" s="57">
        <f t="shared" si="94"/>
        <v>311000</v>
      </c>
      <c r="I165" s="33">
        <f t="shared" si="95"/>
        <v>87785</v>
      </c>
      <c r="J165" s="31">
        <f t="shared" si="99"/>
        <v>18815</v>
      </c>
      <c r="K165" s="156" t="b">
        <f t="shared" si="97"/>
        <v>1</v>
      </c>
      <c r="Q165" s="5"/>
    </row>
    <row r="166" spans="1:17">
      <c r="A166" s="130" t="str">
        <f t="shared" si="98"/>
        <v>JUILLET</v>
      </c>
      <c r="B166" s="135" t="s">
        <v>207</v>
      </c>
      <c r="C166" s="33">
        <f t="shared" ref="C166:C171" si="100">+C144</f>
        <v>18000</v>
      </c>
      <c r="D166" s="32"/>
      <c r="E166" s="33">
        <f t="shared" si="93"/>
        <v>354000</v>
      </c>
      <c r="F166" s="33"/>
      <c r="G166" s="110"/>
      <c r="H166" s="57">
        <f t="shared" si="94"/>
        <v>0</v>
      </c>
      <c r="I166" s="33">
        <f t="shared" si="95"/>
        <v>335500</v>
      </c>
      <c r="J166" s="31">
        <f t="shared" si="99"/>
        <v>36500</v>
      </c>
      <c r="K166" s="156" t="b">
        <f t="shared" si="97"/>
        <v>1</v>
      </c>
      <c r="Q166" s="5"/>
    </row>
    <row r="167" spans="1:17">
      <c r="A167" s="130" t="str">
        <f t="shared" si="98"/>
        <v>JUILLET</v>
      </c>
      <c r="B167" s="135" t="s">
        <v>30</v>
      </c>
      <c r="C167" s="33">
        <f t="shared" si="100"/>
        <v>262050</v>
      </c>
      <c r="D167" s="32"/>
      <c r="E167" s="33">
        <f t="shared" si="93"/>
        <v>602000</v>
      </c>
      <c r="F167" s="33"/>
      <c r="G167" s="110"/>
      <c r="H167" s="57">
        <f t="shared" si="94"/>
        <v>0</v>
      </c>
      <c r="I167" s="33">
        <f t="shared" si="95"/>
        <v>784500</v>
      </c>
      <c r="J167" s="31">
        <f t="shared" si="99"/>
        <v>79550</v>
      </c>
      <c r="K167" s="156" t="b">
        <f t="shared" si="97"/>
        <v>1</v>
      </c>
      <c r="Q167" s="5"/>
    </row>
    <row r="168" spans="1:17">
      <c r="A168" s="130" t="str">
        <f>+A166</f>
        <v>JUILLET</v>
      </c>
      <c r="B168" s="135" t="s">
        <v>93</v>
      </c>
      <c r="C168" s="33">
        <f t="shared" si="100"/>
        <v>11900</v>
      </c>
      <c r="D168" s="32"/>
      <c r="E168" s="33">
        <f t="shared" si="93"/>
        <v>96000</v>
      </c>
      <c r="F168" s="33"/>
      <c r="G168" s="110"/>
      <c r="H168" s="57">
        <f t="shared" si="94"/>
        <v>30000</v>
      </c>
      <c r="I168" s="33">
        <f t="shared" si="95"/>
        <v>72000</v>
      </c>
      <c r="J168" s="31">
        <f t="shared" si="99"/>
        <v>5900</v>
      </c>
      <c r="K168" s="156" t="b">
        <f t="shared" si="97"/>
        <v>1</v>
      </c>
      <c r="Q168" s="5"/>
    </row>
    <row r="169" spans="1:17">
      <c r="A169" s="130" t="str">
        <f>+A167</f>
        <v>JUILLET</v>
      </c>
      <c r="B169" s="135" t="s">
        <v>29</v>
      </c>
      <c r="C169" s="33">
        <f t="shared" si="100"/>
        <v>221050</v>
      </c>
      <c r="D169" s="32"/>
      <c r="E169" s="33">
        <f t="shared" si="93"/>
        <v>608500</v>
      </c>
      <c r="F169" s="33"/>
      <c r="G169" s="110"/>
      <c r="H169" s="57">
        <f t="shared" si="94"/>
        <v>0</v>
      </c>
      <c r="I169" s="33">
        <f t="shared" si="95"/>
        <v>799700</v>
      </c>
      <c r="J169" s="31">
        <f t="shared" si="99"/>
        <v>29850</v>
      </c>
      <c r="K169" s="156" t="b">
        <f t="shared" si="97"/>
        <v>1</v>
      </c>
      <c r="Q169" s="5"/>
    </row>
    <row r="170" spans="1:17">
      <c r="A170" s="130" t="str">
        <f>+A168</f>
        <v>JUILLET</v>
      </c>
      <c r="B170" s="136" t="s">
        <v>113</v>
      </c>
      <c r="C170" s="33">
        <f t="shared" si="100"/>
        <v>-3959</v>
      </c>
      <c r="D170" s="127"/>
      <c r="E170" s="33">
        <f t="shared" si="93"/>
        <v>1340000</v>
      </c>
      <c r="F170" s="53"/>
      <c r="G170" s="147"/>
      <c r="H170" s="57">
        <f t="shared" si="94"/>
        <v>200000</v>
      </c>
      <c r="I170" s="33">
        <f t="shared" si="95"/>
        <v>12500</v>
      </c>
      <c r="J170" s="31">
        <f t="shared" si="99"/>
        <v>1123541</v>
      </c>
      <c r="K170" s="156" t="b">
        <f t="shared" si="97"/>
        <v>1</v>
      </c>
      <c r="Q170" s="5"/>
    </row>
    <row r="171" spans="1:17">
      <c r="A171" s="130" t="str">
        <f>+A169</f>
        <v>JUILLET</v>
      </c>
      <c r="B171" s="136" t="s">
        <v>223</v>
      </c>
      <c r="C171" s="33">
        <f t="shared" si="100"/>
        <v>95000</v>
      </c>
      <c r="D171" s="127"/>
      <c r="E171" s="33">
        <f t="shared" si="93"/>
        <v>248500</v>
      </c>
      <c r="F171" s="53"/>
      <c r="G171" s="147"/>
      <c r="H171" s="57">
        <f t="shared" si="94"/>
        <v>60000</v>
      </c>
      <c r="I171" s="33">
        <f t="shared" si="95"/>
        <v>283500</v>
      </c>
      <c r="J171" s="31">
        <f t="shared" si="99"/>
        <v>0</v>
      </c>
      <c r="K171" s="156" t="b">
        <f t="shared" si="97"/>
        <v>1</v>
      </c>
      <c r="Q171" s="5"/>
    </row>
    <row r="172" spans="1:17">
      <c r="A172" s="35" t="s">
        <v>60</v>
      </c>
      <c r="B172" s="36"/>
      <c r="C172" s="36"/>
      <c r="D172" s="36"/>
      <c r="E172" s="36"/>
      <c r="F172" s="36"/>
      <c r="G172" s="36"/>
      <c r="H172" s="36"/>
      <c r="I172" s="36"/>
      <c r="J172" s="37"/>
      <c r="K172" s="155"/>
      <c r="Q172" s="5"/>
    </row>
    <row r="173" spans="1:17">
      <c r="A173" s="130" t="str">
        <f>+A171</f>
        <v>JUILLET</v>
      </c>
      <c r="B173" s="38" t="s">
        <v>61</v>
      </c>
      <c r="C173" s="39">
        <f>+C138</f>
        <v>1696326</v>
      </c>
      <c r="D173" s="51"/>
      <c r="E173" s="51">
        <f>D138</f>
        <v>4430000</v>
      </c>
      <c r="F173" s="51"/>
      <c r="G173" s="133"/>
      <c r="H173" s="53">
        <f>+F138</f>
        <v>4570000</v>
      </c>
      <c r="I173" s="134">
        <f>+E138</f>
        <v>1453294</v>
      </c>
      <c r="J173" s="46">
        <f>+SUM(C173:G173)-(H173+I173)</f>
        <v>103032</v>
      </c>
      <c r="K173" s="156" t="b">
        <f>J173=I138</f>
        <v>1</v>
      </c>
      <c r="Q173" s="5"/>
    </row>
    <row r="174" spans="1:17">
      <c r="A174" s="44" t="s">
        <v>62</v>
      </c>
      <c r="B174" s="25"/>
      <c r="C174" s="36"/>
      <c r="D174" s="25"/>
      <c r="E174" s="25"/>
      <c r="F174" s="25"/>
      <c r="G174" s="25"/>
      <c r="H174" s="25"/>
      <c r="I174" s="25"/>
      <c r="J174" s="37"/>
      <c r="K174" s="155"/>
      <c r="Q174" s="5"/>
    </row>
    <row r="175" spans="1:17">
      <c r="A175" s="130" t="str">
        <f>+A173</f>
        <v>JUILLET</v>
      </c>
      <c r="B175" s="38" t="s">
        <v>166</v>
      </c>
      <c r="C175" s="133">
        <f>+C136</f>
        <v>4291693</v>
      </c>
      <c r="D175" s="140">
        <f>+G136</f>
        <v>0</v>
      </c>
      <c r="E175" s="51"/>
      <c r="F175" s="51"/>
      <c r="G175" s="51"/>
      <c r="H175" s="53">
        <f>+F136</f>
        <v>4100000</v>
      </c>
      <c r="I175" s="55">
        <f>+E136</f>
        <v>23345</v>
      </c>
      <c r="J175" s="46">
        <f>+SUM(C175:G175)-(H175+I175)</f>
        <v>168348</v>
      </c>
      <c r="K175" s="156" t="b">
        <f>+J175=I136</f>
        <v>1</v>
      </c>
      <c r="Q175" s="5"/>
    </row>
    <row r="176" spans="1:17">
      <c r="A176" s="130" t="str">
        <f t="shared" ref="A176" si="101">+A175</f>
        <v>JUILLET</v>
      </c>
      <c r="B176" s="38" t="s">
        <v>64</v>
      </c>
      <c r="C176" s="133">
        <f>+C137</f>
        <v>4852627</v>
      </c>
      <c r="D176" s="51">
        <f>+G137</f>
        <v>20402887</v>
      </c>
      <c r="E176" s="50"/>
      <c r="F176" s="50"/>
      <c r="G176" s="50"/>
      <c r="H176" s="33">
        <f>+F137</f>
        <v>0</v>
      </c>
      <c r="I176" s="52">
        <f>+E137</f>
        <v>3777704</v>
      </c>
      <c r="J176" s="46">
        <f>SUM(C176:G176)-(H176+I176)</f>
        <v>21477810</v>
      </c>
      <c r="K176" s="156" t="b">
        <f>+J176=I137</f>
        <v>1</v>
      </c>
      <c r="Q176" s="5"/>
    </row>
    <row r="177" spans="1:17" ht="15.75">
      <c r="C177" s="151">
        <f>SUM(C161:C176)</f>
        <v>11968765</v>
      </c>
      <c r="I177" s="149">
        <f>SUM(I161:I176)</f>
        <v>8845768</v>
      </c>
      <c r="J177" s="111">
        <f>+SUM(J161:J176)</f>
        <v>23525884</v>
      </c>
      <c r="K177" s="5" t="b">
        <f>J177=I150</f>
        <v>1</v>
      </c>
      <c r="Q177" s="5"/>
    </row>
    <row r="178" spans="1:17" ht="15.75">
      <c r="A178" s="189"/>
      <c r="B178" s="189"/>
      <c r="C178" s="190"/>
      <c r="D178" s="189"/>
      <c r="E178" s="189"/>
      <c r="F178" s="189"/>
      <c r="G178" s="189"/>
      <c r="H178" s="189"/>
      <c r="I178" s="191"/>
      <c r="J178" s="192"/>
      <c r="K178" s="189"/>
      <c r="L178" s="193"/>
      <c r="M178" s="193"/>
      <c r="N178" s="193"/>
      <c r="O178" s="193"/>
      <c r="P178" s="189"/>
      <c r="Q178" s="5"/>
    </row>
    <row r="181" spans="1:17" ht="15.75">
      <c r="A181" s="6" t="s">
        <v>36</v>
      </c>
      <c r="B181" s="6" t="s">
        <v>1</v>
      </c>
      <c r="C181" s="6">
        <v>44713</v>
      </c>
      <c r="D181" s="7" t="s">
        <v>37</v>
      </c>
      <c r="E181" s="7" t="s">
        <v>38</v>
      </c>
      <c r="F181" s="7" t="s">
        <v>39</v>
      </c>
      <c r="G181" s="7" t="s">
        <v>40</v>
      </c>
      <c r="H181" s="6">
        <v>44742</v>
      </c>
      <c r="I181" s="7" t="s">
        <v>41</v>
      </c>
      <c r="K181" s="47"/>
      <c r="L181" s="47" t="s">
        <v>42</v>
      </c>
      <c r="M181" s="47" t="s">
        <v>43</v>
      </c>
      <c r="N181" s="47" t="s">
        <v>44</v>
      </c>
      <c r="O181" s="47" t="s">
        <v>45</v>
      </c>
      <c r="Q181" s="5"/>
    </row>
    <row r="182" spans="1:17" ht="16.5">
      <c r="A182" s="60" t="str">
        <f>K182</f>
        <v>BCI</v>
      </c>
      <c r="B182" s="61" t="s">
        <v>46</v>
      </c>
      <c r="C182" s="63">
        <v>8575038</v>
      </c>
      <c r="D182" s="63">
        <f>+L182</f>
        <v>0</v>
      </c>
      <c r="E182" s="63">
        <f>+N182</f>
        <v>283345</v>
      </c>
      <c r="F182" s="63">
        <f>+M182</f>
        <v>4000000</v>
      </c>
      <c r="G182" s="63">
        <f t="shared" ref="G182:G192" si="102">+O182</f>
        <v>0</v>
      </c>
      <c r="H182" s="63">
        <v>4291693</v>
      </c>
      <c r="I182" s="63">
        <f>+C182+D182-E182-F182+G182</f>
        <v>4291693</v>
      </c>
      <c r="J182" s="9">
        <f>I182-H182</f>
        <v>0</v>
      </c>
      <c r="K182" s="47" t="s">
        <v>24</v>
      </c>
      <c r="L182" s="49">
        <v>0</v>
      </c>
      <c r="M182" s="49">
        <v>4000000</v>
      </c>
      <c r="N182" s="49">
        <v>283345</v>
      </c>
      <c r="O182" s="49">
        <v>0</v>
      </c>
      <c r="Q182" s="5"/>
    </row>
    <row r="183" spans="1:17" ht="16.5">
      <c r="A183" s="60" t="str">
        <f t="shared" ref="A183:A195" si="103">K183</f>
        <v>BCI-Sous Compte</v>
      </c>
      <c r="B183" s="61" t="s">
        <v>46</v>
      </c>
      <c r="C183" s="63">
        <v>12231533</v>
      </c>
      <c r="D183" s="63">
        <f t="shared" ref="D183:D195" si="104">+L183</f>
        <v>0</v>
      </c>
      <c r="E183" s="63">
        <f t="shared" ref="E183:E195" si="105">+N183</f>
        <v>5378906</v>
      </c>
      <c r="F183" s="63">
        <f t="shared" ref="F183:F195" si="106">+M183</f>
        <v>2000000</v>
      </c>
      <c r="G183" s="63">
        <f t="shared" si="102"/>
        <v>0</v>
      </c>
      <c r="H183" s="63">
        <v>4852627</v>
      </c>
      <c r="I183" s="63">
        <f>+C183+D183-E183-F183+G183</f>
        <v>4852627</v>
      </c>
      <c r="J183" s="9">
        <f t="shared" ref="J183:J189" si="107">I183-H183</f>
        <v>0</v>
      </c>
      <c r="K183" s="47" t="s">
        <v>157</v>
      </c>
      <c r="L183" s="49">
        <v>0</v>
      </c>
      <c r="M183" s="49">
        <v>2000000</v>
      </c>
      <c r="N183" s="49">
        <v>5378906</v>
      </c>
      <c r="O183" s="49">
        <v>0</v>
      </c>
      <c r="Q183" s="5"/>
    </row>
    <row r="184" spans="1:17" ht="16.5">
      <c r="A184" s="60" t="str">
        <f t="shared" si="103"/>
        <v>Caisse</v>
      </c>
      <c r="B184" s="61" t="s">
        <v>25</v>
      </c>
      <c r="C184" s="63">
        <v>1700406</v>
      </c>
      <c r="D184" s="63">
        <f t="shared" si="104"/>
        <v>6172450</v>
      </c>
      <c r="E184" s="63">
        <f t="shared" si="105"/>
        <v>2587130</v>
      </c>
      <c r="F184" s="63">
        <f t="shared" si="106"/>
        <v>3589400</v>
      </c>
      <c r="G184" s="63">
        <f t="shared" si="102"/>
        <v>0</v>
      </c>
      <c r="H184" s="63">
        <v>1696326</v>
      </c>
      <c r="I184" s="63">
        <f>+C184+D184-E184-F184+G184</f>
        <v>1696326</v>
      </c>
      <c r="J184" s="108">
        <f t="shared" si="107"/>
        <v>0</v>
      </c>
      <c r="K184" s="47" t="s">
        <v>25</v>
      </c>
      <c r="L184" s="49">
        <v>6172450</v>
      </c>
      <c r="M184" s="49">
        <v>3589400</v>
      </c>
      <c r="N184" s="49">
        <v>2587130</v>
      </c>
      <c r="O184" s="49">
        <v>0</v>
      </c>
      <c r="Q184" s="5"/>
    </row>
    <row r="185" spans="1:17" ht="16.5">
      <c r="A185" s="60" t="str">
        <f t="shared" si="103"/>
        <v>Crépin</v>
      </c>
      <c r="B185" s="61" t="s">
        <v>163</v>
      </c>
      <c r="C185" s="63">
        <v>15750</v>
      </c>
      <c r="D185" s="63">
        <f t="shared" si="104"/>
        <v>1223400</v>
      </c>
      <c r="E185" s="63">
        <f t="shared" si="105"/>
        <v>1184350</v>
      </c>
      <c r="F185" s="63">
        <f t="shared" si="106"/>
        <v>45000</v>
      </c>
      <c r="G185" s="63">
        <f t="shared" si="102"/>
        <v>0</v>
      </c>
      <c r="H185" s="63">
        <v>9800</v>
      </c>
      <c r="I185" s="63">
        <f>+C185+D185-E185-F185+G185</f>
        <v>9800</v>
      </c>
      <c r="J185" s="9">
        <f t="shared" si="107"/>
        <v>0</v>
      </c>
      <c r="K185" s="47" t="s">
        <v>47</v>
      </c>
      <c r="L185" s="49">
        <v>1223400</v>
      </c>
      <c r="M185" s="49">
        <v>45000</v>
      </c>
      <c r="N185" s="49">
        <v>1184350</v>
      </c>
      <c r="O185" s="49">
        <v>0</v>
      </c>
      <c r="Q185" s="5"/>
    </row>
    <row r="186" spans="1:17" ht="16.5">
      <c r="A186" s="60" t="str">
        <f t="shared" si="103"/>
        <v>Evariste</v>
      </c>
      <c r="B186" s="61" t="s">
        <v>164</v>
      </c>
      <c r="C186" s="63">
        <v>8795</v>
      </c>
      <c r="D186" s="63">
        <f t="shared" si="104"/>
        <v>248000</v>
      </c>
      <c r="E186" s="63">
        <f t="shared" si="105"/>
        <v>254500</v>
      </c>
      <c r="F186" s="63">
        <f t="shared" si="106"/>
        <v>0</v>
      </c>
      <c r="G186" s="63">
        <f t="shared" si="102"/>
        <v>0</v>
      </c>
      <c r="H186" s="63">
        <v>2295</v>
      </c>
      <c r="I186" s="63">
        <f t="shared" ref="I186" si="108">+C186+D186-E186-F186+G186</f>
        <v>2295</v>
      </c>
      <c r="J186" s="9">
        <f t="shared" si="107"/>
        <v>0</v>
      </c>
      <c r="K186" s="47" t="s">
        <v>31</v>
      </c>
      <c r="L186" s="49">
        <v>248000</v>
      </c>
      <c r="M186" s="49">
        <v>0</v>
      </c>
      <c r="N186" s="49">
        <v>254500</v>
      </c>
      <c r="O186" s="49">
        <v>0</v>
      </c>
      <c r="Q186" s="5"/>
    </row>
    <row r="187" spans="1:17" ht="16.5">
      <c r="A187" s="60" t="str">
        <f t="shared" si="103"/>
        <v>I55S</v>
      </c>
      <c r="B187" s="124" t="s">
        <v>4</v>
      </c>
      <c r="C187" s="126">
        <v>233614</v>
      </c>
      <c r="D187" s="126">
        <f t="shared" si="104"/>
        <v>0</v>
      </c>
      <c r="E187" s="126">
        <f t="shared" si="105"/>
        <v>0</v>
      </c>
      <c r="F187" s="126">
        <f t="shared" si="106"/>
        <v>0</v>
      </c>
      <c r="G187" s="126">
        <f t="shared" si="102"/>
        <v>0</v>
      </c>
      <c r="H187" s="126">
        <v>233614</v>
      </c>
      <c r="I187" s="126">
        <f>+C187+D187-E187-F187+G187</f>
        <v>233614</v>
      </c>
      <c r="J187" s="9">
        <f t="shared" si="107"/>
        <v>0</v>
      </c>
      <c r="K187" s="47" t="s">
        <v>84</v>
      </c>
      <c r="L187" s="49">
        <v>0</v>
      </c>
      <c r="M187" s="49">
        <v>0</v>
      </c>
      <c r="N187" s="49">
        <v>0</v>
      </c>
      <c r="O187" s="49">
        <v>0</v>
      </c>
      <c r="Q187" s="5"/>
    </row>
    <row r="188" spans="1:17" ht="16.5">
      <c r="A188" s="60" t="str">
        <f t="shared" si="103"/>
        <v>I73X</v>
      </c>
      <c r="B188" s="124" t="s">
        <v>4</v>
      </c>
      <c r="C188" s="126">
        <v>249769</v>
      </c>
      <c r="D188" s="126">
        <f t="shared" si="104"/>
        <v>0</v>
      </c>
      <c r="E188" s="126">
        <f t="shared" si="105"/>
        <v>0</v>
      </c>
      <c r="F188" s="126">
        <f t="shared" si="106"/>
        <v>0</v>
      </c>
      <c r="G188" s="126">
        <f t="shared" si="102"/>
        <v>0</v>
      </c>
      <c r="H188" s="126">
        <v>249769</v>
      </c>
      <c r="I188" s="126">
        <f t="shared" ref="I188:I191" si="109">+C188+D188-E188-F188+G188</f>
        <v>249769</v>
      </c>
      <c r="J188" s="9">
        <f t="shared" si="107"/>
        <v>0</v>
      </c>
      <c r="K188" s="47" t="s">
        <v>83</v>
      </c>
      <c r="L188" s="49">
        <v>0</v>
      </c>
      <c r="M188" s="49">
        <v>0</v>
      </c>
      <c r="N188" s="49">
        <v>0</v>
      </c>
      <c r="O188" s="49">
        <v>0</v>
      </c>
      <c r="Q188" s="5"/>
    </row>
    <row r="189" spans="1:17" ht="16.5">
      <c r="A189" s="60" t="str">
        <f t="shared" si="103"/>
        <v>Grace</v>
      </c>
      <c r="B189" s="104" t="s">
        <v>2</v>
      </c>
      <c r="C189" s="63">
        <v>14700</v>
      </c>
      <c r="D189" s="63">
        <f t="shared" si="104"/>
        <v>994000</v>
      </c>
      <c r="E189" s="63">
        <f t="shared" si="105"/>
        <v>220100</v>
      </c>
      <c r="F189" s="63">
        <f t="shared" si="106"/>
        <v>760000</v>
      </c>
      <c r="G189" s="63">
        <f t="shared" si="102"/>
        <v>0</v>
      </c>
      <c r="H189" s="63">
        <v>28600</v>
      </c>
      <c r="I189" s="63">
        <f t="shared" si="109"/>
        <v>28600</v>
      </c>
      <c r="J189" s="9">
        <f t="shared" si="107"/>
        <v>0</v>
      </c>
      <c r="K189" s="47" t="s">
        <v>151</v>
      </c>
      <c r="L189" s="49">
        <v>994000</v>
      </c>
      <c r="M189" s="49">
        <v>760000</v>
      </c>
      <c r="N189" s="49">
        <v>220100</v>
      </c>
      <c r="O189" s="49">
        <v>0</v>
      </c>
      <c r="Q189" s="5"/>
    </row>
    <row r="190" spans="1:17" ht="16.5">
      <c r="A190" s="60" t="str">
        <f t="shared" si="103"/>
        <v>Hurielle</v>
      </c>
      <c r="B190" s="227" t="s">
        <v>163</v>
      </c>
      <c r="C190" s="63">
        <v>46950</v>
      </c>
      <c r="D190" s="63">
        <f t="shared" si="104"/>
        <v>254000</v>
      </c>
      <c r="E190" s="63">
        <f t="shared" si="105"/>
        <v>245500</v>
      </c>
      <c r="F190" s="63">
        <f t="shared" si="106"/>
        <v>37450</v>
      </c>
      <c r="G190" s="63">
        <f t="shared" si="102"/>
        <v>0</v>
      </c>
      <c r="H190" s="63">
        <v>18000</v>
      </c>
      <c r="I190" s="63">
        <f t="shared" si="109"/>
        <v>18000</v>
      </c>
      <c r="J190" s="9">
        <f>I190-H190</f>
        <v>0</v>
      </c>
      <c r="K190" s="47" t="s">
        <v>207</v>
      </c>
      <c r="L190" s="49">
        <v>254000</v>
      </c>
      <c r="M190" s="49">
        <v>37450</v>
      </c>
      <c r="N190" s="49">
        <v>245500</v>
      </c>
      <c r="O190" s="49">
        <v>0</v>
      </c>
      <c r="Q190" s="5"/>
    </row>
    <row r="191" spans="1:17" ht="16.5">
      <c r="A191" s="60" t="str">
        <f t="shared" si="103"/>
        <v>I23C</v>
      </c>
      <c r="B191" s="228" t="s">
        <v>4</v>
      </c>
      <c r="C191" s="63">
        <v>112050</v>
      </c>
      <c r="D191" s="63">
        <f t="shared" si="104"/>
        <v>584000</v>
      </c>
      <c r="E191" s="63">
        <f t="shared" si="105"/>
        <v>434000</v>
      </c>
      <c r="F191" s="63">
        <f t="shared" si="106"/>
        <v>0</v>
      </c>
      <c r="G191" s="63">
        <f t="shared" si="102"/>
        <v>0</v>
      </c>
      <c r="H191" s="63">
        <v>262050</v>
      </c>
      <c r="I191" s="63">
        <f t="shared" si="109"/>
        <v>262050</v>
      </c>
      <c r="J191" s="9">
        <f t="shared" ref="J191:J192" si="110">I191-H191</f>
        <v>0</v>
      </c>
      <c r="K191" s="47" t="s">
        <v>30</v>
      </c>
      <c r="L191" s="49">
        <v>584000</v>
      </c>
      <c r="M191" s="49">
        <v>0</v>
      </c>
      <c r="N191" s="49">
        <v>434000</v>
      </c>
      <c r="O191" s="49">
        <v>0</v>
      </c>
      <c r="Q191" s="5"/>
    </row>
    <row r="192" spans="1:17" ht="16.5">
      <c r="A192" s="60" t="str">
        <f t="shared" si="103"/>
        <v>Merveille</v>
      </c>
      <c r="B192" s="227" t="s">
        <v>2</v>
      </c>
      <c r="C192" s="63">
        <v>2900</v>
      </c>
      <c r="D192" s="63">
        <f t="shared" si="104"/>
        <v>40000</v>
      </c>
      <c r="E192" s="63">
        <f t="shared" si="105"/>
        <v>31000</v>
      </c>
      <c r="F192" s="63">
        <f t="shared" si="106"/>
        <v>0</v>
      </c>
      <c r="G192" s="63">
        <f t="shared" si="102"/>
        <v>0</v>
      </c>
      <c r="H192" s="63">
        <v>11900</v>
      </c>
      <c r="I192" s="63">
        <f>+C192+D192-E192-F192+G192</f>
        <v>11900</v>
      </c>
      <c r="J192" s="9">
        <f t="shared" si="110"/>
        <v>0</v>
      </c>
      <c r="K192" s="47" t="s">
        <v>93</v>
      </c>
      <c r="L192" s="49">
        <v>40000</v>
      </c>
      <c r="M192" s="49">
        <v>0</v>
      </c>
      <c r="N192" s="49">
        <v>31000</v>
      </c>
      <c r="O192" s="49">
        <v>0</v>
      </c>
      <c r="Q192" s="5"/>
    </row>
    <row r="193" spans="1:17" ht="16.5">
      <c r="A193" s="60" t="str">
        <f t="shared" si="103"/>
        <v>P29</v>
      </c>
      <c r="B193" s="227" t="s">
        <v>4</v>
      </c>
      <c r="C193" s="63">
        <v>140700</v>
      </c>
      <c r="D193" s="63">
        <f t="shared" si="104"/>
        <v>638000</v>
      </c>
      <c r="E193" s="63">
        <f t="shared" si="105"/>
        <v>507650</v>
      </c>
      <c r="F193" s="63">
        <f t="shared" si="106"/>
        <v>50000</v>
      </c>
      <c r="G193" s="63">
        <f>+O193</f>
        <v>0</v>
      </c>
      <c r="H193" s="63">
        <v>221050</v>
      </c>
      <c r="I193" s="63">
        <f>+C193+D193-E193-F193+G193</f>
        <v>221050</v>
      </c>
      <c r="J193" s="9">
        <f>I193-H193</f>
        <v>0</v>
      </c>
      <c r="K193" s="47" t="s">
        <v>29</v>
      </c>
      <c r="L193" s="49">
        <v>638000</v>
      </c>
      <c r="M193" s="49">
        <v>50000</v>
      </c>
      <c r="N193" s="49">
        <v>507650</v>
      </c>
      <c r="O193" s="49">
        <v>0</v>
      </c>
      <c r="Q193" s="5"/>
    </row>
    <row r="194" spans="1:17" ht="16.5">
      <c r="A194" s="60" t="str">
        <f t="shared" si="103"/>
        <v>Tiffany</v>
      </c>
      <c r="B194" s="61" t="s">
        <v>2</v>
      </c>
      <c r="C194" s="63">
        <v>2241</v>
      </c>
      <c r="D194" s="63">
        <f t="shared" si="104"/>
        <v>0</v>
      </c>
      <c r="E194" s="63">
        <f t="shared" si="105"/>
        <v>6200</v>
      </c>
      <c r="F194" s="63">
        <f t="shared" si="106"/>
        <v>0</v>
      </c>
      <c r="G194" s="63">
        <f t="shared" ref="G194:G195" si="111">+O194</f>
        <v>0</v>
      </c>
      <c r="H194" s="63">
        <v>-3959</v>
      </c>
      <c r="I194" s="63">
        <f t="shared" ref="I194" si="112">+C194+D194-E194-F194+G194</f>
        <v>-3959</v>
      </c>
      <c r="J194" s="9">
        <f t="shared" ref="J194" si="113">I194-H194</f>
        <v>0</v>
      </c>
      <c r="K194" s="47" t="s">
        <v>113</v>
      </c>
      <c r="L194" s="49">
        <v>0</v>
      </c>
      <c r="M194" s="49">
        <v>0</v>
      </c>
      <c r="N194" s="49">
        <v>6200</v>
      </c>
      <c r="O194" s="49">
        <v>0</v>
      </c>
      <c r="Q194" s="5"/>
    </row>
    <row r="195" spans="1:17" ht="16.5">
      <c r="A195" s="60" t="str">
        <f t="shared" si="103"/>
        <v>Yan</v>
      </c>
      <c r="B195" s="61" t="s">
        <v>163</v>
      </c>
      <c r="C195" s="63">
        <v>10500</v>
      </c>
      <c r="D195" s="63">
        <f t="shared" si="104"/>
        <v>368000</v>
      </c>
      <c r="E195" s="63">
        <f t="shared" si="105"/>
        <v>243500</v>
      </c>
      <c r="F195" s="63">
        <f t="shared" si="106"/>
        <v>40000</v>
      </c>
      <c r="G195" s="63">
        <f t="shared" si="111"/>
        <v>0</v>
      </c>
      <c r="H195" s="63">
        <v>95000</v>
      </c>
      <c r="I195" s="63">
        <f>+C195+D195-E195-F195+G195</f>
        <v>95000</v>
      </c>
      <c r="J195" s="9">
        <f>I195-H195</f>
        <v>0</v>
      </c>
      <c r="K195" s="47" t="s">
        <v>223</v>
      </c>
      <c r="L195" s="49">
        <v>368000</v>
      </c>
      <c r="M195" s="49">
        <v>40000</v>
      </c>
      <c r="N195" s="49">
        <v>243500</v>
      </c>
      <c r="O195" s="49">
        <v>0</v>
      </c>
      <c r="Q195" s="5"/>
    </row>
    <row r="196" spans="1:17" ht="16.5">
      <c r="A196" s="10" t="s">
        <v>50</v>
      </c>
      <c r="B196" s="11"/>
      <c r="C196" s="12">
        <f t="shared" ref="C196:I196" si="114">SUM(C182:C195)</f>
        <v>23344946</v>
      </c>
      <c r="D196" s="59">
        <f t="shared" si="114"/>
        <v>10521850</v>
      </c>
      <c r="E196" s="59">
        <f t="shared" si="114"/>
        <v>11376181</v>
      </c>
      <c r="F196" s="59">
        <f t="shared" si="114"/>
        <v>10521850</v>
      </c>
      <c r="G196" s="59">
        <f t="shared" si="114"/>
        <v>0</v>
      </c>
      <c r="H196" s="59">
        <f t="shared" si="114"/>
        <v>11968765</v>
      </c>
      <c r="I196" s="59">
        <f t="shared" si="114"/>
        <v>11968765</v>
      </c>
      <c r="J196" s="9">
        <f>I196-H196</f>
        <v>0</v>
      </c>
      <c r="K196" s="3"/>
      <c r="L196" s="49">
        <f>+SUM(L182:L195)</f>
        <v>10521850</v>
      </c>
      <c r="M196" s="49">
        <f>+SUM(M182:M195)</f>
        <v>10521850</v>
      </c>
      <c r="N196" s="49">
        <f>+SUM(N182:N195)</f>
        <v>11376181</v>
      </c>
      <c r="O196" s="49">
        <f>+SUM(O182:O194)</f>
        <v>0</v>
      </c>
      <c r="Q196" s="5"/>
    </row>
    <row r="197" spans="1:17" ht="16.5">
      <c r="A197" s="10"/>
      <c r="B197" s="11"/>
      <c r="C197" s="12"/>
      <c r="D197" s="13"/>
      <c r="E197" s="12"/>
      <c r="F197" s="13"/>
      <c r="G197" s="12"/>
      <c r="H197" s="12"/>
      <c r="I197" s="143" t="b">
        <f>I196=D199</f>
        <v>1</v>
      </c>
      <c r="L197" s="5"/>
      <c r="M197" s="5"/>
      <c r="N197" s="5"/>
      <c r="O197" s="5"/>
      <c r="Q197" s="5"/>
    </row>
    <row r="198" spans="1:17" ht="16.5">
      <c r="A198" s="10" t="s">
        <v>230</v>
      </c>
      <c r="B198" s="11" t="s">
        <v>231</v>
      </c>
      <c r="C198" s="12" t="s">
        <v>232</v>
      </c>
      <c r="D198" s="12" t="s">
        <v>234</v>
      </c>
      <c r="E198" s="12" t="s">
        <v>51</v>
      </c>
      <c r="F198" s="12"/>
      <c r="G198" s="12">
        <f>+D196-F196</f>
        <v>0</v>
      </c>
      <c r="H198" s="12"/>
      <c r="I198" s="12"/>
      <c r="Q198" s="5"/>
    </row>
    <row r="199" spans="1:17" ht="16.5">
      <c r="A199" s="14">
        <f>C196</f>
        <v>23344946</v>
      </c>
      <c r="B199" s="15">
        <f>G196</f>
        <v>0</v>
      </c>
      <c r="C199" s="12">
        <f>E196</f>
        <v>11376181</v>
      </c>
      <c r="D199" s="12">
        <f>A199+B199-C199</f>
        <v>11968765</v>
      </c>
      <c r="E199" s="13">
        <f>I196-D199</f>
        <v>0</v>
      </c>
      <c r="F199" s="12"/>
      <c r="G199" s="12"/>
      <c r="H199" s="12"/>
      <c r="I199" s="12"/>
      <c r="Q199" s="5"/>
    </row>
    <row r="200" spans="1:17" ht="16.5">
      <c r="A200" s="14"/>
      <c r="B200" s="15"/>
      <c r="C200" s="12"/>
      <c r="D200" s="12"/>
      <c r="E200" s="13"/>
      <c r="F200" s="12"/>
      <c r="G200" s="12"/>
      <c r="H200" s="12"/>
      <c r="I200" s="12"/>
      <c r="Q200" s="5"/>
    </row>
    <row r="201" spans="1:17">
      <c r="A201" s="16" t="s">
        <v>52</v>
      </c>
      <c r="B201" s="16"/>
      <c r="C201" s="16"/>
      <c r="D201" s="17"/>
      <c r="E201" s="17"/>
      <c r="F201" s="17"/>
      <c r="G201" s="17"/>
      <c r="H201" s="17"/>
      <c r="I201" s="17"/>
      <c r="Q201" s="5"/>
    </row>
    <row r="202" spans="1:17">
      <c r="A202" s="18" t="s">
        <v>233</v>
      </c>
      <c r="B202" s="18"/>
      <c r="C202" s="18"/>
      <c r="D202" s="18"/>
      <c r="E202" s="18"/>
      <c r="F202" s="18"/>
      <c r="G202" s="18"/>
      <c r="H202" s="18"/>
      <c r="I202" s="18"/>
      <c r="J202" s="18"/>
      <c r="Q202" s="5"/>
    </row>
    <row r="203" spans="1:17">
      <c r="A203" s="19"/>
      <c r="B203" s="20"/>
      <c r="C203" s="21"/>
      <c r="D203" s="21"/>
      <c r="E203" s="21"/>
      <c r="F203" s="21"/>
      <c r="G203" s="21"/>
      <c r="H203" s="20"/>
      <c r="I203" s="20"/>
      <c r="Q203" s="5"/>
    </row>
    <row r="204" spans="1:17">
      <c r="A204" s="248" t="s">
        <v>53</v>
      </c>
      <c r="B204" s="250" t="s">
        <v>54</v>
      </c>
      <c r="C204" s="252" t="s">
        <v>235</v>
      </c>
      <c r="D204" s="254" t="s">
        <v>55</v>
      </c>
      <c r="E204" s="255"/>
      <c r="F204" s="255"/>
      <c r="G204" s="256"/>
      <c r="H204" s="257" t="s">
        <v>56</v>
      </c>
      <c r="I204" s="244" t="s">
        <v>57</v>
      </c>
      <c r="J204" s="20"/>
      <c r="Q204" s="5"/>
    </row>
    <row r="205" spans="1:17" ht="28.5" customHeight="1">
      <c r="A205" s="249"/>
      <c r="B205" s="251"/>
      <c r="C205" s="253"/>
      <c r="D205" s="22" t="s">
        <v>24</v>
      </c>
      <c r="E205" s="22" t="s">
        <v>25</v>
      </c>
      <c r="F205" s="253" t="s">
        <v>123</v>
      </c>
      <c r="G205" s="22" t="s">
        <v>58</v>
      </c>
      <c r="H205" s="258"/>
      <c r="I205" s="245"/>
      <c r="J205" s="246" t="s">
        <v>236</v>
      </c>
      <c r="K205" s="155"/>
      <c r="Q205" s="5"/>
    </row>
    <row r="206" spans="1:17">
      <c r="A206" s="24"/>
      <c r="B206" s="25" t="s">
        <v>59</v>
      </c>
      <c r="C206" s="26"/>
      <c r="D206" s="26"/>
      <c r="E206" s="26"/>
      <c r="F206" s="26"/>
      <c r="G206" s="26"/>
      <c r="H206" s="26"/>
      <c r="I206" s="27"/>
      <c r="J206" s="247"/>
      <c r="K206" s="155"/>
      <c r="Q206" s="5"/>
    </row>
    <row r="207" spans="1:17">
      <c r="A207" s="130" t="s">
        <v>143</v>
      </c>
      <c r="B207" s="135" t="s">
        <v>47</v>
      </c>
      <c r="C207" s="33">
        <f>+C185</f>
        <v>15750</v>
      </c>
      <c r="D207" s="32"/>
      <c r="E207" s="33">
        <f t="shared" ref="E207:E215" si="115">+D185</f>
        <v>1223400</v>
      </c>
      <c r="F207" s="33"/>
      <c r="G207" s="33"/>
      <c r="H207" s="57">
        <f t="shared" ref="H207:H215" si="116">+F185</f>
        <v>45000</v>
      </c>
      <c r="I207" s="33">
        <f t="shared" ref="I207:I215" si="117">+E185</f>
        <v>1184350</v>
      </c>
      <c r="J207" s="31">
        <f t="shared" ref="J207:J208" si="118">+SUM(C207:G207)-(H207+I207)</f>
        <v>9800</v>
      </c>
      <c r="K207" s="156" t="b">
        <f t="shared" ref="K207:K217" si="119">J207=I185</f>
        <v>1</v>
      </c>
      <c r="Q207" s="5"/>
    </row>
    <row r="208" spans="1:17">
      <c r="A208" s="130" t="str">
        <f>+A207</f>
        <v>JUIN</v>
      </c>
      <c r="B208" s="135" t="s">
        <v>31</v>
      </c>
      <c r="C208" s="33">
        <f>+C186</f>
        <v>8795</v>
      </c>
      <c r="D208" s="32"/>
      <c r="E208" s="33">
        <f t="shared" si="115"/>
        <v>248000</v>
      </c>
      <c r="F208" s="33"/>
      <c r="G208" s="33"/>
      <c r="H208" s="57">
        <f t="shared" si="116"/>
        <v>0</v>
      </c>
      <c r="I208" s="33">
        <f t="shared" si="117"/>
        <v>254500</v>
      </c>
      <c r="J208" s="107">
        <f t="shared" si="118"/>
        <v>2295</v>
      </c>
      <c r="K208" s="156" t="b">
        <f t="shared" si="119"/>
        <v>1</v>
      </c>
      <c r="Q208" s="5"/>
    </row>
    <row r="209" spans="1:17">
      <c r="A209" s="130" t="str">
        <f t="shared" ref="A209:A210" si="120">+A208</f>
        <v>JUIN</v>
      </c>
      <c r="B209" s="137" t="s">
        <v>84</v>
      </c>
      <c r="C209" s="128">
        <f>+C187</f>
        <v>233614</v>
      </c>
      <c r="D209" s="131"/>
      <c r="E209" s="128">
        <f t="shared" si="115"/>
        <v>0</v>
      </c>
      <c r="F209" s="146"/>
      <c r="G209" s="146"/>
      <c r="H209" s="178">
        <f t="shared" si="116"/>
        <v>0</v>
      </c>
      <c r="I209" s="128">
        <f t="shared" si="117"/>
        <v>0</v>
      </c>
      <c r="J209" s="129">
        <f>+SUM(C209:G209)-(H209+I209)</f>
        <v>233614</v>
      </c>
      <c r="K209" s="156" t="b">
        <f t="shared" si="119"/>
        <v>1</v>
      </c>
      <c r="Q209" s="5"/>
    </row>
    <row r="210" spans="1:17">
      <c r="A210" s="130" t="str">
        <f t="shared" si="120"/>
        <v>JUIN</v>
      </c>
      <c r="B210" s="137" t="s">
        <v>83</v>
      </c>
      <c r="C210" s="128">
        <f>+C188</f>
        <v>249769</v>
      </c>
      <c r="D210" s="131"/>
      <c r="E210" s="128">
        <f t="shared" si="115"/>
        <v>0</v>
      </c>
      <c r="F210" s="146"/>
      <c r="G210" s="146"/>
      <c r="H210" s="178">
        <f t="shared" si="116"/>
        <v>0</v>
      </c>
      <c r="I210" s="128">
        <f t="shared" si="117"/>
        <v>0</v>
      </c>
      <c r="J210" s="129">
        <f t="shared" ref="J210:J217" si="121">+SUM(C210:G210)-(H210+I210)</f>
        <v>249769</v>
      </c>
      <c r="K210" s="156" t="b">
        <f t="shared" si="119"/>
        <v>1</v>
      </c>
      <c r="Q210" s="5"/>
    </row>
    <row r="211" spans="1:17">
      <c r="A211" s="130" t="str">
        <f t="shared" ref="A211:A213" si="122">+A210</f>
        <v>JUIN</v>
      </c>
      <c r="B211" s="135" t="s">
        <v>151</v>
      </c>
      <c r="C211" s="33">
        <f>+C189</f>
        <v>14700</v>
      </c>
      <c r="D211" s="32"/>
      <c r="E211" s="33">
        <f t="shared" si="115"/>
        <v>994000</v>
      </c>
      <c r="F211" s="33"/>
      <c r="G211" s="110"/>
      <c r="H211" s="57">
        <f t="shared" si="116"/>
        <v>760000</v>
      </c>
      <c r="I211" s="33">
        <f t="shared" si="117"/>
        <v>220100</v>
      </c>
      <c r="J211" s="31">
        <f t="shared" si="121"/>
        <v>28600</v>
      </c>
      <c r="K211" s="156" t="b">
        <f t="shared" si="119"/>
        <v>1</v>
      </c>
      <c r="Q211" s="5"/>
    </row>
    <row r="212" spans="1:17">
      <c r="A212" s="130" t="str">
        <f t="shared" si="122"/>
        <v>JUIN</v>
      </c>
      <c r="B212" s="135" t="s">
        <v>207</v>
      </c>
      <c r="C212" s="33">
        <f t="shared" ref="C212:C215" si="123">+C190</f>
        <v>46950</v>
      </c>
      <c r="D212" s="32"/>
      <c r="E212" s="33">
        <f t="shared" si="115"/>
        <v>254000</v>
      </c>
      <c r="F212" s="33"/>
      <c r="G212" s="110"/>
      <c r="H212" s="57">
        <f t="shared" si="116"/>
        <v>37450</v>
      </c>
      <c r="I212" s="33">
        <f t="shared" si="117"/>
        <v>245500</v>
      </c>
      <c r="J212" s="31">
        <f t="shared" si="121"/>
        <v>18000</v>
      </c>
      <c r="K212" s="156" t="b">
        <f t="shared" si="119"/>
        <v>1</v>
      </c>
      <c r="Q212" s="5"/>
    </row>
    <row r="213" spans="1:17">
      <c r="A213" s="130" t="str">
        <f t="shared" si="122"/>
        <v>JUIN</v>
      </c>
      <c r="B213" s="135" t="s">
        <v>30</v>
      </c>
      <c r="C213" s="33">
        <f t="shared" si="123"/>
        <v>112050</v>
      </c>
      <c r="D213" s="32"/>
      <c r="E213" s="33">
        <f t="shared" si="115"/>
        <v>584000</v>
      </c>
      <c r="F213" s="33"/>
      <c r="G213" s="110"/>
      <c r="H213" s="57">
        <f t="shared" si="116"/>
        <v>0</v>
      </c>
      <c r="I213" s="33">
        <f t="shared" si="117"/>
        <v>434000</v>
      </c>
      <c r="J213" s="31">
        <f t="shared" si="121"/>
        <v>262050</v>
      </c>
      <c r="K213" s="156" t="b">
        <f t="shared" si="119"/>
        <v>1</v>
      </c>
      <c r="Q213" s="5"/>
    </row>
    <row r="214" spans="1:17">
      <c r="A214" s="130" t="str">
        <f>+A212</f>
        <v>JUIN</v>
      </c>
      <c r="B214" s="135" t="s">
        <v>93</v>
      </c>
      <c r="C214" s="33">
        <f t="shared" si="123"/>
        <v>2900</v>
      </c>
      <c r="D214" s="32"/>
      <c r="E214" s="33">
        <f t="shared" si="115"/>
        <v>40000</v>
      </c>
      <c r="F214" s="33"/>
      <c r="G214" s="110"/>
      <c r="H214" s="57">
        <f t="shared" si="116"/>
        <v>0</v>
      </c>
      <c r="I214" s="33">
        <f t="shared" si="117"/>
        <v>31000</v>
      </c>
      <c r="J214" s="31">
        <f t="shared" si="121"/>
        <v>11900</v>
      </c>
      <c r="K214" s="156" t="b">
        <f t="shared" si="119"/>
        <v>1</v>
      </c>
      <c r="Q214" s="5"/>
    </row>
    <row r="215" spans="1:17">
      <c r="A215" s="130" t="str">
        <f>+A213</f>
        <v>JUIN</v>
      </c>
      <c r="B215" s="135" t="s">
        <v>29</v>
      </c>
      <c r="C215" s="33">
        <f t="shared" si="123"/>
        <v>140700</v>
      </c>
      <c r="D215" s="32"/>
      <c r="E215" s="33">
        <f t="shared" si="115"/>
        <v>638000</v>
      </c>
      <c r="F215" s="33"/>
      <c r="G215" s="110"/>
      <c r="H215" s="57">
        <f t="shared" si="116"/>
        <v>50000</v>
      </c>
      <c r="I215" s="33">
        <f t="shared" si="117"/>
        <v>507650</v>
      </c>
      <c r="J215" s="31">
        <f t="shared" si="121"/>
        <v>221050</v>
      </c>
      <c r="K215" s="156" t="b">
        <f t="shared" si="119"/>
        <v>1</v>
      </c>
      <c r="Q215" s="5"/>
    </row>
    <row r="216" spans="1:17">
      <c r="A216" s="130" t="str">
        <f>+A214</f>
        <v>JUIN</v>
      </c>
      <c r="B216" s="136" t="s">
        <v>113</v>
      </c>
      <c r="C216" s="33">
        <f t="shared" ref="C216:C217" si="124">+C194</f>
        <v>2241</v>
      </c>
      <c r="D216" s="127"/>
      <c r="E216" s="33">
        <f t="shared" ref="E216:E217" si="125">+D194</f>
        <v>0</v>
      </c>
      <c r="F216" s="53"/>
      <c r="G216" s="147"/>
      <c r="H216" s="57">
        <f t="shared" ref="H216:H217" si="126">+F194</f>
        <v>0</v>
      </c>
      <c r="I216" s="33">
        <f t="shared" ref="I216:I217" si="127">+E194</f>
        <v>6200</v>
      </c>
      <c r="J216" s="31">
        <f t="shared" si="121"/>
        <v>-3959</v>
      </c>
      <c r="K216" s="156" t="b">
        <f t="shared" si="119"/>
        <v>1</v>
      </c>
      <c r="Q216" s="5"/>
    </row>
    <row r="217" spans="1:17">
      <c r="A217" s="130" t="str">
        <f>+A215</f>
        <v>JUIN</v>
      </c>
      <c r="B217" s="136" t="s">
        <v>223</v>
      </c>
      <c r="C217" s="33">
        <f t="shared" si="124"/>
        <v>10500</v>
      </c>
      <c r="D217" s="127"/>
      <c r="E217" s="33">
        <f t="shared" si="125"/>
        <v>368000</v>
      </c>
      <c r="F217" s="53"/>
      <c r="G217" s="147"/>
      <c r="H217" s="57">
        <f t="shared" si="126"/>
        <v>40000</v>
      </c>
      <c r="I217" s="33">
        <f t="shared" si="127"/>
        <v>243500</v>
      </c>
      <c r="J217" s="31">
        <f t="shared" si="121"/>
        <v>95000</v>
      </c>
      <c r="K217" s="156" t="b">
        <f t="shared" si="119"/>
        <v>1</v>
      </c>
      <c r="Q217" s="5"/>
    </row>
    <row r="218" spans="1:17">
      <c r="A218" s="35" t="s">
        <v>60</v>
      </c>
      <c r="B218" s="36"/>
      <c r="C218" s="36"/>
      <c r="D218" s="36"/>
      <c r="E218" s="36"/>
      <c r="F218" s="36"/>
      <c r="G218" s="36"/>
      <c r="H218" s="36"/>
      <c r="I218" s="36"/>
      <c r="J218" s="37"/>
      <c r="K218" s="155"/>
      <c r="Q218" s="5"/>
    </row>
    <row r="219" spans="1:17">
      <c r="A219" s="130" t="str">
        <f>+A217</f>
        <v>JUIN</v>
      </c>
      <c r="B219" s="38" t="s">
        <v>61</v>
      </c>
      <c r="C219" s="39">
        <f>+C184</f>
        <v>1700406</v>
      </c>
      <c r="D219" s="51"/>
      <c r="E219" s="51">
        <f>D184</f>
        <v>6172450</v>
      </c>
      <c r="F219" s="51"/>
      <c r="G219" s="133"/>
      <c r="H219" s="53">
        <f>+F184</f>
        <v>3589400</v>
      </c>
      <c r="I219" s="134">
        <f>+E184</f>
        <v>2587130</v>
      </c>
      <c r="J219" s="46">
        <f>+SUM(C219:G219)-(H219+I219)</f>
        <v>1696326</v>
      </c>
      <c r="K219" s="156" t="b">
        <f>J219=I184</f>
        <v>1</v>
      </c>
      <c r="Q219" s="5"/>
    </row>
    <row r="220" spans="1:17">
      <c r="A220" s="44" t="s">
        <v>62</v>
      </c>
      <c r="B220" s="25"/>
      <c r="C220" s="36"/>
      <c r="D220" s="25"/>
      <c r="E220" s="25"/>
      <c r="F220" s="25"/>
      <c r="G220" s="25"/>
      <c r="H220" s="25"/>
      <c r="I220" s="25"/>
      <c r="J220" s="37"/>
      <c r="K220" s="155"/>
      <c r="Q220" s="5"/>
    </row>
    <row r="221" spans="1:17">
      <c r="A221" s="130" t="str">
        <f>+A219</f>
        <v>JUIN</v>
      </c>
      <c r="B221" s="38" t="s">
        <v>166</v>
      </c>
      <c r="C221" s="133">
        <f>+C182</f>
        <v>8575038</v>
      </c>
      <c r="D221" s="140">
        <f>+G182</f>
        <v>0</v>
      </c>
      <c r="E221" s="51"/>
      <c r="F221" s="51"/>
      <c r="G221" s="51"/>
      <c r="H221" s="53">
        <f>+F182</f>
        <v>4000000</v>
      </c>
      <c r="I221" s="55">
        <f>+E182</f>
        <v>283345</v>
      </c>
      <c r="J221" s="46">
        <f>+SUM(C221:G221)-(H221+I221)</f>
        <v>4291693</v>
      </c>
      <c r="K221" s="156" t="b">
        <f>+J221=I182</f>
        <v>1</v>
      </c>
      <c r="Q221" s="5"/>
    </row>
    <row r="222" spans="1:17">
      <c r="A222" s="130" t="str">
        <f t="shared" ref="A222" si="128">+A221</f>
        <v>JUIN</v>
      </c>
      <c r="B222" s="38" t="s">
        <v>64</v>
      </c>
      <c r="C222" s="133">
        <f>+C183</f>
        <v>12231533</v>
      </c>
      <c r="D222" s="51">
        <f>+G183</f>
        <v>0</v>
      </c>
      <c r="E222" s="50"/>
      <c r="F222" s="50"/>
      <c r="G222" s="50"/>
      <c r="H222" s="33">
        <f>+F183</f>
        <v>2000000</v>
      </c>
      <c r="I222" s="52">
        <f>+E183</f>
        <v>5378906</v>
      </c>
      <c r="J222" s="46">
        <f>SUM(C222:G222)-(H222+I222)</f>
        <v>4852627</v>
      </c>
      <c r="K222" s="156" t="b">
        <f>+J222=I183</f>
        <v>1</v>
      </c>
      <c r="Q222" s="5"/>
    </row>
    <row r="223" spans="1:17" ht="15.75">
      <c r="C223" s="151">
        <f>SUM(C207:C222)</f>
        <v>23344946</v>
      </c>
      <c r="I223" s="149">
        <f>SUM(I207:I222)</f>
        <v>11376181</v>
      </c>
      <c r="J223" s="111">
        <f>+SUM(J207:J222)</f>
        <v>11968765</v>
      </c>
      <c r="K223" s="5" t="b">
        <f>J223=I196</f>
        <v>1</v>
      </c>
      <c r="Q223" s="5"/>
    </row>
    <row r="224" spans="1:17" ht="15.75">
      <c r="A224" s="189"/>
      <c r="B224" s="189"/>
      <c r="C224" s="190"/>
      <c r="D224" s="189"/>
      <c r="E224" s="189"/>
      <c r="F224" s="189"/>
      <c r="G224" s="189"/>
      <c r="H224" s="189"/>
      <c r="I224" s="191"/>
      <c r="J224" s="192"/>
      <c r="K224" s="189"/>
      <c r="L224" s="193"/>
      <c r="M224" s="193"/>
      <c r="N224" s="193"/>
      <c r="O224" s="193"/>
      <c r="P224" s="189"/>
      <c r="Q224" s="5"/>
    </row>
    <row r="226" spans="1:17" ht="15.75">
      <c r="A226" s="6" t="s">
        <v>36</v>
      </c>
      <c r="B226" s="6" t="s">
        <v>1</v>
      </c>
      <c r="C226" s="6">
        <v>44682</v>
      </c>
      <c r="D226" s="7" t="s">
        <v>37</v>
      </c>
      <c r="E226" s="7" t="s">
        <v>38</v>
      </c>
      <c r="F226" s="7" t="s">
        <v>39</v>
      </c>
      <c r="G226" s="7" t="s">
        <v>40</v>
      </c>
      <c r="H226" s="6">
        <v>44712</v>
      </c>
      <c r="I226" s="7" t="s">
        <v>41</v>
      </c>
      <c r="K226" s="47"/>
      <c r="L226" s="47" t="s">
        <v>42</v>
      </c>
      <c r="M226" s="47" t="s">
        <v>43</v>
      </c>
      <c r="N226" s="47" t="s">
        <v>44</v>
      </c>
      <c r="O226" s="47" t="s">
        <v>45</v>
      </c>
      <c r="Q226" s="5"/>
    </row>
    <row r="227" spans="1:17" ht="16.5">
      <c r="A227" s="60" t="str">
        <f>K227</f>
        <v>BCI</v>
      </c>
      <c r="B227" s="61" t="s">
        <v>46</v>
      </c>
      <c r="C227" s="63">
        <v>4154435</v>
      </c>
      <c r="D227" s="63">
        <f>+L227</f>
        <v>0</v>
      </c>
      <c r="E227" s="63">
        <f>+N227</f>
        <v>543345</v>
      </c>
      <c r="F227" s="63">
        <f>+M227</f>
        <v>7000000</v>
      </c>
      <c r="G227" s="63">
        <f t="shared" ref="G227:G238" si="129">+O227</f>
        <v>11963948</v>
      </c>
      <c r="H227" s="63">
        <v>8575038</v>
      </c>
      <c r="I227" s="63">
        <f>+C227+D227-E227-F227+G227</f>
        <v>8575038</v>
      </c>
      <c r="J227" s="9">
        <f>I227-H227</f>
        <v>0</v>
      </c>
      <c r="K227" s="47" t="s">
        <v>24</v>
      </c>
      <c r="L227" s="49">
        <v>0</v>
      </c>
      <c r="M227" s="49">
        <v>7000000</v>
      </c>
      <c r="N227" s="49">
        <v>543345</v>
      </c>
      <c r="O227" s="49">
        <v>11963948</v>
      </c>
      <c r="Q227" s="5"/>
    </row>
    <row r="228" spans="1:17" ht="16.5">
      <c r="A228" s="60" t="str">
        <f t="shared" ref="A228:A241" si="130">K228</f>
        <v>BCI-Sous Compte</v>
      </c>
      <c r="B228" s="61" t="s">
        <v>46</v>
      </c>
      <c r="C228" s="63">
        <v>16450956</v>
      </c>
      <c r="D228" s="63">
        <f t="shared" ref="D228:D241" si="131">+L228</f>
        <v>0</v>
      </c>
      <c r="E228" s="63">
        <f t="shared" ref="E228:E241" si="132">+N228</f>
        <v>4219423</v>
      </c>
      <c r="F228" s="63">
        <f t="shared" ref="F228:F241" si="133">+M228</f>
        <v>0</v>
      </c>
      <c r="G228" s="63">
        <f t="shared" si="129"/>
        <v>0</v>
      </c>
      <c r="H228" s="63">
        <v>12231533</v>
      </c>
      <c r="I228" s="63">
        <f>+C228+D228-E228-F228+G228</f>
        <v>12231533</v>
      </c>
      <c r="J228" s="9">
        <f t="shared" ref="J228:J235" si="134">I228-H228</f>
        <v>0</v>
      </c>
      <c r="K228" s="47" t="s">
        <v>157</v>
      </c>
      <c r="L228" s="49">
        <v>0</v>
      </c>
      <c r="M228" s="49">
        <v>0</v>
      </c>
      <c r="N228" s="49">
        <v>4219423</v>
      </c>
      <c r="O228" s="49">
        <v>0</v>
      </c>
      <c r="Q228" s="5"/>
    </row>
    <row r="229" spans="1:17" ht="16.5">
      <c r="A229" s="60" t="str">
        <f t="shared" si="130"/>
        <v>Caisse</v>
      </c>
      <c r="B229" s="61" t="s">
        <v>25</v>
      </c>
      <c r="C229" s="63">
        <v>963113</v>
      </c>
      <c r="D229" s="63">
        <f t="shared" si="131"/>
        <v>7684335</v>
      </c>
      <c r="E229" s="63">
        <f t="shared" si="132"/>
        <v>2033042</v>
      </c>
      <c r="F229" s="63">
        <f t="shared" si="133"/>
        <v>4914000</v>
      </c>
      <c r="G229" s="63">
        <f t="shared" si="129"/>
        <v>0</v>
      </c>
      <c r="H229" s="63">
        <v>1700406</v>
      </c>
      <c r="I229" s="63">
        <f>+C229+D229-E229-F229+G229</f>
        <v>1700406</v>
      </c>
      <c r="J229" s="108">
        <f t="shared" si="134"/>
        <v>0</v>
      </c>
      <c r="K229" s="47" t="s">
        <v>25</v>
      </c>
      <c r="L229" s="49">
        <v>7684335</v>
      </c>
      <c r="M229" s="49">
        <v>4914000</v>
      </c>
      <c r="N229" s="49">
        <v>2033042</v>
      </c>
      <c r="O229" s="49">
        <v>0</v>
      </c>
      <c r="Q229" s="5"/>
    </row>
    <row r="230" spans="1:17" ht="16.5">
      <c r="A230" s="60" t="str">
        <f t="shared" si="130"/>
        <v>Crépin</v>
      </c>
      <c r="B230" s="61" t="s">
        <v>163</v>
      </c>
      <c r="C230" s="63">
        <v>21850</v>
      </c>
      <c r="D230" s="63">
        <f t="shared" si="131"/>
        <v>1282000</v>
      </c>
      <c r="E230" s="63">
        <f t="shared" si="132"/>
        <v>1288100</v>
      </c>
      <c r="F230" s="63">
        <f t="shared" si="133"/>
        <v>0</v>
      </c>
      <c r="G230" s="63">
        <f t="shared" si="129"/>
        <v>0</v>
      </c>
      <c r="H230" s="63">
        <v>15750</v>
      </c>
      <c r="I230" s="63">
        <f>+C230+D230-E230-F230+G230</f>
        <v>15750</v>
      </c>
      <c r="J230" s="9">
        <f t="shared" si="134"/>
        <v>0</v>
      </c>
      <c r="K230" s="47" t="s">
        <v>47</v>
      </c>
      <c r="L230" s="49">
        <v>1282000</v>
      </c>
      <c r="M230" s="49">
        <v>0</v>
      </c>
      <c r="N230" s="49">
        <v>1288100</v>
      </c>
      <c r="O230" s="49">
        <v>0</v>
      </c>
      <c r="Q230" s="5"/>
    </row>
    <row r="231" spans="1:17" ht="16.5">
      <c r="A231" s="60" t="str">
        <f t="shared" si="130"/>
        <v>Evariste</v>
      </c>
      <c r="B231" s="61" t="s">
        <v>164</v>
      </c>
      <c r="C231" s="63">
        <v>7995</v>
      </c>
      <c r="D231" s="63">
        <f t="shared" si="131"/>
        <v>262000</v>
      </c>
      <c r="E231" s="63">
        <f t="shared" si="132"/>
        <v>261200</v>
      </c>
      <c r="F231" s="63">
        <f t="shared" si="133"/>
        <v>0</v>
      </c>
      <c r="G231" s="63">
        <f t="shared" si="129"/>
        <v>0</v>
      </c>
      <c r="H231" s="63">
        <v>8795</v>
      </c>
      <c r="I231" s="63">
        <f t="shared" ref="I231" si="135">+C231+D231-E231-F231+G231</f>
        <v>8795</v>
      </c>
      <c r="J231" s="9">
        <f t="shared" si="134"/>
        <v>0</v>
      </c>
      <c r="K231" s="47" t="s">
        <v>31</v>
      </c>
      <c r="L231" s="49">
        <v>262000</v>
      </c>
      <c r="M231" s="49">
        <v>0</v>
      </c>
      <c r="N231" s="49">
        <v>261200</v>
      </c>
      <c r="O231" s="49">
        <v>0</v>
      </c>
      <c r="Q231" s="5"/>
    </row>
    <row r="232" spans="1:17" ht="16.5">
      <c r="A232" s="60" t="str">
        <f t="shared" si="130"/>
        <v>Godfré</v>
      </c>
      <c r="B232" s="61" t="s">
        <v>163</v>
      </c>
      <c r="C232" s="63">
        <v>156335</v>
      </c>
      <c r="D232" s="63">
        <f t="shared" si="131"/>
        <v>307000</v>
      </c>
      <c r="E232" s="63">
        <f t="shared" si="132"/>
        <v>308500</v>
      </c>
      <c r="F232" s="63">
        <f t="shared" si="133"/>
        <v>154835</v>
      </c>
      <c r="G232" s="63">
        <f t="shared" si="129"/>
        <v>0</v>
      </c>
      <c r="H232" s="63">
        <v>0</v>
      </c>
      <c r="I232" s="63">
        <f>+C232+D232-E232-F232+G232</f>
        <v>0</v>
      </c>
      <c r="J232" s="9">
        <f t="shared" si="134"/>
        <v>0</v>
      </c>
      <c r="K232" s="47" t="s">
        <v>152</v>
      </c>
      <c r="L232" s="49">
        <v>307000</v>
      </c>
      <c r="M232" s="49">
        <v>154835</v>
      </c>
      <c r="N232" s="49">
        <v>308500</v>
      </c>
      <c r="O232" s="49">
        <v>0</v>
      </c>
      <c r="Q232" s="5"/>
    </row>
    <row r="233" spans="1:17" ht="16.5">
      <c r="A233" s="60" t="str">
        <f t="shared" si="130"/>
        <v>I55S</v>
      </c>
      <c r="B233" s="124" t="s">
        <v>4</v>
      </c>
      <c r="C233" s="126">
        <v>233614</v>
      </c>
      <c r="D233" s="126">
        <f t="shared" si="131"/>
        <v>0</v>
      </c>
      <c r="E233" s="126">
        <f t="shared" si="132"/>
        <v>0</v>
      </c>
      <c r="F233" s="126">
        <f t="shared" si="133"/>
        <v>0</v>
      </c>
      <c r="G233" s="126">
        <f t="shared" si="129"/>
        <v>0</v>
      </c>
      <c r="H233" s="126">
        <v>233614</v>
      </c>
      <c r="I233" s="126">
        <f>+C233+D233-E233-F233+G233</f>
        <v>233614</v>
      </c>
      <c r="J233" s="9">
        <f t="shared" si="134"/>
        <v>0</v>
      </c>
      <c r="K233" s="47" t="s">
        <v>84</v>
      </c>
      <c r="L233" s="49">
        <v>0</v>
      </c>
      <c r="M233" s="49">
        <v>0</v>
      </c>
      <c r="N233" s="49">
        <v>0</v>
      </c>
      <c r="O233" s="49">
        <v>0</v>
      </c>
      <c r="Q233" s="5"/>
    </row>
    <row r="234" spans="1:17" ht="16.5">
      <c r="A234" s="60" t="str">
        <f t="shared" si="130"/>
        <v>I73X</v>
      </c>
      <c r="B234" s="124" t="s">
        <v>4</v>
      </c>
      <c r="C234" s="126">
        <v>249769</v>
      </c>
      <c r="D234" s="126">
        <f t="shared" si="131"/>
        <v>0</v>
      </c>
      <c r="E234" s="126">
        <f t="shared" si="132"/>
        <v>0</v>
      </c>
      <c r="F234" s="126">
        <f t="shared" si="133"/>
        <v>0</v>
      </c>
      <c r="G234" s="126">
        <f t="shared" si="129"/>
        <v>0</v>
      </c>
      <c r="H234" s="126">
        <v>249769</v>
      </c>
      <c r="I234" s="126">
        <f t="shared" ref="I234:I237" si="136">+C234+D234-E234-F234+G234</f>
        <v>249769</v>
      </c>
      <c r="J234" s="9">
        <f t="shared" si="134"/>
        <v>0</v>
      </c>
      <c r="K234" s="47" t="s">
        <v>83</v>
      </c>
      <c r="L234" s="49">
        <v>0</v>
      </c>
      <c r="M234" s="49">
        <v>0</v>
      </c>
      <c r="N234" s="49">
        <v>0</v>
      </c>
      <c r="O234" s="49">
        <v>0</v>
      </c>
      <c r="Q234" s="5"/>
    </row>
    <row r="235" spans="1:17" ht="16.5">
      <c r="A235" s="60" t="str">
        <f t="shared" si="130"/>
        <v>Grace</v>
      </c>
      <c r="B235" s="104" t="s">
        <v>2</v>
      </c>
      <c r="C235" s="63">
        <v>10200</v>
      </c>
      <c r="D235" s="63">
        <f t="shared" si="131"/>
        <v>25000</v>
      </c>
      <c r="E235" s="63">
        <f t="shared" si="132"/>
        <v>20500</v>
      </c>
      <c r="F235" s="63">
        <f t="shared" si="133"/>
        <v>0</v>
      </c>
      <c r="G235" s="63">
        <f t="shared" si="129"/>
        <v>0</v>
      </c>
      <c r="H235" s="63">
        <v>14700</v>
      </c>
      <c r="I235" s="63">
        <f t="shared" si="136"/>
        <v>14700</v>
      </c>
      <c r="J235" s="9">
        <f t="shared" si="134"/>
        <v>0</v>
      </c>
      <c r="K235" s="47" t="s">
        <v>151</v>
      </c>
      <c r="L235" s="49">
        <v>25000</v>
      </c>
      <c r="M235" s="49">
        <v>0</v>
      </c>
      <c r="N235" s="49">
        <v>20500</v>
      </c>
      <c r="O235" s="49">
        <v>0</v>
      </c>
      <c r="Q235" s="5"/>
    </row>
    <row r="236" spans="1:17" ht="16.5">
      <c r="A236" s="60" t="str">
        <f t="shared" si="130"/>
        <v>Hurielle</v>
      </c>
      <c r="B236" s="227" t="s">
        <v>163</v>
      </c>
      <c r="C236" s="63">
        <v>43500</v>
      </c>
      <c r="D236" s="63">
        <f t="shared" si="131"/>
        <v>701000</v>
      </c>
      <c r="E236" s="63">
        <f t="shared" si="132"/>
        <v>697550</v>
      </c>
      <c r="F236" s="63">
        <f t="shared" si="133"/>
        <v>0</v>
      </c>
      <c r="G236" s="63">
        <f t="shared" si="129"/>
        <v>0</v>
      </c>
      <c r="H236" s="63">
        <v>46950</v>
      </c>
      <c r="I236" s="63">
        <f t="shared" si="136"/>
        <v>46950</v>
      </c>
      <c r="J236" s="9">
        <f>I236-H236</f>
        <v>0</v>
      </c>
      <c r="K236" s="47" t="s">
        <v>207</v>
      </c>
      <c r="L236" s="49">
        <v>701000</v>
      </c>
      <c r="M236" s="49">
        <v>0</v>
      </c>
      <c r="N236" s="49">
        <v>697550</v>
      </c>
      <c r="O236" s="49">
        <v>0</v>
      </c>
      <c r="Q236" s="5"/>
    </row>
    <row r="237" spans="1:17" ht="16.5">
      <c r="A237" s="60" t="str">
        <f t="shared" si="130"/>
        <v>I23C</v>
      </c>
      <c r="B237" s="228" t="s">
        <v>4</v>
      </c>
      <c r="C237" s="63">
        <v>177550</v>
      </c>
      <c r="D237" s="63">
        <f t="shared" si="131"/>
        <v>969000</v>
      </c>
      <c r="E237" s="63">
        <f t="shared" si="132"/>
        <v>814500</v>
      </c>
      <c r="F237" s="63">
        <f t="shared" si="133"/>
        <v>220000</v>
      </c>
      <c r="G237" s="63">
        <f t="shared" si="129"/>
        <v>0</v>
      </c>
      <c r="H237" s="63">
        <v>112050</v>
      </c>
      <c r="I237" s="63">
        <f t="shared" si="136"/>
        <v>112050</v>
      </c>
      <c r="J237" s="9">
        <f t="shared" ref="J237:J238" si="137">I237-H237</f>
        <v>0</v>
      </c>
      <c r="K237" s="47" t="s">
        <v>30</v>
      </c>
      <c r="L237" s="49">
        <v>969000</v>
      </c>
      <c r="M237" s="49">
        <v>220000</v>
      </c>
      <c r="N237" s="49">
        <v>814500</v>
      </c>
      <c r="O237" s="49">
        <v>0</v>
      </c>
      <c r="Q237" s="5"/>
    </row>
    <row r="238" spans="1:17" ht="16.5">
      <c r="A238" s="60" t="str">
        <f t="shared" si="130"/>
        <v>Merveille</v>
      </c>
      <c r="B238" s="227" t="s">
        <v>2</v>
      </c>
      <c r="C238" s="63">
        <v>4400</v>
      </c>
      <c r="D238" s="63">
        <f t="shared" si="131"/>
        <v>170000</v>
      </c>
      <c r="E238" s="63">
        <f t="shared" si="132"/>
        <v>161500</v>
      </c>
      <c r="F238" s="63">
        <f t="shared" si="133"/>
        <v>10000</v>
      </c>
      <c r="G238" s="63">
        <f t="shared" si="129"/>
        <v>0</v>
      </c>
      <c r="H238" s="63">
        <v>2900</v>
      </c>
      <c r="I238" s="63">
        <f>+C238+D238-E238-F238+G238</f>
        <v>2900</v>
      </c>
      <c r="J238" s="9">
        <f t="shared" si="137"/>
        <v>0</v>
      </c>
      <c r="K238" s="47" t="s">
        <v>93</v>
      </c>
      <c r="L238" s="49">
        <v>170000</v>
      </c>
      <c r="M238" s="49">
        <v>10000</v>
      </c>
      <c r="N238" s="49">
        <v>161500</v>
      </c>
      <c r="O238" s="49">
        <v>0</v>
      </c>
      <c r="Q238" s="5"/>
    </row>
    <row r="239" spans="1:17" ht="16.5">
      <c r="A239" s="60" t="str">
        <f t="shared" si="130"/>
        <v>P29</v>
      </c>
      <c r="B239" s="227" t="s">
        <v>4</v>
      </c>
      <c r="C239" s="63">
        <v>294700</v>
      </c>
      <c r="D239" s="63">
        <f t="shared" si="131"/>
        <v>671000</v>
      </c>
      <c r="E239" s="63">
        <f t="shared" si="132"/>
        <v>525000</v>
      </c>
      <c r="F239" s="63">
        <f t="shared" si="133"/>
        <v>300000</v>
      </c>
      <c r="G239" s="63">
        <f>+O239</f>
        <v>0</v>
      </c>
      <c r="H239" s="63">
        <v>140700</v>
      </c>
      <c r="I239" s="63">
        <f>+C239+D239-E239-F239+G239</f>
        <v>140700</v>
      </c>
      <c r="J239" s="9">
        <f>I239-H239</f>
        <v>0</v>
      </c>
      <c r="K239" s="47" t="s">
        <v>29</v>
      </c>
      <c r="L239" s="49">
        <v>671000</v>
      </c>
      <c r="M239" s="49">
        <v>300000</v>
      </c>
      <c r="N239" s="49">
        <v>525000</v>
      </c>
      <c r="O239" s="49">
        <v>0</v>
      </c>
      <c r="Q239" s="5"/>
    </row>
    <row r="240" spans="1:17" ht="16.5">
      <c r="A240" s="60" t="str">
        <f t="shared" si="130"/>
        <v>Paule</v>
      </c>
      <c r="B240" s="61" t="s">
        <v>163</v>
      </c>
      <c r="C240" s="63">
        <v>13500</v>
      </c>
      <c r="D240" s="63">
        <f t="shared" si="131"/>
        <v>85000</v>
      </c>
      <c r="E240" s="63">
        <f t="shared" si="132"/>
        <v>89000</v>
      </c>
      <c r="F240" s="63">
        <f t="shared" si="133"/>
        <v>9500</v>
      </c>
      <c r="G240" s="63">
        <f>+O240</f>
        <v>0</v>
      </c>
      <c r="H240" s="63">
        <v>0</v>
      </c>
      <c r="I240" s="63">
        <f>+C240+D240-E240-F240+G240</f>
        <v>0</v>
      </c>
      <c r="J240" s="9">
        <f>I240-H240</f>
        <v>0</v>
      </c>
      <c r="K240" s="47" t="s">
        <v>206</v>
      </c>
      <c r="L240" s="49">
        <v>85000</v>
      </c>
      <c r="M240" s="49">
        <v>9500</v>
      </c>
      <c r="N240" s="49">
        <v>89000</v>
      </c>
      <c r="O240" s="49">
        <v>0</v>
      </c>
      <c r="Q240" s="5"/>
    </row>
    <row r="241" spans="1:17" ht="16.5">
      <c r="A241" s="60" t="str">
        <f t="shared" si="130"/>
        <v>Tiffany</v>
      </c>
      <c r="B241" s="61" t="s">
        <v>2</v>
      </c>
      <c r="C241" s="63">
        <v>-7259</v>
      </c>
      <c r="D241" s="63">
        <f t="shared" si="131"/>
        <v>329000</v>
      </c>
      <c r="E241" s="63">
        <f t="shared" si="132"/>
        <v>93500</v>
      </c>
      <c r="F241" s="63">
        <f t="shared" si="133"/>
        <v>226000</v>
      </c>
      <c r="G241" s="63">
        <f t="shared" ref="G241" si="138">+O241</f>
        <v>0</v>
      </c>
      <c r="H241" s="63">
        <v>2241</v>
      </c>
      <c r="I241" s="63">
        <f t="shared" ref="I241" si="139">+C241+D241-E241-F241+G241</f>
        <v>2241</v>
      </c>
      <c r="J241" s="9">
        <f t="shared" ref="J241" si="140">I241-H241</f>
        <v>0</v>
      </c>
      <c r="K241" s="47" t="s">
        <v>113</v>
      </c>
      <c r="L241" s="49">
        <v>329000</v>
      </c>
      <c r="M241" s="49">
        <v>226000</v>
      </c>
      <c r="N241" s="49">
        <v>93500</v>
      </c>
      <c r="O241" s="49">
        <v>0</v>
      </c>
      <c r="Q241" s="5"/>
    </row>
    <row r="242" spans="1:17" ht="16.5">
      <c r="A242" s="60" t="str">
        <f t="shared" ref="A242" si="141">K242</f>
        <v>Yan</v>
      </c>
      <c r="B242" s="61" t="s">
        <v>163</v>
      </c>
      <c r="C242" s="63">
        <v>0</v>
      </c>
      <c r="D242" s="63">
        <f t="shared" ref="D242" si="142">+L242</f>
        <v>349000</v>
      </c>
      <c r="E242" s="63">
        <f t="shared" ref="E242" si="143">+N242</f>
        <v>338500</v>
      </c>
      <c r="F242" s="63">
        <f t="shared" ref="F242" si="144">+M242</f>
        <v>0</v>
      </c>
      <c r="G242" s="63">
        <f t="shared" ref="G242" si="145">+O242</f>
        <v>0</v>
      </c>
      <c r="H242" s="63">
        <v>10500</v>
      </c>
      <c r="I242" s="63">
        <f>+C242+D242-E242-F242+G242</f>
        <v>10500</v>
      </c>
      <c r="J242" s="9">
        <f>I242-H242</f>
        <v>0</v>
      </c>
      <c r="K242" s="47" t="s">
        <v>223</v>
      </c>
      <c r="L242" s="49">
        <v>349000</v>
      </c>
      <c r="M242" s="49">
        <v>0</v>
      </c>
      <c r="N242" s="49">
        <v>338500</v>
      </c>
      <c r="O242" s="49">
        <v>0</v>
      </c>
      <c r="Q242" s="5"/>
    </row>
    <row r="243" spans="1:17" ht="16.5">
      <c r="A243" s="10" t="s">
        <v>50</v>
      </c>
      <c r="B243" s="11"/>
      <c r="C243" s="12">
        <f t="shared" ref="C243:I243" si="146">SUM(C227:C242)</f>
        <v>22774658</v>
      </c>
      <c r="D243" s="59">
        <f t="shared" si="146"/>
        <v>12834335</v>
      </c>
      <c r="E243" s="59">
        <f t="shared" si="146"/>
        <v>11393660</v>
      </c>
      <c r="F243" s="59">
        <f t="shared" si="146"/>
        <v>12834335</v>
      </c>
      <c r="G243" s="59">
        <f t="shared" si="146"/>
        <v>11963948</v>
      </c>
      <c r="H243" s="59">
        <f t="shared" si="146"/>
        <v>23344946</v>
      </c>
      <c r="I243" s="59">
        <f t="shared" si="146"/>
        <v>23344946</v>
      </c>
      <c r="J243" s="9">
        <f>I243-H243</f>
        <v>0</v>
      </c>
      <c r="K243" s="3"/>
      <c r="L243" s="49">
        <f>+SUM(L227:L242)</f>
        <v>12834335</v>
      </c>
      <c r="M243" s="49">
        <f>+SUM(M227:M242)</f>
        <v>12834335</v>
      </c>
      <c r="N243" s="49">
        <f>+SUM(N227:N242)</f>
        <v>11393660</v>
      </c>
      <c r="O243" s="49">
        <f>+SUM(O227:O241)</f>
        <v>11963948</v>
      </c>
      <c r="Q243" s="5"/>
    </row>
    <row r="244" spans="1:17" ht="16.5">
      <c r="A244" s="10"/>
      <c r="B244" s="11"/>
      <c r="C244" s="12"/>
      <c r="D244" s="13"/>
      <c r="E244" s="12"/>
      <c r="F244" s="13"/>
      <c r="G244" s="12"/>
      <c r="H244" s="12"/>
      <c r="I244" s="143" t="b">
        <f>I243=D246</f>
        <v>1</v>
      </c>
      <c r="L244" s="5"/>
      <c r="M244" s="5"/>
      <c r="N244" s="5"/>
      <c r="O244" s="5"/>
      <c r="Q244" s="5"/>
    </row>
    <row r="245" spans="1:17" ht="16.5">
      <c r="A245" s="10" t="s">
        <v>221</v>
      </c>
      <c r="B245" s="11" t="s">
        <v>220</v>
      </c>
      <c r="C245" s="12" t="s">
        <v>219</v>
      </c>
      <c r="D245" s="12" t="s">
        <v>228</v>
      </c>
      <c r="E245" s="12" t="s">
        <v>51</v>
      </c>
      <c r="F245" s="12"/>
      <c r="G245" s="12">
        <f>+D243-F243</f>
        <v>0</v>
      </c>
      <c r="H245" s="12"/>
      <c r="I245" s="12"/>
      <c r="Q245" s="5"/>
    </row>
    <row r="246" spans="1:17" ht="16.5">
      <c r="A246" s="14">
        <f>C243</f>
        <v>22774658</v>
      </c>
      <c r="B246" s="15">
        <f>G243</f>
        <v>11963948</v>
      </c>
      <c r="C246" s="12">
        <f>E243</f>
        <v>11393660</v>
      </c>
      <c r="D246" s="12">
        <f>A246+B246-C246</f>
        <v>23344946</v>
      </c>
      <c r="E246" s="13">
        <f>I243-D246</f>
        <v>0</v>
      </c>
      <c r="F246" s="12"/>
      <c r="G246" s="12"/>
      <c r="H246" s="12"/>
      <c r="I246" s="12"/>
      <c r="Q246" s="5"/>
    </row>
    <row r="247" spans="1:17" ht="16.5">
      <c r="A247" s="14"/>
      <c r="B247" s="15"/>
      <c r="C247" s="12"/>
      <c r="D247" s="12"/>
      <c r="E247" s="13"/>
      <c r="F247" s="12"/>
      <c r="G247" s="12"/>
      <c r="H247" s="12"/>
      <c r="I247" s="12"/>
      <c r="Q247" s="5"/>
    </row>
    <row r="248" spans="1:17">
      <c r="A248" s="16" t="s">
        <v>52</v>
      </c>
      <c r="B248" s="16"/>
      <c r="C248" s="16"/>
      <c r="D248" s="17"/>
      <c r="E248" s="17"/>
      <c r="F248" s="17"/>
      <c r="G248" s="17"/>
      <c r="H248" s="17"/>
      <c r="I248" s="17"/>
      <c r="Q248" s="5"/>
    </row>
    <row r="249" spans="1:17">
      <c r="A249" s="18" t="s">
        <v>229</v>
      </c>
      <c r="B249" s="18"/>
      <c r="C249" s="18"/>
      <c r="D249" s="18"/>
      <c r="E249" s="18"/>
      <c r="F249" s="18"/>
      <c r="G249" s="18"/>
      <c r="H249" s="18"/>
      <c r="I249" s="18"/>
      <c r="J249" s="18"/>
      <c r="Q249" s="5"/>
    </row>
    <row r="250" spans="1:17">
      <c r="A250" s="19"/>
      <c r="B250" s="20"/>
      <c r="C250" s="21"/>
      <c r="D250" s="21"/>
      <c r="E250" s="21"/>
      <c r="F250" s="21"/>
      <c r="G250" s="21"/>
      <c r="H250" s="20"/>
      <c r="I250" s="20"/>
      <c r="Q250" s="5"/>
    </row>
    <row r="251" spans="1:17">
      <c r="A251" s="229" t="s">
        <v>53</v>
      </c>
      <c r="B251" s="231" t="s">
        <v>54</v>
      </c>
      <c r="C251" s="233" t="s">
        <v>222</v>
      </c>
      <c r="D251" s="235" t="s">
        <v>55</v>
      </c>
      <c r="E251" s="236"/>
      <c r="F251" s="236"/>
      <c r="G251" s="237"/>
      <c r="H251" s="238" t="s">
        <v>56</v>
      </c>
      <c r="I251" s="240" t="s">
        <v>57</v>
      </c>
      <c r="J251" s="20"/>
      <c r="Q251" s="5"/>
    </row>
    <row r="252" spans="1:17" ht="28.5" customHeight="1">
      <c r="A252" s="230"/>
      <c r="B252" s="232"/>
      <c r="C252" s="234"/>
      <c r="D252" s="22" t="s">
        <v>24</v>
      </c>
      <c r="E252" s="22" t="s">
        <v>25</v>
      </c>
      <c r="F252" s="234" t="s">
        <v>123</v>
      </c>
      <c r="G252" s="22" t="s">
        <v>58</v>
      </c>
      <c r="H252" s="239"/>
      <c r="I252" s="241"/>
      <c r="J252" s="243" t="s">
        <v>227</v>
      </c>
      <c r="K252" s="155"/>
      <c r="Q252" s="5"/>
    </row>
    <row r="253" spans="1:17">
      <c r="A253" s="24"/>
      <c r="B253" s="25" t="s">
        <v>59</v>
      </c>
      <c r="C253" s="26"/>
      <c r="D253" s="26"/>
      <c r="E253" s="26"/>
      <c r="F253" s="26"/>
      <c r="G253" s="26"/>
      <c r="H253" s="26"/>
      <c r="I253" s="27"/>
      <c r="J253" s="242"/>
      <c r="K253" s="155"/>
      <c r="Q253" s="5"/>
    </row>
    <row r="254" spans="1:17">
      <c r="A254" s="130" t="s">
        <v>134</v>
      </c>
      <c r="B254" s="135" t="s">
        <v>47</v>
      </c>
      <c r="C254" s="33">
        <f>+C230</f>
        <v>21850</v>
      </c>
      <c r="D254" s="32"/>
      <c r="E254" s="33">
        <f>+D230</f>
        <v>1282000</v>
      </c>
      <c r="F254" s="33"/>
      <c r="G254" s="33"/>
      <c r="H254" s="57">
        <f t="shared" ref="H254:H266" si="147">+F230</f>
        <v>0</v>
      </c>
      <c r="I254" s="33">
        <f t="shared" ref="I254:I266" si="148">+E230</f>
        <v>1288100</v>
      </c>
      <c r="J254" s="31">
        <f t="shared" ref="J254:J255" si="149">+SUM(C254:G254)-(H254+I254)</f>
        <v>15750</v>
      </c>
      <c r="K254" s="156" t="b">
        <f t="shared" ref="K254:K266" si="150">J254=I230</f>
        <v>1</v>
      </c>
      <c r="Q254" s="5"/>
    </row>
    <row r="255" spans="1:17">
      <c r="A255" s="130" t="str">
        <f>+A254</f>
        <v>MAI</v>
      </c>
      <c r="B255" s="135" t="s">
        <v>31</v>
      </c>
      <c r="C255" s="33">
        <f t="shared" ref="C255:C256" si="151">+C231</f>
        <v>7995</v>
      </c>
      <c r="D255" s="32"/>
      <c r="E255" s="33">
        <f t="shared" ref="E255:E256" si="152">+D231</f>
        <v>262000</v>
      </c>
      <c r="F255" s="33"/>
      <c r="G255" s="33"/>
      <c r="H255" s="57">
        <f t="shared" si="147"/>
        <v>0</v>
      </c>
      <c r="I255" s="33">
        <f t="shared" si="148"/>
        <v>261200</v>
      </c>
      <c r="J255" s="107">
        <f t="shared" si="149"/>
        <v>8795</v>
      </c>
      <c r="K255" s="156" t="b">
        <f t="shared" si="150"/>
        <v>1</v>
      </c>
      <c r="Q255" s="5"/>
    </row>
    <row r="256" spans="1:17">
      <c r="A256" s="130" t="str">
        <f t="shared" ref="A256:A261" si="153">+A255</f>
        <v>MAI</v>
      </c>
      <c r="B256" s="136" t="s">
        <v>152</v>
      </c>
      <c r="C256" s="33">
        <f t="shared" si="151"/>
        <v>156335</v>
      </c>
      <c r="D256" s="127"/>
      <c r="E256" s="33">
        <f t="shared" si="152"/>
        <v>307000</v>
      </c>
      <c r="F256" s="53"/>
      <c r="G256" s="53"/>
      <c r="H256" s="57">
        <f t="shared" si="147"/>
        <v>154835</v>
      </c>
      <c r="I256" s="33">
        <f t="shared" si="148"/>
        <v>308500</v>
      </c>
      <c r="J256" s="132">
        <f>+SUM(C256:G256)-(H256+I256)</f>
        <v>0</v>
      </c>
      <c r="K256" s="156" t="b">
        <f t="shared" si="150"/>
        <v>1</v>
      </c>
      <c r="Q256" s="5"/>
    </row>
    <row r="257" spans="1:17">
      <c r="A257" s="130" t="str">
        <f t="shared" si="153"/>
        <v>MAI</v>
      </c>
      <c r="B257" s="137" t="s">
        <v>84</v>
      </c>
      <c r="C257" s="128">
        <f>+C233</f>
        <v>233614</v>
      </c>
      <c r="D257" s="131"/>
      <c r="E257" s="128">
        <f>+D233</f>
        <v>0</v>
      </c>
      <c r="F257" s="146"/>
      <c r="G257" s="146"/>
      <c r="H257" s="178">
        <f t="shared" si="147"/>
        <v>0</v>
      </c>
      <c r="I257" s="128">
        <f t="shared" si="148"/>
        <v>0</v>
      </c>
      <c r="J257" s="129">
        <f>+SUM(C257:G257)-(H257+I257)</f>
        <v>233614</v>
      </c>
      <c r="K257" s="156" t="b">
        <f t="shared" si="150"/>
        <v>1</v>
      </c>
      <c r="Q257" s="5"/>
    </row>
    <row r="258" spans="1:17">
      <c r="A258" s="130" t="str">
        <f t="shared" si="153"/>
        <v>MAI</v>
      </c>
      <c r="B258" s="137" t="s">
        <v>83</v>
      </c>
      <c r="C258" s="128">
        <f>+C234</f>
        <v>249769</v>
      </c>
      <c r="D258" s="131"/>
      <c r="E258" s="128">
        <f>+D234</f>
        <v>0</v>
      </c>
      <c r="F258" s="146"/>
      <c r="G258" s="146"/>
      <c r="H258" s="178">
        <f t="shared" si="147"/>
        <v>0</v>
      </c>
      <c r="I258" s="128">
        <f t="shared" si="148"/>
        <v>0</v>
      </c>
      <c r="J258" s="129">
        <f t="shared" ref="J258:J266" si="154">+SUM(C258:G258)-(H258+I258)</f>
        <v>249769</v>
      </c>
      <c r="K258" s="156" t="b">
        <f t="shared" si="150"/>
        <v>1</v>
      </c>
      <c r="Q258" s="5"/>
    </row>
    <row r="259" spans="1:17">
      <c r="A259" s="130" t="str">
        <f t="shared" si="153"/>
        <v>MAI</v>
      </c>
      <c r="B259" s="135" t="s">
        <v>151</v>
      </c>
      <c r="C259" s="33">
        <f>+C235</f>
        <v>10200</v>
      </c>
      <c r="D259" s="32"/>
      <c r="E259" s="33">
        <f>+D235</f>
        <v>25000</v>
      </c>
      <c r="F259" s="33"/>
      <c r="G259" s="110"/>
      <c r="H259" s="57">
        <f t="shared" si="147"/>
        <v>0</v>
      </c>
      <c r="I259" s="33">
        <f t="shared" si="148"/>
        <v>20500</v>
      </c>
      <c r="J259" s="31">
        <f t="shared" si="154"/>
        <v>14700</v>
      </c>
      <c r="K259" s="156" t="b">
        <f t="shared" si="150"/>
        <v>1</v>
      </c>
      <c r="Q259" s="5"/>
    </row>
    <row r="260" spans="1:17">
      <c r="A260" s="130" t="str">
        <f t="shared" si="153"/>
        <v>MAI</v>
      </c>
      <c r="B260" s="135" t="s">
        <v>207</v>
      </c>
      <c r="C260" s="33">
        <f t="shared" ref="C260:C263" si="155">+C236</f>
        <v>43500</v>
      </c>
      <c r="D260" s="32"/>
      <c r="E260" s="33">
        <f t="shared" ref="E260:E266" si="156">+D236</f>
        <v>701000</v>
      </c>
      <c r="F260" s="33"/>
      <c r="G260" s="110"/>
      <c r="H260" s="57">
        <f t="shared" si="147"/>
        <v>0</v>
      </c>
      <c r="I260" s="33">
        <f t="shared" si="148"/>
        <v>697550</v>
      </c>
      <c r="J260" s="31">
        <f t="shared" si="154"/>
        <v>46950</v>
      </c>
      <c r="K260" s="156" t="b">
        <f t="shared" si="150"/>
        <v>1</v>
      </c>
      <c r="Q260" s="5"/>
    </row>
    <row r="261" spans="1:17">
      <c r="A261" s="130" t="str">
        <f t="shared" si="153"/>
        <v>MAI</v>
      </c>
      <c r="B261" s="135" t="s">
        <v>30</v>
      </c>
      <c r="C261" s="33">
        <f t="shared" si="155"/>
        <v>177550</v>
      </c>
      <c r="D261" s="32"/>
      <c r="E261" s="33">
        <f t="shared" si="156"/>
        <v>969000</v>
      </c>
      <c r="F261" s="33"/>
      <c r="G261" s="110"/>
      <c r="H261" s="57">
        <f t="shared" si="147"/>
        <v>220000</v>
      </c>
      <c r="I261" s="33">
        <f t="shared" si="148"/>
        <v>814500</v>
      </c>
      <c r="J261" s="31">
        <f t="shared" si="154"/>
        <v>112050</v>
      </c>
      <c r="K261" s="156" t="b">
        <f t="shared" si="150"/>
        <v>1</v>
      </c>
      <c r="Q261" s="5"/>
    </row>
    <row r="262" spans="1:17">
      <c r="A262" s="130" t="str">
        <f>+A260</f>
        <v>MAI</v>
      </c>
      <c r="B262" s="135" t="s">
        <v>93</v>
      </c>
      <c r="C262" s="33">
        <f t="shared" si="155"/>
        <v>4400</v>
      </c>
      <c r="D262" s="32"/>
      <c r="E262" s="33">
        <f t="shared" si="156"/>
        <v>170000</v>
      </c>
      <c r="F262" s="33"/>
      <c r="G262" s="110"/>
      <c r="H262" s="57">
        <f t="shared" si="147"/>
        <v>10000</v>
      </c>
      <c r="I262" s="33">
        <f t="shared" si="148"/>
        <v>161500</v>
      </c>
      <c r="J262" s="31">
        <f t="shared" si="154"/>
        <v>2900</v>
      </c>
      <c r="K262" s="156" t="b">
        <f t="shared" si="150"/>
        <v>1</v>
      </c>
      <c r="Q262" s="5"/>
    </row>
    <row r="263" spans="1:17">
      <c r="A263" s="130" t="str">
        <f>+A261</f>
        <v>MAI</v>
      </c>
      <c r="B263" s="135" t="s">
        <v>29</v>
      </c>
      <c r="C263" s="33">
        <f t="shared" si="155"/>
        <v>294700</v>
      </c>
      <c r="D263" s="32"/>
      <c r="E263" s="33">
        <f t="shared" si="156"/>
        <v>671000</v>
      </c>
      <c r="F263" s="33"/>
      <c r="G263" s="110"/>
      <c r="H263" s="57">
        <f t="shared" si="147"/>
        <v>300000</v>
      </c>
      <c r="I263" s="33">
        <f t="shared" si="148"/>
        <v>525000</v>
      </c>
      <c r="J263" s="31">
        <f t="shared" si="154"/>
        <v>140700</v>
      </c>
      <c r="K263" s="156" t="b">
        <f t="shared" si="150"/>
        <v>1</v>
      </c>
      <c r="Q263" s="5"/>
    </row>
    <row r="264" spans="1:17">
      <c r="A264" s="130" t="str">
        <f>+A262</f>
        <v>MAI</v>
      </c>
      <c r="B264" s="135" t="s">
        <v>206</v>
      </c>
      <c r="C264" s="33">
        <f>+C240</f>
        <v>13500</v>
      </c>
      <c r="D264" s="32"/>
      <c r="E264" s="33">
        <f t="shared" si="156"/>
        <v>85000</v>
      </c>
      <c r="F264" s="33"/>
      <c r="G264" s="110"/>
      <c r="H264" s="57">
        <f t="shared" si="147"/>
        <v>9500</v>
      </c>
      <c r="I264" s="33">
        <f t="shared" si="148"/>
        <v>89000</v>
      </c>
      <c r="J264" s="31">
        <f t="shared" si="154"/>
        <v>0</v>
      </c>
      <c r="K264" s="156" t="b">
        <f t="shared" si="150"/>
        <v>1</v>
      </c>
      <c r="Q264" s="5"/>
    </row>
    <row r="265" spans="1:17">
      <c r="A265" s="130" t="str">
        <f>+A262</f>
        <v>MAI</v>
      </c>
      <c r="B265" s="136" t="s">
        <v>113</v>
      </c>
      <c r="C265" s="33">
        <f t="shared" ref="C265:C266" si="157">+C241</f>
        <v>-7259</v>
      </c>
      <c r="D265" s="127"/>
      <c r="E265" s="33">
        <f t="shared" si="156"/>
        <v>329000</v>
      </c>
      <c r="F265" s="53"/>
      <c r="G265" s="147"/>
      <c r="H265" s="57">
        <f t="shared" si="147"/>
        <v>226000</v>
      </c>
      <c r="I265" s="33">
        <f t="shared" si="148"/>
        <v>93500</v>
      </c>
      <c r="J265" s="31">
        <f t="shared" si="154"/>
        <v>2241</v>
      </c>
      <c r="K265" s="156" t="b">
        <f t="shared" si="150"/>
        <v>1</v>
      </c>
      <c r="Q265" s="5"/>
    </row>
    <row r="266" spans="1:17">
      <c r="A266" s="130" t="str">
        <f>+A263</f>
        <v>MAI</v>
      </c>
      <c r="B266" s="136" t="s">
        <v>223</v>
      </c>
      <c r="C266" s="33">
        <f t="shared" si="157"/>
        <v>0</v>
      </c>
      <c r="D266" s="127"/>
      <c r="E266" s="33">
        <f t="shared" si="156"/>
        <v>349000</v>
      </c>
      <c r="F266" s="53"/>
      <c r="G266" s="147"/>
      <c r="H266" s="57">
        <f t="shared" si="147"/>
        <v>0</v>
      </c>
      <c r="I266" s="33">
        <f t="shared" si="148"/>
        <v>338500</v>
      </c>
      <c r="J266" s="31">
        <f t="shared" si="154"/>
        <v>10500</v>
      </c>
      <c r="K266" s="156" t="b">
        <f t="shared" si="150"/>
        <v>1</v>
      </c>
      <c r="Q266" s="5"/>
    </row>
    <row r="267" spans="1:17">
      <c r="A267" s="35" t="s">
        <v>60</v>
      </c>
      <c r="B267" s="36"/>
      <c r="C267" s="36"/>
      <c r="D267" s="36"/>
      <c r="E267" s="36"/>
      <c r="F267" s="36"/>
      <c r="G267" s="36"/>
      <c r="H267" s="36"/>
      <c r="I267" s="36"/>
      <c r="J267" s="37"/>
      <c r="K267" s="155"/>
      <c r="Q267" s="5"/>
    </row>
    <row r="268" spans="1:17">
      <c r="A268" s="130" t="str">
        <f>+A266</f>
        <v>MAI</v>
      </c>
      <c r="B268" s="38" t="s">
        <v>61</v>
      </c>
      <c r="C268" s="39">
        <f>+C229</f>
        <v>963113</v>
      </c>
      <c r="D268" s="51"/>
      <c r="E268" s="51">
        <f>D229</f>
        <v>7684335</v>
      </c>
      <c r="F268" s="51"/>
      <c r="G268" s="133"/>
      <c r="H268" s="53">
        <f>+F229</f>
        <v>4914000</v>
      </c>
      <c r="I268" s="134">
        <f>+E229</f>
        <v>2033042</v>
      </c>
      <c r="J268" s="46">
        <f>+SUM(C268:G268)-(H268+I268)</f>
        <v>1700406</v>
      </c>
      <c r="K268" s="156" t="b">
        <f>J268=I229</f>
        <v>1</v>
      </c>
      <c r="Q268" s="5"/>
    </row>
    <row r="269" spans="1:17">
      <c r="A269" s="44" t="s">
        <v>62</v>
      </c>
      <c r="B269" s="25"/>
      <c r="C269" s="36"/>
      <c r="D269" s="25"/>
      <c r="E269" s="25"/>
      <c r="F269" s="25"/>
      <c r="G269" s="25"/>
      <c r="H269" s="25"/>
      <c r="I269" s="25"/>
      <c r="J269" s="37"/>
      <c r="K269" s="155"/>
      <c r="Q269" s="5"/>
    </row>
    <row r="270" spans="1:17">
      <c r="A270" s="130" t="str">
        <f>+A268</f>
        <v>MAI</v>
      </c>
      <c r="B270" s="38" t="s">
        <v>166</v>
      </c>
      <c r="C270" s="133">
        <f>+C227</f>
        <v>4154435</v>
      </c>
      <c r="D270" s="140">
        <f>+G227</f>
        <v>11963948</v>
      </c>
      <c r="E270" s="51"/>
      <c r="F270" s="51"/>
      <c r="G270" s="51"/>
      <c r="H270" s="53">
        <f>+F227</f>
        <v>7000000</v>
      </c>
      <c r="I270" s="55">
        <f>+E227</f>
        <v>543345</v>
      </c>
      <c r="J270" s="46">
        <f>+SUM(C270:G270)-(H270+I270)</f>
        <v>8575038</v>
      </c>
      <c r="K270" s="156" t="b">
        <f>+J270=I227</f>
        <v>1</v>
      </c>
      <c r="Q270" s="5"/>
    </row>
    <row r="271" spans="1:17">
      <c r="A271" s="130" t="str">
        <f t="shared" ref="A271" si="158">+A270</f>
        <v>MAI</v>
      </c>
      <c r="B271" s="38" t="s">
        <v>64</v>
      </c>
      <c r="C271" s="133">
        <f>+C228</f>
        <v>16450956</v>
      </c>
      <c r="D271" s="51">
        <f>+G228</f>
        <v>0</v>
      </c>
      <c r="E271" s="50"/>
      <c r="F271" s="50"/>
      <c r="G271" s="50"/>
      <c r="H271" s="33">
        <f>+F228</f>
        <v>0</v>
      </c>
      <c r="I271" s="52">
        <f>+E228</f>
        <v>4219423</v>
      </c>
      <c r="J271" s="46">
        <f>SUM(C271:G271)-(H271+I271)</f>
        <v>12231533</v>
      </c>
      <c r="K271" s="156" t="b">
        <f>+J271=I228</f>
        <v>1</v>
      </c>
      <c r="Q271" s="5"/>
    </row>
    <row r="272" spans="1:17" ht="15.75">
      <c r="C272" s="151">
        <f>SUM(C254:C271)</f>
        <v>22774658</v>
      </c>
      <c r="I272" s="149">
        <f>SUM(I254:I271)</f>
        <v>11393660</v>
      </c>
      <c r="J272" s="111">
        <f>+SUM(J254:J271)</f>
        <v>23344946</v>
      </c>
      <c r="K272" s="5" t="b">
        <f>J272=I243</f>
        <v>1</v>
      </c>
      <c r="Q272" s="5"/>
    </row>
    <row r="273" spans="1:17" ht="15.75">
      <c r="A273" s="189"/>
      <c r="B273" s="189"/>
      <c r="C273" s="190"/>
      <c r="D273" s="189"/>
      <c r="E273" s="189"/>
      <c r="F273" s="189"/>
      <c r="G273" s="189"/>
      <c r="H273" s="189"/>
      <c r="I273" s="191"/>
      <c r="J273" s="192"/>
      <c r="K273" s="189"/>
      <c r="L273" s="193"/>
      <c r="M273" s="193"/>
      <c r="N273" s="193"/>
      <c r="O273" s="193"/>
      <c r="P273" s="189"/>
      <c r="Q273" s="5"/>
    </row>
    <row r="275" spans="1:17" ht="15.75">
      <c r="A275" s="6" t="s">
        <v>36</v>
      </c>
      <c r="B275" s="6" t="s">
        <v>1</v>
      </c>
      <c r="C275" s="6">
        <v>44652</v>
      </c>
      <c r="D275" s="7" t="s">
        <v>37</v>
      </c>
      <c r="E275" s="7" t="s">
        <v>38</v>
      </c>
      <c r="F275" s="7" t="s">
        <v>39</v>
      </c>
      <c r="G275" s="7" t="s">
        <v>40</v>
      </c>
      <c r="H275" s="6">
        <v>44681</v>
      </c>
      <c r="I275" s="7" t="s">
        <v>41</v>
      </c>
      <c r="K275" s="47"/>
      <c r="L275" s="47" t="s">
        <v>42</v>
      </c>
      <c r="M275" s="47" t="s">
        <v>43</v>
      </c>
      <c r="N275" s="47" t="s">
        <v>44</v>
      </c>
      <c r="O275" s="47" t="s">
        <v>45</v>
      </c>
      <c r="Q275" s="5"/>
    </row>
    <row r="276" spans="1:17" ht="16.5">
      <c r="A276" s="60" t="str">
        <f>K276</f>
        <v>BCI</v>
      </c>
      <c r="B276" s="61" t="s">
        <v>46</v>
      </c>
      <c r="C276" s="63">
        <v>9177780</v>
      </c>
      <c r="D276" s="63">
        <f>+L276</f>
        <v>0</v>
      </c>
      <c r="E276" s="63">
        <f>+N276</f>
        <v>23345</v>
      </c>
      <c r="F276" s="63">
        <f>+M276</f>
        <v>5000000</v>
      </c>
      <c r="G276" s="63">
        <f t="shared" ref="G276:G287" si="159">+O276</f>
        <v>0</v>
      </c>
      <c r="H276" s="63">
        <v>4154435</v>
      </c>
      <c r="I276" s="63">
        <f>+C276+D276-E276-F276+G276</f>
        <v>4154435</v>
      </c>
      <c r="J276" s="9">
        <f>I276-H276</f>
        <v>0</v>
      </c>
      <c r="K276" s="47" t="s">
        <v>24</v>
      </c>
      <c r="L276" s="49">
        <v>0</v>
      </c>
      <c r="M276" s="49">
        <v>5000000</v>
      </c>
      <c r="N276" s="49">
        <v>23345</v>
      </c>
      <c r="O276" s="49">
        <v>0</v>
      </c>
      <c r="Q276" s="5"/>
    </row>
    <row r="277" spans="1:17" ht="16.5">
      <c r="A277" s="60" t="str">
        <f t="shared" ref="A277:A290" si="160">K277</f>
        <v>BCI-Sous Compte</v>
      </c>
      <c r="B277" s="61" t="s">
        <v>46</v>
      </c>
      <c r="C277" s="63">
        <v>21521261</v>
      </c>
      <c r="D277" s="63">
        <f t="shared" ref="D277:D290" si="161">+L277</f>
        <v>0</v>
      </c>
      <c r="E277" s="63">
        <f t="shared" ref="E277:E290" si="162">+N277</f>
        <v>5070305</v>
      </c>
      <c r="F277" s="63">
        <f t="shared" ref="F277:F290" si="163">+M277</f>
        <v>0</v>
      </c>
      <c r="G277" s="63">
        <f t="shared" si="159"/>
        <v>0</v>
      </c>
      <c r="H277" s="63">
        <v>16450956</v>
      </c>
      <c r="I277" s="63">
        <f>+C277+D277-E277-F277+G277</f>
        <v>16450956</v>
      </c>
      <c r="J277" s="9">
        <f t="shared" ref="J277:J284" si="164">I277-H277</f>
        <v>0</v>
      </c>
      <c r="K277" s="47" t="s">
        <v>157</v>
      </c>
      <c r="L277" s="49">
        <v>0</v>
      </c>
      <c r="M277" s="49">
        <v>0</v>
      </c>
      <c r="N277" s="49">
        <v>5070305</v>
      </c>
      <c r="O277" s="49">
        <v>0</v>
      </c>
      <c r="Q277" s="5"/>
    </row>
    <row r="278" spans="1:17" ht="16.5">
      <c r="A278" s="60" t="str">
        <f t="shared" si="160"/>
        <v>Caisse</v>
      </c>
      <c r="B278" s="61" t="s">
        <v>25</v>
      </c>
      <c r="C278" s="63">
        <v>1160022</v>
      </c>
      <c r="D278" s="63">
        <f t="shared" si="161"/>
        <v>5100000</v>
      </c>
      <c r="E278" s="63">
        <f t="shared" si="162"/>
        <v>1822909</v>
      </c>
      <c r="F278" s="63">
        <f t="shared" si="163"/>
        <v>3474000</v>
      </c>
      <c r="G278" s="63">
        <f t="shared" si="159"/>
        <v>0</v>
      </c>
      <c r="H278" s="63">
        <v>963113</v>
      </c>
      <c r="I278" s="63">
        <f>+C278+D278-E278-F278+G278</f>
        <v>963113</v>
      </c>
      <c r="J278" s="108">
        <f t="shared" si="164"/>
        <v>0</v>
      </c>
      <c r="K278" s="47" t="s">
        <v>25</v>
      </c>
      <c r="L278" s="49">
        <v>5100000</v>
      </c>
      <c r="M278" s="49">
        <v>3474000</v>
      </c>
      <c r="N278" s="49">
        <v>1822909</v>
      </c>
      <c r="O278" s="49">
        <v>0</v>
      </c>
      <c r="Q278" s="5"/>
    </row>
    <row r="279" spans="1:17" ht="16.5">
      <c r="A279" s="60" t="str">
        <f t="shared" si="160"/>
        <v>Crépin</v>
      </c>
      <c r="B279" s="61" t="s">
        <v>163</v>
      </c>
      <c r="C279" s="63">
        <v>22050</v>
      </c>
      <c r="D279" s="63">
        <f t="shared" si="161"/>
        <v>462000</v>
      </c>
      <c r="E279" s="63">
        <f t="shared" si="162"/>
        <v>462200</v>
      </c>
      <c r="F279" s="63">
        <f t="shared" si="163"/>
        <v>0</v>
      </c>
      <c r="G279" s="63">
        <f t="shared" si="159"/>
        <v>0</v>
      </c>
      <c r="H279" s="63">
        <v>21850</v>
      </c>
      <c r="I279" s="63">
        <f>+C279+D279-E279-F279+G279</f>
        <v>21850</v>
      </c>
      <c r="J279" s="9">
        <f t="shared" si="164"/>
        <v>0</v>
      </c>
      <c r="K279" s="47" t="s">
        <v>47</v>
      </c>
      <c r="L279" s="49">
        <v>462000</v>
      </c>
      <c r="M279" s="49">
        <v>0</v>
      </c>
      <c r="N279" s="49">
        <v>462200</v>
      </c>
      <c r="O279" s="49">
        <v>0</v>
      </c>
      <c r="Q279" s="5"/>
    </row>
    <row r="280" spans="1:17" ht="16.5">
      <c r="A280" s="60" t="str">
        <f t="shared" si="160"/>
        <v>Evariste</v>
      </c>
      <c r="B280" s="61" t="s">
        <v>164</v>
      </c>
      <c r="C280" s="63">
        <v>13995</v>
      </c>
      <c r="D280" s="63">
        <f t="shared" si="161"/>
        <v>30000</v>
      </c>
      <c r="E280" s="63">
        <f t="shared" si="162"/>
        <v>36000</v>
      </c>
      <c r="F280" s="63">
        <f t="shared" si="163"/>
        <v>0</v>
      </c>
      <c r="G280" s="63">
        <f t="shared" si="159"/>
        <v>0</v>
      </c>
      <c r="H280" s="63">
        <v>7995</v>
      </c>
      <c r="I280" s="63">
        <f t="shared" ref="I280" si="165">+C280+D280-E280-F280+G280</f>
        <v>7995</v>
      </c>
      <c r="J280" s="9">
        <f t="shared" si="164"/>
        <v>0</v>
      </c>
      <c r="K280" s="47" t="s">
        <v>31</v>
      </c>
      <c r="L280" s="49">
        <v>30000</v>
      </c>
      <c r="M280" s="49">
        <v>0</v>
      </c>
      <c r="N280" s="49">
        <v>36000</v>
      </c>
      <c r="O280" s="49">
        <v>0</v>
      </c>
      <c r="Q280" s="5"/>
    </row>
    <row r="281" spans="1:17" ht="16.5">
      <c r="A281" s="60" t="str">
        <f t="shared" si="160"/>
        <v>Godfré</v>
      </c>
      <c r="B281" s="61" t="s">
        <v>163</v>
      </c>
      <c r="C281" s="63">
        <v>36485</v>
      </c>
      <c r="D281" s="63">
        <f t="shared" si="161"/>
        <v>486000</v>
      </c>
      <c r="E281" s="63">
        <f t="shared" si="162"/>
        <v>366150</v>
      </c>
      <c r="F281" s="63">
        <f t="shared" si="163"/>
        <v>0</v>
      </c>
      <c r="G281" s="63">
        <f t="shared" si="159"/>
        <v>0</v>
      </c>
      <c r="H281" s="63">
        <v>156335</v>
      </c>
      <c r="I281" s="63">
        <f>+C281+D281-E281-F281+G281</f>
        <v>156335</v>
      </c>
      <c r="J281" s="9">
        <f t="shared" si="164"/>
        <v>0</v>
      </c>
      <c r="K281" s="47" t="s">
        <v>152</v>
      </c>
      <c r="L281" s="49">
        <v>486000</v>
      </c>
      <c r="M281" s="49">
        <v>0</v>
      </c>
      <c r="N281" s="49">
        <v>366150</v>
      </c>
      <c r="O281" s="49">
        <v>0</v>
      </c>
      <c r="Q281" s="5"/>
    </row>
    <row r="282" spans="1:17" ht="16.5">
      <c r="A282" s="60" t="str">
        <f t="shared" si="160"/>
        <v>I55S</v>
      </c>
      <c r="B282" s="124" t="s">
        <v>4</v>
      </c>
      <c r="C282" s="126">
        <v>233614</v>
      </c>
      <c r="D282" s="126">
        <f t="shared" si="161"/>
        <v>0</v>
      </c>
      <c r="E282" s="126">
        <f t="shared" si="162"/>
        <v>0</v>
      </c>
      <c r="F282" s="126">
        <f t="shared" si="163"/>
        <v>0</v>
      </c>
      <c r="G282" s="126">
        <f t="shared" si="159"/>
        <v>0</v>
      </c>
      <c r="H282" s="126">
        <v>233614</v>
      </c>
      <c r="I282" s="126">
        <f>+C282+D282-E282-F282+G282</f>
        <v>233614</v>
      </c>
      <c r="J282" s="9">
        <f t="shared" si="164"/>
        <v>0</v>
      </c>
      <c r="K282" s="47" t="s">
        <v>84</v>
      </c>
      <c r="L282" s="49">
        <v>0</v>
      </c>
      <c r="M282" s="49">
        <v>0</v>
      </c>
      <c r="N282" s="49">
        <v>0</v>
      </c>
      <c r="O282" s="49">
        <v>0</v>
      </c>
      <c r="Q282" s="5"/>
    </row>
    <row r="283" spans="1:17" ht="16.5">
      <c r="A283" s="60" t="str">
        <f t="shared" si="160"/>
        <v>I73X</v>
      </c>
      <c r="B283" s="124" t="s">
        <v>4</v>
      </c>
      <c r="C283" s="126">
        <v>249769</v>
      </c>
      <c r="D283" s="126">
        <f t="shared" si="161"/>
        <v>0</v>
      </c>
      <c r="E283" s="126">
        <f t="shared" si="162"/>
        <v>0</v>
      </c>
      <c r="F283" s="126">
        <f t="shared" si="163"/>
        <v>0</v>
      </c>
      <c r="G283" s="126">
        <f t="shared" si="159"/>
        <v>0</v>
      </c>
      <c r="H283" s="126">
        <v>249769</v>
      </c>
      <c r="I283" s="126">
        <f t="shared" ref="I283:I286" si="166">+C283+D283-E283-F283+G283</f>
        <v>249769</v>
      </c>
      <c r="J283" s="9">
        <f t="shared" si="164"/>
        <v>0</v>
      </c>
      <c r="K283" s="47" t="s">
        <v>83</v>
      </c>
      <c r="L283" s="49">
        <v>0</v>
      </c>
      <c r="M283" s="49">
        <v>0</v>
      </c>
      <c r="N283" s="49">
        <v>0</v>
      </c>
      <c r="O283" s="49">
        <v>0</v>
      </c>
      <c r="Q283" s="5"/>
    </row>
    <row r="284" spans="1:17" ht="16.5">
      <c r="A284" s="60" t="str">
        <f t="shared" si="160"/>
        <v>Grace</v>
      </c>
      <c r="B284" s="104" t="s">
        <v>2</v>
      </c>
      <c r="C284" s="63">
        <v>10700</v>
      </c>
      <c r="D284" s="63">
        <f t="shared" si="161"/>
        <v>10000</v>
      </c>
      <c r="E284" s="63">
        <f t="shared" si="162"/>
        <v>10500</v>
      </c>
      <c r="F284" s="63">
        <f t="shared" si="163"/>
        <v>0</v>
      </c>
      <c r="G284" s="63">
        <f t="shared" si="159"/>
        <v>0</v>
      </c>
      <c r="H284" s="63">
        <v>10200</v>
      </c>
      <c r="I284" s="63">
        <f t="shared" si="166"/>
        <v>10200</v>
      </c>
      <c r="J284" s="9">
        <f t="shared" si="164"/>
        <v>0</v>
      </c>
      <c r="K284" s="47" t="s">
        <v>151</v>
      </c>
      <c r="L284" s="49">
        <v>10000</v>
      </c>
      <c r="M284" s="49">
        <v>0</v>
      </c>
      <c r="N284" s="49">
        <v>10500</v>
      </c>
      <c r="O284" s="49">
        <v>0</v>
      </c>
      <c r="Q284" s="5"/>
    </row>
    <row r="285" spans="1:17" ht="16.5">
      <c r="A285" s="60" t="str">
        <f t="shared" si="160"/>
        <v>Hurielle</v>
      </c>
      <c r="B285" s="227" t="s">
        <v>163</v>
      </c>
      <c r="C285" s="63">
        <v>52000</v>
      </c>
      <c r="D285" s="63">
        <f t="shared" si="161"/>
        <v>113000</v>
      </c>
      <c r="E285" s="63">
        <f t="shared" si="162"/>
        <v>121500</v>
      </c>
      <c r="F285" s="63">
        <f t="shared" si="163"/>
        <v>0</v>
      </c>
      <c r="G285" s="63">
        <f t="shared" si="159"/>
        <v>0</v>
      </c>
      <c r="H285" s="63">
        <v>43500</v>
      </c>
      <c r="I285" s="63">
        <f t="shared" si="166"/>
        <v>43500</v>
      </c>
      <c r="J285" s="9">
        <f>I285-H285</f>
        <v>0</v>
      </c>
      <c r="K285" s="47" t="s">
        <v>207</v>
      </c>
      <c r="L285" s="49">
        <v>113000</v>
      </c>
      <c r="M285" s="49">
        <v>0</v>
      </c>
      <c r="N285" s="49">
        <v>121500</v>
      </c>
      <c r="O285" s="49">
        <v>0</v>
      </c>
      <c r="Q285" s="5"/>
    </row>
    <row r="286" spans="1:17" ht="16.5">
      <c r="A286" s="60" t="str">
        <f t="shared" si="160"/>
        <v>I23C</v>
      </c>
      <c r="B286" s="228" t="s">
        <v>4</v>
      </c>
      <c r="C286" s="63">
        <v>116050</v>
      </c>
      <c r="D286" s="63">
        <f t="shared" si="161"/>
        <v>599000</v>
      </c>
      <c r="E286" s="63">
        <f t="shared" si="162"/>
        <v>537500</v>
      </c>
      <c r="F286" s="63">
        <f t="shared" si="163"/>
        <v>0</v>
      </c>
      <c r="G286" s="63">
        <f t="shared" si="159"/>
        <v>0</v>
      </c>
      <c r="H286" s="63">
        <v>177550</v>
      </c>
      <c r="I286" s="63">
        <f t="shared" si="166"/>
        <v>177550</v>
      </c>
      <c r="J286" s="9">
        <f t="shared" ref="J286:J287" si="167">I286-H286</f>
        <v>0</v>
      </c>
      <c r="K286" s="47" t="s">
        <v>30</v>
      </c>
      <c r="L286" s="49">
        <v>599000</v>
      </c>
      <c r="M286" s="49">
        <v>0</v>
      </c>
      <c r="N286" s="49">
        <v>537500</v>
      </c>
      <c r="O286" s="49">
        <v>0</v>
      </c>
      <c r="Q286" s="5"/>
    </row>
    <row r="287" spans="1:17" ht="16.5">
      <c r="A287" s="60" t="str">
        <f t="shared" si="160"/>
        <v>Merveille</v>
      </c>
      <c r="B287" s="227" t="s">
        <v>2</v>
      </c>
      <c r="C287" s="63">
        <v>4400</v>
      </c>
      <c r="D287" s="63">
        <f t="shared" si="161"/>
        <v>20000</v>
      </c>
      <c r="E287" s="63">
        <f t="shared" si="162"/>
        <v>20000</v>
      </c>
      <c r="F287" s="63">
        <f t="shared" si="163"/>
        <v>0</v>
      </c>
      <c r="G287" s="63">
        <f t="shared" si="159"/>
        <v>0</v>
      </c>
      <c r="H287" s="63">
        <v>4400</v>
      </c>
      <c r="I287" s="63">
        <f>+C287+D287-E287-F287+G287</f>
        <v>4400</v>
      </c>
      <c r="J287" s="9">
        <f t="shared" si="167"/>
        <v>0</v>
      </c>
      <c r="K287" s="47" t="s">
        <v>93</v>
      </c>
      <c r="L287" s="49">
        <v>20000</v>
      </c>
      <c r="M287" s="49">
        <v>0</v>
      </c>
      <c r="N287" s="49">
        <v>20000</v>
      </c>
      <c r="O287" s="49">
        <v>0</v>
      </c>
      <c r="Q287" s="5"/>
    </row>
    <row r="288" spans="1:17" ht="16.5">
      <c r="A288" s="60" t="str">
        <f t="shared" si="160"/>
        <v>P29</v>
      </c>
      <c r="B288" s="227" t="s">
        <v>4</v>
      </c>
      <c r="C288" s="63">
        <v>16200</v>
      </c>
      <c r="D288" s="63">
        <f t="shared" si="161"/>
        <v>874000</v>
      </c>
      <c r="E288" s="63">
        <f t="shared" si="162"/>
        <v>495500</v>
      </c>
      <c r="F288" s="63">
        <f t="shared" si="163"/>
        <v>100000</v>
      </c>
      <c r="G288" s="63">
        <f>+O288</f>
        <v>0</v>
      </c>
      <c r="H288" s="63">
        <v>294700</v>
      </c>
      <c r="I288" s="63">
        <f>+C288+D288-E288-F288+G288</f>
        <v>294700</v>
      </c>
      <c r="J288" s="9">
        <f>I288-H288</f>
        <v>0</v>
      </c>
      <c r="K288" s="47" t="s">
        <v>29</v>
      </c>
      <c r="L288" s="49">
        <v>874000</v>
      </c>
      <c r="M288" s="49">
        <v>100000</v>
      </c>
      <c r="N288" s="49">
        <v>495500</v>
      </c>
      <c r="O288" s="49">
        <v>0</v>
      </c>
      <c r="Q288" s="5"/>
    </row>
    <row r="289" spans="1:17" ht="16.5">
      <c r="A289" s="60" t="str">
        <f t="shared" si="160"/>
        <v>Paule</v>
      </c>
      <c r="B289" s="61" t="s">
        <v>163</v>
      </c>
      <c r="C289" s="63">
        <v>6000</v>
      </c>
      <c r="D289" s="63">
        <f t="shared" si="161"/>
        <v>80000</v>
      </c>
      <c r="E289" s="63">
        <f t="shared" si="162"/>
        <v>72500</v>
      </c>
      <c r="F289" s="63">
        <f t="shared" si="163"/>
        <v>0</v>
      </c>
      <c r="G289" s="63">
        <f>+O289</f>
        <v>0</v>
      </c>
      <c r="H289" s="63">
        <v>13500</v>
      </c>
      <c r="I289" s="63">
        <f>+C289+D289-E289-F289+G289</f>
        <v>13500</v>
      </c>
      <c r="J289" s="9">
        <f>I289-H289</f>
        <v>0</v>
      </c>
      <c r="K289" s="47" t="s">
        <v>206</v>
      </c>
      <c r="L289" s="49">
        <v>80000</v>
      </c>
      <c r="M289" s="49">
        <v>0</v>
      </c>
      <c r="N289" s="49">
        <v>72500</v>
      </c>
      <c r="O289" s="49">
        <v>0</v>
      </c>
      <c r="Q289" s="5"/>
    </row>
    <row r="290" spans="1:17" ht="16.5">
      <c r="A290" s="60" t="str">
        <f t="shared" si="160"/>
        <v>Tiffany</v>
      </c>
      <c r="B290" s="61" t="s">
        <v>2</v>
      </c>
      <c r="C290" s="63">
        <v>-790759</v>
      </c>
      <c r="D290" s="63">
        <f t="shared" si="161"/>
        <v>800000</v>
      </c>
      <c r="E290" s="63">
        <f t="shared" si="162"/>
        <v>16500</v>
      </c>
      <c r="F290" s="63">
        <f t="shared" si="163"/>
        <v>0</v>
      </c>
      <c r="G290" s="63">
        <f t="shared" ref="G290" si="168">+O290</f>
        <v>0</v>
      </c>
      <c r="H290" s="63">
        <v>-7259</v>
      </c>
      <c r="I290" s="63">
        <f t="shared" ref="I290" si="169">+C290+D290-E290-F290+G290</f>
        <v>-7259</v>
      </c>
      <c r="J290" s="9">
        <f t="shared" ref="J290" si="170">I290-H290</f>
        <v>0</v>
      </c>
      <c r="K290" s="47" t="s">
        <v>113</v>
      </c>
      <c r="L290" s="49">
        <v>800000</v>
      </c>
      <c r="M290" s="49">
        <v>0</v>
      </c>
      <c r="N290" s="49">
        <v>16500</v>
      </c>
      <c r="O290" s="49">
        <v>0</v>
      </c>
      <c r="Q290" s="5"/>
    </row>
    <row r="291" spans="1:17" ht="16.5">
      <c r="A291" s="10" t="s">
        <v>50</v>
      </c>
      <c r="B291" s="11"/>
      <c r="C291" s="12">
        <f t="shared" ref="C291:I291" si="171">SUM(C276:C290)</f>
        <v>31829567</v>
      </c>
      <c r="D291" s="59">
        <f t="shared" si="171"/>
        <v>8574000</v>
      </c>
      <c r="E291" s="59">
        <f t="shared" si="171"/>
        <v>9054909</v>
      </c>
      <c r="F291" s="59">
        <f t="shared" si="171"/>
        <v>8574000</v>
      </c>
      <c r="G291" s="59">
        <f t="shared" si="171"/>
        <v>0</v>
      </c>
      <c r="H291" s="59">
        <f t="shared" si="171"/>
        <v>22774658</v>
      </c>
      <c r="I291" s="59">
        <f t="shared" si="171"/>
        <v>22774658</v>
      </c>
      <c r="J291" s="9">
        <f>I291-H291</f>
        <v>0</v>
      </c>
      <c r="K291" s="3"/>
      <c r="L291" s="49">
        <f>+SUM(L276:L290)</f>
        <v>8574000</v>
      </c>
      <c r="M291" s="49">
        <f>+SUM(M276:M290)</f>
        <v>8574000</v>
      </c>
      <c r="N291" s="49">
        <f>+SUM(N276:N290)</f>
        <v>9054909</v>
      </c>
      <c r="O291" s="49">
        <f>+SUM(O276:O290)</f>
        <v>0</v>
      </c>
      <c r="Q291" s="5"/>
    </row>
    <row r="292" spans="1:17" ht="16.5">
      <c r="A292" s="10"/>
      <c r="B292" s="11"/>
      <c r="C292" s="12"/>
      <c r="D292" s="13"/>
      <c r="E292" s="12"/>
      <c r="F292" s="13"/>
      <c r="G292" s="12"/>
      <c r="H292" s="12"/>
      <c r="I292" s="143" t="b">
        <f>I291=D294</f>
        <v>1</v>
      </c>
      <c r="L292" s="5"/>
      <c r="M292" s="5"/>
      <c r="N292" s="5"/>
      <c r="O292" s="5"/>
      <c r="Q292" s="5"/>
    </row>
    <row r="293" spans="1:17" ht="16.5">
      <c r="A293" s="10" t="s">
        <v>212</v>
      </c>
      <c r="B293" s="11" t="s">
        <v>213</v>
      </c>
      <c r="C293" s="12" t="s">
        <v>214</v>
      </c>
      <c r="D293" s="12" t="s">
        <v>215</v>
      </c>
      <c r="E293" s="12" t="s">
        <v>51</v>
      </c>
      <c r="F293" s="12"/>
      <c r="G293" s="12">
        <f>+D291-F291</f>
        <v>0</v>
      </c>
      <c r="H293" s="12"/>
      <c r="I293" s="12"/>
      <c r="Q293" s="5"/>
    </row>
    <row r="294" spans="1:17" ht="16.5">
      <c r="A294" s="14">
        <f>C291</f>
        <v>31829567</v>
      </c>
      <c r="B294" s="15">
        <f>G291</f>
        <v>0</v>
      </c>
      <c r="C294" s="12">
        <f>E291</f>
        <v>9054909</v>
      </c>
      <c r="D294" s="12">
        <f>A294+B294-C294</f>
        <v>22774658</v>
      </c>
      <c r="E294" s="13">
        <f>I291-D294</f>
        <v>0</v>
      </c>
      <c r="F294" s="12"/>
      <c r="G294" s="12"/>
      <c r="H294" s="12"/>
      <c r="I294" s="12"/>
      <c r="Q294" s="5"/>
    </row>
    <row r="295" spans="1:17" ht="16.5">
      <c r="A295" s="14"/>
      <c r="B295" s="15"/>
      <c r="C295" s="12"/>
      <c r="D295" s="12"/>
      <c r="E295" s="13"/>
      <c r="F295" s="12"/>
      <c r="G295" s="12"/>
      <c r="H295" s="12"/>
      <c r="I295" s="12"/>
      <c r="Q295" s="5"/>
    </row>
    <row r="296" spans="1:17">
      <c r="A296" s="16" t="s">
        <v>52</v>
      </c>
      <c r="B296" s="16"/>
      <c r="C296" s="16"/>
      <c r="D296" s="17"/>
      <c r="E296" s="17"/>
      <c r="F296" s="17"/>
      <c r="G296" s="17"/>
      <c r="H296" s="17"/>
      <c r="I296" s="17"/>
      <c r="Q296" s="5"/>
    </row>
    <row r="297" spans="1:17">
      <c r="A297" s="18" t="s">
        <v>216</v>
      </c>
      <c r="B297" s="18"/>
      <c r="C297" s="18"/>
      <c r="D297" s="18"/>
      <c r="E297" s="18"/>
      <c r="F297" s="18"/>
      <c r="G297" s="18"/>
      <c r="H297" s="18"/>
      <c r="I297" s="18"/>
      <c r="J297" s="18"/>
      <c r="Q297" s="5"/>
    </row>
    <row r="298" spans="1:17">
      <c r="A298" s="19"/>
      <c r="B298" s="20"/>
      <c r="C298" s="21"/>
      <c r="D298" s="21"/>
      <c r="E298" s="21"/>
      <c r="F298" s="21"/>
      <c r="G298" s="21"/>
      <c r="H298" s="20"/>
      <c r="I298" s="20"/>
      <c r="Q298" s="5"/>
    </row>
    <row r="299" spans="1:17">
      <c r="A299" s="212" t="s">
        <v>53</v>
      </c>
      <c r="B299" s="214" t="s">
        <v>54</v>
      </c>
      <c r="C299" s="216" t="s">
        <v>217</v>
      </c>
      <c r="D299" s="218" t="s">
        <v>55</v>
      </c>
      <c r="E299" s="219"/>
      <c r="F299" s="219"/>
      <c r="G299" s="220"/>
      <c r="H299" s="221" t="s">
        <v>56</v>
      </c>
      <c r="I299" s="223" t="s">
        <v>57</v>
      </c>
      <c r="J299" s="20"/>
      <c r="Q299" s="5"/>
    </row>
    <row r="300" spans="1:17" ht="28.5" customHeight="1">
      <c r="A300" s="213"/>
      <c r="B300" s="215"/>
      <c r="C300" s="217"/>
      <c r="D300" s="22" t="s">
        <v>24</v>
      </c>
      <c r="E300" s="22" t="s">
        <v>25</v>
      </c>
      <c r="F300" s="217" t="s">
        <v>123</v>
      </c>
      <c r="G300" s="22" t="s">
        <v>58</v>
      </c>
      <c r="H300" s="222"/>
      <c r="I300" s="224"/>
      <c r="J300" s="225" t="s">
        <v>218</v>
      </c>
      <c r="K300" s="155"/>
      <c r="Q300" s="5"/>
    </row>
    <row r="301" spans="1:17">
      <c r="A301" s="24"/>
      <c r="B301" s="25" t="s">
        <v>59</v>
      </c>
      <c r="C301" s="26"/>
      <c r="D301" s="26"/>
      <c r="E301" s="26"/>
      <c r="F301" s="26"/>
      <c r="G301" s="26"/>
      <c r="H301" s="26"/>
      <c r="I301" s="27"/>
      <c r="J301" s="226"/>
      <c r="K301" s="155"/>
      <c r="Q301" s="5"/>
    </row>
    <row r="302" spans="1:17">
      <c r="A302" s="130" t="s">
        <v>127</v>
      </c>
      <c r="B302" s="135" t="s">
        <v>47</v>
      </c>
      <c r="C302" s="33">
        <f>+C279</f>
        <v>22050</v>
      </c>
      <c r="D302" s="32"/>
      <c r="E302" s="33">
        <f>+D279</f>
        <v>462000</v>
      </c>
      <c r="F302" s="33"/>
      <c r="G302" s="33"/>
      <c r="H302" s="57">
        <f t="shared" ref="H302:H313" si="172">+F279</f>
        <v>0</v>
      </c>
      <c r="I302" s="33">
        <f t="shared" ref="I302:I313" si="173">+E279</f>
        <v>462200</v>
      </c>
      <c r="J302" s="31">
        <f t="shared" ref="J302:J303" si="174">+SUM(C302:G302)-(H302+I302)</f>
        <v>21850</v>
      </c>
      <c r="K302" s="156" t="b">
        <f t="shared" ref="K302:K313" si="175">J302=I279</f>
        <v>1</v>
      </c>
      <c r="Q302" s="5"/>
    </row>
    <row r="303" spans="1:17">
      <c r="A303" s="130" t="str">
        <f>+A302</f>
        <v>AVRIL</v>
      </c>
      <c r="B303" s="135" t="s">
        <v>31</v>
      </c>
      <c r="C303" s="33">
        <f t="shared" ref="C303:C304" si="176">+C280</f>
        <v>13995</v>
      </c>
      <c r="D303" s="32"/>
      <c r="E303" s="33">
        <f t="shared" ref="E303:E304" si="177">+D280</f>
        <v>30000</v>
      </c>
      <c r="F303" s="33"/>
      <c r="G303" s="33"/>
      <c r="H303" s="57">
        <f t="shared" si="172"/>
        <v>0</v>
      </c>
      <c r="I303" s="33">
        <f t="shared" si="173"/>
        <v>36000</v>
      </c>
      <c r="J303" s="107">
        <f t="shared" si="174"/>
        <v>7995</v>
      </c>
      <c r="K303" s="156" t="b">
        <f t="shared" si="175"/>
        <v>1</v>
      </c>
      <c r="Q303" s="5"/>
    </row>
    <row r="304" spans="1:17">
      <c r="A304" s="130" t="str">
        <f t="shared" ref="A304:A309" si="178">+A303</f>
        <v>AVRIL</v>
      </c>
      <c r="B304" s="136" t="s">
        <v>152</v>
      </c>
      <c r="C304" s="33">
        <f t="shared" si="176"/>
        <v>36485</v>
      </c>
      <c r="D304" s="127"/>
      <c r="E304" s="33">
        <f t="shared" si="177"/>
        <v>486000</v>
      </c>
      <c r="F304" s="53"/>
      <c r="G304" s="53"/>
      <c r="H304" s="57">
        <f t="shared" si="172"/>
        <v>0</v>
      </c>
      <c r="I304" s="33">
        <f t="shared" si="173"/>
        <v>366150</v>
      </c>
      <c r="J304" s="132">
        <f>+SUM(C304:G304)-(H304+I304)</f>
        <v>156335</v>
      </c>
      <c r="K304" s="156" t="b">
        <f t="shared" si="175"/>
        <v>1</v>
      </c>
      <c r="Q304" s="5"/>
    </row>
    <row r="305" spans="1:17">
      <c r="A305" s="130" t="str">
        <f t="shared" si="178"/>
        <v>AVRIL</v>
      </c>
      <c r="B305" s="137" t="s">
        <v>84</v>
      </c>
      <c r="C305" s="128">
        <f>+C282</f>
        <v>233614</v>
      </c>
      <c r="D305" s="131"/>
      <c r="E305" s="128">
        <f>+D282</f>
        <v>0</v>
      </c>
      <c r="F305" s="146"/>
      <c r="G305" s="146"/>
      <c r="H305" s="178">
        <f t="shared" si="172"/>
        <v>0</v>
      </c>
      <c r="I305" s="128">
        <f t="shared" si="173"/>
        <v>0</v>
      </c>
      <c r="J305" s="129">
        <f>+SUM(C305:G305)-(H305+I305)</f>
        <v>233614</v>
      </c>
      <c r="K305" s="156" t="b">
        <f t="shared" si="175"/>
        <v>1</v>
      </c>
      <c r="Q305" s="5"/>
    </row>
    <row r="306" spans="1:17">
      <c r="A306" s="130" t="str">
        <f t="shared" si="178"/>
        <v>AVRIL</v>
      </c>
      <c r="B306" s="137" t="s">
        <v>83</v>
      </c>
      <c r="C306" s="128">
        <f>+C283</f>
        <v>249769</v>
      </c>
      <c r="D306" s="131"/>
      <c r="E306" s="128">
        <f>+D283</f>
        <v>0</v>
      </c>
      <c r="F306" s="146"/>
      <c r="G306" s="146"/>
      <c r="H306" s="178">
        <f t="shared" si="172"/>
        <v>0</v>
      </c>
      <c r="I306" s="128">
        <f t="shared" si="173"/>
        <v>0</v>
      </c>
      <c r="J306" s="129">
        <f t="shared" ref="J306:J313" si="179">+SUM(C306:G306)-(H306+I306)</f>
        <v>249769</v>
      </c>
      <c r="K306" s="156" t="b">
        <f t="shared" si="175"/>
        <v>1</v>
      </c>
      <c r="Q306" s="5"/>
    </row>
    <row r="307" spans="1:17">
      <c r="A307" s="130" t="str">
        <f t="shared" si="178"/>
        <v>AVRIL</v>
      </c>
      <c r="B307" s="135" t="s">
        <v>151</v>
      </c>
      <c r="C307" s="33">
        <f>+C284</f>
        <v>10700</v>
      </c>
      <c r="D307" s="32"/>
      <c r="E307" s="33">
        <f>+D284</f>
        <v>10000</v>
      </c>
      <c r="F307" s="33"/>
      <c r="G307" s="110"/>
      <c r="H307" s="57">
        <f t="shared" si="172"/>
        <v>0</v>
      </c>
      <c r="I307" s="33">
        <f t="shared" si="173"/>
        <v>10500</v>
      </c>
      <c r="J307" s="31">
        <f t="shared" si="179"/>
        <v>10200</v>
      </c>
      <c r="K307" s="156" t="b">
        <f t="shared" si="175"/>
        <v>1</v>
      </c>
      <c r="Q307" s="5"/>
    </row>
    <row r="308" spans="1:17">
      <c r="A308" s="130" t="str">
        <f t="shared" si="178"/>
        <v>AVRIL</v>
      </c>
      <c r="B308" s="135" t="s">
        <v>207</v>
      </c>
      <c r="C308" s="33">
        <f t="shared" ref="C308:C311" si="180">+C285</f>
        <v>52000</v>
      </c>
      <c r="D308" s="32"/>
      <c r="E308" s="33">
        <f t="shared" ref="E308:E313" si="181">+D285</f>
        <v>113000</v>
      </c>
      <c r="F308" s="33"/>
      <c r="G308" s="110"/>
      <c r="H308" s="57">
        <f t="shared" si="172"/>
        <v>0</v>
      </c>
      <c r="I308" s="33">
        <f t="shared" si="173"/>
        <v>121500</v>
      </c>
      <c r="J308" s="31">
        <f t="shared" si="179"/>
        <v>43500</v>
      </c>
      <c r="K308" s="156" t="b">
        <f t="shared" si="175"/>
        <v>1</v>
      </c>
      <c r="Q308" s="5"/>
    </row>
    <row r="309" spans="1:17">
      <c r="A309" s="130" t="str">
        <f t="shared" si="178"/>
        <v>AVRIL</v>
      </c>
      <c r="B309" s="135" t="s">
        <v>30</v>
      </c>
      <c r="C309" s="33">
        <f t="shared" si="180"/>
        <v>116050</v>
      </c>
      <c r="D309" s="32"/>
      <c r="E309" s="33">
        <f t="shared" si="181"/>
        <v>599000</v>
      </c>
      <c r="F309" s="33"/>
      <c r="G309" s="110"/>
      <c r="H309" s="57">
        <f t="shared" si="172"/>
        <v>0</v>
      </c>
      <c r="I309" s="33">
        <f t="shared" si="173"/>
        <v>537500</v>
      </c>
      <c r="J309" s="31">
        <f t="shared" si="179"/>
        <v>177550</v>
      </c>
      <c r="K309" s="156" t="b">
        <f t="shared" si="175"/>
        <v>1</v>
      </c>
      <c r="Q309" s="5"/>
    </row>
    <row r="310" spans="1:17">
      <c r="A310" s="130" t="str">
        <f>+A308</f>
        <v>AVRIL</v>
      </c>
      <c r="B310" s="135" t="s">
        <v>93</v>
      </c>
      <c r="C310" s="33">
        <f t="shared" si="180"/>
        <v>4400</v>
      </c>
      <c r="D310" s="32"/>
      <c r="E310" s="33">
        <f t="shared" si="181"/>
        <v>20000</v>
      </c>
      <c r="F310" s="33"/>
      <c r="G310" s="110"/>
      <c r="H310" s="57">
        <f t="shared" si="172"/>
        <v>0</v>
      </c>
      <c r="I310" s="33">
        <f t="shared" si="173"/>
        <v>20000</v>
      </c>
      <c r="J310" s="31">
        <f t="shared" si="179"/>
        <v>4400</v>
      </c>
      <c r="K310" s="156" t="b">
        <f t="shared" si="175"/>
        <v>1</v>
      </c>
      <c r="Q310" s="5"/>
    </row>
    <row r="311" spans="1:17">
      <c r="A311" s="130" t="str">
        <f>+A309</f>
        <v>AVRIL</v>
      </c>
      <c r="B311" s="135" t="s">
        <v>29</v>
      </c>
      <c r="C311" s="33">
        <f t="shared" si="180"/>
        <v>16200</v>
      </c>
      <c r="D311" s="32"/>
      <c r="E311" s="33">
        <f t="shared" si="181"/>
        <v>874000</v>
      </c>
      <c r="F311" s="33"/>
      <c r="G311" s="110"/>
      <c r="H311" s="57">
        <f t="shared" si="172"/>
        <v>100000</v>
      </c>
      <c r="I311" s="33">
        <f t="shared" si="173"/>
        <v>495500</v>
      </c>
      <c r="J311" s="31">
        <f t="shared" si="179"/>
        <v>294700</v>
      </c>
      <c r="K311" s="156" t="b">
        <f t="shared" si="175"/>
        <v>1</v>
      </c>
      <c r="Q311" s="5"/>
    </row>
    <row r="312" spans="1:17">
      <c r="A312" s="130" t="str">
        <f>+A310</f>
        <v>AVRIL</v>
      </c>
      <c r="B312" s="135" t="s">
        <v>206</v>
      </c>
      <c r="C312" s="33">
        <f>+C289</f>
        <v>6000</v>
      </c>
      <c r="D312" s="32"/>
      <c r="E312" s="33">
        <f t="shared" si="181"/>
        <v>80000</v>
      </c>
      <c r="F312" s="33"/>
      <c r="G312" s="110"/>
      <c r="H312" s="57">
        <f t="shared" si="172"/>
        <v>0</v>
      </c>
      <c r="I312" s="33">
        <f t="shared" si="173"/>
        <v>72500</v>
      </c>
      <c r="J312" s="31">
        <f t="shared" si="179"/>
        <v>13500</v>
      </c>
      <c r="K312" s="156" t="b">
        <f t="shared" si="175"/>
        <v>1</v>
      </c>
      <c r="Q312" s="5"/>
    </row>
    <row r="313" spans="1:17">
      <c r="A313" s="130" t="str">
        <f>+A311</f>
        <v>AVRIL</v>
      </c>
      <c r="B313" s="136" t="s">
        <v>113</v>
      </c>
      <c r="C313" s="33">
        <f t="shared" ref="C313" si="182">+C290</f>
        <v>-790759</v>
      </c>
      <c r="D313" s="127"/>
      <c r="E313" s="33">
        <f t="shared" si="181"/>
        <v>800000</v>
      </c>
      <c r="F313" s="53"/>
      <c r="G313" s="147"/>
      <c r="H313" s="57">
        <f t="shared" si="172"/>
        <v>0</v>
      </c>
      <c r="I313" s="33">
        <f t="shared" si="173"/>
        <v>16500</v>
      </c>
      <c r="J313" s="31">
        <f t="shared" si="179"/>
        <v>-7259</v>
      </c>
      <c r="K313" s="156" t="b">
        <f t="shared" si="175"/>
        <v>1</v>
      </c>
      <c r="Q313" s="5"/>
    </row>
    <row r="314" spans="1:17">
      <c r="A314" s="35" t="s">
        <v>60</v>
      </c>
      <c r="B314" s="36"/>
      <c r="C314" s="36"/>
      <c r="D314" s="36"/>
      <c r="E314" s="36"/>
      <c r="F314" s="36"/>
      <c r="G314" s="36"/>
      <c r="H314" s="36"/>
      <c r="I314" s="36"/>
      <c r="J314" s="37"/>
      <c r="K314" s="155"/>
      <c r="Q314" s="5"/>
    </row>
    <row r="315" spans="1:17">
      <c r="A315" s="130" t="str">
        <f>+A313</f>
        <v>AVRIL</v>
      </c>
      <c r="B315" s="38" t="s">
        <v>61</v>
      </c>
      <c r="C315" s="39">
        <f>+C278</f>
        <v>1160022</v>
      </c>
      <c r="D315" s="51"/>
      <c r="E315" s="51">
        <f>D278</f>
        <v>5100000</v>
      </c>
      <c r="F315" s="51"/>
      <c r="G315" s="133"/>
      <c r="H315" s="53">
        <f>+F278</f>
        <v>3474000</v>
      </c>
      <c r="I315" s="134">
        <f>+E278</f>
        <v>1822909</v>
      </c>
      <c r="J315" s="46">
        <f>+SUM(C315:G315)-(H315+I315)</f>
        <v>963113</v>
      </c>
      <c r="K315" s="156" t="b">
        <f>J315=I278</f>
        <v>1</v>
      </c>
      <c r="Q315" s="5"/>
    </row>
    <row r="316" spans="1:17">
      <c r="A316" s="44" t="s">
        <v>62</v>
      </c>
      <c r="B316" s="25"/>
      <c r="C316" s="36"/>
      <c r="D316" s="25"/>
      <c r="E316" s="25"/>
      <c r="F316" s="25"/>
      <c r="G316" s="25"/>
      <c r="H316" s="25"/>
      <c r="I316" s="25"/>
      <c r="J316" s="37"/>
      <c r="K316" s="155"/>
      <c r="Q316" s="5"/>
    </row>
    <row r="317" spans="1:17">
      <c r="A317" s="130" t="str">
        <f>+A315</f>
        <v>AVRIL</v>
      </c>
      <c r="B317" s="38" t="s">
        <v>166</v>
      </c>
      <c r="C317" s="133">
        <f>+C276</f>
        <v>9177780</v>
      </c>
      <c r="D317" s="140">
        <f>+G276</f>
        <v>0</v>
      </c>
      <c r="E317" s="51"/>
      <c r="F317" s="51"/>
      <c r="G317" s="51"/>
      <c r="H317" s="53">
        <f>+F276</f>
        <v>5000000</v>
      </c>
      <c r="I317" s="55">
        <f>+E276</f>
        <v>23345</v>
      </c>
      <c r="J317" s="46">
        <f>+SUM(C317:G317)-(H317+I317)</f>
        <v>4154435</v>
      </c>
      <c r="K317" s="156" t="b">
        <f>+J317=I276</f>
        <v>1</v>
      </c>
      <c r="Q317" s="5"/>
    </row>
    <row r="318" spans="1:17">
      <c r="A318" s="130" t="str">
        <f t="shared" ref="A318" si="183">+A317</f>
        <v>AVRIL</v>
      </c>
      <c r="B318" s="38" t="s">
        <v>64</v>
      </c>
      <c r="C318" s="133">
        <f>+C277</f>
        <v>21521261</v>
      </c>
      <c r="D318" s="51">
        <f>+G277</f>
        <v>0</v>
      </c>
      <c r="E318" s="50"/>
      <c r="F318" s="50"/>
      <c r="G318" s="50"/>
      <c r="H318" s="33">
        <f>+F277</f>
        <v>0</v>
      </c>
      <c r="I318" s="52">
        <f>+E277</f>
        <v>5070305</v>
      </c>
      <c r="J318" s="46">
        <f>SUM(C318:G318)-(H318+I318)</f>
        <v>16450956</v>
      </c>
      <c r="K318" s="156" t="b">
        <f>+J318=I277</f>
        <v>1</v>
      </c>
      <c r="Q318" s="5"/>
    </row>
    <row r="319" spans="1:17" ht="15.75">
      <c r="C319" s="151">
        <f>SUM(C302:C318)</f>
        <v>31829567</v>
      </c>
      <c r="I319" s="149">
        <f>SUM(I302:I318)</f>
        <v>9054909</v>
      </c>
      <c r="J319" s="111">
        <f>+SUM(J302:J318)</f>
        <v>22774658</v>
      </c>
      <c r="K319" s="5" t="b">
        <f>J319=I291</f>
        <v>1</v>
      </c>
      <c r="Q319" s="5"/>
    </row>
    <row r="320" spans="1:17" ht="15.75">
      <c r="A320" s="189"/>
      <c r="B320" s="189"/>
      <c r="C320" s="190"/>
      <c r="D320" s="189"/>
      <c r="E320" s="189"/>
      <c r="F320" s="189"/>
      <c r="G320" s="189"/>
      <c r="H320" s="189"/>
      <c r="I320" s="191"/>
      <c r="J320" s="192"/>
      <c r="K320" s="189"/>
      <c r="L320" s="193"/>
      <c r="M320" s="193"/>
      <c r="N320" s="193"/>
      <c r="O320" s="193"/>
      <c r="P320" s="189"/>
      <c r="Q320" s="5"/>
    </row>
    <row r="323" spans="1:17" ht="15.75">
      <c r="A323" s="6" t="s">
        <v>36</v>
      </c>
      <c r="B323" s="6" t="s">
        <v>1</v>
      </c>
      <c r="C323" s="6">
        <v>44621</v>
      </c>
      <c r="D323" s="7" t="s">
        <v>37</v>
      </c>
      <c r="E323" s="7" t="s">
        <v>38</v>
      </c>
      <c r="F323" s="7" t="s">
        <v>39</v>
      </c>
      <c r="G323" s="7" t="s">
        <v>40</v>
      </c>
      <c r="H323" s="6">
        <v>44651</v>
      </c>
      <c r="I323" s="7" t="s">
        <v>41</v>
      </c>
      <c r="K323" s="47"/>
      <c r="L323" s="47" t="s">
        <v>42</v>
      </c>
      <c r="M323" s="47" t="s">
        <v>43</v>
      </c>
      <c r="N323" s="47" t="s">
        <v>44</v>
      </c>
      <c r="O323" s="47" t="s">
        <v>45</v>
      </c>
      <c r="Q323" s="5"/>
    </row>
    <row r="324" spans="1:17" ht="16.5">
      <c r="A324" s="60" t="str">
        <f>K324</f>
        <v>BCI</v>
      </c>
      <c r="B324" s="61" t="s">
        <v>46</v>
      </c>
      <c r="C324" s="63">
        <v>888683</v>
      </c>
      <c r="D324" s="63">
        <f>+L324</f>
        <v>0</v>
      </c>
      <c r="E324" s="63">
        <f>+N324</f>
        <v>543345</v>
      </c>
      <c r="F324" s="63">
        <f>+M324</f>
        <v>2600000</v>
      </c>
      <c r="G324" s="63">
        <f t="shared" ref="G324:G335" si="184">+O324</f>
        <v>11432442</v>
      </c>
      <c r="H324" s="63">
        <v>9177780</v>
      </c>
      <c r="I324" s="63">
        <f>+C324+D324-E324-F324+G324</f>
        <v>9177780</v>
      </c>
      <c r="J324" s="9">
        <f>I324-H324</f>
        <v>0</v>
      </c>
      <c r="K324" s="47" t="s">
        <v>24</v>
      </c>
      <c r="L324" s="49">
        <v>0</v>
      </c>
      <c r="M324" s="49">
        <v>2600000</v>
      </c>
      <c r="N324" s="49">
        <v>543345</v>
      </c>
      <c r="O324" s="49">
        <v>11432442</v>
      </c>
      <c r="Q324" s="5"/>
    </row>
    <row r="325" spans="1:17" ht="16.5">
      <c r="A325" s="60" t="str">
        <f t="shared" ref="A325:A338" si="185">K325</f>
        <v>BCI-Sous Compte</v>
      </c>
      <c r="B325" s="61" t="s">
        <v>46</v>
      </c>
      <c r="C325" s="63">
        <v>882502</v>
      </c>
      <c r="D325" s="63">
        <f t="shared" ref="D325:D338" si="186">+L325</f>
        <v>0</v>
      </c>
      <c r="E325" s="63">
        <f t="shared" ref="E325:E338" si="187">+N325</f>
        <v>6117606</v>
      </c>
      <c r="F325" s="63">
        <f t="shared" ref="F325:F338" si="188">+M325</f>
        <v>1600000</v>
      </c>
      <c r="G325" s="63">
        <f t="shared" si="184"/>
        <v>28356365</v>
      </c>
      <c r="H325" s="63">
        <v>21521261</v>
      </c>
      <c r="I325" s="63">
        <f>+C325+D325-E325-F325+G325</f>
        <v>21521261</v>
      </c>
      <c r="J325" s="9">
        <f t="shared" ref="J325:J332" si="189">I325-H325</f>
        <v>0</v>
      </c>
      <c r="K325" s="47" t="s">
        <v>157</v>
      </c>
      <c r="L325" s="49">
        <v>0</v>
      </c>
      <c r="M325" s="49">
        <v>1600000</v>
      </c>
      <c r="N325" s="49">
        <v>6117606</v>
      </c>
      <c r="O325" s="49">
        <v>28356365</v>
      </c>
      <c r="Q325" s="5"/>
    </row>
    <row r="326" spans="1:17" ht="16.5">
      <c r="A326" s="60" t="str">
        <f t="shared" si="185"/>
        <v>Caisse</v>
      </c>
      <c r="B326" s="61" t="s">
        <v>25</v>
      </c>
      <c r="C326" s="63">
        <v>797106</v>
      </c>
      <c r="D326" s="63">
        <f t="shared" si="186"/>
        <v>4270000</v>
      </c>
      <c r="E326" s="63">
        <f t="shared" si="187"/>
        <v>2099084</v>
      </c>
      <c r="F326" s="63">
        <f t="shared" si="188"/>
        <v>1808000</v>
      </c>
      <c r="G326" s="63">
        <f t="shared" si="184"/>
        <v>0</v>
      </c>
      <c r="H326" s="63">
        <v>1160022</v>
      </c>
      <c r="I326" s="63">
        <f>+C326+D326-E326-F326+G326</f>
        <v>1160022</v>
      </c>
      <c r="J326" s="108">
        <f t="shared" si="189"/>
        <v>0</v>
      </c>
      <c r="K326" s="47" t="s">
        <v>25</v>
      </c>
      <c r="L326" s="49">
        <v>4270000</v>
      </c>
      <c r="M326" s="49">
        <v>1808000</v>
      </c>
      <c r="N326" s="49">
        <v>2099084</v>
      </c>
      <c r="O326" s="49">
        <v>0</v>
      </c>
      <c r="Q326" s="5"/>
    </row>
    <row r="327" spans="1:17" ht="16.5">
      <c r="A327" s="60" t="str">
        <f t="shared" si="185"/>
        <v>Crépin</v>
      </c>
      <c r="B327" s="61" t="s">
        <v>163</v>
      </c>
      <c r="C327" s="63">
        <v>56050</v>
      </c>
      <c r="D327" s="63">
        <f t="shared" si="186"/>
        <v>0</v>
      </c>
      <c r="E327" s="63">
        <f t="shared" si="187"/>
        <v>4000</v>
      </c>
      <c r="F327" s="63">
        <f t="shared" si="188"/>
        <v>30000</v>
      </c>
      <c r="G327" s="63">
        <f t="shared" si="184"/>
        <v>0</v>
      </c>
      <c r="H327" s="63">
        <v>22050</v>
      </c>
      <c r="I327" s="63">
        <f>+C327+D327-E327-F327+G327</f>
        <v>22050</v>
      </c>
      <c r="J327" s="9">
        <f t="shared" si="189"/>
        <v>0</v>
      </c>
      <c r="K327" s="47" t="s">
        <v>47</v>
      </c>
      <c r="L327" s="49">
        <v>0</v>
      </c>
      <c r="M327" s="49">
        <v>30000</v>
      </c>
      <c r="N327" s="49">
        <v>4000</v>
      </c>
      <c r="O327" s="49">
        <v>0</v>
      </c>
      <c r="Q327" s="5"/>
    </row>
    <row r="328" spans="1:17" ht="16.5">
      <c r="A328" s="60" t="str">
        <f t="shared" si="185"/>
        <v>Evariste</v>
      </c>
      <c r="B328" s="61" t="s">
        <v>164</v>
      </c>
      <c r="C328" s="63">
        <v>21495</v>
      </c>
      <c r="D328" s="63">
        <f t="shared" si="186"/>
        <v>139000</v>
      </c>
      <c r="E328" s="63">
        <f t="shared" si="187"/>
        <v>146500</v>
      </c>
      <c r="F328" s="63">
        <f t="shared" si="188"/>
        <v>0</v>
      </c>
      <c r="G328" s="63">
        <f t="shared" si="184"/>
        <v>0</v>
      </c>
      <c r="H328" s="63">
        <v>13995</v>
      </c>
      <c r="I328" s="63">
        <f t="shared" ref="I328" si="190">+C328+D328-E328-F328+G328</f>
        <v>13995</v>
      </c>
      <c r="J328" s="9">
        <f t="shared" si="189"/>
        <v>0</v>
      </c>
      <c r="K328" s="47" t="s">
        <v>31</v>
      </c>
      <c r="L328" s="49">
        <v>139000</v>
      </c>
      <c r="M328" s="49">
        <v>0</v>
      </c>
      <c r="N328" s="49">
        <v>146500</v>
      </c>
      <c r="O328" s="49">
        <v>0</v>
      </c>
      <c r="Q328" s="5"/>
    </row>
    <row r="329" spans="1:17" ht="16.5">
      <c r="A329" s="60" t="str">
        <f t="shared" si="185"/>
        <v>Godfré</v>
      </c>
      <c r="B329" s="61" t="s">
        <v>163</v>
      </c>
      <c r="C329" s="63">
        <v>113185</v>
      </c>
      <c r="D329" s="63">
        <f t="shared" si="186"/>
        <v>188000</v>
      </c>
      <c r="E329" s="63">
        <f t="shared" si="187"/>
        <v>224700</v>
      </c>
      <c r="F329" s="63">
        <f t="shared" si="188"/>
        <v>40000</v>
      </c>
      <c r="G329" s="63">
        <f t="shared" si="184"/>
        <v>0</v>
      </c>
      <c r="H329" s="63">
        <v>36485</v>
      </c>
      <c r="I329" s="63">
        <f>+C329+D329-E329-F329+G329</f>
        <v>36485</v>
      </c>
      <c r="J329" s="9">
        <f t="shared" si="189"/>
        <v>0</v>
      </c>
      <c r="K329" s="47" t="s">
        <v>152</v>
      </c>
      <c r="L329" s="49">
        <v>188000</v>
      </c>
      <c r="M329" s="49">
        <v>40000</v>
      </c>
      <c r="N329" s="49">
        <v>224700</v>
      </c>
      <c r="O329" s="49">
        <v>0</v>
      </c>
      <c r="Q329" s="5"/>
    </row>
    <row r="330" spans="1:17" ht="16.5">
      <c r="A330" s="60" t="str">
        <f t="shared" si="185"/>
        <v>I55S</v>
      </c>
      <c r="B330" s="124" t="s">
        <v>4</v>
      </c>
      <c r="C330" s="126">
        <v>233614</v>
      </c>
      <c r="D330" s="126">
        <f t="shared" si="186"/>
        <v>0</v>
      </c>
      <c r="E330" s="126">
        <f t="shared" si="187"/>
        <v>0</v>
      </c>
      <c r="F330" s="126">
        <f t="shared" si="188"/>
        <v>0</v>
      </c>
      <c r="G330" s="126">
        <f t="shared" si="184"/>
        <v>0</v>
      </c>
      <c r="H330" s="126">
        <v>233614</v>
      </c>
      <c r="I330" s="126">
        <f>+C330+D330-E330-F330+G330</f>
        <v>233614</v>
      </c>
      <c r="J330" s="9">
        <f t="shared" si="189"/>
        <v>0</v>
      </c>
      <c r="K330" s="47" t="s">
        <v>84</v>
      </c>
      <c r="L330" s="49">
        <v>0</v>
      </c>
      <c r="M330" s="49">
        <v>0</v>
      </c>
      <c r="N330" s="49">
        <v>0</v>
      </c>
      <c r="O330" s="49">
        <v>0</v>
      </c>
      <c r="Q330" s="5"/>
    </row>
    <row r="331" spans="1:17" ht="16.5">
      <c r="A331" s="60" t="str">
        <f t="shared" si="185"/>
        <v>I73X</v>
      </c>
      <c r="B331" s="124" t="s">
        <v>4</v>
      </c>
      <c r="C331" s="126">
        <v>249769</v>
      </c>
      <c r="D331" s="126">
        <f t="shared" si="186"/>
        <v>0</v>
      </c>
      <c r="E331" s="126">
        <f t="shared" si="187"/>
        <v>0</v>
      </c>
      <c r="F331" s="126">
        <f t="shared" si="188"/>
        <v>0</v>
      </c>
      <c r="G331" s="126">
        <f t="shared" si="184"/>
        <v>0</v>
      </c>
      <c r="H331" s="126">
        <v>249769</v>
      </c>
      <c r="I331" s="126">
        <f t="shared" ref="I331:I334" si="191">+C331+D331-E331-F331+G331</f>
        <v>249769</v>
      </c>
      <c r="J331" s="9">
        <f t="shared" si="189"/>
        <v>0</v>
      </c>
      <c r="K331" s="47" t="s">
        <v>83</v>
      </c>
      <c r="L331" s="49">
        <v>0</v>
      </c>
      <c r="M331" s="49">
        <v>0</v>
      </c>
      <c r="N331" s="49">
        <v>0</v>
      </c>
      <c r="O331" s="49">
        <v>0</v>
      </c>
      <c r="Q331" s="5"/>
    </row>
    <row r="332" spans="1:17" ht="16.5">
      <c r="A332" s="60" t="str">
        <f t="shared" si="185"/>
        <v>Grace</v>
      </c>
      <c r="B332" s="104" t="s">
        <v>2</v>
      </c>
      <c r="C332" s="63">
        <v>20700</v>
      </c>
      <c r="D332" s="63">
        <f t="shared" si="186"/>
        <v>0</v>
      </c>
      <c r="E332" s="63">
        <f t="shared" si="187"/>
        <v>10000</v>
      </c>
      <c r="F332" s="63">
        <f t="shared" si="188"/>
        <v>0</v>
      </c>
      <c r="G332" s="63">
        <f t="shared" si="184"/>
        <v>0</v>
      </c>
      <c r="H332" s="63">
        <v>10700</v>
      </c>
      <c r="I332" s="63">
        <f t="shared" si="191"/>
        <v>10700</v>
      </c>
      <c r="J332" s="9">
        <f t="shared" si="189"/>
        <v>0</v>
      </c>
      <c r="K332" s="47" t="s">
        <v>151</v>
      </c>
      <c r="L332" s="49">
        <v>0</v>
      </c>
      <c r="M332" s="49">
        <v>0</v>
      </c>
      <c r="N332" s="49">
        <v>10000</v>
      </c>
      <c r="O332" s="49">
        <v>0</v>
      </c>
      <c r="Q332" s="5"/>
    </row>
    <row r="333" spans="1:17" ht="16.5">
      <c r="A333" s="60" t="str">
        <f t="shared" si="185"/>
        <v>Hurielle</v>
      </c>
      <c r="B333" s="61" t="s">
        <v>163</v>
      </c>
      <c r="C333" s="63">
        <v>0</v>
      </c>
      <c r="D333" s="63">
        <f t="shared" si="186"/>
        <v>135000</v>
      </c>
      <c r="E333" s="63">
        <f t="shared" si="187"/>
        <v>83000</v>
      </c>
      <c r="F333" s="63">
        <f t="shared" si="188"/>
        <v>0</v>
      </c>
      <c r="G333" s="63">
        <f t="shared" si="184"/>
        <v>0</v>
      </c>
      <c r="H333" s="63">
        <v>52000</v>
      </c>
      <c r="I333" s="63">
        <f t="shared" si="191"/>
        <v>52000</v>
      </c>
      <c r="J333" s="9">
        <f>I333-H333</f>
        <v>0</v>
      </c>
      <c r="K333" s="47" t="s">
        <v>207</v>
      </c>
      <c r="L333" s="49">
        <v>135000</v>
      </c>
      <c r="M333" s="49">
        <v>0</v>
      </c>
      <c r="N333" s="49">
        <v>83000</v>
      </c>
      <c r="O333" s="49">
        <v>0</v>
      </c>
      <c r="Q333" s="5"/>
    </row>
    <row r="334" spans="1:17" ht="16.5">
      <c r="A334" s="60" t="str">
        <f t="shared" si="185"/>
        <v>I23C</v>
      </c>
      <c r="B334" s="104" t="s">
        <v>4</v>
      </c>
      <c r="C334" s="63">
        <v>15550</v>
      </c>
      <c r="D334" s="63">
        <f t="shared" si="186"/>
        <v>747000</v>
      </c>
      <c r="E334" s="63">
        <f t="shared" si="187"/>
        <v>646500</v>
      </c>
      <c r="F334" s="63">
        <f t="shared" si="188"/>
        <v>0</v>
      </c>
      <c r="G334" s="63">
        <f t="shared" si="184"/>
        <v>0</v>
      </c>
      <c r="H334" s="63">
        <v>116050</v>
      </c>
      <c r="I334" s="63">
        <f t="shared" si="191"/>
        <v>116050</v>
      </c>
      <c r="J334" s="9">
        <f t="shared" ref="J334:J335" si="192">I334-H334</f>
        <v>0</v>
      </c>
      <c r="K334" s="47" t="s">
        <v>30</v>
      </c>
      <c r="L334" s="49">
        <v>747000</v>
      </c>
      <c r="M334" s="49">
        <v>0</v>
      </c>
      <c r="N334" s="49">
        <v>646500</v>
      </c>
      <c r="O334" s="49">
        <v>0</v>
      </c>
      <c r="Q334" s="5"/>
    </row>
    <row r="335" spans="1:17" ht="16.5">
      <c r="A335" s="60" t="str">
        <f t="shared" si="185"/>
        <v>Merveille</v>
      </c>
      <c r="B335" s="61" t="s">
        <v>2</v>
      </c>
      <c r="C335" s="63">
        <v>4800</v>
      </c>
      <c r="D335" s="63">
        <f t="shared" si="186"/>
        <v>20000</v>
      </c>
      <c r="E335" s="63">
        <f t="shared" si="187"/>
        <v>20400</v>
      </c>
      <c r="F335" s="63">
        <f t="shared" si="188"/>
        <v>0</v>
      </c>
      <c r="G335" s="63">
        <f t="shared" si="184"/>
        <v>0</v>
      </c>
      <c r="H335" s="63">
        <v>4400</v>
      </c>
      <c r="I335" s="63">
        <f>+C335+D335-E335-F335+G335</f>
        <v>4400</v>
      </c>
      <c r="J335" s="9">
        <f t="shared" si="192"/>
        <v>0</v>
      </c>
      <c r="K335" s="47" t="s">
        <v>93</v>
      </c>
      <c r="L335" s="49">
        <v>20000</v>
      </c>
      <c r="M335" s="49">
        <v>0</v>
      </c>
      <c r="N335" s="49">
        <v>20400</v>
      </c>
      <c r="O335" s="49"/>
      <c r="Q335" s="5"/>
    </row>
    <row r="336" spans="1:17" ht="16.5">
      <c r="A336" s="60" t="str">
        <f t="shared" si="185"/>
        <v>P29</v>
      </c>
      <c r="B336" s="61" t="s">
        <v>4</v>
      </c>
      <c r="C336" s="63">
        <v>136200</v>
      </c>
      <c r="D336" s="63">
        <f t="shared" si="186"/>
        <v>380000</v>
      </c>
      <c r="E336" s="63">
        <f t="shared" si="187"/>
        <v>500000</v>
      </c>
      <c r="F336" s="63">
        <f t="shared" si="188"/>
        <v>0</v>
      </c>
      <c r="G336" s="63">
        <f>+O336</f>
        <v>0</v>
      </c>
      <c r="H336" s="63">
        <v>16200</v>
      </c>
      <c r="I336" s="63">
        <f>+C336+D336-E336-F336+G336</f>
        <v>16200</v>
      </c>
      <c r="J336" s="9">
        <f>I336-H336</f>
        <v>0</v>
      </c>
      <c r="K336" s="47" t="s">
        <v>29</v>
      </c>
      <c r="L336" s="49">
        <v>380000</v>
      </c>
      <c r="M336" s="49">
        <v>0</v>
      </c>
      <c r="N336" s="49">
        <v>500000</v>
      </c>
      <c r="O336" s="49">
        <v>0</v>
      </c>
      <c r="Q336" s="5"/>
    </row>
    <row r="337" spans="1:17" ht="16.5">
      <c r="A337" s="60" t="str">
        <f t="shared" si="185"/>
        <v>Paule</v>
      </c>
      <c r="B337" s="61" t="s">
        <v>163</v>
      </c>
      <c r="C337" s="63">
        <v>0</v>
      </c>
      <c r="D337" s="63">
        <f t="shared" si="186"/>
        <v>129000</v>
      </c>
      <c r="E337" s="63">
        <f t="shared" si="187"/>
        <v>123000</v>
      </c>
      <c r="F337" s="63">
        <f t="shared" si="188"/>
        <v>0</v>
      </c>
      <c r="G337" s="63">
        <f>+O337</f>
        <v>0</v>
      </c>
      <c r="H337" s="63">
        <v>6000</v>
      </c>
      <c r="I337" s="63">
        <f>+C337+D337-E337-F337+G337</f>
        <v>6000</v>
      </c>
      <c r="J337" s="9">
        <f>I337-H337</f>
        <v>0</v>
      </c>
      <c r="K337" s="47" t="s">
        <v>206</v>
      </c>
      <c r="L337" s="49">
        <v>129000</v>
      </c>
      <c r="M337" s="49">
        <v>0</v>
      </c>
      <c r="N337" s="49">
        <v>123000</v>
      </c>
      <c r="O337" s="49">
        <v>0</v>
      </c>
      <c r="Q337" s="5"/>
    </row>
    <row r="338" spans="1:17" ht="16.5">
      <c r="A338" s="60" t="str">
        <f t="shared" si="185"/>
        <v>Tiffany</v>
      </c>
      <c r="B338" s="61" t="s">
        <v>2</v>
      </c>
      <c r="C338" s="63">
        <v>-36737</v>
      </c>
      <c r="D338" s="63">
        <f t="shared" si="186"/>
        <v>70000</v>
      </c>
      <c r="E338" s="63">
        <f t="shared" si="187"/>
        <v>824022</v>
      </c>
      <c r="F338" s="63">
        <f t="shared" si="188"/>
        <v>0</v>
      </c>
      <c r="G338" s="63">
        <f t="shared" ref="G338" si="193">+O338</f>
        <v>0</v>
      </c>
      <c r="H338" s="63">
        <v>-790759</v>
      </c>
      <c r="I338" s="63">
        <f t="shared" ref="I338" si="194">+C338+D338-E338-F338+G338</f>
        <v>-790759</v>
      </c>
      <c r="J338" s="9">
        <f t="shared" ref="J338" si="195">I338-H338</f>
        <v>0</v>
      </c>
      <c r="K338" s="47" t="s">
        <v>113</v>
      </c>
      <c r="L338" s="49">
        <v>70000</v>
      </c>
      <c r="M338" s="49">
        <v>0</v>
      </c>
      <c r="N338" s="49">
        <v>824022</v>
      </c>
      <c r="O338" s="49">
        <v>0</v>
      </c>
      <c r="Q338" s="5"/>
    </row>
    <row r="339" spans="1:17" ht="16.5">
      <c r="A339" s="10" t="s">
        <v>50</v>
      </c>
      <c r="B339" s="11"/>
      <c r="C339" s="12">
        <f t="shared" ref="C339:I339" si="196">SUM(C324:C338)</f>
        <v>3382917</v>
      </c>
      <c r="D339" s="59">
        <f t="shared" si="196"/>
        <v>6078000</v>
      </c>
      <c r="E339" s="59">
        <f t="shared" si="196"/>
        <v>11342157</v>
      </c>
      <c r="F339" s="59">
        <f t="shared" si="196"/>
        <v>6078000</v>
      </c>
      <c r="G339" s="59">
        <f t="shared" si="196"/>
        <v>39788807</v>
      </c>
      <c r="H339" s="59">
        <f t="shared" si="196"/>
        <v>31829567</v>
      </c>
      <c r="I339" s="59">
        <f t="shared" si="196"/>
        <v>31829567</v>
      </c>
      <c r="J339" s="9">
        <f>I339-H339</f>
        <v>0</v>
      </c>
      <c r="K339" s="3"/>
      <c r="L339" s="49">
        <f>+SUM(L324:L338)</f>
        <v>6078000</v>
      </c>
      <c r="M339" s="49">
        <f>+SUM(M324:M338)</f>
        <v>6078000</v>
      </c>
      <c r="N339" s="49">
        <f>+SUM(N324:N338)</f>
        <v>11342157</v>
      </c>
      <c r="O339" s="49">
        <f>+SUM(O324:O338)</f>
        <v>39788807</v>
      </c>
      <c r="Q339" s="5"/>
    </row>
    <row r="340" spans="1:17" ht="16.5">
      <c r="A340" s="10"/>
      <c r="B340" s="11"/>
      <c r="C340" s="12"/>
      <c r="D340" s="13"/>
      <c r="E340" s="12"/>
      <c r="F340" s="13"/>
      <c r="G340" s="12"/>
      <c r="H340" s="12"/>
      <c r="I340" s="143" t="b">
        <f>I339=D342</f>
        <v>1</v>
      </c>
      <c r="L340" s="5"/>
      <c r="M340" s="5"/>
      <c r="N340" s="5"/>
      <c r="O340" s="5"/>
      <c r="Q340" s="5"/>
    </row>
    <row r="341" spans="1:17" ht="16.5">
      <c r="A341" s="10" t="s">
        <v>199</v>
      </c>
      <c r="B341" s="11" t="s">
        <v>200</v>
      </c>
      <c r="C341" s="12" t="s">
        <v>204</v>
      </c>
      <c r="D341" s="12" t="s">
        <v>201</v>
      </c>
      <c r="E341" s="12" t="s">
        <v>51</v>
      </c>
      <c r="F341" s="12"/>
      <c r="G341" s="12">
        <f>+D339-F339</f>
        <v>0</v>
      </c>
      <c r="H341" s="12"/>
      <c r="I341" s="12"/>
      <c r="Q341" s="5"/>
    </row>
    <row r="342" spans="1:17" ht="16.5">
      <c r="A342" s="14">
        <f>C339</f>
        <v>3382917</v>
      </c>
      <c r="B342" s="15">
        <f>G339</f>
        <v>39788807</v>
      </c>
      <c r="C342" s="12">
        <f>E339</f>
        <v>11342157</v>
      </c>
      <c r="D342" s="12">
        <f>A342+B342-C342</f>
        <v>31829567</v>
      </c>
      <c r="E342" s="13">
        <f>I339-D342</f>
        <v>0</v>
      </c>
      <c r="F342" s="12"/>
      <c r="G342" s="12"/>
      <c r="H342" s="12"/>
      <c r="I342" s="12"/>
      <c r="Q342" s="5"/>
    </row>
    <row r="343" spans="1:17" ht="16.5">
      <c r="A343" s="14"/>
      <c r="B343" s="15"/>
      <c r="C343" s="12"/>
      <c r="D343" s="12"/>
      <c r="E343" s="13"/>
      <c r="F343" s="12"/>
      <c r="G343" s="12"/>
      <c r="H343" s="12"/>
      <c r="I343" s="12"/>
      <c r="Q343" s="5"/>
    </row>
    <row r="344" spans="1:17">
      <c r="A344" s="16" t="s">
        <v>52</v>
      </c>
      <c r="B344" s="16"/>
      <c r="C344" s="16"/>
      <c r="D344" s="17"/>
      <c r="E344" s="17"/>
      <c r="F344" s="17"/>
      <c r="G344" s="17"/>
      <c r="H344" s="17"/>
      <c r="I344" s="17"/>
      <c r="Q344" s="5"/>
    </row>
    <row r="345" spans="1:17">
      <c r="A345" s="18" t="s">
        <v>202</v>
      </c>
      <c r="B345" s="18"/>
      <c r="C345" s="18"/>
      <c r="D345" s="18"/>
      <c r="E345" s="18"/>
      <c r="F345" s="18"/>
      <c r="G345" s="18"/>
      <c r="H345" s="18"/>
      <c r="I345" s="18"/>
      <c r="J345" s="18"/>
      <c r="Q345" s="5"/>
    </row>
    <row r="346" spans="1:17">
      <c r="A346" s="19"/>
      <c r="B346" s="20"/>
      <c r="C346" s="21"/>
      <c r="D346" s="21"/>
      <c r="E346" s="21"/>
      <c r="F346" s="21"/>
      <c r="G346" s="21"/>
      <c r="H346" s="20"/>
      <c r="I346" s="20"/>
      <c r="Q346" s="5"/>
    </row>
    <row r="347" spans="1:17">
      <c r="A347" s="199" t="s">
        <v>53</v>
      </c>
      <c r="B347" s="201" t="s">
        <v>54</v>
      </c>
      <c r="C347" s="203" t="s">
        <v>203</v>
      </c>
      <c r="D347" s="205" t="s">
        <v>55</v>
      </c>
      <c r="E347" s="206"/>
      <c r="F347" s="206"/>
      <c r="G347" s="207"/>
      <c r="H347" s="208" t="s">
        <v>56</v>
      </c>
      <c r="I347" s="195" t="s">
        <v>57</v>
      </c>
      <c r="J347" s="20"/>
      <c r="Q347" s="5"/>
    </row>
    <row r="348" spans="1:17" ht="28.5" customHeight="1">
      <c r="A348" s="200"/>
      <c r="B348" s="202"/>
      <c r="C348" s="204"/>
      <c r="D348" s="22" t="s">
        <v>24</v>
      </c>
      <c r="E348" s="22" t="s">
        <v>25</v>
      </c>
      <c r="F348" s="204" t="s">
        <v>123</v>
      </c>
      <c r="G348" s="22" t="s">
        <v>58</v>
      </c>
      <c r="H348" s="209"/>
      <c r="I348" s="196"/>
      <c r="J348" s="197" t="s">
        <v>198</v>
      </c>
      <c r="K348" s="155"/>
      <c r="Q348" s="5"/>
    </row>
    <row r="349" spans="1:17">
      <c r="A349" s="24"/>
      <c r="B349" s="25" t="s">
        <v>59</v>
      </c>
      <c r="C349" s="26"/>
      <c r="D349" s="26"/>
      <c r="E349" s="26"/>
      <c r="F349" s="26"/>
      <c r="G349" s="26"/>
      <c r="H349" s="26"/>
      <c r="I349" s="27"/>
      <c r="J349" s="198"/>
      <c r="K349" s="155"/>
      <c r="Q349" s="5"/>
    </row>
    <row r="350" spans="1:17">
      <c r="A350" s="130" t="s">
        <v>120</v>
      </c>
      <c r="B350" s="135" t="s">
        <v>47</v>
      </c>
      <c r="C350" s="33">
        <f>+C327</f>
        <v>56050</v>
      </c>
      <c r="D350" s="32"/>
      <c r="E350" s="33">
        <f>+D327</f>
        <v>0</v>
      </c>
      <c r="F350" s="33"/>
      <c r="G350" s="33"/>
      <c r="H350" s="57">
        <f t="shared" ref="H350:H360" si="197">+F327</f>
        <v>30000</v>
      </c>
      <c r="I350" s="33">
        <f t="shared" ref="I350:I360" si="198">+E327</f>
        <v>4000</v>
      </c>
      <c r="J350" s="31">
        <f t="shared" ref="J350:J351" si="199">+SUM(C350:G350)-(H350+I350)</f>
        <v>22050</v>
      </c>
      <c r="K350" s="156" t="b">
        <f t="shared" ref="K350:K360" si="200">J350=I327</f>
        <v>1</v>
      </c>
      <c r="Q350" s="5"/>
    </row>
    <row r="351" spans="1:17">
      <c r="A351" s="130" t="str">
        <f>+A350</f>
        <v>MARS</v>
      </c>
      <c r="B351" s="135" t="s">
        <v>31</v>
      </c>
      <c r="C351" s="33">
        <f t="shared" ref="C351:C352" si="201">+C328</f>
        <v>21495</v>
      </c>
      <c r="D351" s="32"/>
      <c r="E351" s="33">
        <f t="shared" ref="E351:E352" si="202">+D328</f>
        <v>139000</v>
      </c>
      <c r="F351" s="33"/>
      <c r="G351" s="33"/>
      <c r="H351" s="57">
        <f t="shared" si="197"/>
        <v>0</v>
      </c>
      <c r="I351" s="33">
        <f t="shared" si="198"/>
        <v>146500</v>
      </c>
      <c r="J351" s="107">
        <f t="shared" si="199"/>
        <v>13995</v>
      </c>
      <c r="K351" s="156" t="b">
        <f t="shared" si="200"/>
        <v>1</v>
      </c>
      <c r="Q351" s="5"/>
    </row>
    <row r="352" spans="1:17">
      <c r="A352" s="130" t="str">
        <f t="shared" ref="A352:A357" si="203">+A351</f>
        <v>MARS</v>
      </c>
      <c r="B352" s="136" t="s">
        <v>152</v>
      </c>
      <c r="C352" s="33">
        <f t="shared" si="201"/>
        <v>113185</v>
      </c>
      <c r="D352" s="127"/>
      <c r="E352" s="33">
        <f t="shared" si="202"/>
        <v>188000</v>
      </c>
      <c r="F352" s="53"/>
      <c r="G352" s="53"/>
      <c r="H352" s="57">
        <f t="shared" si="197"/>
        <v>40000</v>
      </c>
      <c r="I352" s="33">
        <f t="shared" si="198"/>
        <v>224700</v>
      </c>
      <c r="J352" s="132">
        <f>+SUM(C352:G352)-(H352+I352)</f>
        <v>36485</v>
      </c>
      <c r="K352" s="156" t="b">
        <f t="shared" si="200"/>
        <v>1</v>
      </c>
      <c r="Q352" s="5"/>
    </row>
    <row r="353" spans="1:17">
      <c r="A353" s="130" t="str">
        <f t="shared" si="203"/>
        <v>MARS</v>
      </c>
      <c r="B353" s="137" t="s">
        <v>84</v>
      </c>
      <c r="C353" s="128">
        <f>+C330</f>
        <v>233614</v>
      </c>
      <c r="D353" s="131"/>
      <c r="E353" s="128">
        <f>+D330</f>
        <v>0</v>
      </c>
      <c r="F353" s="146"/>
      <c r="G353" s="146"/>
      <c r="H353" s="178">
        <f t="shared" si="197"/>
        <v>0</v>
      </c>
      <c r="I353" s="128">
        <f t="shared" si="198"/>
        <v>0</v>
      </c>
      <c r="J353" s="129">
        <f>+SUM(C353:G353)-(H353+I353)</f>
        <v>233614</v>
      </c>
      <c r="K353" s="156" t="b">
        <f t="shared" si="200"/>
        <v>1</v>
      </c>
      <c r="Q353" s="5"/>
    </row>
    <row r="354" spans="1:17">
      <c r="A354" s="130" t="str">
        <f t="shared" si="203"/>
        <v>MARS</v>
      </c>
      <c r="B354" s="137" t="s">
        <v>83</v>
      </c>
      <c r="C354" s="128">
        <f>+C331</f>
        <v>249769</v>
      </c>
      <c r="D354" s="131"/>
      <c r="E354" s="128">
        <f>+D331</f>
        <v>0</v>
      </c>
      <c r="F354" s="146"/>
      <c r="G354" s="146"/>
      <c r="H354" s="178">
        <f t="shared" si="197"/>
        <v>0</v>
      </c>
      <c r="I354" s="128">
        <f t="shared" si="198"/>
        <v>0</v>
      </c>
      <c r="J354" s="129">
        <f t="shared" ref="J354:J361" si="204">+SUM(C354:G354)-(H354+I354)</f>
        <v>249769</v>
      </c>
      <c r="K354" s="156" t="b">
        <f t="shared" si="200"/>
        <v>1</v>
      </c>
      <c r="Q354" s="5"/>
    </row>
    <row r="355" spans="1:17">
      <c r="A355" s="130" t="str">
        <f t="shared" si="203"/>
        <v>MARS</v>
      </c>
      <c r="B355" s="135" t="s">
        <v>151</v>
      </c>
      <c r="C355" s="33">
        <f>+C332</f>
        <v>20700</v>
      </c>
      <c r="D355" s="32"/>
      <c r="E355" s="33">
        <f>+D332</f>
        <v>0</v>
      </c>
      <c r="F355" s="33"/>
      <c r="G355" s="110"/>
      <c r="H355" s="57">
        <f t="shared" si="197"/>
        <v>0</v>
      </c>
      <c r="I355" s="33">
        <f t="shared" si="198"/>
        <v>10000</v>
      </c>
      <c r="J355" s="31">
        <f t="shared" si="204"/>
        <v>10700</v>
      </c>
      <c r="K355" s="156" t="b">
        <f t="shared" si="200"/>
        <v>1</v>
      </c>
      <c r="Q355" s="5"/>
    </row>
    <row r="356" spans="1:17">
      <c r="A356" s="130" t="str">
        <f t="shared" si="203"/>
        <v>MARS</v>
      </c>
      <c r="B356" s="135" t="s">
        <v>207</v>
      </c>
      <c r="C356" s="33">
        <f t="shared" ref="C356:C359" si="205">+C333</f>
        <v>0</v>
      </c>
      <c r="D356" s="32"/>
      <c r="E356" s="33">
        <f t="shared" ref="E356:E361" si="206">+D333</f>
        <v>135000</v>
      </c>
      <c r="F356" s="33"/>
      <c r="G356" s="110"/>
      <c r="H356" s="57">
        <f t="shared" si="197"/>
        <v>0</v>
      </c>
      <c r="I356" s="33">
        <f t="shared" si="198"/>
        <v>83000</v>
      </c>
      <c r="J356" s="31">
        <f t="shared" si="204"/>
        <v>52000</v>
      </c>
      <c r="K356" s="156" t="b">
        <f t="shared" si="200"/>
        <v>1</v>
      </c>
      <c r="Q356" s="5"/>
    </row>
    <row r="357" spans="1:17">
      <c r="A357" s="130" t="str">
        <f t="shared" si="203"/>
        <v>MARS</v>
      </c>
      <c r="B357" s="135" t="s">
        <v>30</v>
      </c>
      <c r="C357" s="33">
        <f t="shared" si="205"/>
        <v>15550</v>
      </c>
      <c r="D357" s="32"/>
      <c r="E357" s="33">
        <f t="shared" si="206"/>
        <v>747000</v>
      </c>
      <c r="F357" s="33"/>
      <c r="G357" s="110"/>
      <c r="H357" s="57">
        <f t="shared" si="197"/>
        <v>0</v>
      </c>
      <c r="I357" s="33">
        <f t="shared" si="198"/>
        <v>646500</v>
      </c>
      <c r="J357" s="31">
        <f t="shared" si="204"/>
        <v>116050</v>
      </c>
      <c r="K357" s="156" t="b">
        <f t="shared" si="200"/>
        <v>1</v>
      </c>
      <c r="Q357" s="5"/>
    </row>
    <row r="358" spans="1:17">
      <c r="A358" s="130" t="str">
        <f>+A356</f>
        <v>MARS</v>
      </c>
      <c r="B358" s="135" t="s">
        <v>93</v>
      </c>
      <c r="C358" s="33">
        <f t="shared" si="205"/>
        <v>4800</v>
      </c>
      <c r="D358" s="32"/>
      <c r="E358" s="33">
        <f t="shared" si="206"/>
        <v>20000</v>
      </c>
      <c r="F358" s="33"/>
      <c r="G358" s="110"/>
      <c r="H358" s="57">
        <f t="shared" si="197"/>
        <v>0</v>
      </c>
      <c r="I358" s="33">
        <f t="shared" si="198"/>
        <v>20400</v>
      </c>
      <c r="J358" s="31">
        <f t="shared" si="204"/>
        <v>4400</v>
      </c>
      <c r="K358" s="156" t="b">
        <f t="shared" si="200"/>
        <v>1</v>
      </c>
      <c r="Q358" s="5"/>
    </row>
    <row r="359" spans="1:17">
      <c r="A359" s="130" t="str">
        <f>+A357</f>
        <v>MARS</v>
      </c>
      <c r="B359" s="135" t="s">
        <v>29</v>
      </c>
      <c r="C359" s="33">
        <f t="shared" si="205"/>
        <v>136200</v>
      </c>
      <c r="D359" s="32"/>
      <c r="E359" s="33">
        <f t="shared" si="206"/>
        <v>380000</v>
      </c>
      <c r="F359" s="33"/>
      <c r="G359" s="110"/>
      <c r="H359" s="57">
        <f t="shared" si="197"/>
        <v>0</v>
      </c>
      <c r="I359" s="33">
        <f t="shared" si="198"/>
        <v>500000</v>
      </c>
      <c r="J359" s="31">
        <f t="shared" si="204"/>
        <v>16200</v>
      </c>
      <c r="K359" s="156" t="b">
        <f t="shared" si="200"/>
        <v>1</v>
      </c>
      <c r="Q359" s="5"/>
    </row>
    <row r="360" spans="1:17">
      <c r="A360" s="130" t="str">
        <f>+A358</f>
        <v>MARS</v>
      </c>
      <c r="B360" s="135" t="s">
        <v>206</v>
      </c>
      <c r="C360" s="33">
        <f>+C337</f>
        <v>0</v>
      </c>
      <c r="D360" s="32"/>
      <c r="E360" s="33">
        <f t="shared" si="206"/>
        <v>129000</v>
      </c>
      <c r="F360" s="33"/>
      <c r="G360" s="110"/>
      <c r="H360" s="57">
        <f t="shared" si="197"/>
        <v>0</v>
      </c>
      <c r="I360" s="33">
        <f t="shared" si="198"/>
        <v>123000</v>
      </c>
      <c r="J360" s="31">
        <f t="shared" ref="J360" si="207">+SUM(C360:G360)-(H360+I360)</f>
        <v>6000</v>
      </c>
      <c r="K360" s="156" t="b">
        <f t="shared" si="200"/>
        <v>1</v>
      </c>
      <c r="Q360" s="5"/>
    </row>
    <row r="361" spans="1:17">
      <c r="A361" s="130" t="str">
        <f>+A359</f>
        <v>MARS</v>
      </c>
      <c r="B361" s="136" t="s">
        <v>113</v>
      </c>
      <c r="C361" s="33">
        <f t="shared" ref="C361" si="208">+C338</f>
        <v>-36737</v>
      </c>
      <c r="D361" s="127"/>
      <c r="E361" s="33">
        <f t="shared" si="206"/>
        <v>70000</v>
      </c>
      <c r="F361" s="53"/>
      <c r="G361" s="147"/>
      <c r="H361" s="57">
        <f t="shared" ref="H361" si="209">+F338</f>
        <v>0</v>
      </c>
      <c r="I361" s="33">
        <f t="shared" ref="I361" si="210">+E338</f>
        <v>824022</v>
      </c>
      <c r="J361" s="31">
        <f t="shared" si="204"/>
        <v>-790759</v>
      </c>
      <c r="K361" s="156" t="b">
        <f t="shared" ref="K361" si="211">J361=I338</f>
        <v>1</v>
      </c>
      <c r="Q361" s="5"/>
    </row>
    <row r="362" spans="1:17">
      <c r="A362" s="35" t="s">
        <v>60</v>
      </c>
      <c r="B362" s="36"/>
      <c r="C362" s="36"/>
      <c r="D362" s="36"/>
      <c r="E362" s="36"/>
      <c r="F362" s="36"/>
      <c r="G362" s="36"/>
      <c r="H362" s="36"/>
      <c r="I362" s="36"/>
      <c r="J362" s="37"/>
      <c r="K362" s="155"/>
      <c r="Q362" s="5"/>
    </row>
    <row r="363" spans="1:17">
      <c r="A363" s="130" t="str">
        <f>+A361</f>
        <v>MARS</v>
      </c>
      <c r="B363" s="38" t="s">
        <v>61</v>
      </c>
      <c r="C363" s="39">
        <f>+C326</f>
        <v>797106</v>
      </c>
      <c r="D363" s="51"/>
      <c r="E363" s="51">
        <f>D326</f>
        <v>4270000</v>
      </c>
      <c r="F363" s="51"/>
      <c r="G363" s="133"/>
      <c r="H363" s="53">
        <f>+F326</f>
        <v>1808000</v>
      </c>
      <c r="I363" s="134">
        <f>+E326</f>
        <v>2099084</v>
      </c>
      <c r="J363" s="46">
        <f>+SUM(C363:G363)-(H363+I363)</f>
        <v>1160022</v>
      </c>
      <c r="K363" s="156" t="b">
        <f>J363=I326</f>
        <v>1</v>
      </c>
      <c r="Q363" s="5"/>
    </row>
    <row r="364" spans="1:17">
      <c r="A364" s="44" t="s">
        <v>62</v>
      </c>
      <c r="B364" s="25"/>
      <c r="C364" s="36"/>
      <c r="D364" s="25"/>
      <c r="E364" s="25"/>
      <c r="F364" s="25"/>
      <c r="G364" s="25"/>
      <c r="H364" s="25"/>
      <c r="I364" s="25"/>
      <c r="J364" s="37"/>
      <c r="K364" s="155"/>
      <c r="Q364" s="5"/>
    </row>
    <row r="365" spans="1:17">
      <c r="A365" s="130" t="str">
        <f>+A363</f>
        <v>MARS</v>
      </c>
      <c r="B365" s="38" t="s">
        <v>166</v>
      </c>
      <c r="C365" s="133">
        <f>+C324</f>
        <v>888683</v>
      </c>
      <c r="D365" s="140">
        <f>+G324</f>
        <v>11432442</v>
      </c>
      <c r="E365" s="51"/>
      <c r="F365" s="51"/>
      <c r="G365" s="51"/>
      <c r="H365" s="53">
        <f>+F324</f>
        <v>2600000</v>
      </c>
      <c r="I365" s="55">
        <f>+E324</f>
        <v>543345</v>
      </c>
      <c r="J365" s="46">
        <f>+SUM(C365:G365)-(H365+I365)</f>
        <v>9177780</v>
      </c>
      <c r="K365" s="156" t="b">
        <f>+J365=I324</f>
        <v>1</v>
      </c>
      <c r="Q365" s="5"/>
    </row>
    <row r="366" spans="1:17">
      <c r="A366" s="130" t="str">
        <f t="shared" ref="A366" si="212">+A365</f>
        <v>MARS</v>
      </c>
      <c r="B366" s="38" t="s">
        <v>64</v>
      </c>
      <c r="C366" s="133">
        <f>+C325</f>
        <v>882502</v>
      </c>
      <c r="D366" s="51">
        <f>+G325</f>
        <v>28356365</v>
      </c>
      <c r="E366" s="50"/>
      <c r="F366" s="50"/>
      <c r="G366" s="50"/>
      <c r="H366" s="33">
        <f>+F325</f>
        <v>1600000</v>
      </c>
      <c r="I366" s="52">
        <f>+E325</f>
        <v>6117606</v>
      </c>
      <c r="J366" s="46">
        <f>SUM(C366:G366)-(H366+I366)</f>
        <v>21521261</v>
      </c>
      <c r="K366" s="156" t="b">
        <f>+J366=I325</f>
        <v>1</v>
      </c>
      <c r="Q366" s="5"/>
    </row>
    <row r="367" spans="1:17" ht="15.75">
      <c r="C367" s="151">
        <f>SUM(C350:C366)</f>
        <v>3382917</v>
      </c>
      <c r="I367" s="149">
        <f>SUM(I350:I366)</f>
        <v>11342157</v>
      </c>
      <c r="J367" s="111">
        <f>+SUM(J350:J366)</f>
        <v>31829567</v>
      </c>
      <c r="K367" s="5" t="b">
        <f>J367=I339</f>
        <v>1</v>
      </c>
      <c r="Q367" s="5"/>
    </row>
    <row r="368" spans="1:17" ht="15.75">
      <c r="A368" s="189"/>
      <c r="B368" s="189"/>
      <c r="C368" s="190"/>
      <c r="D368" s="189"/>
      <c r="E368" s="189"/>
      <c r="F368" s="189"/>
      <c r="G368" s="189"/>
      <c r="H368" s="189"/>
      <c r="I368" s="191"/>
      <c r="J368" s="192"/>
      <c r="K368" s="189"/>
      <c r="L368" s="193"/>
      <c r="M368" s="193"/>
      <c r="N368" s="193"/>
      <c r="O368" s="193"/>
      <c r="P368" s="189"/>
      <c r="Q368" s="5"/>
    </row>
    <row r="372" spans="1:17" ht="15.75">
      <c r="A372" s="6" t="s">
        <v>36</v>
      </c>
      <c r="B372" s="6" t="s">
        <v>1</v>
      </c>
      <c r="C372" s="6">
        <v>44593</v>
      </c>
      <c r="D372" s="7" t="s">
        <v>37</v>
      </c>
      <c r="E372" s="7" t="s">
        <v>38</v>
      </c>
      <c r="F372" s="7" t="s">
        <v>39</v>
      </c>
      <c r="G372" s="7" t="s">
        <v>40</v>
      </c>
      <c r="H372" s="6">
        <v>44620</v>
      </c>
      <c r="I372" s="7" t="s">
        <v>41</v>
      </c>
      <c r="K372" s="47"/>
      <c r="L372" s="47" t="s">
        <v>42</v>
      </c>
      <c r="M372" s="47" t="s">
        <v>43</v>
      </c>
      <c r="N372" s="47" t="s">
        <v>44</v>
      </c>
      <c r="O372" s="47" t="s">
        <v>45</v>
      </c>
      <c r="Q372" s="5"/>
    </row>
    <row r="373" spans="1:17" ht="16.5">
      <c r="A373" s="60" t="str">
        <f>+K373</f>
        <v>B52</v>
      </c>
      <c r="B373" s="61" t="s">
        <v>4</v>
      </c>
      <c r="C373" s="63">
        <v>500</v>
      </c>
      <c r="D373" s="63">
        <f t="shared" ref="D373:D386" si="213">+L373</f>
        <v>50000</v>
      </c>
      <c r="E373" s="63">
        <f>+N373</f>
        <v>50500</v>
      </c>
      <c r="F373" s="63">
        <f>+M373</f>
        <v>0</v>
      </c>
      <c r="G373" s="63">
        <f t="shared" ref="G373:G384" si="214">+O373</f>
        <v>0</v>
      </c>
      <c r="H373" s="63">
        <v>0</v>
      </c>
      <c r="I373" s="63">
        <f>+C373+D373-E373-F373+G373</f>
        <v>0</v>
      </c>
      <c r="J373" s="9">
        <f>I373-H373</f>
        <v>0</v>
      </c>
      <c r="K373" s="47" t="s">
        <v>172</v>
      </c>
      <c r="L373" s="49">
        <v>50000</v>
      </c>
      <c r="M373" s="49">
        <v>0</v>
      </c>
      <c r="N373" s="49">
        <v>50500</v>
      </c>
      <c r="O373" s="49">
        <v>0</v>
      </c>
      <c r="Q373" s="5"/>
    </row>
    <row r="374" spans="1:17" ht="16.5">
      <c r="A374" s="60" t="str">
        <f>+K374</f>
        <v>BCI</v>
      </c>
      <c r="B374" s="61" t="s">
        <v>46</v>
      </c>
      <c r="C374" s="63">
        <v>2172028</v>
      </c>
      <c r="D374" s="63">
        <f t="shared" si="213"/>
        <v>0</v>
      </c>
      <c r="E374" s="63">
        <f>+N374</f>
        <v>283345</v>
      </c>
      <c r="F374" s="63">
        <f>+M374</f>
        <v>1000000</v>
      </c>
      <c r="G374" s="63">
        <f t="shared" si="214"/>
        <v>0</v>
      </c>
      <c r="H374" s="63">
        <v>888683</v>
      </c>
      <c r="I374" s="63">
        <f>+C374+D374-E374-F374+G374</f>
        <v>888683</v>
      </c>
      <c r="J374" s="9">
        <f t="shared" ref="J374:J381" si="215">I374-H374</f>
        <v>0</v>
      </c>
      <c r="K374" s="47" t="s">
        <v>24</v>
      </c>
      <c r="L374" s="49">
        <v>0</v>
      </c>
      <c r="M374" s="49">
        <v>1000000</v>
      </c>
      <c r="N374" s="49">
        <v>283345</v>
      </c>
      <c r="O374" s="49">
        <v>0</v>
      </c>
      <c r="Q374" s="5"/>
    </row>
    <row r="375" spans="1:17" ht="16.5">
      <c r="A375" s="60" t="str">
        <f t="shared" ref="A375:A377" si="216">+K375</f>
        <v>BCI-Sous Compte</v>
      </c>
      <c r="B375" s="61" t="s">
        <v>46</v>
      </c>
      <c r="C375" s="63">
        <v>14143094</v>
      </c>
      <c r="D375" s="63">
        <f t="shared" si="213"/>
        <v>0</v>
      </c>
      <c r="E375" s="63">
        <f>+N375</f>
        <v>4260592</v>
      </c>
      <c r="F375" s="63">
        <f>+M375</f>
        <v>9000000</v>
      </c>
      <c r="G375" s="63">
        <f t="shared" si="214"/>
        <v>0</v>
      </c>
      <c r="H375" s="63">
        <v>882502</v>
      </c>
      <c r="I375" s="63">
        <f>+C375+D375-E375-F375+G375</f>
        <v>882502</v>
      </c>
      <c r="J375" s="108">
        <f t="shared" si="215"/>
        <v>0</v>
      </c>
      <c r="K375" s="47" t="s">
        <v>157</v>
      </c>
      <c r="L375" s="49">
        <v>0</v>
      </c>
      <c r="M375" s="49">
        <v>9000000</v>
      </c>
      <c r="N375" s="49">
        <v>4260592</v>
      </c>
      <c r="O375" s="49">
        <v>0</v>
      </c>
      <c r="Q375" s="5"/>
    </row>
    <row r="376" spans="1:17" ht="16.5">
      <c r="A376" s="60" t="str">
        <f t="shared" si="216"/>
        <v>Caisse</v>
      </c>
      <c r="B376" s="61" t="s">
        <v>25</v>
      </c>
      <c r="C376" s="63">
        <v>580885</v>
      </c>
      <c r="D376" s="63">
        <f t="shared" si="213"/>
        <v>10511000</v>
      </c>
      <c r="E376" s="63">
        <f t="shared" ref="E376" si="217">+N376</f>
        <v>2520779</v>
      </c>
      <c r="F376" s="63">
        <f t="shared" ref="F376:F384" si="218">+M376</f>
        <v>7774000</v>
      </c>
      <c r="G376" s="63">
        <f t="shared" si="214"/>
        <v>0</v>
      </c>
      <c r="H376" s="63">
        <v>797106</v>
      </c>
      <c r="I376" s="63">
        <f>+C376+D376-E376-F376+G376</f>
        <v>797106</v>
      </c>
      <c r="J376" s="9">
        <f t="shared" si="215"/>
        <v>0</v>
      </c>
      <c r="K376" s="47" t="s">
        <v>25</v>
      </c>
      <c r="L376" s="49">
        <v>10511000</v>
      </c>
      <c r="M376" s="49">
        <v>7774000</v>
      </c>
      <c r="N376" s="49">
        <v>2520779</v>
      </c>
      <c r="O376" s="49">
        <v>0</v>
      </c>
      <c r="Q376" s="5"/>
    </row>
    <row r="377" spans="1:17" ht="16.5">
      <c r="A377" s="60" t="str">
        <f t="shared" si="216"/>
        <v>Crépin</v>
      </c>
      <c r="B377" s="61" t="s">
        <v>163</v>
      </c>
      <c r="C377" s="63">
        <v>9000</v>
      </c>
      <c r="D377" s="63">
        <f t="shared" si="213"/>
        <v>2509000</v>
      </c>
      <c r="E377" s="63">
        <f>+N377</f>
        <v>2021950</v>
      </c>
      <c r="F377" s="63">
        <f t="shared" si="218"/>
        <v>440000</v>
      </c>
      <c r="G377" s="63">
        <f t="shared" si="214"/>
        <v>0</v>
      </c>
      <c r="H377" s="63">
        <v>56050</v>
      </c>
      <c r="I377" s="63">
        <f t="shared" ref="I377" si="219">+C377+D377-E377-F377+G377</f>
        <v>56050</v>
      </c>
      <c r="J377" s="9">
        <f t="shared" si="215"/>
        <v>0</v>
      </c>
      <c r="K377" s="47" t="s">
        <v>47</v>
      </c>
      <c r="L377" s="49">
        <v>2509000</v>
      </c>
      <c r="M377" s="49">
        <v>440000</v>
      </c>
      <c r="N377" s="49">
        <v>2021950</v>
      </c>
      <c r="O377" s="49">
        <v>0</v>
      </c>
      <c r="Q377" s="5"/>
    </row>
    <row r="378" spans="1:17" ht="16.5">
      <c r="A378" s="60" t="str">
        <f>K378</f>
        <v>Evariste</v>
      </c>
      <c r="B378" s="61" t="s">
        <v>164</v>
      </c>
      <c r="C378" s="63">
        <v>8645</v>
      </c>
      <c r="D378" s="63">
        <f t="shared" si="213"/>
        <v>614000</v>
      </c>
      <c r="E378" s="63">
        <f t="shared" ref="E378" si="220">+N378</f>
        <v>601150</v>
      </c>
      <c r="F378" s="63">
        <f t="shared" si="218"/>
        <v>0</v>
      </c>
      <c r="G378" s="63">
        <f t="shared" si="214"/>
        <v>0</v>
      </c>
      <c r="H378" s="63">
        <v>21495</v>
      </c>
      <c r="I378" s="63">
        <f>+C378+D378-E378-F378+G378</f>
        <v>21495</v>
      </c>
      <c r="J378" s="9">
        <f t="shared" si="215"/>
        <v>0</v>
      </c>
      <c r="K378" s="47" t="s">
        <v>31</v>
      </c>
      <c r="L378" s="49">
        <v>614000</v>
      </c>
      <c r="M378" s="49">
        <v>0</v>
      </c>
      <c r="N378" s="49">
        <v>601150</v>
      </c>
      <c r="O378" s="49">
        <v>0</v>
      </c>
      <c r="Q378" s="5"/>
    </row>
    <row r="379" spans="1:17" ht="16.5">
      <c r="A379" s="123" t="str">
        <f t="shared" ref="A379:A386" si="221">+K379</f>
        <v>I55S</v>
      </c>
      <c r="B379" s="124" t="s">
        <v>4</v>
      </c>
      <c r="C379" s="126">
        <v>233614</v>
      </c>
      <c r="D379" s="126">
        <f t="shared" si="213"/>
        <v>0</v>
      </c>
      <c r="E379" s="126">
        <f>+N379</f>
        <v>0</v>
      </c>
      <c r="F379" s="126">
        <f t="shared" si="218"/>
        <v>0</v>
      </c>
      <c r="G379" s="126">
        <f t="shared" si="214"/>
        <v>0</v>
      </c>
      <c r="H379" s="126">
        <v>233614</v>
      </c>
      <c r="I379" s="126">
        <f>+C379+D379-E379-F379+G379</f>
        <v>233614</v>
      </c>
      <c r="J379" s="9">
        <f t="shared" si="215"/>
        <v>0</v>
      </c>
      <c r="K379" s="47" t="s">
        <v>84</v>
      </c>
      <c r="L379" s="49">
        <v>0</v>
      </c>
      <c r="M379" s="49">
        <v>0</v>
      </c>
      <c r="N379" s="49">
        <v>0</v>
      </c>
      <c r="O379" s="49">
        <v>0</v>
      </c>
      <c r="Q379" s="5"/>
    </row>
    <row r="380" spans="1:17" ht="16.5">
      <c r="A380" s="123" t="str">
        <f t="shared" si="221"/>
        <v>I73X</v>
      </c>
      <c r="B380" s="124" t="s">
        <v>4</v>
      </c>
      <c r="C380" s="126">
        <v>249769</v>
      </c>
      <c r="D380" s="126">
        <f t="shared" si="213"/>
        <v>0</v>
      </c>
      <c r="E380" s="126">
        <f>+N380</f>
        <v>0</v>
      </c>
      <c r="F380" s="126">
        <f t="shared" si="218"/>
        <v>0</v>
      </c>
      <c r="G380" s="126">
        <f t="shared" si="214"/>
        <v>0</v>
      </c>
      <c r="H380" s="126">
        <v>249769</v>
      </c>
      <c r="I380" s="126">
        <f t="shared" ref="I380:I383" si="222">+C380+D380-E380-F380+G380</f>
        <v>249769</v>
      </c>
      <c r="J380" s="9">
        <f t="shared" si="215"/>
        <v>0</v>
      </c>
      <c r="K380" s="47" t="s">
        <v>83</v>
      </c>
      <c r="L380" s="49">
        <v>0</v>
      </c>
      <c r="M380" s="49">
        <v>0</v>
      </c>
      <c r="N380" s="49">
        <v>0</v>
      </c>
      <c r="O380" s="49">
        <v>0</v>
      </c>
      <c r="Q380" s="5"/>
    </row>
    <row r="381" spans="1:17" ht="16.5">
      <c r="A381" s="60" t="str">
        <f t="shared" si="221"/>
        <v>Godfré</v>
      </c>
      <c r="B381" s="104" t="s">
        <v>163</v>
      </c>
      <c r="C381" s="63">
        <v>79935</v>
      </c>
      <c r="D381" s="63">
        <f t="shared" si="213"/>
        <v>1202000</v>
      </c>
      <c r="E381" s="177">
        <f t="shared" ref="E381" si="223">+N381</f>
        <v>1118750</v>
      </c>
      <c r="F381" s="63">
        <f t="shared" si="218"/>
        <v>50000</v>
      </c>
      <c r="G381" s="63">
        <f t="shared" si="214"/>
        <v>0</v>
      </c>
      <c r="H381" s="63">
        <v>113185</v>
      </c>
      <c r="I381" s="63">
        <f t="shared" si="222"/>
        <v>113185</v>
      </c>
      <c r="J381" s="9">
        <f t="shared" si="215"/>
        <v>0</v>
      </c>
      <c r="K381" s="47" t="s">
        <v>152</v>
      </c>
      <c r="L381" s="49">
        <v>1202000</v>
      </c>
      <c r="M381" s="49">
        <v>50000</v>
      </c>
      <c r="N381" s="49">
        <v>1118750</v>
      </c>
      <c r="O381" s="49">
        <v>0</v>
      </c>
      <c r="Q381" s="5"/>
    </row>
    <row r="382" spans="1:17" ht="16.5">
      <c r="A382" s="60" t="str">
        <f t="shared" si="221"/>
        <v>Grace</v>
      </c>
      <c r="B382" s="61" t="s">
        <v>2</v>
      </c>
      <c r="C382" s="63">
        <v>19800</v>
      </c>
      <c r="D382" s="63">
        <f t="shared" si="213"/>
        <v>3247000</v>
      </c>
      <c r="E382" s="177">
        <f>+N382</f>
        <v>1165100</v>
      </c>
      <c r="F382" s="63">
        <f t="shared" si="218"/>
        <v>2081000</v>
      </c>
      <c r="G382" s="63">
        <f t="shared" si="214"/>
        <v>0</v>
      </c>
      <c r="H382" s="63">
        <v>20700</v>
      </c>
      <c r="I382" s="63">
        <f t="shared" si="222"/>
        <v>20700</v>
      </c>
      <c r="J382" s="9">
        <f>I382-H382</f>
        <v>0</v>
      </c>
      <c r="K382" s="47" t="s">
        <v>151</v>
      </c>
      <c r="L382" s="49">
        <v>3247000</v>
      </c>
      <c r="M382" s="49">
        <v>2081000</v>
      </c>
      <c r="N382" s="49">
        <v>1165100</v>
      </c>
      <c r="O382" s="49">
        <v>0</v>
      </c>
      <c r="Q382" s="5"/>
    </row>
    <row r="383" spans="1:17" ht="16.5">
      <c r="A383" s="60" t="str">
        <f t="shared" si="221"/>
        <v>I23C</v>
      </c>
      <c r="B383" s="104" t="s">
        <v>4</v>
      </c>
      <c r="C383" s="63">
        <v>30550</v>
      </c>
      <c r="D383" s="63">
        <f t="shared" si="213"/>
        <v>1493000</v>
      </c>
      <c r="E383" s="177">
        <f t="shared" ref="E383:E386" si="224">+N383</f>
        <v>1238000</v>
      </c>
      <c r="F383" s="63">
        <f t="shared" si="218"/>
        <v>270000</v>
      </c>
      <c r="G383" s="63">
        <f t="shared" si="214"/>
        <v>0</v>
      </c>
      <c r="H383" s="63">
        <v>15550</v>
      </c>
      <c r="I383" s="63">
        <f t="shared" si="222"/>
        <v>15550</v>
      </c>
      <c r="J383" s="9">
        <f t="shared" ref="J383:J384" si="225">I383-H383</f>
        <v>0</v>
      </c>
      <c r="K383" s="47" t="s">
        <v>30</v>
      </c>
      <c r="L383" s="49">
        <v>1493000</v>
      </c>
      <c r="M383" s="49">
        <v>270000</v>
      </c>
      <c r="N383" s="49">
        <v>1238000</v>
      </c>
      <c r="O383" s="49">
        <v>0</v>
      </c>
      <c r="Q383" s="5"/>
    </row>
    <row r="384" spans="1:17" ht="16.5">
      <c r="A384" s="60" t="str">
        <f t="shared" si="221"/>
        <v>Merveille</v>
      </c>
      <c r="B384" s="61" t="s">
        <v>2</v>
      </c>
      <c r="C384" s="63">
        <v>13000</v>
      </c>
      <c r="D384" s="63">
        <f t="shared" si="213"/>
        <v>50000</v>
      </c>
      <c r="E384" s="177">
        <f t="shared" si="224"/>
        <v>58200</v>
      </c>
      <c r="F384" s="63">
        <f t="shared" si="218"/>
        <v>0</v>
      </c>
      <c r="G384" s="63">
        <f t="shared" si="214"/>
        <v>0</v>
      </c>
      <c r="H384" s="63">
        <v>4800</v>
      </c>
      <c r="I384" s="63">
        <f>+C384+D384-E384-F384+G384</f>
        <v>4800</v>
      </c>
      <c r="J384" s="9">
        <f t="shared" si="225"/>
        <v>0</v>
      </c>
      <c r="K384" s="47" t="s">
        <v>93</v>
      </c>
      <c r="L384" s="49">
        <v>50000</v>
      </c>
      <c r="M384" s="49">
        <v>0</v>
      </c>
      <c r="N384" s="49">
        <v>58200</v>
      </c>
      <c r="O384" s="49"/>
      <c r="Q384" s="5"/>
    </row>
    <row r="385" spans="1:17" ht="16.5">
      <c r="A385" s="60" t="str">
        <f t="shared" si="221"/>
        <v>P29</v>
      </c>
      <c r="B385" s="61" t="s">
        <v>4</v>
      </c>
      <c r="C385" s="63">
        <v>55700</v>
      </c>
      <c r="D385" s="63">
        <f t="shared" si="213"/>
        <v>1029000</v>
      </c>
      <c r="E385" s="177">
        <f t="shared" si="224"/>
        <v>648500</v>
      </c>
      <c r="F385" s="63">
        <f>+M385</f>
        <v>300000</v>
      </c>
      <c r="G385" s="63">
        <f>+O385</f>
        <v>0</v>
      </c>
      <c r="H385" s="63">
        <v>136200</v>
      </c>
      <c r="I385" s="63">
        <f>+C385+D385-E385-F385+G385</f>
        <v>136200</v>
      </c>
      <c r="J385" s="9">
        <f>I385-H385</f>
        <v>0</v>
      </c>
      <c r="K385" s="47" t="s">
        <v>29</v>
      </c>
      <c r="L385" s="49">
        <v>1029000</v>
      </c>
      <c r="M385" s="49">
        <v>300000</v>
      </c>
      <c r="N385" s="49">
        <v>648500</v>
      </c>
      <c r="O385" s="49">
        <v>0</v>
      </c>
      <c r="Q385" s="5"/>
    </row>
    <row r="386" spans="1:17" ht="16.5">
      <c r="A386" s="60" t="str">
        <f t="shared" si="221"/>
        <v>Tiffany</v>
      </c>
      <c r="B386" s="61" t="s">
        <v>2</v>
      </c>
      <c r="C386" s="63">
        <v>-36237</v>
      </c>
      <c r="D386" s="63">
        <f t="shared" si="213"/>
        <v>210000</v>
      </c>
      <c r="E386" s="177">
        <f t="shared" si="224"/>
        <v>210500</v>
      </c>
      <c r="F386" s="63">
        <f t="shared" ref="F386" si="226">+M386</f>
        <v>0</v>
      </c>
      <c r="G386" s="63">
        <f t="shared" ref="G386" si="227">+O386</f>
        <v>0</v>
      </c>
      <c r="H386" s="63">
        <v>-36737</v>
      </c>
      <c r="I386" s="63">
        <f t="shared" ref="I386" si="228">+C386+D386-E386-F386+G386</f>
        <v>-36737</v>
      </c>
      <c r="J386" s="9">
        <f t="shared" ref="J386" si="229">I386-H386</f>
        <v>0</v>
      </c>
      <c r="K386" s="47" t="s">
        <v>113</v>
      </c>
      <c r="L386" s="49">
        <v>210000</v>
      </c>
      <c r="M386" s="49">
        <v>0</v>
      </c>
      <c r="N386" s="49">
        <v>210500</v>
      </c>
      <c r="O386" s="49">
        <v>0</v>
      </c>
      <c r="Q386" s="5"/>
    </row>
    <row r="387" spans="1:17" ht="16.5">
      <c r="A387" s="10" t="s">
        <v>50</v>
      </c>
      <c r="B387" s="11"/>
      <c r="C387" s="12">
        <f t="shared" ref="C387:I387" si="230">SUM(C373:C386)</f>
        <v>17560283</v>
      </c>
      <c r="D387" s="59">
        <f t="shared" si="230"/>
        <v>20915000</v>
      </c>
      <c r="E387" s="59">
        <f t="shared" si="230"/>
        <v>14177366</v>
      </c>
      <c r="F387" s="59">
        <f t="shared" si="230"/>
        <v>20915000</v>
      </c>
      <c r="G387" s="59">
        <f t="shared" si="230"/>
        <v>0</v>
      </c>
      <c r="H387" s="59">
        <f t="shared" si="230"/>
        <v>3382917</v>
      </c>
      <c r="I387" s="59">
        <f t="shared" si="230"/>
        <v>3382917</v>
      </c>
      <c r="J387" s="9">
        <f>I387-H387</f>
        <v>0</v>
      </c>
      <c r="K387" s="3"/>
      <c r="L387" s="49">
        <f>+SUM(L373:L386)</f>
        <v>20915000</v>
      </c>
      <c r="M387" s="49">
        <f>+SUM(M373:M386)</f>
        <v>20915000</v>
      </c>
      <c r="N387" s="49">
        <f>+SUM(N373:N386)</f>
        <v>14177366</v>
      </c>
      <c r="O387" s="49">
        <f>+SUM(O373:O386)</f>
        <v>0</v>
      </c>
      <c r="Q387" s="5"/>
    </row>
    <row r="388" spans="1:17" ht="16.5">
      <c r="A388" s="10"/>
      <c r="B388" s="11"/>
      <c r="C388" s="12"/>
      <c r="D388" s="13"/>
      <c r="E388" s="12"/>
      <c r="F388" s="13"/>
      <c r="G388" s="12"/>
      <c r="H388" s="12"/>
      <c r="I388" s="143" t="b">
        <f>I387=D390</f>
        <v>1</v>
      </c>
      <c r="L388" s="5"/>
      <c r="M388" s="5"/>
      <c r="N388" s="5"/>
      <c r="O388" s="5"/>
      <c r="Q388" s="5"/>
    </row>
    <row r="389" spans="1:17" ht="16.5">
      <c r="A389" s="10" t="s">
        <v>192</v>
      </c>
      <c r="B389" s="11" t="s">
        <v>193</v>
      </c>
      <c r="C389" s="12" t="s">
        <v>194</v>
      </c>
      <c r="D389" s="12" t="s">
        <v>205</v>
      </c>
      <c r="E389" s="12" t="s">
        <v>51</v>
      </c>
      <c r="F389" s="12"/>
      <c r="G389" s="12">
        <f>+D387-F387</f>
        <v>0</v>
      </c>
      <c r="H389" s="12"/>
      <c r="I389" s="12"/>
      <c r="Q389" s="5"/>
    </row>
    <row r="390" spans="1:17" ht="16.5">
      <c r="A390" s="14">
        <f>C387</f>
        <v>17560283</v>
      </c>
      <c r="B390" s="15">
        <f>G387</f>
        <v>0</v>
      </c>
      <c r="C390" s="12">
        <f>E387</f>
        <v>14177366</v>
      </c>
      <c r="D390" s="12">
        <f>A390+B390-C390</f>
        <v>3382917</v>
      </c>
      <c r="E390" s="13">
        <f>I387-D390</f>
        <v>0</v>
      </c>
      <c r="F390" s="12"/>
      <c r="G390" s="12"/>
      <c r="H390" s="12"/>
      <c r="I390" s="12"/>
      <c r="Q390" s="5"/>
    </row>
    <row r="391" spans="1:17" ht="16.5">
      <c r="A391" s="14"/>
      <c r="B391" s="15"/>
      <c r="C391" s="12"/>
      <c r="D391" s="12"/>
      <c r="E391" s="13"/>
      <c r="F391" s="12"/>
      <c r="G391" s="12"/>
      <c r="H391" s="12"/>
      <c r="I391" s="12"/>
      <c r="Q391" s="5"/>
    </row>
    <row r="392" spans="1:17">
      <c r="A392" s="16" t="s">
        <v>52</v>
      </c>
      <c r="B392" s="16"/>
      <c r="C392" s="16"/>
      <c r="D392" s="17"/>
      <c r="E392" s="17"/>
      <c r="F392" s="17"/>
      <c r="G392" s="17"/>
      <c r="H392" s="17"/>
      <c r="I392" s="17"/>
      <c r="Q392" s="5"/>
    </row>
    <row r="393" spans="1:17">
      <c r="A393" s="18" t="s">
        <v>196</v>
      </c>
      <c r="B393" s="18"/>
      <c r="C393" s="18"/>
      <c r="D393" s="18"/>
      <c r="E393" s="18"/>
      <c r="F393" s="18"/>
      <c r="G393" s="18"/>
      <c r="H393" s="18"/>
      <c r="I393" s="18"/>
      <c r="J393" s="18"/>
      <c r="Q393" s="5"/>
    </row>
    <row r="394" spans="1:17">
      <c r="A394" s="19"/>
      <c r="B394" s="20"/>
      <c r="C394" s="21"/>
      <c r="D394" s="21"/>
      <c r="E394" s="21"/>
      <c r="F394" s="21"/>
      <c r="G394" s="21"/>
      <c r="H394" s="20"/>
      <c r="I394" s="20"/>
      <c r="Q394" s="5"/>
    </row>
    <row r="395" spans="1:17">
      <c r="A395" s="199" t="s">
        <v>53</v>
      </c>
      <c r="B395" s="201" t="s">
        <v>54</v>
      </c>
      <c r="C395" s="203" t="s">
        <v>195</v>
      </c>
      <c r="D395" s="205" t="s">
        <v>55</v>
      </c>
      <c r="E395" s="206"/>
      <c r="F395" s="206"/>
      <c r="G395" s="207"/>
      <c r="H395" s="208" t="s">
        <v>56</v>
      </c>
      <c r="I395" s="195" t="s">
        <v>57</v>
      </c>
      <c r="J395" s="20"/>
      <c r="Q395" s="5"/>
    </row>
    <row r="396" spans="1:17" ht="28.5" customHeight="1">
      <c r="A396" s="200"/>
      <c r="B396" s="202"/>
      <c r="C396" s="204"/>
      <c r="D396" s="22" t="s">
        <v>24</v>
      </c>
      <c r="E396" s="22" t="s">
        <v>25</v>
      </c>
      <c r="F396" s="204" t="s">
        <v>123</v>
      </c>
      <c r="G396" s="22" t="s">
        <v>58</v>
      </c>
      <c r="H396" s="209"/>
      <c r="I396" s="196"/>
      <c r="J396" s="197" t="s">
        <v>197</v>
      </c>
      <c r="K396" s="155"/>
      <c r="Q396" s="5"/>
    </row>
    <row r="397" spans="1:17">
      <c r="A397" s="24"/>
      <c r="B397" s="25" t="s">
        <v>59</v>
      </c>
      <c r="C397" s="26"/>
      <c r="D397" s="26"/>
      <c r="E397" s="26"/>
      <c r="F397" s="26"/>
      <c r="G397" s="26"/>
      <c r="H397" s="26"/>
      <c r="I397" s="27"/>
      <c r="J397" s="198"/>
      <c r="K397" s="155"/>
      <c r="Q397" s="5"/>
    </row>
    <row r="398" spans="1:17">
      <c r="A398" s="130" t="s">
        <v>115</v>
      </c>
      <c r="B398" s="135" t="s">
        <v>172</v>
      </c>
      <c r="C398" s="33">
        <f>+C373</f>
        <v>500</v>
      </c>
      <c r="D398" s="32"/>
      <c r="E398" s="33">
        <f>+D373</f>
        <v>50000</v>
      </c>
      <c r="F398" s="33"/>
      <c r="G398" s="33"/>
      <c r="H398" s="57">
        <f>+F373</f>
        <v>0</v>
      </c>
      <c r="I398" s="33">
        <f>+E373</f>
        <v>50500</v>
      </c>
      <c r="J398" s="31">
        <f t="shared" ref="J398:J399" si="231">+SUM(C398:G398)-(H398+I398)</f>
        <v>0</v>
      </c>
      <c r="K398" s="156" t="b">
        <f>J398=I373</f>
        <v>1</v>
      </c>
      <c r="Q398" s="5"/>
    </row>
    <row r="399" spans="1:17">
      <c r="A399" s="130" t="str">
        <f>+A398</f>
        <v>FEVRIER</v>
      </c>
      <c r="B399" s="135" t="s">
        <v>47</v>
      </c>
      <c r="C399" s="33">
        <f>+C377</f>
        <v>9000</v>
      </c>
      <c r="D399" s="32"/>
      <c r="E399" s="33">
        <f>+D377</f>
        <v>2509000</v>
      </c>
      <c r="F399" s="33"/>
      <c r="G399" s="33"/>
      <c r="H399" s="57">
        <f>+F377</f>
        <v>440000</v>
      </c>
      <c r="I399" s="33">
        <f>+E377</f>
        <v>2021950</v>
      </c>
      <c r="J399" s="107">
        <f t="shared" si="231"/>
        <v>56050</v>
      </c>
      <c r="K399" s="156" t="b">
        <f t="shared" ref="K399:K408" si="232">J399=I377</f>
        <v>1</v>
      </c>
      <c r="Q399" s="5"/>
    </row>
    <row r="400" spans="1:17">
      <c r="A400" s="130" t="str">
        <f t="shared" ref="A400:A408" si="233">+A399</f>
        <v>FEVRIER</v>
      </c>
      <c r="B400" s="136" t="s">
        <v>31</v>
      </c>
      <c r="C400" s="33">
        <f>+C378</f>
        <v>8645</v>
      </c>
      <c r="D400" s="127"/>
      <c r="E400" s="33">
        <f>+D378</f>
        <v>614000</v>
      </c>
      <c r="F400" s="53"/>
      <c r="G400" s="53"/>
      <c r="H400" s="57">
        <f>+F378</f>
        <v>0</v>
      </c>
      <c r="I400" s="33">
        <f>+E378</f>
        <v>601150</v>
      </c>
      <c r="J400" s="132">
        <f>+SUM(C400:G400)-(H400+I400)</f>
        <v>21495</v>
      </c>
      <c r="K400" s="156" t="b">
        <f t="shared" si="232"/>
        <v>1</v>
      </c>
      <c r="Q400" s="5"/>
    </row>
    <row r="401" spans="1:17">
      <c r="A401" s="130" t="str">
        <f t="shared" si="233"/>
        <v>FEVRIER</v>
      </c>
      <c r="B401" s="137" t="s">
        <v>84</v>
      </c>
      <c r="C401" s="128">
        <f>+C379</f>
        <v>233614</v>
      </c>
      <c r="D401" s="131"/>
      <c r="E401" s="128">
        <f>+D379</f>
        <v>0</v>
      </c>
      <c r="F401" s="146"/>
      <c r="G401" s="146"/>
      <c r="H401" s="178">
        <f>+F379</f>
        <v>0</v>
      </c>
      <c r="I401" s="128">
        <f>+E379</f>
        <v>0</v>
      </c>
      <c r="J401" s="129">
        <f>+SUM(C401:G401)-(H401+I401)</f>
        <v>233614</v>
      </c>
      <c r="K401" s="156" t="b">
        <f t="shared" si="232"/>
        <v>1</v>
      </c>
      <c r="Q401" s="5"/>
    </row>
    <row r="402" spans="1:17">
      <c r="A402" s="130" t="str">
        <f t="shared" si="233"/>
        <v>FEVRIER</v>
      </c>
      <c r="B402" s="137" t="s">
        <v>83</v>
      </c>
      <c r="C402" s="128">
        <f>+C380</f>
        <v>249769</v>
      </c>
      <c r="D402" s="131"/>
      <c r="E402" s="128">
        <f>+D380</f>
        <v>0</v>
      </c>
      <c r="F402" s="146"/>
      <c r="G402" s="146"/>
      <c r="H402" s="178">
        <f>+F380</f>
        <v>0</v>
      </c>
      <c r="I402" s="128">
        <f>+E380</f>
        <v>0</v>
      </c>
      <c r="J402" s="129">
        <f t="shared" ref="J402:J408" si="234">+SUM(C402:G402)-(H402+I402)</f>
        <v>249769</v>
      </c>
      <c r="K402" s="156" t="b">
        <f t="shared" si="232"/>
        <v>1</v>
      </c>
      <c r="Q402" s="5"/>
    </row>
    <row r="403" spans="1:17">
      <c r="A403" s="130" t="str">
        <f t="shared" si="233"/>
        <v>FEVRIER</v>
      </c>
      <c r="B403" s="135" t="s">
        <v>152</v>
      </c>
      <c r="C403" s="33">
        <f>+C381</f>
        <v>79935</v>
      </c>
      <c r="D403" s="32"/>
      <c r="E403" s="33">
        <f>+D381</f>
        <v>1202000</v>
      </c>
      <c r="F403" s="33"/>
      <c r="G403" s="110"/>
      <c r="H403" s="57">
        <f>+F381</f>
        <v>50000</v>
      </c>
      <c r="I403" s="33">
        <f>+E381</f>
        <v>1118750</v>
      </c>
      <c r="J403" s="31">
        <f t="shared" si="234"/>
        <v>113185</v>
      </c>
      <c r="K403" s="156" t="b">
        <f t="shared" si="232"/>
        <v>1</v>
      </c>
      <c r="Q403" s="5"/>
    </row>
    <row r="404" spans="1:17">
      <c r="A404" s="130" t="str">
        <f t="shared" si="233"/>
        <v>FEVRIER</v>
      </c>
      <c r="B404" s="135" t="s">
        <v>151</v>
      </c>
      <c r="C404" s="33">
        <f t="shared" ref="C404:C408" si="235">+C382</f>
        <v>19800</v>
      </c>
      <c r="D404" s="32"/>
      <c r="E404" s="33">
        <f t="shared" ref="E404:E408" si="236">+D382</f>
        <v>3247000</v>
      </c>
      <c r="F404" s="33"/>
      <c r="G404" s="110"/>
      <c r="H404" s="57">
        <f t="shared" ref="H404:H408" si="237">+F382</f>
        <v>2081000</v>
      </c>
      <c r="I404" s="33">
        <f t="shared" ref="I404:I408" si="238">+E382</f>
        <v>1165100</v>
      </c>
      <c r="J404" s="31">
        <f t="shared" si="234"/>
        <v>20700</v>
      </c>
      <c r="K404" s="156" t="b">
        <f t="shared" si="232"/>
        <v>1</v>
      </c>
      <c r="Q404" s="5"/>
    </row>
    <row r="405" spans="1:17">
      <c r="A405" s="130" t="str">
        <f t="shared" si="233"/>
        <v>FEVRIER</v>
      </c>
      <c r="B405" s="135" t="s">
        <v>30</v>
      </c>
      <c r="C405" s="33">
        <f t="shared" si="235"/>
        <v>30550</v>
      </c>
      <c r="D405" s="32"/>
      <c r="E405" s="33">
        <f t="shared" si="236"/>
        <v>1493000</v>
      </c>
      <c r="F405" s="33"/>
      <c r="G405" s="110"/>
      <c r="H405" s="57">
        <f t="shared" si="237"/>
        <v>270000</v>
      </c>
      <c r="I405" s="33">
        <f t="shared" si="238"/>
        <v>1238000</v>
      </c>
      <c r="J405" s="31">
        <f t="shared" si="234"/>
        <v>15550</v>
      </c>
      <c r="K405" s="156" t="b">
        <f t="shared" si="232"/>
        <v>1</v>
      </c>
      <c r="Q405" s="5"/>
    </row>
    <row r="406" spans="1:17">
      <c r="A406" s="130" t="str">
        <f>+A404</f>
        <v>FEVRIER</v>
      </c>
      <c r="B406" s="135" t="s">
        <v>93</v>
      </c>
      <c r="C406" s="33">
        <f t="shared" si="235"/>
        <v>13000</v>
      </c>
      <c r="D406" s="32"/>
      <c r="E406" s="33">
        <f t="shared" si="236"/>
        <v>50000</v>
      </c>
      <c r="F406" s="33"/>
      <c r="G406" s="110"/>
      <c r="H406" s="57">
        <f t="shared" si="237"/>
        <v>0</v>
      </c>
      <c r="I406" s="33">
        <f t="shared" si="238"/>
        <v>58200</v>
      </c>
      <c r="J406" s="31">
        <f t="shared" si="234"/>
        <v>4800</v>
      </c>
      <c r="K406" s="156" t="b">
        <f t="shared" si="232"/>
        <v>1</v>
      </c>
      <c r="Q406" s="5"/>
    </row>
    <row r="407" spans="1:17">
      <c r="A407" s="130" t="str">
        <f>+A405</f>
        <v>FEVRIER</v>
      </c>
      <c r="B407" s="135" t="s">
        <v>29</v>
      </c>
      <c r="C407" s="33">
        <f t="shared" si="235"/>
        <v>55700</v>
      </c>
      <c r="D407" s="32"/>
      <c r="E407" s="33">
        <f t="shared" si="236"/>
        <v>1029000</v>
      </c>
      <c r="F407" s="33"/>
      <c r="G407" s="110"/>
      <c r="H407" s="57">
        <f t="shared" si="237"/>
        <v>300000</v>
      </c>
      <c r="I407" s="33">
        <f t="shared" si="238"/>
        <v>648500</v>
      </c>
      <c r="J407" s="31">
        <f t="shared" si="234"/>
        <v>136200</v>
      </c>
      <c r="K407" s="156" t="b">
        <f t="shared" si="232"/>
        <v>1</v>
      </c>
      <c r="Q407" s="5"/>
    </row>
    <row r="408" spans="1:17">
      <c r="A408" s="130" t="str">
        <f t="shared" si="233"/>
        <v>FEVRIER</v>
      </c>
      <c r="B408" s="136" t="s">
        <v>113</v>
      </c>
      <c r="C408" s="33">
        <f t="shared" si="235"/>
        <v>-36237</v>
      </c>
      <c r="D408" s="127"/>
      <c r="E408" s="33">
        <f t="shared" si="236"/>
        <v>210000</v>
      </c>
      <c r="F408" s="53"/>
      <c r="G408" s="147"/>
      <c r="H408" s="57">
        <f t="shared" si="237"/>
        <v>0</v>
      </c>
      <c r="I408" s="33">
        <f t="shared" si="238"/>
        <v>210500</v>
      </c>
      <c r="J408" s="31">
        <f t="shared" si="234"/>
        <v>-36737</v>
      </c>
      <c r="K408" s="156" t="b">
        <f t="shared" si="232"/>
        <v>1</v>
      </c>
      <c r="Q408" s="5"/>
    </row>
    <row r="409" spans="1:17">
      <c r="A409" s="35" t="s">
        <v>60</v>
      </c>
      <c r="B409" s="36"/>
      <c r="C409" s="36"/>
      <c r="D409" s="36"/>
      <c r="E409" s="36"/>
      <c r="F409" s="36"/>
      <c r="G409" s="36"/>
      <c r="H409" s="36"/>
      <c r="I409" s="36"/>
      <c r="J409" s="37"/>
      <c r="K409" s="155"/>
      <c r="Q409" s="5"/>
    </row>
    <row r="410" spans="1:17">
      <c r="A410" s="130" t="str">
        <f>+A408</f>
        <v>FEVRIER</v>
      </c>
      <c r="B410" s="38" t="s">
        <v>61</v>
      </c>
      <c r="C410" s="39">
        <f>+C376</f>
        <v>580885</v>
      </c>
      <c r="D410" s="51"/>
      <c r="E410" s="51">
        <f>D376</f>
        <v>10511000</v>
      </c>
      <c r="F410" s="51"/>
      <c r="G410" s="133"/>
      <c r="H410" s="53">
        <f>+F376</f>
        <v>7774000</v>
      </c>
      <c r="I410" s="134">
        <f>+E376</f>
        <v>2520779</v>
      </c>
      <c r="J410" s="46">
        <f>+SUM(C410:G410)-(H410+I410)</f>
        <v>797106</v>
      </c>
      <c r="K410" s="156" t="b">
        <f>J410=I376</f>
        <v>1</v>
      </c>
      <c r="Q410" s="5"/>
    </row>
    <row r="411" spans="1:17">
      <c r="A411" s="44" t="s">
        <v>62</v>
      </c>
      <c r="B411" s="25"/>
      <c r="C411" s="36"/>
      <c r="D411" s="25"/>
      <c r="E411" s="25"/>
      <c r="F411" s="25"/>
      <c r="G411" s="25"/>
      <c r="H411" s="25"/>
      <c r="I411" s="25"/>
      <c r="J411" s="37"/>
      <c r="K411" s="155"/>
      <c r="Q411" s="5"/>
    </row>
    <row r="412" spans="1:17">
      <c r="A412" s="130" t="str">
        <f>+A410</f>
        <v>FEVRIER</v>
      </c>
      <c r="B412" s="38" t="s">
        <v>166</v>
      </c>
      <c r="C412" s="133">
        <f>+C374</f>
        <v>2172028</v>
      </c>
      <c r="D412" s="140">
        <f>+G374</f>
        <v>0</v>
      </c>
      <c r="E412" s="51"/>
      <c r="F412" s="51"/>
      <c r="G412" s="51"/>
      <c r="H412" s="53">
        <f>+F374</f>
        <v>1000000</v>
      </c>
      <c r="I412" s="55">
        <f>+E374</f>
        <v>283345</v>
      </c>
      <c r="J412" s="46">
        <f>+SUM(C412:G412)-(H412+I412)</f>
        <v>888683</v>
      </c>
      <c r="K412" s="156" t="b">
        <f>+J412=I374</f>
        <v>1</v>
      </c>
      <c r="Q412" s="5"/>
    </row>
    <row r="413" spans="1:17">
      <c r="A413" s="130" t="str">
        <f t="shared" ref="A413" si="239">+A412</f>
        <v>FEVRIER</v>
      </c>
      <c r="B413" s="38" t="s">
        <v>64</v>
      </c>
      <c r="C413" s="133">
        <f>+C375</f>
        <v>14143094</v>
      </c>
      <c r="D413" s="51">
        <f>+G375</f>
        <v>0</v>
      </c>
      <c r="E413" s="50"/>
      <c r="F413" s="50"/>
      <c r="G413" s="50"/>
      <c r="H413" s="33">
        <f>+F375</f>
        <v>9000000</v>
      </c>
      <c r="I413" s="52">
        <f>+E375</f>
        <v>4260592</v>
      </c>
      <c r="J413" s="46">
        <f>SUM(C413:G413)-(H413+I413)</f>
        <v>882502</v>
      </c>
      <c r="K413" s="156" t="b">
        <f>+J413=I375</f>
        <v>1</v>
      </c>
      <c r="Q413" s="5"/>
    </row>
    <row r="414" spans="1:17" ht="15.75">
      <c r="C414" s="151">
        <f>SUM(C398:C413)</f>
        <v>17560283</v>
      </c>
      <c r="I414" s="149">
        <f>SUM(I398:I413)</f>
        <v>14177366</v>
      </c>
      <c r="J414" s="111">
        <f>+SUM(J398:J413)</f>
        <v>3382917</v>
      </c>
      <c r="K414" s="5" t="b">
        <f>J414=I387</f>
        <v>1</v>
      </c>
      <c r="Q414" s="5"/>
    </row>
    <row r="415" spans="1:17" ht="15.75">
      <c r="A415" s="189"/>
      <c r="B415" s="189"/>
      <c r="C415" s="190"/>
      <c r="D415" s="189"/>
      <c r="E415" s="189"/>
      <c r="F415" s="189"/>
      <c r="G415" s="189"/>
      <c r="H415" s="189"/>
      <c r="I415" s="191"/>
      <c r="J415" s="192"/>
      <c r="K415" s="189"/>
      <c r="L415" s="193"/>
      <c r="M415" s="193"/>
      <c r="N415" s="193"/>
      <c r="O415" s="193"/>
      <c r="P415" s="189"/>
      <c r="Q415" s="5"/>
    </row>
    <row r="416" spans="1:17" ht="15.75">
      <c r="A416" s="189"/>
      <c r="B416" s="189"/>
      <c r="C416" s="190"/>
      <c r="D416" s="189"/>
      <c r="E416" s="189"/>
      <c r="F416" s="189"/>
      <c r="G416" s="189"/>
      <c r="H416" s="189"/>
      <c r="I416" s="191"/>
      <c r="J416" s="192"/>
      <c r="K416" s="189"/>
      <c r="L416" s="193"/>
      <c r="M416" s="193"/>
      <c r="N416" s="193"/>
      <c r="O416" s="193"/>
      <c r="P416" s="189"/>
      <c r="Q416" s="5"/>
    </row>
    <row r="418" spans="1:17" ht="15.75">
      <c r="A418" s="6" t="s">
        <v>36</v>
      </c>
      <c r="B418" s="6" t="s">
        <v>1</v>
      </c>
      <c r="C418" s="6">
        <v>44562</v>
      </c>
      <c r="D418" s="7" t="s">
        <v>37</v>
      </c>
      <c r="E418" s="7" t="s">
        <v>38</v>
      </c>
      <c r="F418" s="7" t="s">
        <v>39</v>
      </c>
      <c r="G418" s="7" t="s">
        <v>40</v>
      </c>
      <c r="H418" s="6">
        <v>44592</v>
      </c>
      <c r="I418" s="7" t="s">
        <v>41</v>
      </c>
      <c r="K418" s="47"/>
      <c r="L418" s="47" t="s">
        <v>42</v>
      </c>
      <c r="M418" s="47" t="s">
        <v>43</v>
      </c>
      <c r="N418" s="47" t="s">
        <v>44</v>
      </c>
      <c r="O418" s="47" t="s">
        <v>45</v>
      </c>
      <c r="Q418" s="5"/>
    </row>
    <row r="419" spans="1:17" ht="16.5">
      <c r="A419" s="60" t="str">
        <f>+K419</f>
        <v>B52</v>
      </c>
      <c r="B419" s="61" t="s">
        <v>4</v>
      </c>
      <c r="C419" s="62">
        <v>9500</v>
      </c>
      <c r="D419" s="63">
        <f t="shared" ref="D419:D432" si="240">+L419</f>
        <v>567000</v>
      </c>
      <c r="E419" s="63">
        <f>+N419</f>
        <v>576000</v>
      </c>
      <c r="F419" s="63">
        <f>+M419</f>
        <v>0</v>
      </c>
      <c r="G419" s="63">
        <f t="shared" ref="G419:G430" si="241">+O419</f>
        <v>0</v>
      </c>
      <c r="H419" s="63">
        <v>500</v>
      </c>
      <c r="I419" s="63">
        <f>+C419+D419-E419-F419+G419</f>
        <v>500</v>
      </c>
      <c r="J419" s="9">
        <f>I419-H419</f>
        <v>0</v>
      </c>
      <c r="K419" s="47" t="s">
        <v>172</v>
      </c>
      <c r="L419" s="49">
        <v>567000</v>
      </c>
      <c r="M419" s="49">
        <v>0</v>
      </c>
      <c r="N419" s="49">
        <v>576000</v>
      </c>
      <c r="O419" s="49">
        <v>0</v>
      </c>
      <c r="Q419" s="5"/>
    </row>
    <row r="420" spans="1:17" ht="16.5">
      <c r="A420" s="60" t="str">
        <f>+K420</f>
        <v>BCI</v>
      </c>
      <c r="B420" s="61" t="s">
        <v>46</v>
      </c>
      <c r="C420" s="62">
        <v>3455373</v>
      </c>
      <c r="D420" s="63">
        <f t="shared" si="240"/>
        <v>0</v>
      </c>
      <c r="E420" s="63">
        <f>+N420</f>
        <v>283345</v>
      </c>
      <c r="F420" s="63">
        <f>+M420</f>
        <v>1000000</v>
      </c>
      <c r="G420" s="63">
        <f t="shared" si="241"/>
        <v>0</v>
      </c>
      <c r="H420" s="63">
        <v>2172028</v>
      </c>
      <c r="I420" s="63">
        <f>+C420+D420-E420-F420+G420</f>
        <v>2172028</v>
      </c>
      <c r="J420" s="9">
        <f t="shared" ref="J420:J427" si="242">I420-H420</f>
        <v>0</v>
      </c>
      <c r="K420" s="47" t="s">
        <v>24</v>
      </c>
      <c r="L420" s="49">
        <v>0</v>
      </c>
      <c r="M420" s="49">
        <v>1000000</v>
      </c>
      <c r="N420" s="49">
        <v>283345</v>
      </c>
      <c r="O420" s="49">
        <v>0</v>
      </c>
      <c r="Q420" s="5"/>
    </row>
    <row r="421" spans="1:17" ht="16.5">
      <c r="A421" s="60" t="str">
        <f t="shared" ref="A421:A423" si="243">+K421</f>
        <v>BCI-Sous Compte</v>
      </c>
      <c r="B421" s="61" t="s">
        <v>46</v>
      </c>
      <c r="C421" s="62">
        <v>4841615</v>
      </c>
      <c r="D421" s="63">
        <f t="shared" si="240"/>
        <v>0</v>
      </c>
      <c r="E421" s="63">
        <f>+N421</f>
        <v>6223724</v>
      </c>
      <c r="F421" s="63">
        <f>+M421</f>
        <v>2000000</v>
      </c>
      <c r="G421" s="63">
        <f t="shared" si="241"/>
        <v>17525203</v>
      </c>
      <c r="H421" s="63">
        <v>14143094</v>
      </c>
      <c r="I421" s="63">
        <f>+C421+D421-E421-F421+G421</f>
        <v>14143094</v>
      </c>
      <c r="J421" s="108">
        <f t="shared" si="242"/>
        <v>0</v>
      </c>
      <c r="K421" s="47" t="s">
        <v>157</v>
      </c>
      <c r="L421" s="49">
        <v>0</v>
      </c>
      <c r="M421" s="49">
        <v>2000000</v>
      </c>
      <c r="N421" s="49">
        <v>6223724</v>
      </c>
      <c r="O421" s="49">
        <v>17525203</v>
      </c>
      <c r="Q421" s="5"/>
    </row>
    <row r="422" spans="1:17" ht="16.5">
      <c r="A422" s="60" t="str">
        <f t="shared" si="243"/>
        <v>Caisse</v>
      </c>
      <c r="B422" s="61" t="s">
        <v>25</v>
      </c>
      <c r="C422" s="62">
        <v>1042520</v>
      </c>
      <c r="D422" s="63">
        <f t="shared" si="240"/>
        <v>3035000</v>
      </c>
      <c r="E422" s="63">
        <f t="shared" ref="E422" si="244">+N422</f>
        <v>966635</v>
      </c>
      <c r="F422" s="63">
        <f t="shared" ref="F422:F430" si="245">+M422</f>
        <v>2530000</v>
      </c>
      <c r="G422" s="63">
        <f t="shared" si="241"/>
        <v>0</v>
      </c>
      <c r="H422" s="63">
        <v>580885</v>
      </c>
      <c r="I422" s="63">
        <f>+C422+D422-E422-F422+G422</f>
        <v>580885</v>
      </c>
      <c r="J422" s="9">
        <f t="shared" si="242"/>
        <v>0</v>
      </c>
      <c r="K422" s="47" t="s">
        <v>25</v>
      </c>
      <c r="L422" s="49">
        <v>3035000</v>
      </c>
      <c r="M422" s="49">
        <v>2530000</v>
      </c>
      <c r="N422" s="49">
        <v>966635</v>
      </c>
      <c r="O422" s="49">
        <v>0</v>
      </c>
      <c r="Q422" s="5"/>
    </row>
    <row r="423" spans="1:17" ht="16.5">
      <c r="A423" s="60" t="str">
        <f t="shared" si="243"/>
        <v>Crépin</v>
      </c>
      <c r="B423" s="61" t="s">
        <v>163</v>
      </c>
      <c r="C423" s="62">
        <v>-37100</v>
      </c>
      <c r="D423" s="63">
        <f t="shared" si="240"/>
        <v>256000</v>
      </c>
      <c r="E423" s="63">
        <f>+N423</f>
        <v>189900</v>
      </c>
      <c r="F423" s="63">
        <f t="shared" si="245"/>
        <v>20000</v>
      </c>
      <c r="G423" s="63">
        <f t="shared" si="241"/>
        <v>0</v>
      </c>
      <c r="H423" s="63">
        <v>9000</v>
      </c>
      <c r="I423" s="63">
        <f t="shared" ref="I423" si="246">+C423+D423-E423-F423+G423</f>
        <v>9000</v>
      </c>
      <c r="J423" s="9">
        <f t="shared" si="242"/>
        <v>0</v>
      </c>
      <c r="K423" s="47" t="s">
        <v>47</v>
      </c>
      <c r="L423" s="49">
        <v>256000</v>
      </c>
      <c r="M423" s="49">
        <v>20000</v>
      </c>
      <c r="N423" s="49">
        <v>189900</v>
      </c>
      <c r="O423" s="49">
        <v>0</v>
      </c>
      <c r="Q423" s="5"/>
    </row>
    <row r="424" spans="1:17" ht="16.5">
      <c r="A424" s="60" t="str">
        <f>K424</f>
        <v>Evariste</v>
      </c>
      <c r="B424" s="61" t="s">
        <v>164</v>
      </c>
      <c r="C424" s="62">
        <v>8645</v>
      </c>
      <c r="D424" s="63">
        <f t="shared" si="240"/>
        <v>0</v>
      </c>
      <c r="E424" s="63">
        <f t="shared" ref="E424" si="247">+N424</f>
        <v>0</v>
      </c>
      <c r="F424" s="63">
        <f t="shared" si="245"/>
        <v>0</v>
      </c>
      <c r="G424" s="63">
        <f t="shared" si="241"/>
        <v>0</v>
      </c>
      <c r="H424" s="63">
        <v>8645</v>
      </c>
      <c r="I424" s="63">
        <f>+C424+D424-E424-F424+G424</f>
        <v>8645</v>
      </c>
      <c r="J424" s="9">
        <f t="shared" si="242"/>
        <v>0</v>
      </c>
      <c r="K424" s="47" t="s">
        <v>31</v>
      </c>
      <c r="L424" s="49">
        <v>0</v>
      </c>
      <c r="M424" s="49">
        <v>0</v>
      </c>
      <c r="N424" s="49">
        <v>0</v>
      </c>
      <c r="O424" s="49">
        <v>0</v>
      </c>
      <c r="Q424" s="5"/>
    </row>
    <row r="425" spans="1:17" ht="16.5">
      <c r="A425" s="123" t="str">
        <f t="shared" ref="A425:A432" si="248">+K425</f>
        <v>I55S</v>
      </c>
      <c r="B425" s="124" t="s">
        <v>4</v>
      </c>
      <c r="C425" s="125">
        <v>233614</v>
      </c>
      <c r="D425" s="126">
        <f t="shared" si="240"/>
        <v>0</v>
      </c>
      <c r="E425" s="126">
        <f>+N425</f>
        <v>0</v>
      </c>
      <c r="F425" s="126">
        <f t="shared" si="245"/>
        <v>0</v>
      </c>
      <c r="G425" s="126">
        <f t="shared" si="241"/>
        <v>0</v>
      </c>
      <c r="H425" s="126">
        <v>233614</v>
      </c>
      <c r="I425" s="126">
        <f>+C425+D425-E425-F425+G425</f>
        <v>233614</v>
      </c>
      <c r="J425" s="9">
        <f t="shared" si="242"/>
        <v>0</v>
      </c>
      <c r="K425" s="47" t="s">
        <v>84</v>
      </c>
      <c r="L425" s="49">
        <v>0</v>
      </c>
      <c r="M425" s="49">
        <v>0</v>
      </c>
      <c r="N425" s="49">
        <v>0</v>
      </c>
      <c r="O425" s="49">
        <v>0</v>
      </c>
      <c r="Q425" s="5"/>
    </row>
    <row r="426" spans="1:17" ht="16.5">
      <c r="A426" s="123" t="str">
        <f t="shared" si="248"/>
        <v>I73X</v>
      </c>
      <c r="B426" s="124" t="s">
        <v>4</v>
      </c>
      <c r="C426" s="125">
        <v>249769</v>
      </c>
      <c r="D426" s="126">
        <f t="shared" si="240"/>
        <v>0</v>
      </c>
      <c r="E426" s="126">
        <f>+N426</f>
        <v>0</v>
      </c>
      <c r="F426" s="126">
        <f t="shared" si="245"/>
        <v>0</v>
      </c>
      <c r="G426" s="126">
        <f t="shared" si="241"/>
        <v>0</v>
      </c>
      <c r="H426" s="126">
        <v>249769</v>
      </c>
      <c r="I426" s="126">
        <f t="shared" ref="I426:I429" si="249">+C426+D426-E426-F426+G426</f>
        <v>249769</v>
      </c>
      <c r="J426" s="9">
        <f t="shared" si="242"/>
        <v>0</v>
      </c>
      <c r="K426" s="47" t="s">
        <v>83</v>
      </c>
      <c r="L426" s="49">
        <v>0</v>
      </c>
      <c r="M426" s="49">
        <v>0</v>
      </c>
      <c r="N426" s="49">
        <v>0</v>
      </c>
      <c r="O426" s="49">
        <v>0</v>
      </c>
      <c r="Q426" s="5"/>
    </row>
    <row r="427" spans="1:17" ht="16.5">
      <c r="A427" s="60" t="str">
        <f t="shared" si="248"/>
        <v>Godfré</v>
      </c>
      <c r="B427" s="104" t="s">
        <v>163</v>
      </c>
      <c r="C427" s="62">
        <v>34935</v>
      </c>
      <c r="D427" s="63">
        <f t="shared" si="240"/>
        <v>365000</v>
      </c>
      <c r="E427" s="177">
        <f t="shared" ref="E427" si="250">+N427</f>
        <v>320000</v>
      </c>
      <c r="F427" s="63">
        <f t="shared" si="245"/>
        <v>0</v>
      </c>
      <c r="G427" s="63">
        <f t="shared" si="241"/>
        <v>0</v>
      </c>
      <c r="H427" s="63">
        <v>79935</v>
      </c>
      <c r="I427" s="63">
        <f t="shared" si="249"/>
        <v>79935</v>
      </c>
      <c r="J427" s="9">
        <f t="shared" si="242"/>
        <v>0</v>
      </c>
      <c r="K427" s="47" t="s">
        <v>152</v>
      </c>
      <c r="L427" s="49">
        <v>365000</v>
      </c>
      <c r="M427" s="49"/>
      <c r="N427" s="49">
        <v>320000</v>
      </c>
      <c r="O427" s="49">
        <v>0</v>
      </c>
      <c r="Q427" s="5"/>
    </row>
    <row r="428" spans="1:17" ht="16.5">
      <c r="A428" s="60" t="str">
        <f t="shared" si="248"/>
        <v>Grace</v>
      </c>
      <c r="B428" s="61" t="s">
        <v>2</v>
      </c>
      <c r="C428" s="62">
        <v>44200</v>
      </c>
      <c r="D428" s="63">
        <f t="shared" si="240"/>
        <v>0</v>
      </c>
      <c r="E428" s="177">
        <f>+N428</f>
        <v>9400</v>
      </c>
      <c r="F428" s="63">
        <f t="shared" si="245"/>
        <v>15000</v>
      </c>
      <c r="G428" s="63">
        <f t="shared" si="241"/>
        <v>0</v>
      </c>
      <c r="H428" s="63">
        <v>19800</v>
      </c>
      <c r="I428" s="63">
        <f t="shared" si="249"/>
        <v>19800</v>
      </c>
      <c r="J428" s="9">
        <f>I428-H428</f>
        <v>0</v>
      </c>
      <c r="K428" s="47" t="s">
        <v>151</v>
      </c>
      <c r="L428" s="49">
        <v>0</v>
      </c>
      <c r="M428" s="49">
        <v>15000</v>
      </c>
      <c r="N428" s="49">
        <v>9400</v>
      </c>
      <c r="O428" s="49">
        <v>0</v>
      </c>
      <c r="Q428" s="5"/>
    </row>
    <row r="429" spans="1:17" ht="16.5">
      <c r="A429" s="60" t="str">
        <f t="shared" si="248"/>
        <v>I23C</v>
      </c>
      <c r="B429" s="104" t="s">
        <v>4</v>
      </c>
      <c r="C429" s="62">
        <v>12050</v>
      </c>
      <c r="D429" s="63">
        <f t="shared" si="240"/>
        <v>492000</v>
      </c>
      <c r="E429" s="177">
        <f t="shared" ref="E429:E432" si="251">+N429</f>
        <v>473500</v>
      </c>
      <c r="F429" s="63">
        <f t="shared" si="245"/>
        <v>0</v>
      </c>
      <c r="G429" s="63">
        <f t="shared" si="241"/>
        <v>0</v>
      </c>
      <c r="H429" s="63">
        <v>30550</v>
      </c>
      <c r="I429" s="63">
        <f t="shared" si="249"/>
        <v>30550</v>
      </c>
      <c r="J429" s="9">
        <f t="shared" ref="J429:J430" si="252">I429-H429</f>
        <v>0</v>
      </c>
      <c r="K429" s="47" t="s">
        <v>30</v>
      </c>
      <c r="L429" s="49">
        <v>492000</v>
      </c>
      <c r="M429" s="49">
        <v>0</v>
      </c>
      <c r="N429" s="49">
        <v>473500</v>
      </c>
      <c r="O429" s="49">
        <v>0</v>
      </c>
      <c r="Q429" s="5"/>
    </row>
    <row r="430" spans="1:17" ht="16.5">
      <c r="A430" s="60" t="str">
        <f t="shared" si="248"/>
        <v>Merveille</v>
      </c>
      <c r="B430" s="61" t="s">
        <v>2</v>
      </c>
      <c r="C430" s="62">
        <v>5500</v>
      </c>
      <c r="D430" s="63">
        <f t="shared" si="240"/>
        <v>20000</v>
      </c>
      <c r="E430" s="177">
        <f t="shared" si="251"/>
        <v>12500</v>
      </c>
      <c r="F430" s="63">
        <f t="shared" si="245"/>
        <v>0</v>
      </c>
      <c r="G430" s="63">
        <f t="shared" si="241"/>
        <v>0</v>
      </c>
      <c r="H430" s="63">
        <v>13000</v>
      </c>
      <c r="I430" s="63">
        <f>+C430+D430-E430-F430+G430</f>
        <v>13000</v>
      </c>
      <c r="J430" s="9">
        <f t="shared" si="252"/>
        <v>0</v>
      </c>
      <c r="K430" s="47" t="s">
        <v>93</v>
      </c>
      <c r="L430" s="49">
        <v>20000</v>
      </c>
      <c r="M430" s="49">
        <v>0</v>
      </c>
      <c r="N430" s="49">
        <v>12500</v>
      </c>
      <c r="O430" s="49"/>
      <c r="Q430" s="5"/>
    </row>
    <row r="431" spans="1:17" ht="16.5">
      <c r="A431" s="60" t="str">
        <f t="shared" si="248"/>
        <v>P29</v>
      </c>
      <c r="B431" s="61" t="s">
        <v>4</v>
      </c>
      <c r="C431" s="62">
        <v>58200</v>
      </c>
      <c r="D431" s="63">
        <f t="shared" si="240"/>
        <v>530000</v>
      </c>
      <c r="E431" s="177">
        <f t="shared" si="251"/>
        <v>532500</v>
      </c>
      <c r="F431" s="63">
        <f>+M431</f>
        <v>0</v>
      </c>
      <c r="G431" s="63">
        <f>+O431</f>
        <v>0</v>
      </c>
      <c r="H431" s="63">
        <v>55700</v>
      </c>
      <c r="I431" s="63">
        <f>+C431+D431-E431-F431+G431</f>
        <v>55700</v>
      </c>
      <c r="J431" s="9">
        <f>I431-H431</f>
        <v>0</v>
      </c>
      <c r="K431" s="47" t="s">
        <v>29</v>
      </c>
      <c r="L431" s="49">
        <v>530000</v>
      </c>
      <c r="M431" s="49">
        <v>0</v>
      </c>
      <c r="N431" s="49">
        <v>532500</v>
      </c>
      <c r="O431" s="49">
        <v>0</v>
      </c>
      <c r="Q431" s="5"/>
    </row>
    <row r="432" spans="1:17" ht="16.5">
      <c r="A432" s="60" t="str">
        <f t="shared" si="248"/>
        <v>Tiffany</v>
      </c>
      <c r="B432" s="61" t="s">
        <v>2</v>
      </c>
      <c r="C432" s="62">
        <v>263673</v>
      </c>
      <c r="D432" s="63">
        <f t="shared" si="240"/>
        <v>300000</v>
      </c>
      <c r="E432" s="177">
        <f t="shared" si="251"/>
        <v>599910</v>
      </c>
      <c r="F432" s="63">
        <f t="shared" ref="F432" si="253">+M432</f>
        <v>0</v>
      </c>
      <c r="G432" s="63">
        <f t="shared" ref="G432" si="254">+O432</f>
        <v>0</v>
      </c>
      <c r="H432" s="63">
        <v>-36237</v>
      </c>
      <c r="I432" s="63">
        <f t="shared" ref="I432" si="255">+C432+D432-E432-F432+G432</f>
        <v>-36237</v>
      </c>
      <c r="J432" s="9">
        <f t="shared" ref="J432" si="256">I432-H432</f>
        <v>0</v>
      </c>
      <c r="K432" s="47" t="s">
        <v>113</v>
      </c>
      <c r="L432" s="49">
        <v>300000</v>
      </c>
      <c r="M432" s="49">
        <v>0</v>
      </c>
      <c r="N432" s="49">
        <v>599910</v>
      </c>
      <c r="O432" s="49">
        <v>0</v>
      </c>
      <c r="Q432" s="5"/>
    </row>
    <row r="433" spans="1:17" ht="16.5">
      <c r="A433" s="10" t="s">
        <v>50</v>
      </c>
      <c r="B433" s="11"/>
      <c r="C433" s="12">
        <f t="shared" ref="C433:I433" si="257">SUM(C419:C432)</f>
        <v>10222494</v>
      </c>
      <c r="D433" s="59">
        <f t="shared" si="257"/>
        <v>5565000</v>
      </c>
      <c r="E433" s="59">
        <f t="shared" si="257"/>
        <v>10187414</v>
      </c>
      <c r="F433" s="59">
        <f t="shared" si="257"/>
        <v>5565000</v>
      </c>
      <c r="G433" s="59">
        <f t="shared" si="257"/>
        <v>17525203</v>
      </c>
      <c r="H433" s="59">
        <f t="shared" si="257"/>
        <v>17560283</v>
      </c>
      <c r="I433" s="59">
        <f t="shared" si="257"/>
        <v>17560283</v>
      </c>
      <c r="J433" s="9">
        <f>I433-H433</f>
        <v>0</v>
      </c>
      <c r="K433" s="3"/>
      <c r="L433" s="49">
        <f>+SUM(L419:L432)</f>
        <v>5565000</v>
      </c>
      <c r="M433" s="49">
        <f>+SUM(M419:M432)</f>
        <v>5565000</v>
      </c>
      <c r="N433" s="49">
        <f>+SUM(N419:N432)</f>
        <v>10187414</v>
      </c>
      <c r="O433" s="49">
        <f>+SUM(O419:O432)</f>
        <v>17525203</v>
      </c>
      <c r="Q433" s="5"/>
    </row>
    <row r="434" spans="1:17" ht="16.5">
      <c r="A434" s="10"/>
      <c r="B434" s="11"/>
      <c r="C434" s="12"/>
      <c r="D434" s="13"/>
      <c r="E434" s="12"/>
      <c r="F434" s="13"/>
      <c r="G434" s="12"/>
      <c r="H434" s="12"/>
      <c r="I434" s="143" t="b">
        <f>I433=D436</f>
        <v>1</v>
      </c>
      <c r="L434" s="5"/>
      <c r="M434" s="5"/>
      <c r="N434" s="5"/>
      <c r="O434" s="5"/>
      <c r="Q434" s="5"/>
    </row>
    <row r="435" spans="1:17" ht="16.5">
      <c r="A435" s="10" t="s">
        <v>185</v>
      </c>
      <c r="B435" s="11" t="s">
        <v>187</v>
      </c>
      <c r="C435" s="12" t="s">
        <v>186</v>
      </c>
      <c r="D435" s="12" t="s">
        <v>188</v>
      </c>
      <c r="E435" s="12" t="s">
        <v>51</v>
      </c>
      <c r="F435" s="12"/>
      <c r="G435" s="12">
        <f>+D433-F433</f>
        <v>0</v>
      </c>
      <c r="H435" s="12"/>
      <c r="I435" s="12"/>
      <c r="L435" s="5"/>
      <c r="M435" s="5"/>
      <c r="N435" s="5"/>
      <c r="O435" s="5"/>
      <c r="Q435" s="5"/>
    </row>
    <row r="436" spans="1:17" ht="16.5">
      <c r="A436" s="14">
        <f>C433</f>
        <v>10222494</v>
      </c>
      <c r="B436" s="15">
        <f>G433</f>
        <v>17525203</v>
      </c>
      <c r="C436" s="12">
        <f>E433</f>
        <v>10187414</v>
      </c>
      <c r="D436" s="12">
        <f>A436+B436-C436</f>
        <v>17560283</v>
      </c>
      <c r="E436" s="13">
        <f>I433-D436</f>
        <v>0</v>
      </c>
      <c r="F436" s="12"/>
      <c r="G436" s="12"/>
      <c r="H436" s="12"/>
      <c r="I436" s="12"/>
      <c r="L436" s="5"/>
      <c r="M436" s="5"/>
      <c r="N436" s="5"/>
      <c r="O436" s="5"/>
      <c r="Q436" s="5"/>
    </row>
    <row r="437" spans="1:17" ht="16.5">
      <c r="A437" s="14"/>
      <c r="B437" s="15"/>
      <c r="C437" s="12"/>
      <c r="D437" s="12"/>
      <c r="E437" s="13"/>
      <c r="F437" s="12"/>
      <c r="G437" s="12"/>
      <c r="H437" s="12"/>
      <c r="I437" s="12"/>
      <c r="L437" s="5"/>
      <c r="M437" s="5"/>
      <c r="N437" s="5"/>
      <c r="O437" s="5"/>
      <c r="Q437" s="5"/>
    </row>
    <row r="438" spans="1:17">
      <c r="A438" s="16" t="s">
        <v>52</v>
      </c>
      <c r="B438" s="16"/>
      <c r="C438" s="16"/>
      <c r="D438" s="17"/>
      <c r="E438" s="17"/>
      <c r="F438" s="17"/>
      <c r="G438" s="17"/>
      <c r="H438" s="17"/>
      <c r="I438" s="17"/>
      <c r="L438" s="5"/>
      <c r="M438" s="5"/>
      <c r="N438" s="5"/>
      <c r="O438" s="5"/>
      <c r="Q438" s="5"/>
    </row>
    <row r="439" spans="1:17">
      <c r="A439" s="18" t="s">
        <v>189</v>
      </c>
      <c r="B439" s="18"/>
      <c r="C439" s="18"/>
      <c r="D439" s="18"/>
      <c r="E439" s="18"/>
      <c r="F439" s="18"/>
      <c r="G439" s="18"/>
      <c r="H439" s="18"/>
      <c r="I439" s="18"/>
      <c r="J439" s="18"/>
      <c r="L439" s="5"/>
      <c r="M439" s="5"/>
      <c r="N439" s="5"/>
      <c r="O439" s="5"/>
      <c r="Q439" s="5"/>
    </row>
    <row r="440" spans="1:17">
      <c r="A440" s="19"/>
      <c r="B440" s="20"/>
      <c r="C440" s="21"/>
      <c r="D440" s="21"/>
      <c r="E440" s="21"/>
      <c r="F440" s="21"/>
      <c r="G440" s="21"/>
      <c r="H440" s="20"/>
      <c r="I440" s="20"/>
      <c r="L440" s="5"/>
      <c r="M440" s="5"/>
      <c r="N440" s="5"/>
      <c r="O440" s="5"/>
      <c r="Q440" s="5"/>
    </row>
    <row r="441" spans="1:17">
      <c r="A441" s="379" t="s">
        <v>53</v>
      </c>
      <c r="B441" s="381" t="s">
        <v>54</v>
      </c>
      <c r="C441" s="383" t="s">
        <v>191</v>
      </c>
      <c r="D441" s="385" t="s">
        <v>55</v>
      </c>
      <c r="E441" s="386"/>
      <c r="F441" s="386"/>
      <c r="G441" s="387"/>
      <c r="H441" s="388" t="s">
        <v>56</v>
      </c>
      <c r="I441" s="390" t="s">
        <v>57</v>
      </c>
      <c r="J441" s="20"/>
      <c r="L441" s="5"/>
      <c r="M441" s="5"/>
      <c r="N441" s="5"/>
      <c r="O441" s="5"/>
      <c r="Q441" s="5"/>
    </row>
    <row r="442" spans="1:17" ht="28.5" customHeight="1">
      <c r="A442" s="380"/>
      <c r="B442" s="382"/>
      <c r="C442" s="384"/>
      <c r="D442" s="22" t="s">
        <v>24</v>
      </c>
      <c r="E442" s="22" t="s">
        <v>25</v>
      </c>
      <c r="F442" s="188" t="s">
        <v>123</v>
      </c>
      <c r="G442" s="22" t="s">
        <v>58</v>
      </c>
      <c r="H442" s="389"/>
      <c r="I442" s="391"/>
      <c r="J442" s="392" t="s">
        <v>190</v>
      </c>
      <c r="K442" s="155"/>
      <c r="L442" s="5"/>
      <c r="M442" s="5"/>
      <c r="N442" s="5"/>
      <c r="O442" s="5"/>
      <c r="Q442" s="5"/>
    </row>
    <row r="443" spans="1:17">
      <c r="A443" s="24"/>
      <c r="B443" s="25" t="s">
        <v>59</v>
      </c>
      <c r="C443" s="26"/>
      <c r="D443" s="26"/>
      <c r="E443" s="26"/>
      <c r="F443" s="26"/>
      <c r="G443" s="26"/>
      <c r="H443" s="26"/>
      <c r="I443" s="27"/>
      <c r="J443" s="393"/>
      <c r="K443" s="155"/>
      <c r="L443" s="5"/>
      <c r="M443" s="5"/>
      <c r="N443" s="5"/>
      <c r="O443" s="5"/>
      <c r="Q443" s="5"/>
    </row>
    <row r="444" spans="1:17">
      <c r="A444" s="130" t="s">
        <v>108</v>
      </c>
      <c r="B444" s="135" t="s">
        <v>172</v>
      </c>
      <c r="C444" s="33">
        <f>+C419</f>
        <v>9500</v>
      </c>
      <c r="D444" s="32"/>
      <c r="E444" s="33">
        <f>+D419</f>
        <v>567000</v>
      </c>
      <c r="F444" s="33"/>
      <c r="G444" s="33"/>
      <c r="H444" s="57">
        <f>+F419</f>
        <v>0</v>
      </c>
      <c r="I444" s="33">
        <f>+E419</f>
        <v>576000</v>
      </c>
      <c r="J444" s="31">
        <f t="shared" ref="J444:J445" si="258">+SUM(C444:G444)-(H444+I444)</f>
        <v>500</v>
      </c>
      <c r="K444" s="156" t="b">
        <f>J444=I419</f>
        <v>1</v>
      </c>
      <c r="L444" s="5"/>
      <c r="M444" s="5"/>
      <c r="N444" s="5"/>
      <c r="O444" s="5"/>
      <c r="Q444" s="5"/>
    </row>
    <row r="445" spans="1:17">
      <c r="A445" s="130" t="str">
        <f>+A444</f>
        <v>JANVIER</v>
      </c>
      <c r="B445" s="135" t="s">
        <v>47</v>
      </c>
      <c r="C445" s="33">
        <f>+C423</f>
        <v>-37100</v>
      </c>
      <c r="D445" s="32"/>
      <c r="E445" s="33">
        <f>+D423</f>
        <v>256000</v>
      </c>
      <c r="F445" s="33"/>
      <c r="G445" s="33"/>
      <c r="H445" s="57">
        <f>+F423</f>
        <v>20000</v>
      </c>
      <c r="I445" s="33">
        <f>+E423</f>
        <v>189900</v>
      </c>
      <c r="J445" s="107">
        <f t="shared" si="258"/>
        <v>9000</v>
      </c>
      <c r="K445" s="156" t="b">
        <f t="shared" ref="K445:K454" si="259">J445=I423</f>
        <v>1</v>
      </c>
      <c r="L445" s="5"/>
      <c r="M445" s="5"/>
      <c r="N445" s="5"/>
      <c r="O445" s="5"/>
      <c r="Q445" s="5"/>
    </row>
    <row r="446" spans="1:17">
      <c r="A446" s="130" t="str">
        <f t="shared" ref="A446:A454" si="260">+A445</f>
        <v>JANVIER</v>
      </c>
      <c r="B446" s="136" t="s">
        <v>31</v>
      </c>
      <c r="C446" s="33">
        <f>+C424</f>
        <v>8645</v>
      </c>
      <c r="D446" s="127"/>
      <c r="E446" s="33">
        <f>+D424</f>
        <v>0</v>
      </c>
      <c r="F446" s="53"/>
      <c r="G446" s="53"/>
      <c r="H446" s="57">
        <f>+F424</f>
        <v>0</v>
      </c>
      <c r="I446" s="33">
        <f>+E424</f>
        <v>0</v>
      </c>
      <c r="J446" s="132">
        <f>+SUM(C446:G446)-(H446+I446)</f>
        <v>8645</v>
      </c>
      <c r="K446" s="156" t="b">
        <f t="shared" si="259"/>
        <v>1</v>
      </c>
      <c r="L446" s="5"/>
      <c r="M446" s="5"/>
      <c r="N446" s="5"/>
      <c r="O446" s="5"/>
      <c r="Q446" s="5"/>
    </row>
    <row r="447" spans="1:17">
      <c r="A447" s="130" t="str">
        <f t="shared" si="260"/>
        <v>JANVIER</v>
      </c>
      <c r="B447" s="137" t="s">
        <v>84</v>
      </c>
      <c r="C447" s="128">
        <f>+C425</f>
        <v>233614</v>
      </c>
      <c r="D447" s="131"/>
      <c r="E447" s="128">
        <f>+D425</f>
        <v>0</v>
      </c>
      <c r="F447" s="146"/>
      <c r="G447" s="146"/>
      <c r="H447" s="178">
        <f>+F425</f>
        <v>0</v>
      </c>
      <c r="I447" s="128">
        <f>+E425</f>
        <v>0</v>
      </c>
      <c r="J447" s="129">
        <f>+SUM(C447:G447)-(H447+I447)</f>
        <v>233614</v>
      </c>
      <c r="K447" s="156" t="b">
        <f t="shared" si="259"/>
        <v>1</v>
      </c>
      <c r="L447" s="5"/>
      <c r="M447" s="5"/>
      <c r="N447" s="5"/>
      <c r="O447" s="5"/>
      <c r="Q447" s="5"/>
    </row>
    <row r="448" spans="1:17">
      <c r="A448" s="130" t="str">
        <f t="shared" si="260"/>
        <v>JANVIER</v>
      </c>
      <c r="B448" s="137" t="s">
        <v>83</v>
      </c>
      <c r="C448" s="128">
        <f>+C426</f>
        <v>249769</v>
      </c>
      <c r="D448" s="131"/>
      <c r="E448" s="128">
        <f>+D426</f>
        <v>0</v>
      </c>
      <c r="F448" s="146"/>
      <c r="G448" s="146"/>
      <c r="H448" s="178">
        <f>+F426</f>
        <v>0</v>
      </c>
      <c r="I448" s="128">
        <f>+E426</f>
        <v>0</v>
      </c>
      <c r="J448" s="129">
        <f t="shared" ref="J448:J454" si="261">+SUM(C448:G448)-(H448+I448)</f>
        <v>249769</v>
      </c>
      <c r="K448" s="156" t="b">
        <f t="shared" si="259"/>
        <v>1</v>
      </c>
      <c r="L448" s="5"/>
      <c r="M448" s="5"/>
      <c r="N448" s="5"/>
      <c r="O448" s="5"/>
      <c r="Q448" s="5"/>
    </row>
    <row r="449" spans="1:17">
      <c r="A449" s="130" t="str">
        <f t="shared" si="260"/>
        <v>JANVIER</v>
      </c>
      <c r="B449" s="135" t="s">
        <v>152</v>
      </c>
      <c r="C449" s="33">
        <f>+C427</f>
        <v>34935</v>
      </c>
      <c r="D449" s="32"/>
      <c r="E449" s="33">
        <f>+D427</f>
        <v>365000</v>
      </c>
      <c r="F449" s="33"/>
      <c r="G449" s="110"/>
      <c r="H449" s="57">
        <f>+F427</f>
        <v>0</v>
      </c>
      <c r="I449" s="33">
        <f>+E427</f>
        <v>320000</v>
      </c>
      <c r="J449" s="31">
        <f t="shared" si="261"/>
        <v>79935</v>
      </c>
      <c r="K449" s="156" t="b">
        <f t="shared" si="259"/>
        <v>1</v>
      </c>
      <c r="L449" s="5"/>
      <c r="M449" s="5"/>
      <c r="N449" s="5"/>
      <c r="O449" s="5"/>
      <c r="Q449" s="5"/>
    </row>
    <row r="450" spans="1:17">
      <c r="A450" s="130" t="str">
        <f t="shared" si="260"/>
        <v>JANVIER</v>
      </c>
      <c r="B450" s="135" t="s">
        <v>151</v>
      </c>
      <c r="C450" s="33">
        <f t="shared" ref="C450:C454" si="262">+C428</f>
        <v>44200</v>
      </c>
      <c r="D450" s="32"/>
      <c r="E450" s="33">
        <f t="shared" ref="E450:E454" si="263">+D428</f>
        <v>0</v>
      </c>
      <c r="F450" s="33"/>
      <c r="G450" s="110"/>
      <c r="H450" s="57">
        <f t="shared" ref="H450:H454" si="264">+F428</f>
        <v>15000</v>
      </c>
      <c r="I450" s="33">
        <f t="shared" ref="I450:I454" si="265">+E428</f>
        <v>9400</v>
      </c>
      <c r="J450" s="31">
        <f t="shared" si="261"/>
        <v>19800</v>
      </c>
      <c r="K450" s="156" t="b">
        <f t="shared" si="259"/>
        <v>1</v>
      </c>
      <c r="L450" s="5"/>
      <c r="M450" s="5"/>
      <c r="N450" s="5"/>
      <c r="O450" s="5"/>
      <c r="Q450" s="5"/>
    </row>
    <row r="451" spans="1:17">
      <c r="A451" s="130" t="str">
        <f t="shared" si="260"/>
        <v>JANVIER</v>
      </c>
      <c r="B451" s="135" t="s">
        <v>30</v>
      </c>
      <c r="C451" s="33">
        <f t="shared" si="262"/>
        <v>12050</v>
      </c>
      <c r="D451" s="32"/>
      <c r="E451" s="33">
        <f t="shared" si="263"/>
        <v>492000</v>
      </c>
      <c r="F451" s="33"/>
      <c r="G451" s="110"/>
      <c r="H451" s="57">
        <f t="shared" si="264"/>
        <v>0</v>
      </c>
      <c r="I451" s="33">
        <f t="shared" si="265"/>
        <v>473500</v>
      </c>
      <c r="J451" s="31">
        <f t="shared" si="261"/>
        <v>30550</v>
      </c>
      <c r="K451" s="156" t="b">
        <f t="shared" si="259"/>
        <v>1</v>
      </c>
      <c r="Q451" s="5"/>
    </row>
    <row r="452" spans="1:17">
      <c r="A452" s="130" t="str">
        <f>+A450</f>
        <v>JANVIER</v>
      </c>
      <c r="B452" s="135" t="s">
        <v>93</v>
      </c>
      <c r="C452" s="33">
        <f t="shared" si="262"/>
        <v>5500</v>
      </c>
      <c r="D452" s="32"/>
      <c r="E452" s="33">
        <f t="shared" si="263"/>
        <v>20000</v>
      </c>
      <c r="F452" s="33"/>
      <c r="G452" s="110"/>
      <c r="H452" s="57">
        <f t="shared" si="264"/>
        <v>0</v>
      </c>
      <c r="I452" s="33">
        <f t="shared" si="265"/>
        <v>12500</v>
      </c>
      <c r="J452" s="31">
        <f t="shared" si="261"/>
        <v>13000</v>
      </c>
      <c r="K452" s="156" t="b">
        <f t="shared" si="259"/>
        <v>1</v>
      </c>
      <c r="Q452" s="5"/>
    </row>
    <row r="453" spans="1:17">
      <c r="A453" s="130" t="str">
        <f>+A451</f>
        <v>JANVIER</v>
      </c>
      <c r="B453" s="135" t="s">
        <v>29</v>
      </c>
      <c r="C453" s="33">
        <f t="shared" si="262"/>
        <v>58200</v>
      </c>
      <c r="D453" s="32"/>
      <c r="E453" s="33">
        <f t="shared" si="263"/>
        <v>530000</v>
      </c>
      <c r="F453" s="33"/>
      <c r="G453" s="110"/>
      <c r="H453" s="57">
        <f t="shared" si="264"/>
        <v>0</v>
      </c>
      <c r="I453" s="33">
        <f t="shared" si="265"/>
        <v>532500</v>
      </c>
      <c r="J453" s="31">
        <f t="shared" si="261"/>
        <v>55700</v>
      </c>
      <c r="K453" s="156" t="b">
        <f t="shared" si="259"/>
        <v>1</v>
      </c>
      <c r="Q453" s="5"/>
    </row>
    <row r="454" spans="1:17">
      <c r="A454" s="130" t="str">
        <f t="shared" si="260"/>
        <v>JANVIER</v>
      </c>
      <c r="B454" s="136" t="s">
        <v>113</v>
      </c>
      <c r="C454" s="33">
        <f t="shared" si="262"/>
        <v>263673</v>
      </c>
      <c r="D454" s="127"/>
      <c r="E454" s="33">
        <f t="shared" si="263"/>
        <v>300000</v>
      </c>
      <c r="F454" s="53"/>
      <c r="G454" s="147"/>
      <c r="H454" s="57">
        <f t="shared" si="264"/>
        <v>0</v>
      </c>
      <c r="I454" s="33">
        <f t="shared" si="265"/>
        <v>599910</v>
      </c>
      <c r="J454" s="31">
        <f t="shared" si="261"/>
        <v>-36237</v>
      </c>
      <c r="K454" s="156" t="b">
        <f t="shared" si="259"/>
        <v>1</v>
      </c>
      <c r="Q454" s="5"/>
    </row>
    <row r="455" spans="1:17">
      <c r="A455" s="35" t="s">
        <v>60</v>
      </c>
      <c r="B455" s="36"/>
      <c r="C455" s="36"/>
      <c r="D455" s="36"/>
      <c r="E455" s="36"/>
      <c r="F455" s="36"/>
      <c r="G455" s="36"/>
      <c r="H455" s="36"/>
      <c r="I455" s="36"/>
      <c r="J455" s="37"/>
      <c r="K455" s="155"/>
      <c r="Q455" s="5"/>
    </row>
    <row r="456" spans="1:17">
      <c r="A456" s="130" t="str">
        <f>+A454</f>
        <v>JANVIER</v>
      </c>
      <c r="B456" s="38" t="s">
        <v>61</v>
      </c>
      <c r="C456" s="39">
        <f>+C422</f>
        <v>1042520</v>
      </c>
      <c r="D456" s="51"/>
      <c r="E456" s="51">
        <f>D422</f>
        <v>3035000</v>
      </c>
      <c r="F456" s="51"/>
      <c r="G456" s="133"/>
      <c r="H456" s="53">
        <f>+F422</f>
        <v>2530000</v>
      </c>
      <c r="I456" s="134">
        <f>+E422</f>
        <v>966635</v>
      </c>
      <c r="J456" s="46">
        <f>+SUM(C456:G456)-(H456+I456)</f>
        <v>580885</v>
      </c>
      <c r="K456" s="156" t="b">
        <f>J456=I422</f>
        <v>1</v>
      </c>
      <c r="Q456" s="5"/>
    </row>
    <row r="457" spans="1:17">
      <c r="A457" s="44" t="s">
        <v>62</v>
      </c>
      <c r="B457" s="25"/>
      <c r="C457" s="36"/>
      <c r="D457" s="25"/>
      <c r="E457" s="25"/>
      <c r="F457" s="25"/>
      <c r="G457" s="25"/>
      <c r="H457" s="25"/>
      <c r="I457" s="25"/>
      <c r="J457" s="37"/>
      <c r="K457" s="155"/>
      <c r="Q457" s="5"/>
    </row>
    <row r="458" spans="1:17">
      <c r="A458" s="130" t="str">
        <f>+A456</f>
        <v>JANVIER</v>
      </c>
      <c r="B458" s="38" t="s">
        <v>166</v>
      </c>
      <c r="C458" s="133">
        <f>+C420</f>
        <v>3455373</v>
      </c>
      <c r="D458" s="140">
        <f>+G420</f>
        <v>0</v>
      </c>
      <c r="E458" s="51"/>
      <c r="F458" s="51"/>
      <c r="G458" s="51"/>
      <c r="H458" s="53">
        <f>+F420</f>
        <v>1000000</v>
      </c>
      <c r="I458" s="55">
        <f>+E420</f>
        <v>283345</v>
      </c>
      <c r="J458" s="46">
        <f>+SUM(C458:G458)-(H458+I458)</f>
        <v>2172028</v>
      </c>
      <c r="K458" s="156" t="b">
        <f>+J458=I420</f>
        <v>1</v>
      </c>
      <c r="Q458" s="5"/>
    </row>
    <row r="459" spans="1:17">
      <c r="A459" s="130" t="str">
        <f t="shared" ref="A459" si="266">+A458</f>
        <v>JANVIER</v>
      </c>
      <c r="B459" s="38" t="s">
        <v>64</v>
      </c>
      <c r="C459" s="133">
        <f>+C421</f>
        <v>4841615</v>
      </c>
      <c r="D459" s="51">
        <f>+G421</f>
        <v>17525203</v>
      </c>
      <c r="E459" s="50"/>
      <c r="F459" s="50"/>
      <c r="G459" s="50"/>
      <c r="H459" s="33">
        <f>+F421</f>
        <v>2000000</v>
      </c>
      <c r="I459" s="52">
        <f>+E421</f>
        <v>6223724</v>
      </c>
      <c r="J459" s="46">
        <f>SUM(C459:G459)-(H459+I459)</f>
        <v>14143094</v>
      </c>
      <c r="K459" s="156" t="b">
        <f>+J459=I421</f>
        <v>1</v>
      </c>
      <c r="Q459" s="5"/>
    </row>
    <row r="460" spans="1:17" ht="15.75">
      <c r="C460" s="151">
        <f>SUM(C444:C459)</f>
        <v>10222494</v>
      </c>
      <c r="I460" s="149">
        <f>SUM(I444:I459)</f>
        <v>10187414</v>
      </c>
      <c r="J460" s="111">
        <f>+SUM(J444:J459)</f>
        <v>17560283</v>
      </c>
      <c r="K460" s="5" t="b">
        <f>J460=I433</f>
        <v>1</v>
      </c>
      <c r="Q460" s="5"/>
    </row>
    <row r="461" spans="1:17" ht="15.75">
      <c r="C461" s="151"/>
      <c r="I461" s="149"/>
      <c r="J461" s="111"/>
      <c r="Q461" s="5"/>
    </row>
    <row r="462" spans="1:17" ht="15.75">
      <c r="A462" s="189"/>
      <c r="B462" s="189"/>
      <c r="C462" s="190"/>
      <c r="D462" s="189"/>
      <c r="E462" s="189"/>
      <c r="F462" s="189"/>
      <c r="G462" s="189"/>
      <c r="H462" s="189"/>
      <c r="I462" s="191"/>
      <c r="J462" s="192"/>
      <c r="K462" s="189"/>
      <c r="L462" s="193"/>
      <c r="M462" s="193"/>
      <c r="N462" s="193"/>
      <c r="O462" s="193"/>
      <c r="P462" s="189"/>
      <c r="Q462" s="5"/>
    </row>
    <row r="464" spans="1:17" ht="15.75">
      <c r="A464" s="6" t="s">
        <v>36</v>
      </c>
      <c r="B464" s="6" t="s">
        <v>1</v>
      </c>
      <c r="C464" s="6">
        <v>44531</v>
      </c>
      <c r="D464" s="7" t="s">
        <v>37</v>
      </c>
      <c r="E464" s="7" t="s">
        <v>38</v>
      </c>
      <c r="F464" s="7" t="s">
        <v>39</v>
      </c>
      <c r="G464" s="7" t="s">
        <v>40</v>
      </c>
      <c r="H464" s="6">
        <v>44561</v>
      </c>
      <c r="I464" s="7" t="s">
        <v>41</v>
      </c>
      <c r="K464" s="47"/>
      <c r="L464" s="47" t="s">
        <v>42</v>
      </c>
      <c r="M464" s="47" t="s">
        <v>43</v>
      </c>
      <c r="N464" s="47" t="s">
        <v>44</v>
      </c>
      <c r="O464" s="47" t="s">
        <v>45</v>
      </c>
      <c r="Q464" s="5"/>
    </row>
    <row r="465" spans="1:17" s="181" customFormat="1" ht="16.5">
      <c r="A465" s="60" t="str">
        <f>+K465</f>
        <v>Axel</v>
      </c>
      <c r="B465" s="183" t="s">
        <v>163</v>
      </c>
      <c r="C465" s="62">
        <v>29107</v>
      </c>
      <c r="D465" s="63">
        <f t="shared" ref="D465:D479" si="267">+L465</f>
        <v>1125000</v>
      </c>
      <c r="E465" s="63">
        <f>+N465</f>
        <v>1008750</v>
      </c>
      <c r="F465" s="63">
        <f>+M465</f>
        <v>145357</v>
      </c>
      <c r="G465" s="63">
        <f t="shared" ref="G465:G477" si="268">+O465</f>
        <v>0</v>
      </c>
      <c r="H465" s="63">
        <v>0</v>
      </c>
      <c r="I465" s="63">
        <f>+C465+D465-E465-F465+G465</f>
        <v>0</v>
      </c>
      <c r="J465" s="9">
        <f>I465-H465</f>
        <v>0</v>
      </c>
      <c r="K465" s="182" t="s">
        <v>162</v>
      </c>
      <c r="L465" s="182">
        <v>1125000</v>
      </c>
      <c r="M465" s="182">
        <v>145357</v>
      </c>
      <c r="N465" s="182">
        <v>1008750</v>
      </c>
      <c r="O465" s="182">
        <v>0</v>
      </c>
    </row>
    <row r="466" spans="1:17" ht="16.5">
      <c r="A466" s="60" t="str">
        <f>+K466</f>
        <v>B52</v>
      </c>
      <c r="B466" s="61" t="s">
        <v>4</v>
      </c>
      <c r="C466" s="62">
        <v>4000</v>
      </c>
      <c r="D466" s="63">
        <f t="shared" si="267"/>
        <v>426000</v>
      </c>
      <c r="E466" s="63">
        <f>+N466</f>
        <v>420500</v>
      </c>
      <c r="F466" s="63">
        <f>+M466</f>
        <v>0</v>
      </c>
      <c r="G466" s="63">
        <f t="shared" si="268"/>
        <v>0</v>
      </c>
      <c r="H466" s="63">
        <v>9500</v>
      </c>
      <c r="I466" s="63">
        <f>+C466+D466-E466-F466+G466</f>
        <v>9500</v>
      </c>
      <c r="J466" s="9">
        <f>I466-H466</f>
        <v>0</v>
      </c>
      <c r="K466" s="47" t="s">
        <v>172</v>
      </c>
      <c r="L466" s="49">
        <v>426000</v>
      </c>
      <c r="M466" s="49">
        <v>0</v>
      </c>
      <c r="N466" s="49">
        <v>420500</v>
      </c>
      <c r="O466" s="49">
        <v>0</v>
      </c>
      <c r="Q466" s="5"/>
    </row>
    <row r="467" spans="1:17" ht="16.5">
      <c r="A467" s="60" t="str">
        <f>+K467</f>
        <v>BCI</v>
      </c>
      <c r="B467" s="61" t="s">
        <v>46</v>
      </c>
      <c r="C467" s="62">
        <v>5738718</v>
      </c>
      <c r="D467" s="63">
        <f t="shared" si="267"/>
        <v>0</v>
      </c>
      <c r="E467" s="63">
        <f>+N467</f>
        <v>283345</v>
      </c>
      <c r="F467" s="63">
        <f>+M467</f>
        <v>2000000</v>
      </c>
      <c r="G467" s="63">
        <f t="shared" si="268"/>
        <v>0</v>
      </c>
      <c r="H467" s="63">
        <v>3455373</v>
      </c>
      <c r="I467" s="63">
        <f>+C467+D467-E467-F467+G467</f>
        <v>3455373</v>
      </c>
      <c r="J467" s="9">
        <f t="shared" ref="J467:J474" si="269">I467-H467</f>
        <v>0</v>
      </c>
      <c r="K467" s="47" t="s">
        <v>24</v>
      </c>
      <c r="L467" s="49">
        <v>0</v>
      </c>
      <c r="M467" s="49">
        <v>2000000</v>
      </c>
      <c r="N467" s="49">
        <v>283345</v>
      </c>
      <c r="O467" s="49">
        <v>0</v>
      </c>
      <c r="Q467" s="5"/>
    </row>
    <row r="468" spans="1:17" ht="16.5">
      <c r="A468" s="60" t="str">
        <f t="shared" ref="A468:A470" si="270">+K468</f>
        <v>BCI-Sous Compte</v>
      </c>
      <c r="B468" s="61" t="s">
        <v>46</v>
      </c>
      <c r="C468" s="62">
        <v>16087207</v>
      </c>
      <c r="D468" s="63">
        <f t="shared" si="267"/>
        <v>0</v>
      </c>
      <c r="E468" s="63">
        <f>+N468</f>
        <v>3245592</v>
      </c>
      <c r="F468" s="63">
        <f>+M468</f>
        <v>8000000</v>
      </c>
      <c r="G468" s="63">
        <f t="shared" si="268"/>
        <v>0</v>
      </c>
      <c r="H468" s="63">
        <v>4841615</v>
      </c>
      <c r="I468" s="63">
        <f>+C468+D468-E468-F468+G468</f>
        <v>4841615</v>
      </c>
      <c r="J468" s="108">
        <f t="shared" si="269"/>
        <v>0</v>
      </c>
      <c r="K468" s="47" t="s">
        <v>157</v>
      </c>
      <c r="L468" s="49">
        <v>0</v>
      </c>
      <c r="M468" s="49">
        <v>8000000</v>
      </c>
      <c r="N468" s="49">
        <v>3245592</v>
      </c>
      <c r="O468" s="49">
        <v>0</v>
      </c>
      <c r="Q468" s="5"/>
    </row>
    <row r="469" spans="1:17" ht="16.5">
      <c r="A469" s="60" t="str">
        <f t="shared" si="270"/>
        <v>Caisse</v>
      </c>
      <c r="B469" s="61" t="s">
        <v>25</v>
      </c>
      <c r="C469" s="62">
        <v>926369</v>
      </c>
      <c r="D469" s="63">
        <f t="shared" si="267"/>
        <v>10580357</v>
      </c>
      <c r="E469" s="63">
        <f t="shared" ref="E469" si="271">+N469</f>
        <v>3713706</v>
      </c>
      <c r="F469" s="63">
        <f t="shared" ref="F469:F477" si="272">+M469</f>
        <v>6750500</v>
      </c>
      <c r="G469" s="63">
        <f t="shared" si="268"/>
        <v>0</v>
      </c>
      <c r="H469" s="63">
        <v>1042520</v>
      </c>
      <c r="I469" s="63">
        <f>+C469+D469-E469-F469+G469</f>
        <v>1042520</v>
      </c>
      <c r="J469" s="9">
        <f t="shared" si="269"/>
        <v>0</v>
      </c>
      <c r="K469" s="47" t="s">
        <v>25</v>
      </c>
      <c r="L469" s="49">
        <v>10580357</v>
      </c>
      <c r="M469" s="49">
        <v>6750500</v>
      </c>
      <c r="N469" s="49">
        <v>3713706</v>
      </c>
      <c r="O469" s="49">
        <v>0</v>
      </c>
      <c r="Q469" s="5"/>
    </row>
    <row r="470" spans="1:17" ht="16.5">
      <c r="A470" s="60" t="str">
        <f t="shared" si="270"/>
        <v>Crépin</v>
      </c>
      <c r="B470" s="61" t="s">
        <v>163</v>
      </c>
      <c r="C470" s="62">
        <v>-3675</v>
      </c>
      <c r="D470" s="63">
        <f t="shared" si="267"/>
        <v>1778500</v>
      </c>
      <c r="E470" s="63">
        <f>+N470</f>
        <v>1666925</v>
      </c>
      <c r="F470" s="63">
        <f t="shared" si="272"/>
        <v>145000</v>
      </c>
      <c r="G470" s="63">
        <f t="shared" si="268"/>
        <v>0</v>
      </c>
      <c r="H470" s="63">
        <v>-37100</v>
      </c>
      <c r="I470" s="63">
        <f t="shared" ref="I470" si="273">+C470+D470-E470-F470+G470</f>
        <v>-37100</v>
      </c>
      <c r="J470" s="9">
        <f t="shared" si="269"/>
        <v>0</v>
      </c>
      <c r="K470" s="47" t="s">
        <v>47</v>
      </c>
      <c r="L470" s="49">
        <v>1778500</v>
      </c>
      <c r="M470" s="49">
        <v>145000</v>
      </c>
      <c r="N470" s="49">
        <v>1666925</v>
      </c>
      <c r="O470" s="49">
        <v>0</v>
      </c>
      <c r="Q470" s="5"/>
    </row>
    <row r="471" spans="1:17" ht="16.5">
      <c r="A471" s="60" t="str">
        <f>K471</f>
        <v>Evariste</v>
      </c>
      <c r="B471" s="61" t="s">
        <v>164</v>
      </c>
      <c r="C471" s="62">
        <v>7595</v>
      </c>
      <c r="D471" s="63">
        <f t="shared" si="267"/>
        <v>286000</v>
      </c>
      <c r="E471" s="63">
        <f t="shared" ref="E471" si="274">+N471</f>
        <v>284950</v>
      </c>
      <c r="F471" s="63">
        <f t="shared" si="272"/>
        <v>0</v>
      </c>
      <c r="G471" s="63">
        <f t="shared" si="268"/>
        <v>0</v>
      </c>
      <c r="H471" s="63">
        <v>8645</v>
      </c>
      <c r="I471" s="63">
        <f>+C471+D471-E471-F471+G471</f>
        <v>8645</v>
      </c>
      <c r="J471" s="9">
        <f t="shared" si="269"/>
        <v>0</v>
      </c>
      <c r="K471" s="47" t="s">
        <v>31</v>
      </c>
      <c r="L471" s="49">
        <v>286000</v>
      </c>
      <c r="M471" s="49">
        <v>0</v>
      </c>
      <c r="N471" s="49">
        <v>284950</v>
      </c>
      <c r="O471" s="49">
        <v>0</v>
      </c>
      <c r="Q471" s="5"/>
    </row>
    <row r="472" spans="1:17" ht="16.5">
      <c r="A472" s="123" t="str">
        <f t="shared" ref="A472:A479" si="275">+K472</f>
        <v>I55S</v>
      </c>
      <c r="B472" s="124" t="s">
        <v>4</v>
      </c>
      <c r="C472" s="125">
        <v>233614</v>
      </c>
      <c r="D472" s="126">
        <f t="shared" si="267"/>
        <v>0</v>
      </c>
      <c r="E472" s="126">
        <f>+N472</f>
        <v>0</v>
      </c>
      <c r="F472" s="126">
        <f t="shared" si="272"/>
        <v>0</v>
      </c>
      <c r="G472" s="126">
        <f t="shared" si="268"/>
        <v>0</v>
      </c>
      <c r="H472" s="126">
        <v>233614</v>
      </c>
      <c r="I472" s="126">
        <f>+C472+D472-E472-F472+G472</f>
        <v>233614</v>
      </c>
      <c r="J472" s="9">
        <f t="shared" si="269"/>
        <v>0</v>
      </c>
      <c r="K472" s="47" t="s">
        <v>84</v>
      </c>
      <c r="L472" s="49">
        <v>0</v>
      </c>
      <c r="M472" s="49">
        <v>0</v>
      </c>
      <c r="N472" s="49">
        <v>0</v>
      </c>
      <c r="O472" s="49">
        <v>0</v>
      </c>
      <c r="Q472" s="5"/>
    </row>
    <row r="473" spans="1:17" ht="16.5">
      <c r="A473" s="123" t="str">
        <f t="shared" si="275"/>
        <v>I73X</v>
      </c>
      <c r="B473" s="124" t="s">
        <v>4</v>
      </c>
      <c r="C473" s="125">
        <v>249769</v>
      </c>
      <c r="D473" s="126">
        <f t="shared" si="267"/>
        <v>0</v>
      </c>
      <c r="E473" s="126">
        <f>+N473</f>
        <v>0</v>
      </c>
      <c r="F473" s="126">
        <f t="shared" si="272"/>
        <v>0</v>
      </c>
      <c r="G473" s="126">
        <f t="shared" si="268"/>
        <v>0</v>
      </c>
      <c r="H473" s="126">
        <v>249769</v>
      </c>
      <c r="I473" s="126">
        <f t="shared" ref="I473:I476" si="276">+C473+D473-E473-F473+G473</f>
        <v>249769</v>
      </c>
      <c r="J473" s="9">
        <f t="shared" si="269"/>
        <v>0</v>
      </c>
      <c r="K473" s="47" t="s">
        <v>83</v>
      </c>
      <c r="L473" s="49">
        <v>0</v>
      </c>
      <c r="M473" s="49">
        <v>0</v>
      </c>
      <c r="N473" s="49">
        <v>0</v>
      </c>
      <c r="O473" s="49">
        <v>0</v>
      </c>
      <c r="Q473" s="5"/>
    </row>
    <row r="474" spans="1:17" ht="16.5">
      <c r="A474" s="60" t="str">
        <f t="shared" si="275"/>
        <v>Godfré</v>
      </c>
      <c r="B474" s="104" t="s">
        <v>163</v>
      </c>
      <c r="C474" s="62">
        <v>-6000</v>
      </c>
      <c r="D474" s="63">
        <f t="shared" si="267"/>
        <v>797000</v>
      </c>
      <c r="E474" s="177">
        <f t="shared" ref="E474:E479" si="277">+N474</f>
        <v>578885</v>
      </c>
      <c r="F474" s="63">
        <f t="shared" si="272"/>
        <v>177180</v>
      </c>
      <c r="G474" s="63">
        <f t="shared" si="268"/>
        <v>0</v>
      </c>
      <c r="H474" s="63">
        <v>34935</v>
      </c>
      <c r="I474" s="63">
        <f t="shared" si="276"/>
        <v>34935</v>
      </c>
      <c r="J474" s="9">
        <f t="shared" si="269"/>
        <v>0</v>
      </c>
      <c r="K474" s="47" t="s">
        <v>152</v>
      </c>
      <c r="L474" s="49">
        <v>797000</v>
      </c>
      <c r="M474" s="49">
        <v>177180</v>
      </c>
      <c r="N474" s="49">
        <v>578885</v>
      </c>
      <c r="O474" s="49">
        <v>0</v>
      </c>
      <c r="Q474" s="5"/>
    </row>
    <row r="475" spans="1:17" ht="16.5">
      <c r="A475" s="60" t="str">
        <f t="shared" si="275"/>
        <v>Grace</v>
      </c>
      <c r="B475" s="61" t="s">
        <v>2</v>
      </c>
      <c r="C475" s="62">
        <v>48400</v>
      </c>
      <c r="D475" s="63">
        <f t="shared" si="267"/>
        <v>847000</v>
      </c>
      <c r="E475" s="177">
        <f>+N475</f>
        <v>193200</v>
      </c>
      <c r="F475" s="63">
        <f t="shared" si="272"/>
        <v>658000</v>
      </c>
      <c r="G475" s="63">
        <f t="shared" si="268"/>
        <v>0</v>
      </c>
      <c r="H475" s="63">
        <v>44200</v>
      </c>
      <c r="I475" s="63">
        <f t="shared" si="276"/>
        <v>44200</v>
      </c>
      <c r="J475" s="9">
        <f>I475-H475</f>
        <v>0</v>
      </c>
      <c r="K475" s="47" t="s">
        <v>151</v>
      </c>
      <c r="L475" s="49">
        <v>847000</v>
      </c>
      <c r="M475" s="49">
        <v>658000</v>
      </c>
      <c r="N475" s="49">
        <v>193200</v>
      </c>
      <c r="O475" s="49">
        <v>0</v>
      </c>
      <c r="Q475" s="5"/>
    </row>
    <row r="476" spans="1:17" ht="16.5">
      <c r="A476" s="60" t="str">
        <f t="shared" si="275"/>
        <v>I23C</v>
      </c>
      <c r="B476" s="104" t="s">
        <v>4</v>
      </c>
      <c r="C476" s="62">
        <v>6800</v>
      </c>
      <c r="D476" s="63">
        <f t="shared" si="267"/>
        <v>861000</v>
      </c>
      <c r="E476" s="177">
        <f t="shared" si="277"/>
        <v>855750</v>
      </c>
      <c r="F476" s="63">
        <f t="shared" si="272"/>
        <v>0</v>
      </c>
      <c r="G476" s="63">
        <f t="shared" si="268"/>
        <v>0</v>
      </c>
      <c r="H476" s="63">
        <v>12050</v>
      </c>
      <c r="I476" s="63">
        <f t="shared" si="276"/>
        <v>12050</v>
      </c>
      <c r="J476" s="9">
        <f t="shared" ref="J476:J477" si="278">I476-H476</f>
        <v>0</v>
      </c>
      <c r="K476" s="47" t="s">
        <v>30</v>
      </c>
      <c r="L476" s="49">
        <v>861000</v>
      </c>
      <c r="M476" s="49">
        <v>0</v>
      </c>
      <c r="N476" s="49">
        <v>855750</v>
      </c>
      <c r="O476" s="49">
        <v>0</v>
      </c>
      <c r="Q476" s="5"/>
    </row>
    <row r="477" spans="1:17" ht="16.5">
      <c r="A477" s="60" t="str">
        <f t="shared" si="275"/>
        <v>Merveille</v>
      </c>
      <c r="B477" s="61" t="s">
        <v>2</v>
      </c>
      <c r="C477" s="62">
        <v>5500</v>
      </c>
      <c r="D477" s="63">
        <f t="shared" si="267"/>
        <v>0</v>
      </c>
      <c r="E477" s="177">
        <f t="shared" si="277"/>
        <v>0</v>
      </c>
      <c r="F477" s="63">
        <f t="shared" si="272"/>
        <v>0</v>
      </c>
      <c r="G477" s="63">
        <f t="shared" si="268"/>
        <v>0</v>
      </c>
      <c r="H477" s="63">
        <v>5500</v>
      </c>
      <c r="I477" s="63">
        <f>+C477+D477-E477-F477+G477</f>
        <v>5500</v>
      </c>
      <c r="J477" s="9">
        <f t="shared" si="278"/>
        <v>0</v>
      </c>
      <c r="K477" s="47" t="s">
        <v>93</v>
      </c>
      <c r="L477" s="49">
        <v>0</v>
      </c>
      <c r="M477" s="49">
        <v>0</v>
      </c>
      <c r="N477" s="49">
        <v>0</v>
      </c>
      <c r="O477" s="49"/>
      <c r="Q477" s="5"/>
    </row>
    <row r="478" spans="1:17" ht="16.5">
      <c r="A478" s="60" t="str">
        <f t="shared" si="275"/>
        <v>P29</v>
      </c>
      <c r="B478" s="61" t="s">
        <v>4</v>
      </c>
      <c r="C478" s="62">
        <v>30700</v>
      </c>
      <c r="D478" s="63">
        <f t="shared" si="267"/>
        <v>1215000</v>
      </c>
      <c r="E478" s="177">
        <f t="shared" si="277"/>
        <v>697500</v>
      </c>
      <c r="F478" s="63">
        <f>+M478</f>
        <v>490000</v>
      </c>
      <c r="G478" s="63">
        <f>+O478</f>
        <v>0</v>
      </c>
      <c r="H478" s="63">
        <v>58200</v>
      </c>
      <c r="I478" s="63">
        <f>+C478+D478-E478-F478+G478</f>
        <v>58200</v>
      </c>
      <c r="J478" s="9">
        <f>I478-H478</f>
        <v>0</v>
      </c>
      <c r="K478" s="47" t="s">
        <v>29</v>
      </c>
      <c r="L478" s="49">
        <v>1215000</v>
      </c>
      <c r="M478" s="49">
        <v>490000</v>
      </c>
      <c r="N478" s="49">
        <v>697500</v>
      </c>
      <c r="O478" s="49">
        <v>0</v>
      </c>
      <c r="Q478" s="5"/>
    </row>
    <row r="479" spans="1:17" ht="16.5">
      <c r="A479" s="60" t="str">
        <f t="shared" si="275"/>
        <v>Tiffany</v>
      </c>
      <c r="B479" s="61" t="s">
        <v>2</v>
      </c>
      <c r="C479" s="62">
        <v>9193</v>
      </c>
      <c r="D479" s="63">
        <f t="shared" si="267"/>
        <v>1100180</v>
      </c>
      <c r="E479" s="177">
        <f t="shared" si="277"/>
        <v>195700</v>
      </c>
      <c r="F479" s="63">
        <f t="shared" ref="F479" si="279">+M479</f>
        <v>650000</v>
      </c>
      <c r="G479" s="63">
        <f t="shared" ref="G479" si="280">+O479</f>
        <v>0</v>
      </c>
      <c r="H479" s="63">
        <v>263673</v>
      </c>
      <c r="I479" s="63">
        <f t="shared" ref="I479" si="281">+C479+D479-E479-F479+G479</f>
        <v>263673</v>
      </c>
      <c r="J479" s="9">
        <f t="shared" ref="J479" si="282">I479-H479</f>
        <v>0</v>
      </c>
      <c r="K479" s="47" t="s">
        <v>113</v>
      </c>
      <c r="L479" s="49">
        <v>1100180</v>
      </c>
      <c r="M479" s="49">
        <v>650000</v>
      </c>
      <c r="N479" s="49">
        <v>195700</v>
      </c>
      <c r="O479" s="49">
        <v>0</v>
      </c>
      <c r="Q479" s="5"/>
    </row>
    <row r="480" spans="1:17" ht="16.5">
      <c r="A480" s="10" t="s">
        <v>50</v>
      </c>
      <c r="B480" s="11"/>
      <c r="C480" s="12">
        <f>SUM(C465:C479)</f>
        <v>23367297</v>
      </c>
      <c r="D480" s="59">
        <f t="shared" ref="D480:G480" si="283">SUM(D465:D479)</f>
        <v>19016037</v>
      </c>
      <c r="E480" s="59">
        <f t="shared" si="283"/>
        <v>13144803</v>
      </c>
      <c r="F480" s="59">
        <f t="shared" si="283"/>
        <v>19016037</v>
      </c>
      <c r="G480" s="59">
        <f t="shared" si="283"/>
        <v>0</v>
      </c>
      <c r="H480" s="59">
        <f>SUM(H465:H479)</f>
        <v>10222494</v>
      </c>
      <c r="I480" s="59">
        <f>SUM(I465:I479)</f>
        <v>10222494</v>
      </c>
      <c r="J480" s="9">
        <f>I480-H480</f>
        <v>0</v>
      </c>
      <c r="K480" s="3"/>
      <c r="L480" s="49">
        <f>+SUM(L465:L479)</f>
        <v>19016037</v>
      </c>
      <c r="M480" s="49">
        <f t="shared" ref="M480:O480" si="284">+SUM(M465:M479)</f>
        <v>19016037</v>
      </c>
      <c r="N480" s="49">
        <f>+SUM(N465:N479)</f>
        <v>13144803</v>
      </c>
      <c r="O480" s="49">
        <f t="shared" si="284"/>
        <v>0</v>
      </c>
      <c r="Q480" s="5"/>
    </row>
    <row r="481" spans="1:17" ht="16.5">
      <c r="A481" s="10"/>
      <c r="B481" s="11"/>
      <c r="C481" s="12"/>
      <c r="D481" s="13"/>
      <c r="E481" s="12"/>
      <c r="F481" s="13"/>
      <c r="G481" s="12"/>
      <c r="H481" s="12"/>
      <c r="I481" s="143" t="b">
        <f>I480=D483</f>
        <v>1</v>
      </c>
      <c r="L481" s="5"/>
      <c r="M481" s="5"/>
      <c r="N481" s="5"/>
      <c r="O481" s="5"/>
      <c r="Q481" s="5"/>
    </row>
    <row r="482" spans="1:17" ht="16.5">
      <c r="A482" s="10" t="s">
        <v>174</v>
      </c>
      <c r="B482" s="11" t="s">
        <v>175</v>
      </c>
      <c r="C482" s="12" t="s">
        <v>176</v>
      </c>
      <c r="D482" s="12" t="s">
        <v>183</v>
      </c>
      <c r="E482" s="12" t="s">
        <v>51</v>
      </c>
      <c r="F482" s="12"/>
      <c r="G482" s="12">
        <f>+D480-F480</f>
        <v>0</v>
      </c>
      <c r="H482" s="12"/>
      <c r="I482" s="12"/>
      <c r="Q482" s="5"/>
    </row>
    <row r="483" spans="1:17" ht="16.5">
      <c r="A483" s="14">
        <f>C480</f>
        <v>23367297</v>
      </c>
      <c r="B483" s="15">
        <f>G480</f>
        <v>0</v>
      </c>
      <c r="C483" s="12">
        <f>E480</f>
        <v>13144803</v>
      </c>
      <c r="D483" s="12">
        <f>A483+B483-C483</f>
        <v>10222494</v>
      </c>
      <c r="E483" s="13">
        <f>I480-D483</f>
        <v>0</v>
      </c>
      <c r="F483" s="12"/>
      <c r="G483" s="12"/>
      <c r="H483" s="12"/>
      <c r="I483" s="12"/>
      <c r="L483" s="5"/>
      <c r="M483" s="5"/>
      <c r="N483" s="5"/>
      <c r="O483" s="5"/>
      <c r="Q483" s="5"/>
    </row>
    <row r="484" spans="1:17" ht="16.5">
      <c r="A484" s="14"/>
      <c r="B484" s="15"/>
      <c r="C484" s="12"/>
      <c r="D484" s="12"/>
      <c r="E484" s="13"/>
      <c r="F484" s="12"/>
      <c r="G484" s="12"/>
      <c r="H484" s="12"/>
      <c r="I484" s="12"/>
      <c r="L484" s="5"/>
      <c r="M484" s="5"/>
      <c r="N484" s="5"/>
      <c r="O484" s="5"/>
      <c r="Q484" s="5"/>
    </row>
    <row r="485" spans="1:17">
      <c r="A485" s="16" t="s">
        <v>52</v>
      </c>
      <c r="B485" s="16"/>
      <c r="C485" s="16"/>
      <c r="D485" s="17"/>
      <c r="E485" s="17"/>
      <c r="F485" s="17"/>
      <c r="G485" s="17"/>
      <c r="H485" s="17"/>
      <c r="I485" s="17"/>
      <c r="L485" s="5"/>
      <c r="M485" s="5"/>
      <c r="N485" s="5"/>
      <c r="O485" s="5"/>
      <c r="Q485" s="5"/>
    </row>
    <row r="486" spans="1:17">
      <c r="A486" s="18" t="s">
        <v>182</v>
      </c>
      <c r="B486" s="18"/>
      <c r="C486" s="18"/>
      <c r="D486" s="18"/>
      <c r="E486" s="18"/>
      <c r="F486" s="18"/>
      <c r="G486" s="18"/>
      <c r="H486" s="18"/>
      <c r="I486" s="18"/>
      <c r="J486" s="18"/>
      <c r="L486" s="5"/>
      <c r="M486" s="5"/>
      <c r="N486" s="5"/>
      <c r="O486" s="5"/>
      <c r="Q486" s="5"/>
    </row>
    <row r="487" spans="1:17">
      <c r="A487" s="19"/>
      <c r="B487" s="20"/>
      <c r="C487" s="21"/>
      <c r="D487" s="21"/>
      <c r="E487" s="21"/>
      <c r="F487" s="21"/>
      <c r="G487" s="21"/>
      <c r="H487" s="20"/>
      <c r="I487" s="20"/>
      <c r="L487" s="5"/>
      <c r="M487" s="5"/>
      <c r="N487" s="5"/>
      <c r="O487" s="5"/>
      <c r="Q487" s="5"/>
    </row>
    <row r="488" spans="1:17">
      <c r="A488" s="379" t="s">
        <v>53</v>
      </c>
      <c r="B488" s="381" t="s">
        <v>54</v>
      </c>
      <c r="C488" s="383" t="s">
        <v>177</v>
      </c>
      <c r="D488" s="385" t="s">
        <v>55</v>
      </c>
      <c r="E488" s="386"/>
      <c r="F488" s="386"/>
      <c r="G488" s="387"/>
      <c r="H488" s="388" t="s">
        <v>56</v>
      </c>
      <c r="I488" s="390" t="s">
        <v>57</v>
      </c>
      <c r="J488" s="20"/>
      <c r="L488" s="5"/>
      <c r="M488" s="5"/>
      <c r="N488" s="5"/>
      <c r="O488" s="5"/>
      <c r="Q488" s="5"/>
    </row>
    <row r="489" spans="1:17" ht="28.5" customHeight="1">
      <c r="A489" s="380"/>
      <c r="B489" s="382"/>
      <c r="C489" s="384"/>
      <c r="D489" s="22" t="s">
        <v>24</v>
      </c>
      <c r="E489" s="22" t="s">
        <v>25</v>
      </c>
      <c r="F489" s="186" t="s">
        <v>123</v>
      </c>
      <c r="G489" s="22" t="s">
        <v>58</v>
      </c>
      <c r="H489" s="389"/>
      <c r="I489" s="391"/>
      <c r="J489" s="392" t="s">
        <v>178</v>
      </c>
      <c r="K489" s="155"/>
      <c r="L489" s="5"/>
      <c r="M489" s="5"/>
      <c r="N489" s="5"/>
      <c r="O489" s="5"/>
      <c r="Q489" s="5"/>
    </row>
    <row r="490" spans="1:17">
      <c r="A490" s="24"/>
      <c r="B490" s="25" t="s">
        <v>59</v>
      </c>
      <c r="C490" s="26"/>
      <c r="D490" s="26"/>
      <c r="E490" s="26"/>
      <c r="F490" s="26"/>
      <c r="G490" s="26"/>
      <c r="H490" s="26"/>
      <c r="I490" s="27"/>
      <c r="J490" s="393"/>
      <c r="K490" s="155"/>
      <c r="L490" s="5"/>
      <c r="M490" s="5"/>
      <c r="N490" s="5"/>
      <c r="O490" s="5"/>
      <c r="Q490" s="5"/>
    </row>
    <row r="491" spans="1:17">
      <c r="A491" s="130" t="s">
        <v>103</v>
      </c>
      <c r="B491" s="135" t="s">
        <v>162</v>
      </c>
      <c r="C491" s="33">
        <f>+C465</f>
        <v>29107</v>
      </c>
      <c r="D491" s="32"/>
      <c r="E491" s="33">
        <f>D465</f>
        <v>1125000</v>
      </c>
      <c r="F491" s="33"/>
      <c r="G491" s="33"/>
      <c r="H491" s="57">
        <f>+F465</f>
        <v>145357</v>
      </c>
      <c r="I491" s="33">
        <f>+E465</f>
        <v>1008750</v>
      </c>
      <c r="J491" s="31">
        <f>+SUM(C491:G491)-(H491+I491)</f>
        <v>0</v>
      </c>
      <c r="K491" s="156" t="b">
        <f>J491=I465</f>
        <v>1</v>
      </c>
      <c r="L491" s="5"/>
      <c r="M491" s="5"/>
      <c r="N491" s="5"/>
      <c r="O491" s="5"/>
      <c r="Q491" s="5"/>
    </row>
    <row r="492" spans="1:17">
      <c r="A492" s="130" t="str">
        <f>A491</f>
        <v>DECEMBRE</v>
      </c>
      <c r="B492" s="135" t="s">
        <v>172</v>
      </c>
      <c r="C492" s="33">
        <f>+C466</f>
        <v>4000</v>
      </c>
      <c r="D492" s="32"/>
      <c r="E492" s="33">
        <f>+D466</f>
        <v>426000</v>
      </c>
      <c r="F492" s="33"/>
      <c r="G492" s="33"/>
      <c r="H492" s="57">
        <f>+F466</f>
        <v>0</v>
      </c>
      <c r="I492" s="33">
        <f>+E466</f>
        <v>420500</v>
      </c>
      <c r="J492" s="31">
        <f t="shared" ref="J492:J493" si="285">+SUM(C492:G492)-(H492+I492)</f>
        <v>9500</v>
      </c>
      <c r="K492" s="156" t="b">
        <f>J492=I466</f>
        <v>1</v>
      </c>
      <c r="L492" s="5"/>
      <c r="M492" s="5"/>
      <c r="N492" s="5"/>
      <c r="O492" s="5"/>
      <c r="Q492" s="5"/>
    </row>
    <row r="493" spans="1:17">
      <c r="A493" s="130" t="str">
        <f>+A492</f>
        <v>DECEMBRE</v>
      </c>
      <c r="B493" s="135" t="s">
        <v>47</v>
      </c>
      <c r="C493" s="33">
        <f>+C470</f>
        <v>-3675</v>
      </c>
      <c r="D493" s="32"/>
      <c r="E493" s="33">
        <f>+D470</f>
        <v>1778500</v>
      </c>
      <c r="F493" s="33"/>
      <c r="G493" s="33"/>
      <c r="H493" s="57">
        <f>+F470</f>
        <v>145000</v>
      </c>
      <c r="I493" s="33">
        <f>+E470</f>
        <v>1666925</v>
      </c>
      <c r="J493" s="107">
        <f t="shared" si="285"/>
        <v>-37100</v>
      </c>
      <c r="K493" s="156" t="b">
        <f>J493=I470</f>
        <v>1</v>
      </c>
      <c r="L493" s="5"/>
      <c r="M493" s="5"/>
      <c r="N493" s="5"/>
      <c r="O493" s="5"/>
      <c r="Q493" s="5"/>
    </row>
    <row r="494" spans="1:17">
      <c r="A494" s="130" t="str">
        <f t="shared" ref="A494:A502" si="286">+A493</f>
        <v>DECEMBRE</v>
      </c>
      <c r="B494" s="136" t="s">
        <v>31</v>
      </c>
      <c r="C494" s="33">
        <f>+C471</f>
        <v>7595</v>
      </c>
      <c r="D494" s="127"/>
      <c r="E494" s="33">
        <f>+D471</f>
        <v>286000</v>
      </c>
      <c r="F494" s="53"/>
      <c r="G494" s="53"/>
      <c r="H494" s="57">
        <f>+F471</f>
        <v>0</v>
      </c>
      <c r="I494" s="33">
        <f>+E471</f>
        <v>284950</v>
      </c>
      <c r="J494" s="132">
        <f>+SUM(C494:G494)-(H494+I494)</f>
        <v>8645</v>
      </c>
      <c r="K494" s="156" t="b">
        <f t="shared" ref="K494:K502" si="287">J494=I471</f>
        <v>1</v>
      </c>
      <c r="L494" s="5"/>
      <c r="M494" s="5"/>
      <c r="N494" s="5"/>
      <c r="O494" s="5"/>
      <c r="Q494" s="5"/>
    </row>
    <row r="495" spans="1:17">
      <c r="A495" s="130" t="str">
        <f t="shared" si="286"/>
        <v>DECEMBRE</v>
      </c>
      <c r="B495" s="137" t="s">
        <v>84</v>
      </c>
      <c r="C495" s="128">
        <f>+C472</f>
        <v>233614</v>
      </c>
      <c r="D495" s="131"/>
      <c r="E495" s="128">
        <f>+D472</f>
        <v>0</v>
      </c>
      <c r="F495" s="146"/>
      <c r="G495" s="146"/>
      <c r="H495" s="178">
        <f>+F472</f>
        <v>0</v>
      </c>
      <c r="I495" s="128">
        <f>+E472</f>
        <v>0</v>
      </c>
      <c r="J495" s="129">
        <f>+SUM(C495:G495)-(H495+I495)</f>
        <v>233614</v>
      </c>
      <c r="K495" s="156" t="b">
        <f t="shared" si="287"/>
        <v>1</v>
      </c>
      <c r="L495" s="5"/>
      <c r="M495" s="5"/>
      <c r="N495" s="5"/>
      <c r="O495" s="5"/>
      <c r="Q495" s="5"/>
    </row>
    <row r="496" spans="1:17">
      <c r="A496" s="130" t="str">
        <f t="shared" si="286"/>
        <v>DECEMBRE</v>
      </c>
      <c r="B496" s="137" t="s">
        <v>83</v>
      </c>
      <c r="C496" s="128">
        <f>+C473</f>
        <v>249769</v>
      </c>
      <c r="D496" s="131"/>
      <c r="E496" s="128">
        <f>+D473</f>
        <v>0</v>
      </c>
      <c r="F496" s="146"/>
      <c r="G496" s="146"/>
      <c r="H496" s="178">
        <f>+F473</f>
        <v>0</v>
      </c>
      <c r="I496" s="128">
        <f>+E473</f>
        <v>0</v>
      </c>
      <c r="J496" s="129">
        <f t="shared" ref="J496:J502" si="288">+SUM(C496:G496)-(H496+I496)</f>
        <v>249769</v>
      </c>
      <c r="K496" s="156" t="b">
        <f t="shared" si="287"/>
        <v>1</v>
      </c>
      <c r="L496" s="5"/>
      <c r="M496" s="5"/>
      <c r="N496" s="5"/>
      <c r="O496" s="5"/>
      <c r="Q496" s="5"/>
    </row>
    <row r="497" spans="1:17">
      <c r="A497" s="130" t="str">
        <f t="shared" si="286"/>
        <v>DECEMBRE</v>
      </c>
      <c r="B497" s="135" t="s">
        <v>152</v>
      </c>
      <c r="C497" s="33">
        <f>+C474</f>
        <v>-6000</v>
      </c>
      <c r="D497" s="32"/>
      <c r="E497" s="33">
        <f>+D474</f>
        <v>797000</v>
      </c>
      <c r="F497" s="33"/>
      <c r="G497" s="110"/>
      <c r="H497" s="57">
        <f>+F474</f>
        <v>177180</v>
      </c>
      <c r="I497" s="33">
        <f>+E474</f>
        <v>578885</v>
      </c>
      <c r="J497" s="31">
        <f t="shared" si="288"/>
        <v>34935</v>
      </c>
      <c r="K497" s="156" t="b">
        <f t="shared" si="287"/>
        <v>1</v>
      </c>
      <c r="L497" s="5"/>
      <c r="M497" s="5"/>
      <c r="N497" s="5"/>
      <c r="O497" s="5"/>
      <c r="Q497" s="5"/>
    </row>
    <row r="498" spans="1:17">
      <c r="A498" s="130" t="str">
        <f t="shared" si="286"/>
        <v>DECEMBRE</v>
      </c>
      <c r="B498" s="135" t="s">
        <v>151</v>
      </c>
      <c r="C498" s="33">
        <f t="shared" ref="C498:C502" si="289">+C475</f>
        <v>48400</v>
      </c>
      <c r="D498" s="32"/>
      <c r="E498" s="33">
        <f t="shared" ref="E498:E502" si="290">+D475</f>
        <v>847000</v>
      </c>
      <c r="F498" s="33"/>
      <c r="G498" s="110"/>
      <c r="H498" s="57">
        <f t="shared" ref="H498:H502" si="291">+F475</f>
        <v>658000</v>
      </c>
      <c r="I498" s="33">
        <f t="shared" ref="I498:I502" si="292">+E475</f>
        <v>193200</v>
      </c>
      <c r="J498" s="31">
        <f t="shared" si="288"/>
        <v>44200</v>
      </c>
      <c r="K498" s="156" t="b">
        <f t="shared" si="287"/>
        <v>1</v>
      </c>
      <c r="L498" s="5"/>
      <c r="M498" s="5"/>
      <c r="N498" s="5"/>
      <c r="O498" s="5"/>
      <c r="Q498" s="5"/>
    </row>
    <row r="499" spans="1:17">
      <c r="A499" s="130" t="str">
        <f t="shared" si="286"/>
        <v>DECEMBRE</v>
      </c>
      <c r="B499" s="135" t="s">
        <v>30</v>
      </c>
      <c r="C499" s="33">
        <f t="shared" si="289"/>
        <v>6800</v>
      </c>
      <c r="D499" s="32"/>
      <c r="E499" s="33">
        <f t="shared" si="290"/>
        <v>861000</v>
      </c>
      <c r="F499" s="33"/>
      <c r="G499" s="110"/>
      <c r="H499" s="57">
        <f t="shared" si="291"/>
        <v>0</v>
      </c>
      <c r="I499" s="33">
        <f t="shared" si="292"/>
        <v>855750</v>
      </c>
      <c r="J499" s="31">
        <f t="shared" si="288"/>
        <v>12050</v>
      </c>
      <c r="K499" s="156" t="b">
        <f t="shared" si="287"/>
        <v>1</v>
      </c>
      <c r="Q499" s="5"/>
    </row>
    <row r="500" spans="1:17">
      <c r="A500" s="130" t="str">
        <f>+A498</f>
        <v>DECEMBRE</v>
      </c>
      <c r="B500" s="135" t="s">
        <v>93</v>
      </c>
      <c r="C500" s="33">
        <f t="shared" si="289"/>
        <v>5500</v>
      </c>
      <c r="D500" s="32"/>
      <c r="E500" s="33">
        <f t="shared" si="290"/>
        <v>0</v>
      </c>
      <c r="F500" s="33"/>
      <c r="G500" s="110"/>
      <c r="H500" s="57">
        <f t="shared" si="291"/>
        <v>0</v>
      </c>
      <c r="I500" s="33">
        <f t="shared" si="292"/>
        <v>0</v>
      </c>
      <c r="J500" s="31">
        <f t="shared" si="288"/>
        <v>5500</v>
      </c>
      <c r="K500" s="156" t="b">
        <f t="shared" si="287"/>
        <v>1</v>
      </c>
      <c r="Q500" s="5"/>
    </row>
    <row r="501" spans="1:17">
      <c r="A501" s="130" t="str">
        <f>+A499</f>
        <v>DECEMBRE</v>
      </c>
      <c r="B501" s="135" t="s">
        <v>29</v>
      </c>
      <c r="C501" s="33">
        <f t="shared" si="289"/>
        <v>30700</v>
      </c>
      <c r="D501" s="32"/>
      <c r="E501" s="33">
        <f t="shared" si="290"/>
        <v>1215000</v>
      </c>
      <c r="F501" s="33"/>
      <c r="G501" s="110"/>
      <c r="H501" s="57">
        <f t="shared" si="291"/>
        <v>490000</v>
      </c>
      <c r="I501" s="33">
        <f t="shared" si="292"/>
        <v>697500</v>
      </c>
      <c r="J501" s="31">
        <f t="shared" si="288"/>
        <v>58200</v>
      </c>
      <c r="K501" s="156" t="b">
        <f t="shared" si="287"/>
        <v>1</v>
      </c>
      <c r="Q501" s="5"/>
    </row>
    <row r="502" spans="1:17">
      <c r="A502" s="130" t="str">
        <f t="shared" si="286"/>
        <v>DECEMBRE</v>
      </c>
      <c r="B502" s="136" t="s">
        <v>113</v>
      </c>
      <c r="C502" s="33">
        <f t="shared" si="289"/>
        <v>9193</v>
      </c>
      <c r="D502" s="127"/>
      <c r="E502" s="33">
        <f t="shared" si="290"/>
        <v>1100180</v>
      </c>
      <c r="F502" s="53"/>
      <c r="G502" s="147"/>
      <c r="H502" s="57">
        <f t="shared" si="291"/>
        <v>650000</v>
      </c>
      <c r="I502" s="33">
        <f t="shared" si="292"/>
        <v>195700</v>
      </c>
      <c r="J502" s="31">
        <f t="shared" si="288"/>
        <v>263673</v>
      </c>
      <c r="K502" s="156" t="b">
        <f t="shared" si="287"/>
        <v>1</v>
      </c>
      <c r="Q502" s="5"/>
    </row>
    <row r="503" spans="1:17">
      <c r="A503" s="35" t="s">
        <v>60</v>
      </c>
      <c r="B503" s="36"/>
      <c r="C503" s="36"/>
      <c r="D503" s="36"/>
      <c r="E503" s="36"/>
      <c r="F503" s="36"/>
      <c r="G503" s="36"/>
      <c r="H503" s="36"/>
      <c r="I503" s="36"/>
      <c r="J503" s="37"/>
      <c r="K503" s="155"/>
      <c r="Q503" s="5"/>
    </row>
    <row r="504" spans="1:17">
      <c r="A504" s="130" t="str">
        <f>+A502</f>
        <v>DECEMBRE</v>
      </c>
      <c r="B504" s="38" t="s">
        <v>61</v>
      </c>
      <c r="C504" s="39">
        <f>+C469</f>
        <v>926369</v>
      </c>
      <c r="D504" s="51"/>
      <c r="E504" s="51">
        <f>D469</f>
        <v>10580357</v>
      </c>
      <c r="F504" s="51"/>
      <c r="G504" s="133"/>
      <c r="H504" s="53">
        <f>+F469</f>
        <v>6750500</v>
      </c>
      <c r="I504" s="134">
        <f>+E469</f>
        <v>3713706</v>
      </c>
      <c r="J504" s="46">
        <f>+SUM(C504:G504)-(H504+I504)</f>
        <v>1042520</v>
      </c>
      <c r="K504" s="156" t="b">
        <f>J504=I469</f>
        <v>1</v>
      </c>
      <c r="Q504" s="5"/>
    </row>
    <row r="505" spans="1:17">
      <c r="A505" s="44" t="s">
        <v>62</v>
      </c>
      <c r="B505" s="25"/>
      <c r="C505" s="36"/>
      <c r="D505" s="25"/>
      <c r="E505" s="25"/>
      <c r="F505" s="25"/>
      <c r="G505" s="25"/>
      <c r="H505" s="25"/>
      <c r="I505" s="25"/>
      <c r="J505" s="37"/>
      <c r="K505" s="155"/>
      <c r="Q505" s="5"/>
    </row>
    <row r="506" spans="1:17">
      <c r="A506" s="130" t="str">
        <f>+A504</f>
        <v>DECEMBRE</v>
      </c>
      <c r="B506" s="38" t="s">
        <v>166</v>
      </c>
      <c r="C506" s="133">
        <f>+C467</f>
        <v>5738718</v>
      </c>
      <c r="D506" s="140">
        <f>+G467</f>
        <v>0</v>
      </c>
      <c r="E506" s="51"/>
      <c r="F506" s="51"/>
      <c r="G506" s="51"/>
      <c r="H506" s="53">
        <f>+F467</f>
        <v>2000000</v>
      </c>
      <c r="I506" s="55">
        <f>+E467</f>
        <v>283345</v>
      </c>
      <c r="J506" s="46">
        <f>+SUM(C506:G506)-(H506+I506)</f>
        <v>3455373</v>
      </c>
      <c r="K506" s="156" t="b">
        <f>+J506=I467</f>
        <v>1</v>
      </c>
      <c r="Q506" s="5"/>
    </row>
    <row r="507" spans="1:17">
      <c r="A507" s="130" t="str">
        <f t="shared" ref="A507" si="293">+A506</f>
        <v>DECEMBRE</v>
      </c>
      <c r="B507" s="38" t="s">
        <v>64</v>
      </c>
      <c r="C507" s="133">
        <f>+C468</f>
        <v>16087207</v>
      </c>
      <c r="D507" s="51">
        <f>+G468</f>
        <v>0</v>
      </c>
      <c r="E507" s="50"/>
      <c r="F507" s="50"/>
      <c r="G507" s="50"/>
      <c r="H507" s="33">
        <f>+F468</f>
        <v>8000000</v>
      </c>
      <c r="I507" s="52">
        <f>+E468</f>
        <v>3245592</v>
      </c>
      <c r="J507" s="46">
        <f>SUM(C507:G507)-(H507+I507)</f>
        <v>4841615</v>
      </c>
      <c r="K507" s="156" t="b">
        <f>+J507=I468</f>
        <v>1</v>
      </c>
      <c r="Q507" s="5"/>
    </row>
    <row r="508" spans="1:17" ht="15.75">
      <c r="C508" s="151">
        <f>SUM(C492:C507)</f>
        <v>23338190</v>
      </c>
      <c r="I508" s="149">
        <f>SUM(I492:I507)</f>
        <v>12136053</v>
      </c>
      <c r="J508" s="111">
        <f>+SUM(J491:J507)</f>
        <v>10222494</v>
      </c>
      <c r="K508" s="5" t="b">
        <f>J508=I480</f>
        <v>1</v>
      </c>
      <c r="Q508" s="5"/>
    </row>
    <row r="509" spans="1:17">
      <c r="G509" s="9"/>
      <c r="Q509" s="5"/>
    </row>
    <row r="510" spans="1:17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93"/>
      <c r="M510" s="193"/>
      <c r="N510" s="193"/>
      <c r="O510" s="193"/>
      <c r="P510" s="189"/>
      <c r="Q510" s="5"/>
    </row>
    <row r="511" spans="1:17">
      <c r="A511" s="4">
        <v>44530</v>
      </c>
      <c r="Q511" s="5"/>
    </row>
    <row r="512" spans="1:17" ht="15.75">
      <c r="A512" s="6" t="s">
        <v>36</v>
      </c>
      <c r="B512" s="6" t="s">
        <v>1</v>
      </c>
      <c r="C512" s="6">
        <v>44501</v>
      </c>
      <c r="D512" s="7" t="s">
        <v>37</v>
      </c>
      <c r="E512" s="7" t="s">
        <v>38</v>
      </c>
      <c r="F512" s="7" t="s">
        <v>39</v>
      </c>
      <c r="G512" s="7" t="s">
        <v>40</v>
      </c>
      <c r="H512" s="6">
        <v>44530</v>
      </c>
      <c r="I512" s="7" t="s">
        <v>41</v>
      </c>
      <c r="K512" s="47"/>
      <c r="L512" s="47" t="s">
        <v>42</v>
      </c>
      <c r="M512" s="47" t="s">
        <v>43</v>
      </c>
      <c r="N512" s="47" t="s">
        <v>44</v>
      </c>
      <c r="O512" s="47" t="s">
        <v>45</v>
      </c>
      <c r="Q512" s="5"/>
    </row>
    <row r="513" spans="1:17" s="181" customFormat="1" ht="16.5">
      <c r="A513" s="60" t="str">
        <f>+K513</f>
        <v>Axel</v>
      </c>
      <c r="B513" s="183" t="s">
        <v>163</v>
      </c>
      <c r="C513" s="62">
        <v>6757</v>
      </c>
      <c r="D513" s="63">
        <f t="shared" ref="D513:D526" si="294">+L513</f>
        <v>337000</v>
      </c>
      <c r="E513" s="63">
        <f>+N513</f>
        <v>314650</v>
      </c>
      <c r="F513" s="63">
        <f>+M513</f>
        <v>0</v>
      </c>
      <c r="G513" s="63">
        <f t="shared" ref="G513:G515" si="295">+O513</f>
        <v>0</v>
      </c>
      <c r="H513" s="63">
        <v>29107</v>
      </c>
      <c r="I513" s="63">
        <f>+C513+D513-E513-F513+G513</f>
        <v>29107</v>
      </c>
      <c r="J513" s="9">
        <f>I513-H513</f>
        <v>0</v>
      </c>
      <c r="K513" s="182" t="s">
        <v>162</v>
      </c>
      <c r="L513" s="182">
        <v>337000</v>
      </c>
      <c r="M513" s="182">
        <v>0</v>
      </c>
      <c r="N513" s="182">
        <v>314650</v>
      </c>
      <c r="O513" s="182">
        <v>0</v>
      </c>
    </row>
    <row r="514" spans="1:17" ht="16.5">
      <c r="A514" s="60" t="str">
        <f>+K514</f>
        <v>B52</v>
      </c>
      <c r="B514" s="61" t="s">
        <v>4</v>
      </c>
      <c r="C514" s="62">
        <v>0</v>
      </c>
      <c r="D514" s="63">
        <f t="shared" si="294"/>
        <v>118000</v>
      </c>
      <c r="E514" s="63">
        <f>+N514</f>
        <v>114000</v>
      </c>
      <c r="F514" s="63">
        <f>+M514</f>
        <v>0</v>
      </c>
      <c r="G514" s="63">
        <f t="shared" si="295"/>
        <v>0</v>
      </c>
      <c r="H514" s="63">
        <v>4000</v>
      </c>
      <c r="I514" s="63">
        <f>+C514+D514-E514-F514+G514</f>
        <v>4000</v>
      </c>
      <c r="J514" s="9">
        <f>I514-H514</f>
        <v>0</v>
      </c>
      <c r="K514" s="47" t="s">
        <v>172</v>
      </c>
      <c r="L514" s="49">
        <v>118000</v>
      </c>
      <c r="M514" s="49">
        <v>0</v>
      </c>
      <c r="N514" s="49">
        <v>114000</v>
      </c>
      <c r="O514" s="49">
        <v>0</v>
      </c>
      <c r="Q514" s="5"/>
    </row>
    <row r="515" spans="1:17" ht="16.5">
      <c r="A515" s="60" t="str">
        <f>+K515</f>
        <v>BCI</v>
      </c>
      <c r="B515" s="61" t="s">
        <v>46</v>
      </c>
      <c r="C515" s="62">
        <v>6762063</v>
      </c>
      <c r="D515" s="63">
        <f t="shared" si="294"/>
        <v>0</v>
      </c>
      <c r="E515" s="63">
        <f>+N515</f>
        <v>23345</v>
      </c>
      <c r="F515" s="63">
        <f>+M515</f>
        <v>1000000</v>
      </c>
      <c r="G515" s="63">
        <f t="shared" si="295"/>
        <v>0</v>
      </c>
      <c r="H515" s="63">
        <v>5738718</v>
      </c>
      <c r="I515" s="63">
        <f>+C515+D515-E515-F515+G515</f>
        <v>5738718</v>
      </c>
      <c r="J515" s="9">
        <f t="shared" ref="J515:J522" si="296">I515-H515</f>
        <v>0</v>
      </c>
      <c r="K515" s="47" t="s">
        <v>24</v>
      </c>
      <c r="L515" s="49">
        <v>0</v>
      </c>
      <c r="M515" s="49">
        <v>1000000</v>
      </c>
      <c r="N515" s="49">
        <v>23345</v>
      </c>
      <c r="O515" s="49">
        <v>0</v>
      </c>
      <c r="Q515" s="5"/>
    </row>
    <row r="516" spans="1:17" ht="16.5">
      <c r="A516" s="60" t="str">
        <f t="shared" ref="A516:A518" si="297">+K516</f>
        <v>BCI-Sous Compte</v>
      </c>
      <c r="B516" s="61" t="s">
        <v>46</v>
      </c>
      <c r="C516" s="62">
        <v>23107840</v>
      </c>
      <c r="D516" s="63">
        <f t="shared" si="294"/>
        <v>0</v>
      </c>
      <c r="E516" s="63">
        <f>+N516</f>
        <v>4020633</v>
      </c>
      <c r="F516" s="63">
        <f>+M516</f>
        <v>3000000</v>
      </c>
      <c r="G516" s="63">
        <f t="shared" ref="G516:G527" si="298">+O516</f>
        <v>0</v>
      </c>
      <c r="H516" s="63">
        <v>16087207</v>
      </c>
      <c r="I516" s="63">
        <f>+C516+D516-E516-F516+G516</f>
        <v>16087207</v>
      </c>
      <c r="J516" s="108">
        <f t="shared" si="296"/>
        <v>0</v>
      </c>
      <c r="K516" s="47" t="s">
        <v>157</v>
      </c>
      <c r="L516" s="49">
        <v>0</v>
      </c>
      <c r="M516" s="49">
        <v>3000000</v>
      </c>
      <c r="N516" s="49">
        <v>4020633</v>
      </c>
      <c r="O516" s="49">
        <v>0</v>
      </c>
      <c r="Q516" s="5"/>
    </row>
    <row r="517" spans="1:17" ht="16.5">
      <c r="A517" s="60" t="str">
        <f t="shared" si="297"/>
        <v>Caisse</v>
      </c>
      <c r="B517" s="61" t="s">
        <v>25</v>
      </c>
      <c r="C517" s="62">
        <v>1685107</v>
      </c>
      <c r="D517" s="63">
        <f t="shared" si="294"/>
        <v>4090000</v>
      </c>
      <c r="E517" s="63">
        <f t="shared" ref="E517" si="299">+N517</f>
        <v>2854238</v>
      </c>
      <c r="F517" s="63">
        <f t="shared" ref="F517:F524" si="300">+M517</f>
        <v>1994500</v>
      </c>
      <c r="G517" s="63">
        <f t="shared" si="298"/>
        <v>0</v>
      </c>
      <c r="H517" s="63">
        <v>926369</v>
      </c>
      <c r="I517" s="63">
        <f>+C517+D517-E517-F517+G517</f>
        <v>926369</v>
      </c>
      <c r="J517" s="9">
        <f t="shared" si="296"/>
        <v>0</v>
      </c>
      <c r="K517" s="47" t="s">
        <v>25</v>
      </c>
      <c r="L517" s="49">
        <v>4090000</v>
      </c>
      <c r="M517" s="49">
        <v>1994500</v>
      </c>
      <c r="N517" s="49">
        <v>2854238</v>
      </c>
      <c r="O517" s="49">
        <v>0</v>
      </c>
      <c r="Q517" s="5"/>
    </row>
    <row r="518" spans="1:17" ht="16.5">
      <c r="A518" s="60" t="str">
        <f t="shared" si="297"/>
        <v>Crépin</v>
      </c>
      <c r="B518" s="61" t="s">
        <v>163</v>
      </c>
      <c r="C518" s="62">
        <v>7200</v>
      </c>
      <c r="D518" s="63">
        <f t="shared" si="294"/>
        <v>286000</v>
      </c>
      <c r="E518" s="63">
        <f>+N518</f>
        <v>226875</v>
      </c>
      <c r="F518" s="63">
        <f t="shared" si="300"/>
        <v>70000</v>
      </c>
      <c r="G518" s="63">
        <f t="shared" si="298"/>
        <v>0</v>
      </c>
      <c r="H518" s="63">
        <v>-3675</v>
      </c>
      <c r="I518" s="63">
        <f t="shared" ref="I518" si="301">+C518+D518-E518-F518+G518</f>
        <v>-3675</v>
      </c>
      <c r="J518" s="9">
        <f t="shared" si="296"/>
        <v>0</v>
      </c>
      <c r="K518" s="47" t="s">
        <v>47</v>
      </c>
      <c r="L518" s="49">
        <v>286000</v>
      </c>
      <c r="M518" s="49">
        <v>70000</v>
      </c>
      <c r="N518" s="49">
        <v>226875</v>
      </c>
      <c r="O518" s="49">
        <v>0</v>
      </c>
      <c r="Q518" s="5"/>
    </row>
    <row r="519" spans="1:17" ht="16.5">
      <c r="A519" s="60" t="str">
        <f>K519</f>
        <v>Evariste</v>
      </c>
      <c r="B519" s="61" t="s">
        <v>164</v>
      </c>
      <c r="C519" s="62">
        <v>10095</v>
      </c>
      <c r="D519" s="63">
        <f t="shared" si="294"/>
        <v>70500</v>
      </c>
      <c r="E519" s="63">
        <f t="shared" ref="E519" si="302">+N519</f>
        <v>73000</v>
      </c>
      <c r="F519" s="63">
        <f t="shared" si="300"/>
        <v>0</v>
      </c>
      <c r="G519" s="63">
        <f t="shared" si="298"/>
        <v>0</v>
      </c>
      <c r="H519" s="63">
        <v>7595</v>
      </c>
      <c r="I519" s="63">
        <f>+C519+D519-E519-F519+G519</f>
        <v>7595</v>
      </c>
      <c r="J519" s="9">
        <f t="shared" si="296"/>
        <v>0</v>
      </c>
      <c r="K519" s="47" t="s">
        <v>31</v>
      </c>
      <c r="L519" s="49">
        <v>70500</v>
      </c>
      <c r="M519" s="49">
        <v>0</v>
      </c>
      <c r="N519" s="49">
        <v>73000</v>
      </c>
      <c r="O519" s="49">
        <v>0</v>
      </c>
      <c r="Q519" s="5"/>
    </row>
    <row r="520" spans="1:17" ht="16.5">
      <c r="A520" s="123" t="str">
        <f t="shared" ref="A520:A527" si="303">+K520</f>
        <v>I55S</v>
      </c>
      <c r="B520" s="124" t="s">
        <v>4</v>
      </c>
      <c r="C520" s="125">
        <v>233614</v>
      </c>
      <c r="D520" s="126">
        <f t="shared" si="294"/>
        <v>0</v>
      </c>
      <c r="E520" s="126">
        <f>+N520</f>
        <v>0</v>
      </c>
      <c r="F520" s="126">
        <f t="shared" si="300"/>
        <v>0</v>
      </c>
      <c r="G520" s="126">
        <f t="shared" si="298"/>
        <v>0</v>
      </c>
      <c r="H520" s="126">
        <v>233614</v>
      </c>
      <c r="I520" s="126">
        <f>+C520+D520-E520-F520+G520</f>
        <v>233614</v>
      </c>
      <c r="J520" s="9">
        <f t="shared" si="296"/>
        <v>0</v>
      </c>
      <c r="K520" s="47" t="s">
        <v>84</v>
      </c>
      <c r="L520" s="49">
        <v>0</v>
      </c>
      <c r="M520" s="49">
        <v>0</v>
      </c>
      <c r="N520" s="49">
        <v>0</v>
      </c>
      <c r="O520" s="49">
        <v>0</v>
      </c>
      <c r="Q520" s="5"/>
    </row>
    <row r="521" spans="1:17" ht="16.5">
      <c r="A521" s="123" t="str">
        <f t="shared" si="303"/>
        <v>I73X</v>
      </c>
      <c r="B521" s="124" t="s">
        <v>4</v>
      </c>
      <c r="C521" s="125">
        <v>249769</v>
      </c>
      <c r="D521" s="126">
        <f t="shared" si="294"/>
        <v>0</v>
      </c>
      <c r="E521" s="126">
        <f>+N521</f>
        <v>0</v>
      </c>
      <c r="F521" s="126">
        <f t="shared" si="300"/>
        <v>0</v>
      </c>
      <c r="G521" s="126">
        <f t="shared" si="298"/>
        <v>0</v>
      </c>
      <c r="H521" s="126">
        <v>249769</v>
      </c>
      <c r="I521" s="126">
        <f t="shared" ref="I521:I524" si="304">+C521+D521-E521-F521+G521</f>
        <v>249769</v>
      </c>
      <c r="J521" s="9">
        <f t="shared" si="296"/>
        <v>0</v>
      </c>
      <c r="K521" s="47" t="s">
        <v>83</v>
      </c>
      <c r="L521" s="49">
        <v>0</v>
      </c>
      <c r="M521" s="49">
        <v>0</v>
      </c>
      <c r="N521" s="49">
        <v>0</v>
      </c>
      <c r="O521" s="49">
        <v>0</v>
      </c>
      <c r="Q521" s="5"/>
    </row>
    <row r="522" spans="1:17" ht="16.5">
      <c r="A522" s="60" t="str">
        <f t="shared" si="303"/>
        <v>Godfré</v>
      </c>
      <c r="B522" s="104" t="s">
        <v>163</v>
      </c>
      <c r="C522" s="62">
        <v>3550</v>
      </c>
      <c r="D522" s="63">
        <f t="shared" si="294"/>
        <v>43000</v>
      </c>
      <c r="E522" s="177">
        <f t="shared" ref="E522:E527" si="305">+N522</f>
        <v>52550</v>
      </c>
      <c r="F522" s="63">
        <f t="shared" si="300"/>
        <v>0</v>
      </c>
      <c r="G522" s="63">
        <f t="shared" si="298"/>
        <v>0</v>
      </c>
      <c r="H522" s="63">
        <v>-6000</v>
      </c>
      <c r="I522" s="63">
        <f t="shared" si="304"/>
        <v>-6000</v>
      </c>
      <c r="J522" s="9">
        <f t="shared" si="296"/>
        <v>0</v>
      </c>
      <c r="K522" s="47" t="s">
        <v>152</v>
      </c>
      <c r="L522" s="49">
        <v>43000</v>
      </c>
      <c r="M522" s="49">
        <v>0</v>
      </c>
      <c r="N522" s="49">
        <v>52550</v>
      </c>
      <c r="O522" s="49">
        <v>0</v>
      </c>
      <c r="Q522" s="5"/>
    </row>
    <row r="523" spans="1:17" ht="16.5">
      <c r="A523" s="60" t="str">
        <f t="shared" si="303"/>
        <v>Grace</v>
      </c>
      <c r="B523" s="61" t="s">
        <v>2</v>
      </c>
      <c r="C523" s="62">
        <v>61300</v>
      </c>
      <c r="D523" s="63">
        <f t="shared" si="294"/>
        <v>53000</v>
      </c>
      <c r="E523" s="177">
        <f t="shared" si="305"/>
        <v>45900</v>
      </c>
      <c r="F523" s="63">
        <f t="shared" si="300"/>
        <v>20000</v>
      </c>
      <c r="G523" s="63">
        <f t="shared" si="298"/>
        <v>0</v>
      </c>
      <c r="H523" s="63">
        <v>48400</v>
      </c>
      <c r="I523" s="63">
        <f t="shared" si="304"/>
        <v>48400</v>
      </c>
      <c r="J523" s="9">
        <f>I523-H523</f>
        <v>0</v>
      </c>
      <c r="K523" s="47" t="s">
        <v>151</v>
      </c>
      <c r="L523" s="49">
        <v>53000</v>
      </c>
      <c r="M523" s="49">
        <v>20000</v>
      </c>
      <c r="N523" s="49">
        <v>45900</v>
      </c>
      <c r="O523" s="49">
        <v>0</v>
      </c>
      <c r="Q523" s="5"/>
    </row>
    <row r="524" spans="1:17" ht="16.5">
      <c r="A524" s="60" t="str">
        <f t="shared" si="303"/>
        <v>I23C</v>
      </c>
      <c r="B524" s="104" t="s">
        <v>4</v>
      </c>
      <c r="C524" s="62">
        <v>10800</v>
      </c>
      <c r="D524" s="63">
        <f t="shared" si="294"/>
        <v>488000</v>
      </c>
      <c r="E524" s="177">
        <f t="shared" si="305"/>
        <v>492000</v>
      </c>
      <c r="F524" s="63">
        <f t="shared" si="300"/>
        <v>0</v>
      </c>
      <c r="G524" s="63">
        <f t="shared" si="298"/>
        <v>0</v>
      </c>
      <c r="H524" s="63">
        <v>6800</v>
      </c>
      <c r="I524" s="63">
        <f t="shared" si="304"/>
        <v>6800</v>
      </c>
      <c r="J524" s="9">
        <f t="shared" ref="J524" si="306">I524-H524</f>
        <v>0</v>
      </c>
      <c r="K524" s="47" t="s">
        <v>30</v>
      </c>
      <c r="L524" s="49">
        <v>488000</v>
      </c>
      <c r="M524" s="49">
        <v>0</v>
      </c>
      <c r="N524" s="49">
        <v>492000</v>
      </c>
      <c r="O524" s="49">
        <v>0</v>
      </c>
      <c r="Q524" s="5"/>
    </row>
    <row r="525" spans="1:17" ht="16.5">
      <c r="A525" s="60" t="str">
        <f t="shared" si="303"/>
        <v>Merveille</v>
      </c>
      <c r="B525" s="61" t="s">
        <v>2</v>
      </c>
      <c r="C525" s="62">
        <v>9500</v>
      </c>
      <c r="D525" s="63">
        <f t="shared" si="294"/>
        <v>20000</v>
      </c>
      <c r="E525" s="177">
        <f t="shared" si="305"/>
        <v>24000</v>
      </c>
      <c r="F525" s="63">
        <f t="shared" ref="F525" si="307">+M525</f>
        <v>0</v>
      </c>
      <c r="G525" s="63">
        <f t="shared" ref="G525" si="308">+O525</f>
        <v>0</v>
      </c>
      <c r="H525" s="63">
        <v>5500</v>
      </c>
      <c r="I525" s="63">
        <f t="shared" ref="I525" si="309">+C525+D525-E525-F525+G525</f>
        <v>5500</v>
      </c>
      <c r="J525" s="9">
        <f t="shared" ref="J525" si="310">I525-H525</f>
        <v>0</v>
      </c>
      <c r="K525" s="47" t="s">
        <v>93</v>
      </c>
      <c r="L525" s="49">
        <v>20000</v>
      </c>
      <c r="M525" s="49">
        <v>0</v>
      </c>
      <c r="N525" s="49">
        <v>24000</v>
      </c>
      <c r="O525" s="49"/>
      <c r="Q525" s="5"/>
    </row>
    <row r="526" spans="1:17" ht="16.5">
      <c r="A526" s="60" t="str">
        <f t="shared" si="303"/>
        <v>P29</v>
      </c>
      <c r="B526" s="61" t="s">
        <v>4</v>
      </c>
      <c r="C526" s="62">
        <v>21200</v>
      </c>
      <c r="D526" s="63">
        <f t="shared" si="294"/>
        <v>543000</v>
      </c>
      <c r="E526" s="177">
        <f t="shared" si="305"/>
        <v>533500</v>
      </c>
      <c r="F526" s="63">
        <f>+M526</f>
        <v>0</v>
      </c>
      <c r="G526" s="63">
        <f>+O526</f>
        <v>0</v>
      </c>
      <c r="H526" s="63">
        <v>30700</v>
      </c>
      <c r="I526" s="63">
        <f>+C526+D526-E526-F526+G526</f>
        <v>30700</v>
      </c>
      <c r="J526" s="9">
        <f>I526-H526</f>
        <v>0</v>
      </c>
      <c r="K526" s="47" t="s">
        <v>29</v>
      </c>
      <c r="L526" s="49">
        <v>543000</v>
      </c>
      <c r="M526" s="49">
        <v>0</v>
      </c>
      <c r="N526" s="49">
        <v>533500</v>
      </c>
      <c r="O526" s="49">
        <v>0</v>
      </c>
      <c r="Q526" s="5"/>
    </row>
    <row r="527" spans="1:17" ht="16.5">
      <c r="A527" s="60" t="str">
        <f t="shared" si="303"/>
        <v>Tiffany</v>
      </c>
      <c r="B527" s="61" t="s">
        <v>2</v>
      </c>
      <c r="C527" s="62">
        <v>26193</v>
      </c>
      <c r="D527" s="63">
        <f t="shared" ref="D527" si="311">+L527</f>
        <v>36000</v>
      </c>
      <c r="E527" s="177">
        <f t="shared" si="305"/>
        <v>53000</v>
      </c>
      <c r="F527" s="63">
        <f t="shared" ref="F527" si="312">+M527</f>
        <v>0</v>
      </c>
      <c r="G527" s="63">
        <f t="shared" si="298"/>
        <v>0</v>
      </c>
      <c r="H527" s="63">
        <v>9193</v>
      </c>
      <c r="I527" s="63">
        <f t="shared" ref="I527" si="313">+C527+D527-E527-F527+G527</f>
        <v>9193</v>
      </c>
      <c r="J527" s="9">
        <f t="shared" ref="J527" si="314">I527-H527</f>
        <v>0</v>
      </c>
      <c r="K527" s="47" t="s">
        <v>113</v>
      </c>
      <c r="L527" s="49">
        <v>36000</v>
      </c>
      <c r="M527" s="49">
        <v>0</v>
      </c>
      <c r="N527" s="49">
        <v>53000</v>
      </c>
      <c r="O527" s="49">
        <v>0</v>
      </c>
      <c r="Q527" s="5"/>
    </row>
    <row r="528" spans="1:17" ht="16.5">
      <c r="A528" s="10" t="s">
        <v>50</v>
      </c>
      <c r="B528" s="11"/>
      <c r="C528" s="12">
        <f>SUM(C513:C527)</f>
        <v>32194988</v>
      </c>
      <c r="D528" s="59">
        <f t="shared" ref="D528:G528" si="315">SUM(D513:D527)</f>
        <v>6084500</v>
      </c>
      <c r="E528" s="59">
        <f t="shared" si="315"/>
        <v>8827691</v>
      </c>
      <c r="F528" s="59">
        <f t="shared" si="315"/>
        <v>6084500</v>
      </c>
      <c r="G528" s="59">
        <f t="shared" si="315"/>
        <v>0</v>
      </c>
      <c r="H528" s="59">
        <f>SUM(H513:H527)</f>
        <v>23367297</v>
      </c>
      <c r="I528" s="59">
        <f>SUM(I513:I527)</f>
        <v>23367297</v>
      </c>
      <c r="J528" s="9">
        <f>I528-H528</f>
        <v>0</v>
      </c>
      <c r="K528" s="3"/>
      <c r="L528" s="49">
        <v>6084500</v>
      </c>
      <c r="M528" s="49">
        <v>6084500</v>
      </c>
      <c r="N528" s="49">
        <v>8828291</v>
      </c>
      <c r="O528" s="49">
        <v>0</v>
      </c>
      <c r="Q528" s="5"/>
    </row>
    <row r="529" spans="1:17" ht="16.5">
      <c r="A529" s="10"/>
      <c r="B529" s="11"/>
      <c r="C529" s="12"/>
      <c r="D529" s="13"/>
      <c r="E529" s="12"/>
      <c r="F529" s="13"/>
      <c r="G529" s="12"/>
      <c r="H529" s="12"/>
      <c r="I529" s="143" t="b">
        <f>I528=D531</f>
        <v>1</v>
      </c>
      <c r="L529" s="5"/>
      <c r="M529" s="5"/>
      <c r="N529" s="5"/>
      <c r="O529" s="5"/>
      <c r="Q529" s="5"/>
    </row>
    <row r="530" spans="1:17" ht="16.5">
      <c r="A530" s="10" t="s">
        <v>168</v>
      </c>
      <c r="B530" s="11" t="s">
        <v>170</v>
      </c>
      <c r="C530" s="12" t="s">
        <v>173</v>
      </c>
      <c r="D530" s="12" t="s">
        <v>167</v>
      </c>
      <c r="E530" s="12" t="s">
        <v>51</v>
      </c>
      <c r="F530" s="12"/>
      <c r="G530" s="12">
        <f>+D528-F528</f>
        <v>0</v>
      </c>
      <c r="H530" s="12"/>
      <c r="I530" s="12"/>
      <c r="Q530" s="5"/>
    </row>
    <row r="531" spans="1:17" ht="16.5">
      <c r="A531" s="14">
        <f>C528</f>
        <v>32194988</v>
      </c>
      <c r="B531" s="15">
        <f>G528</f>
        <v>0</v>
      </c>
      <c r="C531" s="12">
        <f>E528</f>
        <v>8827691</v>
      </c>
      <c r="D531" s="12">
        <f>A531+B531-C531</f>
        <v>23367297</v>
      </c>
      <c r="E531" s="13">
        <f>I528-D531</f>
        <v>0</v>
      </c>
      <c r="F531" s="12"/>
      <c r="G531" s="12"/>
      <c r="H531" s="12"/>
      <c r="I531" s="12"/>
      <c r="L531" s="5"/>
      <c r="M531" s="5"/>
      <c r="N531" s="5"/>
      <c r="O531" s="5"/>
      <c r="Q531" s="5"/>
    </row>
    <row r="532" spans="1:17" ht="16.5">
      <c r="A532" s="14"/>
      <c r="B532" s="15"/>
      <c r="C532" s="12"/>
      <c r="D532" s="12"/>
      <c r="E532" s="13"/>
      <c r="F532" s="12"/>
      <c r="G532" s="12"/>
      <c r="H532" s="12"/>
      <c r="I532" s="12"/>
      <c r="L532" s="5"/>
      <c r="M532" s="5"/>
      <c r="N532" s="5"/>
      <c r="O532" s="5"/>
      <c r="Q532" s="5"/>
    </row>
    <row r="533" spans="1:17">
      <c r="A533" s="16" t="s">
        <v>52</v>
      </c>
      <c r="B533" s="16"/>
      <c r="C533" s="16"/>
      <c r="D533" s="17"/>
      <c r="E533" s="17"/>
      <c r="F533" s="17"/>
      <c r="G533" s="17"/>
      <c r="H533" s="17"/>
      <c r="I533" s="17"/>
      <c r="L533" s="5"/>
      <c r="M533" s="5"/>
      <c r="N533" s="5"/>
      <c r="O533" s="5"/>
      <c r="Q533" s="5"/>
    </row>
    <row r="534" spans="1:17">
      <c r="A534" s="18" t="s">
        <v>169</v>
      </c>
      <c r="B534" s="18"/>
      <c r="C534" s="18"/>
      <c r="D534" s="18"/>
      <c r="E534" s="18"/>
      <c r="F534" s="18"/>
      <c r="G534" s="18"/>
      <c r="H534" s="18"/>
      <c r="I534" s="18"/>
      <c r="J534" s="18"/>
      <c r="L534" s="5"/>
      <c r="M534" s="5"/>
      <c r="N534" s="5"/>
      <c r="O534" s="5"/>
      <c r="Q534" s="5"/>
    </row>
    <row r="535" spans="1:17">
      <c r="A535" s="19"/>
      <c r="B535" s="20"/>
      <c r="C535" s="21"/>
      <c r="D535" s="21"/>
      <c r="E535" s="21"/>
      <c r="F535" s="21"/>
      <c r="G535" s="21"/>
      <c r="H535" s="20"/>
      <c r="I535" s="20"/>
      <c r="L535" s="5"/>
      <c r="M535" s="5"/>
      <c r="N535" s="5"/>
      <c r="O535" s="5"/>
      <c r="Q535" s="5"/>
    </row>
    <row r="536" spans="1:17">
      <c r="A536" s="379" t="s">
        <v>53</v>
      </c>
      <c r="B536" s="381" t="s">
        <v>54</v>
      </c>
      <c r="C536" s="383" t="s">
        <v>171</v>
      </c>
      <c r="D536" s="385" t="s">
        <v>55</v>
      </c>
      <c r="E536" s="386"/>
      <c r="F536" s="386"/>
      <c r="G536" s="387"/>
      <c r="H536" s="388" t="s">
        <v>56</v>
      </c>
      <c r="I536" s="390" t="s">
        <v>57</v>
      </c>
      <c r="J536" s="20"/>
      <c r="L536" s="5"/>
      <c r="M536" s="5"/>
      <c r="N536" s="5"/>
      <c r="O536" s="5"/>
      <c r="Q536" s="5"/>
    </row>
    <row r="537" spans="1:17" ht="28.5" customHeight="1">
      <c r="A537" s="380"/>
      <c r="B537" s="382"/>
      <c r="C537" s="384"/>
      <c r="D537" s="22" t="s">
        <v>24</v>
      </c>
      <c r="E537" s="22" t="s">
        <v>25</v>
      </c>
      <c r="F537" s="184" t="s">
        <v>123</v>
      </c>
      <c r="G537" s="22" t="s">
        <v>58</v>
      </c>
      <c r="H537" s="389"/>
      <c r="I537" s="391"/>
      <c r="J537" s="392" t="s">
        <v>179</v>
      </c>
      <c r="K537" s="155"/>
      <c r="L537" s="5"/>
      <c r="M537" s="5"/>
      <c r="N537" s="5"/>
      <c r="O537" s="5"/>
      <c r="Q537" s="5"/>
    </row>
    <row r="538" spans="1:17">
      <c r="A538" s="24"/>
      <c r="B538" s="25" t="s">
        <v>59</v>
      </c>
      <c r="C538" s="26"/>
      <c r="D538" s="26"/>
      <c r="E538" s="26"/>
      <c r="F538" s="26"/>
      <c r="G538" s="26"/>
      <c r="H538" s="26"/>
      <c r="I538" s="27"/>
      <c r="J538" s="393"/>
      <c r="K538" s="155"/>
      <c r="L538" s="5"/>
      <c r="M538" s="5"/>
      <c r="N538" s="5"/>
      <c r="O538" s="5"/>
      <c r="Q538" s="5"/>
    </row>
    <row r="539" spans="1:17">
      <c r="A539" s="130" t="s">
        <v>98</v>
      </c>
      <c r="B539" s="135" t="s">
        <v>162</v>
      </c>
      <c r="C539" s="33">
        <f>+C513</f>
        <v>6757</v>
      </c>
      <c r="D539" s="32"/>
      <c r="E539" s="33">
        <f>D513</f>
        <v>337000</v>
      </c>
      <c r="F539" s="33"/>
      <c r="G539" s="33"/>
      <c r="H539" s="57">
        <f>+F513</f>
        <v>0</v>
      </c>
      <c r="I539" s="33">
        <f>+E513</f>
        <v>314650</v>
      </c>
      <c r="J539" s="31">
        <f>+SUM(C539:G539)-(H539+I539)</f>
        <v>29107</v>
      </c>
      <c r="K539" s="156" t="b">
        <f>J539=I513</f>
        <v>1</v>
      </c>
      <c r="L539" s="5"/>
      <c r="M539" s="5"/>
      <c r="N539" s="5"/>
      <c r="O539" s="5"/>
      <c r="Q539" s="5"/>
    </row>
    <row r="540" spans="1:17">
      <c r="A540" s="130" t="str">
        <f>A539</f>
        <v>NOVEMBRE</v>
      </c>
      <c r="B540" s="135" t="s">
        <v>172</v>
      </c>
      <c r="C540" s="33">
        <f>+C514</f>
        <v>0</v>
      </c>
      <c r="D540" s="32"/>
      <c r="E540" s="33">
        <f>+D514</f>
        <v>118000</v>
      </c>
      <c r="F540" s="33"/>
      <c r="G540" s="33"/>
      <c r="H540" s="57">
        <f>+F514</f>
        <v>0</v>
      </c>
      <c r="I540" s="33">
        <f>+E514</f>
        <v>114000</v>
      </c>
      <c r="J540" s="31">
        <f t="shared" ref="J540:J541" si="316">+SUM(C540:G540)-(H540+I540)</f>
        <v>4000</v>
      </c>
      <c r="K540" s="156" t="b">
        <f>J540=I514</f>
        <v>1</v>
      </c>
      <c r="L540" s="5"/>
      <c r="M540" s="5"/>
      <c r="N540" s="5"/>
      <c r="O540" s="5"/>
      <c r="Q540" s="5"/>
    </row>
    <row r="541" spans="1:17">
      <c r="A541" s="130" t="str">
        <f>+A540</f>
        <v>NOVEMBRE</v>
      </c>
      <c r="B541" s="135" t="s">
        <v>47</v>
      </c>
      <c r="C541" s="33">
        <f>+C518</f>
        <v>7200</v>
      </c>
      <c r="D541" s="32"/>
      <c r="E541" s="33">
        <f>+D518</f>
        <v>286000</v>
      </c>
      <c r="F541" s="33"/>
      <c r="G541" s="33"/>
      <c r="H541" s="57">
        <f>+F518</f>
        <v>70000</v>
      </c>
      <c r="I541" s="33">
        <f>+E518</f>
        <v>226875</v>
      </c>
      <c r="J541" s="107">
        <f t="shared" si="316"/>
        <v>-3675</v>
      </c>
      <c r="K541" s="156" t="b">
        <f>J541=I518</f>
        <v>1</v>
      </c>
      <c r="L541" s="5"/>
      <c r="M541" s="5"/>
      <c r="N541" s="5"/>
      <c r="O541" s="5"/>
      <c r="Q541" s="5"/>
    </row>
    <row r="542" spans="1:17">
      <c r="A542" s="130" t="str">
        <f t="shared" ref="A542:A550" si="317">+A541</f>
        <v>NOVEMBRE</v>
      </c>
      <c r="B542" s="136" t="s">
        <v>31</v>
      </c>
      <c r="C542" s="33">
        <f>+C519</f>
        <v>10095</v>
      </c>
      <c r="D542" s="127"/>
      <c r="E542" s="33">
        <f>+D519</f>
        <v>70500</v>
      </c>
      <c r="F542" s="53"/>
      <c r="G542" s="53"/>
      <c r="H542" s="57">
        <f>+F519</f>
        <v>0</v>
      </c>
      <c r="I542" s="33">
        <f>+E519</f>
        <v>73000</v>
      </c>
      <c r="J542" s="132">
        <f>+SUM(C542:G542)-(H542+I542)</f>
        <v>7595</v>
      </c>
      <c r="K542" s="156" t="b">
        <f t="shared" ref="K542:K550" si="318">J542=I519</f>
        <v>1</v>
      </c>
      <c r="L542" s="5"/>
      <c r="M542" s="5"/>
      <c r="N542" s="5"/>
      <c r="O542" s="5"/>
      <c r="Q542" s="5"/>
    </row>
    <row r="543" spans="1:17">
      <c r="A543" s="130" t="str">
        <f t="shared" si="317"/>
        <v>NOVEMBRE</v>
      </c>
      <c r="B543" s="137" t="s">
        <v>84</v>
      </c>
      <c r="C543" s="128">
        <f>+C520</f>
        <v>233614</v>
      </c>
      <c r="D543" s="131"/>
      <c r="E543" s="128">
        <f>+D520</f>
        <v>0</v>
      </c>
      <c r="F543" s="146"/>
      <c r="G543" s="146"/>
      <c r="H543" s="178">
        <f>+F520</f>
        <v>0</v>
      </c>
      <c r="I543" s="128">
        <f>+E520</f>
        <v>0</v>
      </c>
      <c r="J543" s="129">
        <f>+SUM(C543:G543)-(H543+I543)</f>
        <v>233614</v>
      </c>
      <c r="K543" s="156" t="b">
        <f t="shared" si="318"/>
        <v>1</v>
      </c>
      <c r="L543" s="5"/>
      <c r="M543" s="5"/>
      <c r="N543" s="5"/>
      <c r="O543" s="5"/>
      <c r="Q543" s="5"/>
    </row>
    <row r="544" spans="1:17">
      <c r="A544" s="130" t="str">
        <f t="shared" si="317"/>
        <v>NOVEMBRE</v>
      </c>
      <c r="B544" s="137" t="s">
        <v>83</v>
      </c>
      <c r="C544" s="128">
        <f>+C521</f>
        <v>249769</v>
      </c>
      <c r="D544" s="131"/>
      <c r="E544" s="128">
        <f>+D521</f>
        <v>0</v>
      </c>
      <c r="F544" s="146"/>
      <c r="G544" s="146"/>
      <c r="H544" s="178">
        <f>+F521</f>
        <v>0</v>
      </c>
      <c r="I544" s="128">
        <f>+E521</f>
        <v>0</v>
      </c>
      <c r="J544" s="129">
        <f t="shared" ref="J544:J550" si="319">+SUM(C544:G544)-(H544+I544)</f>
        <v>249769</v>
      </c>
      <c r="K544" s="156" t="b">
        <f t="shared" si="318"/>
        <v>1</v>
      </c>
      <c r="L544" s="5"/>
      <c r="M544" s="5"/>
      <c r="N544" s="5"/>
      <c r="O544" s="5"/>
      <c r="Q544" s="5"/>
    </row>
    <row r="545" spans="1:17">
      <c r="A545" s="130" t="str">
        <f t="shared" si="317"/>
        <v>NOVEMBRE</v>
      </c>
      <c r="B545" s="135" t="s">
        <v>152</v>
      </c>
      <c r="C545" s="33">
        <f>+C522</f>
        <v>3550</v>
      </c>
      <c r="D545" s="32"/>
      <c r="E545" s="33">
        <f>+D522</f>
        <v>43000</v>
      </c>
      <c r="F545" s="33"/>
      <c r="G545" s="110"/>
      <c r="H545" s="57">
        <f>+F522</f>
        <v>0</v>
      </c>
      <c r="I545" s="33">
        <f>+E522</f>
        <v>52550</v>
      </c>
      <c r="J545" s="31">
        <f t="shared" si="319"/>
        <v>-6000</v>
      </c>
      <c r="K545" s="156" t="b">
        <f t="shared" si="318"/>
        <v>1</v>
      </c>
      <c r="L545" s="5"/>
      <c r="M545" s="5"/>
      <c r="N545" s="5"/>
      <c r="O545" s="5"/>
      <c r="Q545" s="5"/>
    </row>
    <row r="546" spans="1:17">
      <c r="A546" s="130" t="str">
        <f t="shared" si="317"/>
        <v>NOVEMBRE</v>
      </c>
      <c r="B546" s="135" t="s">
        <v>151</v>
      </c>
      <c r="C546" s="33">
        <f t="shared" ref="C546:C550" si="320">+C523</f>
        <v>61300</v>
      </c>
      <c r="D546" s="32"/>
      <c r="E546" s="33">
        <f t="shared" ref="E546:E550" si="321">+D523</f>
        <v>53000</v>
      </c>
      <c r="F546" s="33"/>
      <c r="G546" s="110"/>
      <c r="H546" s="57">
        <f t="shared" ref="H546:H550" si="322">+F523</f>
        <v>20000</v>
      </c>
      <c r="I546" s="33">
        <f t="shared" ref="I546:I550" si="323">+E523</f>
        <v>45900</v>
      </c>
      <c r="J546" s="31">
        <f t="shared" si="319"/>
        <v>48400</v>
      </c>
      <c r="K546" s="156" t="b">
        <f t="shared" si="318"/>
        <v>1</v>
      </c>
      <c r="L546" s="5"/>
      <c r="M546" s="5"/>
      <c r="N546" s="5"/>
      <c r="O546" s="5"/>
      <c r="Q546" s="5"/>
    </row>
    <row r="547" spans="1:17">
      <c r="A547" s="130" t="str">
        <f t="shared" si="317"/>
        <v>NOVEMBRE</v>
      </c>
      <c r="B547" s="135" t="s">
        <v>30</v>
      </c>
      <c r="C547" s="33">
        <f t="shared" si="320"/>
        <v>10800</v>
      </c>
      <c r="D547" s="32"/>
      <c r="E547" s="33">
        <f t="shared" si="321"/>
        <v>488000</v>
      </c>
      <c r="F547" s="33"/>
      <c r="G547" s="110"/>
      <c r="H547" s="57">
        <f t="shared" si="322"/>
        <v>0</v>
      </c>
      <c r="I547" s="33">
        <f t="shared" si="323"/>
        <v>492000</v>
      </c>
      <c r="J547" s="31">
        <f t="shared" si="319"/>
        <v>6800</v>
      </c>
      <c r="K547" s="156" t="b">
        <f t="shared" si="318"/>
        <v>1</v>
      </c>
      <c r="L547" s="5"/>
      <c r="M547" s="5"/>
      <c r="N547" s="5"/>
      <c r="O547" s="5"/>
      <c r="Q547" s="5"/>
    </row>
    <row r="548" spans="1:17">
      <c r="A548" s="130" t="str">
        <f>+A546</f>
        <v>NOVEMBRE</v>
      </c>
      <c r="B548" s="135" t="s">
        <v>93</v>
      </c>
      <c r="C548" s="33">
        <f t="shared" si="320"/>
        <v>9500</v>
      </c>
      <c r="D548" s="32"/>
      <c r="E548" s="33">
        <f t="shared" si="321"/>
        <v>20000</v>
      </c>
      <c r="F548" s="33"/>
      <c r="G548" s="110"/>
      <c r="H548" s="57">
        <f t="shared" si="322"/>
        <v>0</v>
      </c>
      <c r="I548" s="33">
        <f t="shared" si="323"/>
        <v>24000</v>
      </c>
      <c r="J548" s="31">
        <f t="shared" si="319"/>
        <v>5500</v>
      </c>
      <c r="K548" s="156" t="b">
        <f t="shared" si="318"/>
        <v>1</v>
      </c>
      <c r="L548" s="5"/>
      <c r="M548" s="5"/>
      <c r="N548" s="5"/>
      <c r="O548" s="5"/>
      <c r="Q548" s="5"/>
    </row>
    <row r="549" spans="1:17">
      <c r="A549" s="130" t="str">
        <f>+A547</f>
        <v>NOVEMBRE</v>
      </c>
      <c r="B549" s="135" t="s">
        <v>29</v>
      </c>
      <c r="C549" s="33">
        <f t="shared" si="320"/>
        <v>21200</v>
      </c>
      <c r="D549" s="32"/>
      <c r="E549" s="33">
        <f t="shared" si="321"/>
        <v>543000</v>
      </c>
      <c r="F549" s="33"/>
      <c r="G549" s="110"/>
      <c r="H549" s="57">
        <f t="shared" si="322"/>
        <v>0</v>
      </c>
      <c r="I549" s="33">
        <f t="shared" si="323"/>
        <v>533500</v>
      </c>
      <c r="J549" s="31">
        <f t="shared" si="319"/>
        <v>30700</v>
      </c>
      <c r="K549" s="156" t="b">
        <f t="shared" si="318"/>
        <v>1</v>
      </c>
      <c r="L549" s="5"/>
      <c r="M549" s="5"/>
      <c r="N549" s="5"/>
      <c r="O549" s="5"/>
      <c r="Q549" s="5"/>
    </row>
    <row r="550" spans="1:17">
      <c r="A550" s="130" t="str">
        <f t="shared" si="317"/>
        <v>NOVEMBRE</v>
      </c>
      <c r="B550" s="136" t="s">
        <v>113</v>
      </c>
      <c r="C550" s="33">
        <f t="shared" si="320"/>
        <v>26193</v>
      </c>
      <c r="D550" s="127"/>
      <c r="E550" s="33">
        <f t="shared" si="321"/>
        <v>36000</v>
      </c>
      <c r="F550" s="53"/>
      <c r="G550" s="147"/>
      <c r="H550" s="57">
        <f t="shared" si="322"/>
        <v>0</v>
      </c>
      <c r="I550" s="33">
        <f t="shared" si="323"/>
        <v>53000</v>
      </c>
      <c r="J550" s="31">
        <f t="shared" si="319"/>
        <v>9193</v>
      </c>
      <c r="K550" s="156" t="b">
        <f t="shared" si="318"/>
        <v>1</v>
      </c>
      <c r="L550" s="5"/>
      <c r="M550" s="5"/>
      <c r="N550" s="5"/>
      <c r="O550" s="5"/>
      <c r="Q550" s="5"/>
    </row>
    <row r="551" spans="1:17">
      <c r="A551" s="35" t="s">
        <v>60</v>
      </c>
      <c r="B551" s="36"/>
      <c r="C551" s="36"/>
      <c r="D551" s="36"/>
      <c r="E551" s="36"/>
      <c r="F551" s="36"/>
      <c r="G551" s="36"/>
      <c r="H551" s="36"/>
      <c r="I551" s="36"/>
      <c r="J551" s="37"/>
      <c r="K551" s="155"/>
      <c r="L551" s="5"/>
      <c r="M551" s="5"/>
      <c r="N551" s="5"/>
      <c r="O551" s="5"/>
      <c r="Q551" s="5"/>
    </row>
    <row r="552" spans="1:17">
      <c r="A552" s="130" t="str">
        <f>+A550</f>
        <v>NOVEMBRE</v>
      </c>
      <c r="B552" s="38" t="s">
        <v>61</v>
      </c>
      <c r="C552" s="39">
        <f>+C517</f>
        <v>1685107</v>
      </c>
      <c r="D552" s="51"/>
      <c r="E552" s="51">
        <f>D517</f>
        <v>4090000</v>
      </c>
      <c r="F552" s="51"/>
      <c r="G552" s="133"/>
      <c r="H552" s="53">
        <f>+F517</f>
        <v>1994500</v>
      </c>
      <c r="I552" s="134">
        <f>+E517</f>
        <v>2854238</v>
      </c>
      <c r="J552" s="46">
        <f>+SUM(C552:G552)-(H552+I552)</f>
        <v>926369</v>
      </c>
      <c r="K552" s="156" t="b">
        <f>J552=I517</f>
        <v>1</v>
      </c>
      <c r="L552" s="5"/>
      <c r="M552" s="5"/>
      <c r="N552" s="5"/>
      <c r="O552" s="5"/>
      <c r="Q552" s="5"/>
    </row>
    <row r="553" spans="1:17">
      <c r="A553" s="44" t="s">
        <v>62</v>
      </c>
      <c r="B553" s="25"/>
      <c r="C553" s="36"/>
      <c r="D553" s="25"/>
      <c r="E553" s="25"/>
      <c r="F553" s="25"/>
      <c r="G553" s="25"/>
      <c r="H553" s="25"/>
      <c r="I553" s="25"/>
      <c r="J553" s="37"/>
      <c r="K553" s="155"/>
      <c r="L553" s="5"/>
      <c r="M553" s="5"/>
      <c r="N553" s="5"/>
      <c r="O553" s="5"/>
      <c r="Q553" s="5"/>
    </row>
    <row r="554" spans="1:17">
      <c r="A554" s="130" t="str">
        <f>+A552</f>
        <v>NOVEMBRE</v>
      </c>
      <c r="B554" s="38" t="s">
        <v>166</v>
      </c>
      <c r="C554" s="133">
        <f>+C515</f>
        <v>6762063</v>
      </c>
      <c r="D554" s="140">
        <f>+G515</f>
        <v>0</v>
      </c>
      <c r="E554" s="51"/>
      <c r="F554" s="51"/>
      <c r="G554" s="51"/>
      <c r="H554" s="53">
        <f>+F515</f>
        <v>1000000</v>
      </c>
      <c r="I554" s="55">
        <f>+E515</f>
        <v>23345</v>
      </c>
      <c r="J554" s="46">
        <f>+SUM(C554:G554)-(H554+I554)</f>
        <v>5738718</v>
      </c>
      <c r="K554" s="156" t="b">
        <f>+J554=I515</f>
        <v>1</v>
      </c>
      <c r="L554" s="5"/>
      <c r="M554" s="5"/>
      <c r="N554" s="5"/>
      <c r="O554" s="5"/>
      <c r="Q554" s="5"/>
    </row>
    <row r="555" spans="1:17">
      <c r="A555" s="130" t="str">
        <f t="shared" ref="A555" si="324">+A554</f>
        <v>NOVEMBRE</v>
      </c>
      <c r="B555" s="38" t="s">
        <v>64</v>
      </c>
      <c r="C555" s="133">
        <f>+C516</f>
        <v>23107840</v>
      </c>
      <c r="D555" s="51">
        <f>+G516</f>
        <v>0</v>
      </c>
      <c r="E555" s="50"/>
      <c r="F555" s="50"/>
      <c r="G555" s="50"/>
      <c r="H555" s="33">
        <f>+F516</f>
        <v>3000000</v>
      </c>
      <c r="I555" s="52">
        <f>+E516</f>
        <v>4020633</v>
      </c>
      <c r="J555" s="46">
        <f>SUM(C555:G555)-(H555+I555)</f>
        <v>16087207</v>
      </c>
      <c r="K555" s="156" t="b">
        <f>+J555=I516</f>
        <v>1</v>
      </c>
      <c r="L555" s="5"/>
      <c r="M555" s="5"/>
      <c r="N555" s="5"/>
      <c r="O555" s="5"/>
      <c r="Q555" s="5"/>
    </row>
    <row r="556" spans="1:17" ht="15.75">
      <c r="C556" s="151">
        <f>SUM(C540:C555)</f>
        <v>32188231</v>
      </c>
      <c r="I556" s="149">
        <f>SUM(I540:I555)</f>
        <v>8513041</v>
      </c>
      <c r="J556" s="111">
        <f>+SUM(J539:J555)</f>
        <v>23367297</v>
      </c>
      <c r="K556" s="5" t="b">
        <f>J556=I528</f>
        <v>1</v>
      </c>
      <c r="L556" s="5"/>
      <c r="M556" s="5"/>
      <c r="N556" s="5"/>
      <c r="O556" s="5"/>
      <c r="Q556" s="5"/>
    </row>
    <row r="557" spans="1:17">
      <c r="G557" s="9"/>
      <c r="L557" s="5"/>
      <c r="M557" s="5"/>
      <c r="N557" s="5"/>
      <c r="O557" s="5"/>
      <c r="Q557" s="5"/>
    </row>
    <row r="558" spans="1:17">
      <c r="A558" s="16" t="s">
        <v>52</v>
      </c>
      <c r="B558" s="16"/>
      <c r="C558" s="16"/>
      <c r="D558" s="17"/>
      <c r="E558" s="17"/>
      <c r="F558" s="17"/>
      <c r="G558" s="17"/>
      <c r="H558" s="17"/>
      <c r="I558" s="17"/>
      <c r="L558" s="5"/>
      <c r="M558" s="5"/>
      <c r="N558" s="5"/>
      <c r="O558" s="5"/>
      <c r="Q558" s="5"/>
    </row>
    <row r="559" spans="1:17">
      <c r="A559" s="18" t="s">
        <v>161</v>
      </c>
      <c r="B559" s="18"/>
      <c r="C559" s="18"/>
      <c r="D559" s="18"/>
      <c r="E559" s="18"/>
      <c r="F559" s="18"/>
      <c r="G559" s="18"/>
      <c r="H559" s="18"/>
      <c r="I559" s="18"/>
      <c r="J559" s="18"/>
      <c r="L559" s="5"/>
      <c r="M559" s="5"/>
      <c r="N559" s="5"/>
      <c r="O559" s="5"/>
      <c r="Q559" s="5"/>
    </row>
    <row r="560" spans="1:17">
      <c r="A560" s="19"/>
      <c r="B560" s="20"/>
      <c r="C560" s="21"/>
      <c r="D560" s="21"/>
      <c r="E560" s="21"/>
      <c r="F560" s="21"/>
      <c r="G560" s="21"/>
      <c r="H560" s="20"/>
      <c r="I560" s="20"/>
      <c r="L560" s="5"/>
      <c r="M560" s="5"/>
      <c r="N560" s="5"/>
      <c r="O560" s="5"/>
      <c r="Q560" s="5"/>
    </row>
    <row r="561" spans="1:17">
      <c r="A561" s="379" t="s">
        <v>53</v>
      </c>
      <c r="B561" s="381" t="s">
        <v>54</v>
      </c>
      <c r="C561" s="383" t="s">
        <v>158</v>
      </c>
      <c r="D561" s="385" t="s">
        <v>55</v>
      </c>
      <c r="E561" s="386"/>
      <c r="F561" s="386"/>
      <c r="G561" s="387"/>
      <c r="H561" s="388" t="s">
        <v>56</v>
      </c>
      <c r="I561" s="390" t="s">
        <v>57</v>
      </c>
      <c r="J561" s="20"/>
      <c r="L561" s="5"/>
      <c r="M561" s="5"/>
      <c r="N561" s="5"/>
      <c r="O561" s="5"/>
      <c r="Q561" s="5"/>
    </row>
    <row r="562" spans="1:17">
      <c r="A562" s="380"/>
      <c r="B562" s="382"/>
      <c r="C562" s="384"/>
      <c r="D562" s="22" t="s">
        <v>24</v>
      </c>
      <c r="E562" s="22" t="s">
        <v>25</v>
      </c>
      <c r="F562" s="180" t="s">
        <v>123</v>
      </c>
      <c r="G562" s="22" t="s">
        <v>58</v>
      </c>
      <c r="H562" s="389"/>
      <c r="I562" s="391"/>
      <c r="J562" s="392" t="s">
        <v>159</v>
      </c>
      <c r="K562" s="155"/>
      <c r="L562" s="5"/>
      <c r="M562" s="5"/>
      <c r="N562" s="5"/>
      <c r="O562" s="5"/>
      <c r="Q562" s="5"/>
    </row>
    <row r="563" spans="1:17">
      <c r="A563" s="24"/>
      <c r="B563" s="25" t="s">
        <v>59</v>
      </c>
      <c r="C563" s="26"/>
      <c r="D563" s="26"/>
      <c r="E563" s="26"/>
      <c r="F563" s="26"/>
      <c r="G563" s="26"/>
      <c r="H563" s="26"/>
      <c r="I563" s="27"/>
      <c r="J563" s="393"/>
      <c r="K563" s="155"/>
      <c r="L563" s="5"/>
      <c r="M563" s="5"/>
      <c r="N563" s="5"/>
      <c r="O563" s="5"/>
      <c r="Q563" s="5"/>
    </row>
    <row r="564" spans="1:17">
      <c r="A564" s="130" t="s">
        <v>90</v>
      </c>
      <c r="B564" s="135" t="s">
        <v>162</v>
      </c>
      <c r="C564" s="33">
        <f>+C513</f>
        <v>6757</v>
      </c>
      <c r="D564" s="32"/>
      <c r="E564" s="33">
        <f>+D513</f>
        <v>337000</v>
      </c>
      <c r="F564" s="33"/>
      <c r="G564" s="33"/>
      <c r="H564" s="57">
        <f>+F513</f>
        <v>0</v>
      </c>
      <c r="I564" s="33">
        <f>+E513</f>
        <v>314650</v>
      </c>
      <c r="J564" s="31">
        <f>+SUM(C564:G564)-(H564+I564)</f>
        <v>29107</v>
      </c>
      <c r="K564" s="156" t="b">
        <f>J564=I513</f>
        <v>1</v>
      </c>
      <c r="L564" s="5"/>
      <c r="M564" s="5"/>
      <c r="N564" s="5"/>
      <c r="O564" s="5"/>
      <c r="Q564" s="5"/>
    </row>
    <row r="565" spans="1:17">
      <c r="A565" s="130" t="s">
        <v>90</v>
      </c>
      <c r="B565" s="135" t="s">
        <v>47</v>
      </c>
      <c r="C565" s="33">
        <f t="shared" ref="C565:C574" si="325">C517</f>
        <v>1685107</v>
      </c>
      <c r="D565" s="32"/>
      <c r="E565" s="33">
        <f>+D517</f>
        <v>4090000</v>
      </c>
      <c r="F565" s="33"/>
      <c r="G565" s="33"/>
      <c r="H565" s="57">
        <f t="shared" ref="H565:H574" si="326">+F517</f>
        <v>1994500</v>
      </c>
      <c r="I565" s="33">
        <f t="shared" ref="I565:I574" si="327">+E517</f>
        <v>2854238</v>
      </c>
      <c r="J565" s="31">
        <f t="shared" ref="J565:J566" si="328">+SUM(C565:G565)-(H565+I565)</f>
        <v>926369</v>
      </c>
      <c r="K565" s="156" t="b">
        <f t="shared" ref="K565:K575" si="329">J565=I517</f>
        <v>1</v>
      </c>
      <c r="L565" s="5"/>
      <c r="M565" s="5"/>
      <c r="N565" s="5"/>
      <c r="O565" s="5"/>
      <c r="Q565" s="5"/>
    </row>
    <row r="566" spans="1:17">
      <c r="A566" s="130" t="str">
        <f>+A565</f>
        <v>OCTOBRE</v>
      </c>
      <c r="B566" s="135" t="s">
        <v>31</v>
      </c>
      <c r="C566" s="33">
        <f t="shared" si="325"/>
        <v>7200</v>
      </c>
      <c r="D566" s="32"/>
      <c r="E566" s="33">
        <f>+D518</f>
        <v>286000</v>
      </c>
      <c r="F566" s="33"/>
      <c r="G566" s="33"/>
      <c r="H566" s="57">
        <f t="shared" si="326"/>
        <v>70000</v>
      </c>
      <c r="I566" s="33">
        <f t="shared" si="327"/>
        <v>226875</v>
      </c>
      <c r="J566" s="107">
        <f t="shared" si="328"/>
        <v>-3675</v>
      </c>
      <c r="K566" s="156" t="b">
        <f t="shared" si="329"/>
        <v>1</v>
      </c>
      <c r="L566" s="5"/>
      <c r="M566" s="5"/>
      <c r="N566" s="5"/>
      <c r="O566" s="5"/>
      <c r="Q566" s="5"/>
    </row>
    <row r="567" spans="1:17">
      <c r="A567" s="130" t="str">
        <f t="shared" ref="A567:A575" si="330">+A566</f>
        <v>OCTOBRE</v>
      </c>
      <c r="B567" s="136" t="s">
        <v>152</v>
      </c>
      <c r="C567" s="33">
        <f t="shared" si="325"/>
        <v>10095</v>
      </c>
      <c r="D567" s="127"/>
      <c r="E567" s="33">
        <f>D519</f>
        <v>70500</v>
      </c>
      <c r="F567" s="53"/>
      <c r="G567" s="53"/>
      <c r="H567" s="57">
        <f t="shared" si="326"/>
        <v>0</v>
      </c>
      <c r="I567" s="33">
        <f t="shared" si="327"/>
        <v>73000</v>
      </c>
      <c r="J567" s="132">
        <f>+SUM(C567:G567)-(H567+I567)</f>
        <v>7595</v>
      </c>
      <c r="K567" s="156" t="b">
        <f t="shared" si="329"/>
        <v>1</v>
      </c>
      <c r="L567" s="5"/>
      <c r="M567" s="5"/>
      <c r="N567" s="5"/>
      <c r="O567" s="5"/>
      <c r="Q567" s="5"/>
    </row>
    <row r="568" spans="1:17">
      <c r="A568" s="130" t="str">
        <f t="shared" si="330"/>
        <v>OCTOBRE</v>
      </c>
      <c r="B568" s="137" t="s">
        <v>84</v>
      </c>
      <c r="C568" s="128">
        <f t="shared" si="325"/>
        <v>233614</v>
      </c>
      <c r="D568" s="131"/>
      <c r="E568" s="128">
        <f t="shared" ref="E568:E572" si="331">+D520</f>
        <v>0</v>
      </c>
      <c r="F568" s="146"/>
      <c r="G568" s="146"/>
      <c r="H568" s="178">
        <f t="shared" si="326"/>
        <v>0</v>
      </c>
      <c r="I568" s="128">
        <f t="shared" si="327"/>
        <v>0</v>
      </c>
      <c r="J568" s="129">
        <f>+SUM(C568:G568)-(H568+I568)</f>
        <v>233614</v>
      </c>
      <c r="K568" s="156" t="b">
        <f t="shared" si="329"/>
        <v>1</v>
      </c>
      <c r="L568" s="5"/>
      <c r="M568" s="5"/>
      <c r="N568" s="5"/>
      <c r="O568" s="5"/>
      <c r="Q568" s="5"/>
    </row>
    <row r="569" spans="1:17">
      <c r="A569" s="130" t="str">
        <f t="shared" si="330"/>
        <v>OCTOBRE</v>
      </c>
      <c r="B569" s="137" t="s">
        <v>83</v>
      </c>
      <c r="C569" s="128">
        <f t="shared" si="325"/>
        <v>249769</v>
      </c>
      <c r="D569" s="131"/>
      <c r="E569" s="128">
        <f t="shared" si="331"/>
        <v>0</v>
      </c>
      <c r="F569" s="146"/>
      <c r="G569" s="146"/>
      <c r="H569" s="178">
        <f t="shared" si="326"/>
        <v>0</v>
      </c>
      <c r="I569" s="128">
        <f t="shared" si="327"/>
        <v>0</v>
      </c>
      <c r="J569" s="129">
        <f t="shared" ref="J569:J575" si="332">+SUM(C569:G569)-(H569+I569)</f>
        <v>249769</v>
      </c>
      <c r="K569" s="156" t="b">
        <f t="shared" si="329"/>
        <v>1</v>
      </c>
      <c r="L569" s="5"/>
      <c r="M569" s="5"/>
      <c r="N569" s="5"/>
      <c r="O569" s="5"/>
      <c r="Q569" s="5"/>
    </row>
    <row r="570" spans="1:17">
      <c r="A570" s="130" t="str">
        <f t="shared" si="330"/>
        <v>OCTOBRE</v>
      </c>
      <c r="B570" s="135" t="s">
        <v>151</v>
      </c>
      <c r="C570" s="33">
        <f t="shared" si="325"/>
        <v>3550</v>
      </c>
      <c r="D570" s="32"/>
      <c r="E570" s="33">
        <f t="shared" si="331"/>
        <v>43000</v>
      </c>
      <c r="F570" s="33"/>
      <c r="G570" s="110"/>
      <c r="H570" s="57">
        <f t="shared" si="326"/>
        <v>0</v>
      </c>
      <c r="I570" s="33">
        <f t="shared" si="327"/>
        <v>52550</v>
      </c>
      <c r="J570" s="31">
        <f t="shared" si="332"/>
        <v>-6000</v>
      </c>
      <c r="K570" s="156" t="b">
        <f t="shared" si="329"/>
        <v>1</v>
      </c>
      <c r="L570" s="5"/>
      <c r="M570" s="5"/>
      <c r="N570" s="5"/>
      <c r="O570" s="5"/>
      <c r="Q570" s="5"/>
    </row>
    <row r="571" spans="1:17">
      <c r="A571" s="130" t="str">
        <f t="shared" si="330"/>
        <v>OCTOBRE</v>
      </c>
      <c r="B571" s="135" t="s">
        <v>30</v>
      </c>
      <c r="C571" s="33">
        <f t="shared" si="325"/>
        <v>61300</v>
      </c>
      <c r="D571" s="32"/>
      <c r="E571" s="33">
        <f t="shared" si="331"/>
        <v>53000</v>
      </c>
      <c r="F571" s="33"/>
      <c r="G571" s="110"/>
      <c r="H571" s="57">
        <f t="shared" si="326"/>
        <v>20000</v>
      </c>
      <c r="I571" s="33">
        <f t="shared" si="327"/>
        <v>45900</v>
      </c>
      <c r="J571" s="31">
        <f t="shared" si="332"/>
        <v>48400</v>
      </c>
      <c r="K571" s="156" t="b">
        <f t="shared" si="329"/>
        <v>1</v>
      </c>
      <c r="L571" s="5"/>
      <c r="M571" s="5"/>
      <c r="N571" s="5"/>
      <c r="O571" s="5"/>
      <c r="Q571" s="5"/>
    </row>
    <row r="572" spans="1:17">
      <c r="A572" s="130" t="str">
        <f t="shared" si="330"/>
        <v>OCTOBRE</v>
      </c>
      <c r="B572" s="135" t="s">
        <v>93</v>
      </c>
      <c r="C572" s="33">
        <f t="shared" si="325"/>
        <v>10800</v>
      </c>
      <c r="D572" s="32"/>
      <c r="E572" s="33">
        <f t="shared" si="331"/>
        <v>488000</v>
      </c>
      <c r="F572" s="33"/>
      <c r="G572" s="110"/>
      <c r="H572" s="57">
        <f t="shared" si="326"/>
        <v>0</v>
      </c>
      <c r="I572" s="33">
        <f t="shared" si="327"/>
        <v>492000</v>
      </c>
      <c r="J572" s="31">
        <f t="shared" si="332"/>
        <v>6800</v>
      </c>
      <c r="K572" s="156" t="b">
        <f t="shared" si="329"/>
        <v>1</v>
      </c>
      <c r="L572" s="5"/>
      <c r="M572" s="5"/>
      <c r="N572" s="5"/>
      <c r="O572" s="5"/>
      <c r="Q572" s="5"/>
    </row>
    <row r="573" spans="1:17">
      <c r="A573" s="130" t="str">
        <f>+A571</f>
        <v>OCTOBRE</v>
      </c>
      <c r="B573" s="135" t="s">
        <v>29</v>
      </c>
      <c r="C573" s="33">
        <f t="shared" si="325"/>
        <v>9500</v>
      </c>
      <c r="D573" s="32"/>
      <c r="E573" s="33">
        <f>+D525</f>
        <v>20000</v>
      </c>
      <c r="F573" s="33"/>
      <c r="G573" s="110"/>
      <c r="H573" s="57">
        <f t="shared" si="326"/>
        <v>0</v>
      </c>
      <c r="I573" s="33">
        <f t="shared" si="327"/>
        <v>24000</v>
      </c>
      <c r="J573" s="31">
        <f t="shared" ref="J573" si="333">+SUM(C573:G573)-(H573+I573)</f>
        <v>5500</v>
      </c>
      <c r="K573" s="156" t="b">
        <f t="shared" si="329"/>
        <v>1</v>
      </c>
      <c r="L573" s="5"/>
      <c r="M573" s="5"/>
      <c r="N573" s="5"/>
      <c r="O573" s="5"/>
      <c r="Q573" s="5"/>
    </row>
    <row r="574" spans="1:17">
      <c r="A574" s="130" t="str">
        <f>+A572</f>
        <v>OCTOBRE</v>
      </c>
      <c r="B574" s="135" t="s">
        <v>155</v>
      </c>
      <c r="C574" s="33">
        <f t="shared" si="325"/>
        <v>21200</v>
      </c>
      <c r="D574" s="32"/>
      <c r="E574" s="33">
        <f>+D526</f>
        <v>543000</v>
      </c>
      <c r="F574" s="33"/>
      <c r="G574" s="110"/>
      <c r="H574" s="57">
        <f t="shared" si="326"/>
        <v>0</v>
      </c>
      <c r="I574" s="33">
        <f t="shared" si="327"/>
        <v>533500</v>
      </c>
      <c r="J574" s="31">
        <f t="shared" si="332"/>
        <v>30700</v>
      </c>
      <c r="K574" s="156" t="b">
        <f t="shared" si="329"/>
        <v>1</v>
      </c>
      <c r="L574" s="5"/>
      <c r="M574" s="5"/>
      <c r="N574" s="5"/>
      <c r="O574" s="5"/>
      <c r="Q574" s="5"/>
    </row>
    <row r="575" spans="1:17">
      <c r="A575" s="130" t="str">
        <f t="shared" si="330"/>
        <v>OCTOBRE</v>
      </c>
      <c r="B575" s="136" t="s">
        <v>113</v>
      </c>
      <c r="C575" s="33">
        <f t="shared" ref="C575" si="334">C527</f>
        <v>26193</v>
      </c>
      <c r="D575" s="127"/>
      <c r="E575" s="33">
        <f t="shared" ref="E575" si="335">+D527</f>
        <v>36000</v>
      </c>
      <c r="F575" s="53"/>
      <c r="G575" s="147"/>
      <c r="H575" s="57">
        <f t="shared" ref="H575" si="336">+F527</f>
        <v>0</v>
      </c>
      <c r="I575" s="33">
        <f t="shared" ref="I575" si="337">+E527</f>
        <v>53000</v>
      </c>
      <c r="J575" s="31">
        <f t="shared" si="332"/>
        <v>9193</v>
      </c>
      <c r="K575" s="156" t="b">
        <f t="shared" si="329"/>
        <v>1</v>
      </c>
      <c r="L575" s="5"/>
      <c r="M575" s="5"/>
      <c r="N575" s="5"/>
      <c r="O575" s="5"/>
      <c r="Q575" s="5"/>
    </row>
    <row r="576" spans="1:17">
      <c r="A576" s="35" t="s">
        <v>60</v>
      </c>
      <c r="B576" s="36"/>
      <c r="C576" s="36"/>
      <c r="D576" s="36"/>
      <c r="E576" s="36"/>
      <c r="F576" s="36"/>
      <c r="G576" s="36"/>
      <c r="H576" s="36"/>
      <c r="I576" s="36"/>
      <c r="J576" s="37"/>
      <c r="K576" s="155"/>
      <c r="L576" s="5"/>
      <c r="M576" s="5"/>
      <c r="N576" s="5"/>
      <c r="O576" s="5"/>
      <c r="Q576" s="5"/>
    </row>
    <row r="577" spans="1:17">
      <c r="A577" s="130" t="str">
        <f>+A575</f>
        <v>OCTOBRE</v>
      </c>
      <c r="B577" s="38" t="s">
        <v>61</v>
      </c>
      <c r="C577" s="39">
        <f>C516</f>
        <v>23107840</v>
      </c>
      <c r="D577" s="51"/>
      <c r="E577" s="51">
        <f>D516</f>
        <v>0</v>
      </c>
      <c r="F577" s="51"/>
      <c r="G577" s="133"/>
      <c r="H577" s="53">
        <f>+F516</f>
        <v>3000000</v>
      </c>
      <c r="I577" s="134">
        <f>+E516</f>
        <v>4020633</v>
      </c>
      <c r="J577" s="46">
        <f>+SUM(C577:G577)-(H577+I577)</f>
        <v>16087207</v>
      </c>
      <c r="K577" s="156" t="b">
        <f>J577=I516</f>
        <v>1</v>
      </c>
      <c r="L577" s="5"/>
      <c r="M577" s="5"/>
      <c r="N577" s="5"/>
      <c r="O577" s="5"/>
      <c r="Q577" s="5"/>
    </row>
    <row r="578" spans="1:17">
      <c r="A578" s="44" t="s">
        <v>62</v>
      </c>
      <c r="B578" s="25"/>
      <c r="C578" s="36"/>
      <c r="D578" s="25"/>
      <c r="E578" s="25"/>
      <c r="F578" s="25"/>
      <c r="G578" s="25"/>
      <c r="H578" s="25"/>
      <c r="I578" s="25"/>
      <c r="J578" s="37"/>
      <c r="K578" s="155"/>
      <c r="L578" s="5"/>
      <c r="M578" s="5"/>
      <c r="N578" s="5"/>
      <c r="O578" s="5"/>
      <c r="Q578" s="5"/>
    </row>
    <row r="579" spans="1:17">
      <c r="A579" s="130" t="str">
        <f>+A577</f>
        <v>OCTOBRE</v>
      </c>
      <c r="B579" s="38" t="s">
        <v>166</v>
      </c>
      <c r="C579" s="133">
        <f>C514</f>
        <v>0</v>
      </c>
      <c r="D579" s="140">
        <f>G514</f>
        <v>0</v>
      </c>
      <c r="E579" s="51"/>
      <c r="F579" s="51"/>
      <c r="G579" s="51"/>
      <c r="H579" s="53">
        <f>+F514</f>
        <v>0</v>
      </c>
      <c r="I579" s="55">
        <f>+E514</f>
        <v>114000</v>
      </c>
      <c r="J579" s="46">
        <f>+SUM(C579:G579)-(H579+I579)</f>
        <v>-114000</v>
      </c>
      <c r="K579" s="156" t="b">
        <f>+J579=I514</f>
        <v>0</v>
      </c>
      <c r="L579" s="5"/>
      <c r="M579" s="5"/>
      <c r="N579" s="5"/>
      <c r="O579" s="5"/>
      <c r="Q579" s="5"/>
    </row>
    <row r="580" spans="1:17">
      <c r="A580" s="130" t="str">
        <f t="shared" ref="A580" si="338">+A579</f>
        <v>OCTOBRE</v>
      </c>
      <c r="B580" s="38" t="s">
        <v>64</v>
      </c>
      <c r="C580" s="133">
        <f>C515</f>
        <v>6762063</v>
      </c>
      <c r="D580" s="51">
        <f>G515</f>
        <v>0</v>
      </c>
      <c r="E580" s="50"/>
      <c r="F580" s="50"/>
      <c r="G580" s="50"/>
      <c r="H580" s="33">
        <f>+F515</f>
        <v>1000000</v>
      </c>
      <c r="I580" s="52">
        <f>+E515</f>
        <v>23345</v>
      </c>
      <c r="J580" s="46">
        <f>SUM(C580:G580)-(H580+I580)</f>
        <v>5738718</v>
      </c>
      <c r="K580" s="156" t="b">
        <f>+J580=I515</f>
        <v>1</v>
      </c>
      <c r="L580" s="5"/>
      <c r="M580" s="5"/>
      <c r="N580" s="5"/>
      <c r="O580" s="5"/>
      <c r="Q580" s="5"/>
    </row>
    <row r="581" spans="1:17" ht="15.75">
      <c r="C581" s="151">
        <f>SUM(C565:C580)</f>
        <v>32188231</v>
      </c>
      <c r="I581" s="149">
        <f>SUM(I565:I580)</f>
        <v>8513041</v>
      </c>
      <c r="J581" s="111">
        <f>+SUM(J564:J580)</f>
        <v>23249297</v>
      </c>
      <c r="K581" s="5" t="b">
        <f>J581=I528</f>
        <v>0</v>
      </c>
      <c r="L581" s="5"/>
      <c r="M581" s="5"/>
      <c r="N581" s="5"/>
      <c r="O581" s="5"/>
      <c r="Q581" s="5"/>
    </row>
    <row r="582" spans="1:17">
      <c r="G582" s="9"/>
      <c r="L582" s="5"/>
      <c r="M582" s="5"/>
      <c r="N582" s="5"/>
      <c r="O582" s="5"/>
      <c r="Q582" s="5"/>
    </row>
    <row r="583" spans="1:17">
      <c r="A583" s="16" t="s">
        <v>52</v>
      </c>
      <c r="B583" s="16"/>
      <c r="C583" s="16"/>
      <c r="D583" s="17"/>
      <c r="E583" s="17"/>
      <c r="F583" s="17"/>
      <c r="G583" s="17"/>
      <c r="H583" s="17"/>
      <c r="I583" s="17"/>
      <c r="L583" s="5"/>
      <c r="M583" s="5"/>
      <c r="N583" s="5"/>
      <c r="O583" s="5"/>
      <c r="Q583" s="5"/>
    </row>
    <row r="584" spans="1:17">
      <c r="A584" s="18" t="s">
        <v>153</v>
      </c>
      <c r="B584" s="18"/>
      <c r="C584" s="18"/>
      <c r="D584" s="18"/>
      <c r="E584" s="18"/>
      <c r="F584" s="18"/>
      <c r="G584" s="18"/>
      <c r="H584" s="18"/>
      <c r="I584" s="18"/>
      <c r="J584" s="18"/>
      <c r="L584" s="5"/>
      <c r="M584" s="5"/>
      <c r="N584" s="5"/>
      <c r="O584" s="5"/>
      <c r="Q584" s="5"/>
    </row>
    <row r="585" spans="1:17">
      <c r="A585" s="19"/>
      <c r="B585" s="20"/>
      <c r="C585" s="21"/>
      <c r="D585" s="21"/>
      <c r="E585" s="21"/>
      <c r="F585" s="21"/>
      <c r="G585" s="21"/>
      <c r="H585" s="20"/>
      <c r="I585" s="20"/>
      <c r="L585" s="5"/>
      <c r="M585" s="5"/>
      <c r="N585" s="5"/>
      <c r="O585" s="5"/>
      <c r="Q585" s="5"/>
    </row>
    <row r="586" spans="1:17">
      <c r="A586" s="379" t="s">
        <v>53</v>
      </c>
      <c r="B586" s="381" t="s">
        <v>54</v>
      </c>
      <c r="C586" s="383" t="s">
        <v>154</v>
      </c>
      <c r="D586" s="385" t="s">
        <v>55</v>
      </c>
      <c r="E586" s="386"/>
      <c r="F586" s="386"/>
      <c r="G586" s="387"/>
      <c r="H586" s="388" t="s">
        <v>56</v>
      </c>
      <c r="I586" s="390" t="s">
        <v>57</v>
      </c>
      <c r="J586" s="20"/>
      <c r="L586" s="5"/>
      <c r="M586" s="5"/>
      <c r="N586" s="5"/>
      <c r="O586" s="5"/>
      <c r="Q586" s="5"/>
    </row>
    <row r="587" spans="1:17">
      <c r="A587" s="380"/>
      <c r="B587" s="382"/>
      <c r="C587" s="384"/>
      <c r="D587" s="22" t="s">
        <v>24</v>
      </c>
      <c r="E587" s="22" t="s">
        <v>25</v>
      </c>
      <c r="F587" s="179" t="s">
        <v>123</v>
      </c>
      <c r="G587" s="22" t="s">
        <v>58</v>
      </c>
      <c r="H587" s="389"/>
      <c r="I587" s="391"/>
      <c r="J587" s="392" t="s">
        <v>160</v>
      </c>
      <c r="K587" s="155"/>
      <c r="L587" s="5"/>
      <c r="M587" s="5"/>
      <c r="N587" s="5"/>
      <c r="O587" s="5"/>
      <c r="Q587" s="5"/>
    </row>
    <row r="588" spans="1:17">
      <c r="A588" s="24"/>
      <c r="B588" s="25" t="s">
        <v>59</v>
      </c>
      <c r="C588" s="26"/>
      <c r="D588" s="26"/>
      <c r="E588" s="26"/>
      <c r="F588" s="26"/>
      <c r="G588" s="26"/>
      <c r="H588" s="26"/>
      <c r="I588" s="27"/>
      <c r="J588" s="393"/>
      <c r="K588" s="155"/>
      <c r="L588" s="5"/>
      <c r="M588" s="5"/>
      <c r="N588" s="5"/>
      <c r="O588" s="5"/>
      <c r="Q588" s="5"/>
    </row>
    <row r="589" spans="1:17">
      <c r="A589" s="130" t="s">
        <v>79</v>
      </c>
      <c r="B589" s="135" t="s">
        <v>47</v>
      </c>
      <c r="C589" s="33" t="e">
        <f>#REF!</f>
        <v>#REF!</v>
      </c>
      <c r="D589" s="32"/>
      <c r="E589" s="33" t="e">
        <f>+#REF!</f>
        <v>#REF!</v>
      </c>
      <c r="F589" s="33"/>
      <c r="G589" s="33"/>
      <c r="H589" s="57" t="e">
        <f>+#REF!</f>
        <v>#REF!</v>
      </c>
      <c r="I589" s="33" t="e">
        <f>+#REF!</f>
        <v>#REF!</v>
      </c>
      <c r="J589" s="31" t="e">
        <f t="shared" ref="J589:J590" si="339">+SUM(C589:G589)-(H589+I589)</f>
        <v>#REF!</v>
      </c>
      <c r="K589" s="156" t="e">
        <f>J589=#REF!</f>
        <v>#REF!</v>
      </c>
      <c r="L589" s="5"/>
      <c r="M589" s="5"/>
      <c r="N589" s="5"/>
      <c r="O589" s="5"/>
      <c r="Q589" s="5"/>
    </row>
    <row r="590" spans="1:17">
      <c r="A590" s="130" t="str">
        <f>+A589</f>
        <v>SEPTEMBRE</v>
      </c>
      <c r="B590" s="135" t="s">
        <v>31</v>
      </c>
      <c r="C590" s="33" t="e">
        <f>#REF!</f>
        <v>#REF!</v>
      </c>
      <c r="D590" s="32"/>
      <c r="E590" s="33" t="e">
        <f>+#REF!</f>
        <v>#REF!</v>
      </c>
      <c r="F590" s="33"/>
      <c r="G590" s="33"/>
      <c r="H590" s="57" t="e">
        <f>+#REF!</f>
        <v>#REF!</v>
      </c>
      <c r="I590" s="33" t="e">
        <f>+#REF!</f>
        <v>#REF!</v>
      </c>
      <c r="J590" s="107" t="e">
        <f t="shared" si="339"/>
        <v>#REF!</v>
      </c>
      <c r="K590" s="156" t="e">
        <f>J590=#REF!</f>
        <v>#REF!</v>
      </c>
      <c r="L590" s="5"/>
      <c r="M590" s="5"/>
      <c r="N590" s="5"/>
      <c r="O590" s="5"/>
      <c r="Q590" s="5"/>
    </row>
    <row r="591" spans="1:17">
      <c r="A591" s="130" t="str">
        <f t="shared" ref="A591:A598" si="340">+A590</f>
        <v>SEPTEMBRE</v>
      </c>
      <c r="B591" s="136" t="s">
        <v>152</v>
      </c>
      <c r="C591" s="33" t="e">
        <f>#REF!</f>
        <v>#REF!</v>
      </c>
      <c r="D591" s="127"/>
      <c r="E591" s="33" t="e">
        <f>#REF!</f>
        <v>#REF!</v>
      </c>
      <c r="F591" s="53"/>
      <c r="G591" s="53"/>
      <c r="H591" s="57" t="e">
        <f>+#REF!</f>
        <v>#REF!</v>
      </c>
      <c r="I591" s="33" t="e">
        <f>+#REF!</f>
        <v>#REF!</v>
      </c>
      <c r="J591" s="132" t="e">
        <f>+SUM(C591:G591)-(H591+I591)</f>
        <v>#REF!</v>
      </c>
      <c r="K591" s="156" t="e">
        <f>J591=#REF!</f>
        <v>#REF!</v>
      </c>
      <c r="L591" s="5"/>
      <c r="M591" s="5"/>
      <c r="N591" s="5"/>
      <c r="O591" s="5"/>
      <c r="Q591" s="5"/>
    </row>
    <row r="592" spans="1:17">
      <c r="A592" s="130" t="str">
        <f t="shared" si="340"/>
        <v>SEPTEMBRE</v>
      </c>
      <c r="B592" s="137" t="s">
        <v>84</v>
      </c>
      <c r="C592" s="128" t="e">
        <f>#REF!</f>
        <v>#REF!</v>
      </c>
      <c r="D592" s="131"/>
      <c r="E592" s="128" t="e">
        <f>+#REF!</f>
        <v>#REF!</v>
      </c>
      <c r="F592" s="146"/>
      <c r="G592" s="146"/>
      <c r="H592" s="178" t="e">
        <f>+#REF!</f>
        <v>#REF!</v>
      </c>
      <c r="I592" s="128" t="e">
        <f>+#REF!</f>
        <v>#REF!</v>
      </c>
      <c r="J592" s="129" t="e">
        <f>+SUM(C592:G592)-(H592+I592)</f>
        <v>#REF!</v>
      </c>
      <c r="K592" s="156" t="e">
        <f>J592=#REF!</f>
        <v>#REF!</v>
      </c>
      <c r="L592" s="5"/>
      <c r="M592" s="5"/>
      <c r="N592" s="5"/>
      <c r="O592" s="5"/>
      <c r="Q592" s="5"/>
    </row>
    <row r="593" spans="1:17">
      <c r="A593" s="130" t="str">
        <f t="shared" si="340"/>
        <v>SEPTEMBRE</v>
      </c>
      <c r="B593" s="137" t="s">
        <v>83</v>
      </c>
      <c r="C593" s="128" t="e">
        <f>#REF!</f>
        <v>#REF!</v>
      </c>
      <c r="D593" s="131"/>
      <c r="E593" s="128" t="e">
        <f>+#REF!</f>
        <v>#REF!</v>
      </c>
      <c r="F593" s="146"/>
      <c r="G593" s="146"/>
      <c r="H593" s="178" t="e">
        <f>+#REF!</f>
        <v>#REF!</v>
      </c>
      <c r="I593" s="128" t="e">
        <f>+#REF!</f>
        <v>#REF!</v>
      </c>
      <c r="J593" s="129" t="e">
        <f t="shared" ref="J593:J598" si="341">+SUM(C593:G593)-(H593+I593)</f>
        <v>#REF!</v>
      </c>
      <c r="K593" s="156" t="e">
        <f>J593=#REF!</f>
        <v>#REF!</v>
      </c>
      <c r="L593" s="5"/>
      <c r="M593" s="5"/>
      <c r="N593" s="5"/>
      <c r="O593" s="5"/>
      <c r="Q593" s="5"/>
    </row>
    <row r="594" spans="1:17">
      <c r="A594" s="130" t="str">
        <f t="shared" si="340"/>
        <v>SEPTEMBRE</v>
      </c>
      <c r="B594" s="135" t="s">
        <v>151</v>
      </c>
      <c r="C594" s="33" t="e">
        <f>#REF!</f>
        <v>#REF!</v>
      </c>
      <c r="D594" s="32"/>
      <c r="E594" s="33" t="e">
        <f>+#REF!</f>
        <v>#REF!</v>
      </c>
      <c r="F594" s="33"/>
      <c r="G594" s="110"/>
      <c r="H594" s="57" t="e">
        <f>+#REF!</f>
        <v>#REF!</v>
      </c>
      <c r="I594" s="33" t="e">
        <f>+#REF!</f>
        <v>#REF!</v>
      </c>
      <c r="J594" s="31" t="e">
        <f t="shared" si="341"/>
        <v>#REF!</v>
      </c>
      <c r="K594" s="156" t="e">
        <f>J594=#REF!</f>
        <v>#REF!</v>
      </c>
      <c r="L594" s="5"/>
      <c r="M594" s="5"/>
      <c r="N594" s="5"/>
      <c r="O594" s="5"/>
      <c r="Q594" s="5"/>
    </row>
    <row r="595" spans="1:17">
      <c r="A595" s="130" t="str">
        <f t="shared" si="340"/>
        <v>SEPTEMBRE</v>
      </c>
      <c r="B595" s="135" t="s">
        <v>30</v>
      </c>
      <c r="C595" s="33" t="e">
        <f>#REF!</f>
        <v>#REF!</v>
      </c>
      <c r="D595" s="32"/>
      <c r="E595" s="33" t="e">
        <f>+#REF!</f>
        <v>#REF!</v>
      </c>
      <c r="F595" s="33"/>
      <c r="G595" s="110"/>
      <c r="H595" s="57" t="e">
        <f>+#REF!</f>
        <v>#REF!</v>
      </c>
      <c r="I595" s="33" t="e">
        <f>+#REF!</f>
        <v>#REF!</v>
      </c>
      <c r="J595" s="31" t="e">
        <f t="shared" si="341"/>
        <v>#REF!</v>
      </c>
      <c r="K595" s="156" t="e">
        <f>J595=#REF!</f>
        <v>#REF!</v>
      </c>
      <c r="L595" s="5"/>
      <c r="M595" s="5"/>
      <c r="N595" s="5"/>
      <c r="O595" s="5"/>
      <c r="Q595" s="5"/>
    </row>
    <row r="596" spans="1:17">
      <c r="A596" s="130" t="str">
        <f t="shared" si="340"/>
        <v>SEPTEMBRE</v>
      </c>
      <c r="B596" s="135" t="s">
        <v>93</v>
      </c>
      <c r="C596" s="33" t="e">
        <f>#REF!</f>
        <v>#REF!</v>
      </c>
      <c r="D596" s="32"/>
      <c r="E596" s="33" t="e">
        <f>+#REF!</f>
        <v>#REF!</v>
      </c>
      <c r="F596" s="33"/>
      <c r="G596" s="110"/>
      <c r="H596" s="57" t="e">
        <f>+#REF!</f>
        <v>#REF!</v>
      </c>
      <c r="I596" s="33" t="e">
        <f>+#REF!</f>
        <v>#REF!</v>
      </c>
      <c r="J596" s="31" t="e">
        <f t="shared" si="341"/>
        <v>#REF!</v>
      </c>
      <c r="K596" s="156" t="e">
        <f>J596=#REF!</f>
        <v>#REF!</v>
      </c>
      <c r="L596" s="5"/>
      <c r="M596" s="5"/>
      <c r="N596" s="5"/>
      <c r="O596" s="5"/>
      <c r="Q596" s="5"/>
    </row>
    <row r="597" spans="1:17">
      <c r="A597" s="130" t="str">
        <f t="shared" si="340"/>
        <v>SEPTEMBRE</v>
      </c>
      <c r="B597" s="135" t="s">
        <v>155</v>
      </c>
      <c r="C597" s="33" t="e">
        <f>#REF!</f>
        <v>#REF!</v>
      </c>
      <c r="D597" s="32"/>
      <c r="E597" s="33" t="e">
        <f>+#REF!</f>
        <v>#REF!</v>
      </c>
      <c r="F597" s="33"/>
      <c r="G597" s="110"/>
      <c r="H597" s="57" t="e">
        <f>+#REF!</f>
        <v>#REF!</v>
      </c>
      <c r="I597" s="33" t="e">
        <f>+#REF!</f>
        <v>#REF!</v>
      </c>
      <c r="J597" s="31" t="e">
        <f t="shared" si="341"/>
        <v>#REF!</v>
      </c>
      <c r="K597" s="156" t="e">
        <f>J597=#REF!</f>
        <v>#REF!</v>
      </c>
      <c r="L597" s="5"/>
      <c r="M597" s="5"/>
      <c r="N597" s="5"/>
      <c r="O597" s="5"/>
      <c r="Q597" s="5"/>
    </row>
    <row r="598" spans="1:17">
      <c r="A598" s="130" t="str">
        <f t="shared" si="340"/>
        <v>SEPTEMBRE</v>
      </c>
      <c r="B598" s="136" t="s">
        <v>113</v>
      </c>
      <c r="C598" s="33" t="e">
        <f>#REF!</f>
        <v>#REF!</v>
      </c>
      <c r="D598" s="127"/>
      <c r="E598" s="33" t="e">
        <f>+#REF!</f>
        <v>#REF!</v>
      </c>
      <c r="F598" s="53"/>
      <c r="G598" s="147"/>
      <c r="H598" s="57" t="e">
        <f>+#REF!</f>
        <v>#REF!</v>
      </c>
      <c r="I598" s="33" t="e">
        <f>+#REF!</f>
        <v>#REF!</v>
      </c>
      <c r="J598" s="31" t="e">
        <f t="shared" si="341"/>
        <v>#REF!</v>
      </c>
      <c r="K598" s="156" t="e">
        <f>J598=#REF!</f>
        <v>#REF!</v>
      </c>
      <c r="L598" s="5"/>
      <c r="M598" s="5"/>
      <c r="N598" s="5"/>
      <c r="O598" s="5"/>
      <c r="Q598" s="5"/>
    </row>
    <row r="599" spans="1:17">
      <c r="A599" s="35" t="s">
        <v>60</v>
      </c>
      <c r="B599" s="36"/>
      <c r="C599" s="36"/>
      <c r="D599" s="36"/>
      <c r="E599" s="36"/>
      <c r="F599" s="36"/>
      <c r="G599" s="36"/>
      <c r="H599" s="36"/>
      <c r="I599" s="36"/>
      <c r="J599" s="37"/>
      <c r="K599" s="155"/>
      <c r="L599" s="5"/>
      <c r="M599" s="5"/>
      <c r="N599" s="5"/>
      <c r="O599" s="5"/>
      <c r="Q599" s="5"/>
    </row>
    <row r="600" spans="1:17">
      <c r="A600" s="130" t="str">
        <f>+A598</f>
        <v>SEPTEMBRE</v>
      </c>
      <c r="B600" s="38" t="s">
        <v>61</v>
      </c>
      <c r="C600" s="39" t="e">
        <f>#REF!</f>
        <v>#REF!</v>
      </c>
      <c r="D600" s="51"/>
      <c r="E600" s="51" t="e">
        <f>#REF!</f>
        <v>#REF!</v>
      </c>
      <c r="F600" s="51"/>
      <c r="G600" s="133"/>
      <c r="H600" s="53" t="e">
        <f>+#REF!</f>
        <v>#REF!</v>
      </c>
      <c r="I600" s="134" t="e">
        <f>+#REF!</f>
        <v>#REF!</v>
      </c>
      <c r="J600" s="46" t="e">
        <f>+SUM(C600:G600)-(H600+I600)</f>
        <v>#REF!</v>
      </c>
      <c r="K600" s="156" t="e">
        <f>J600=#REF!</f>
        <v>#REF!</v>
      </c>
      <c r="L600" s="5"/>
      <c r="M600" s="5"/>
      <c r="N600" s="5"/>
      <c r="O600" s="5"/>
      <c r="Q600" s="5"/>
    </row>
    <row r="601" spans="1:17">
      <c r="A601" s="44" t="s">
        <v>62</v>
      </c>
      <c r="B601" s="25"/>
      <c r="C601" s="36"/>
      <c r="D601" s="25"/>
      <c r="E601" s="25"/>
      <c r="F601" s="25"/>
      <c r="G601" s="25"/>
      <c r="H601" s="25"/>
      <c r="I601" s="25"/>
      <c r="J601" s="37"/>
      <c r="K601" s="155"/>
      <c r="L601" s="5"/>
      <c r="M601" s="5"/>
      <c r="N601" s="5"/>
      <c r="O601" s="5"/>
      <c r="Q601" s="5"/>
    </row>
    <row r="602" spans="1:17">
      <c r="A602" s="130" t="str">
        <f>+A600</f>
        <v>SEPTEMBRE</v>
      </c>
      <c r="B602" s="38" t="s">
        <v>63</v>
      </c>
      <c r="C602" s="133" t="e">
        <f>#REF!</f>
        <v>#REF!</v>
      </c>
      <c r="D602" s="140"/>
      <c r="E602" s="51"/>
      <c r="F602" s="51"/>
      <c r="G602" s="51"/>
      <c r="H602" s="53" t="e">
        <f>+#REF!</f>
        <v>#REF!</v>
      </c>
      <c r="I602" s="55" t="e">
        <f>+#REF!</f>
        <v>#REF!</v>
      </c>
      <c r="J602" s="46" t="e">
        <f>+SUM(C602:G602)-(H602+I602)</f>
        <v>#REF!</v>
      </c>
      <c r="K602" s="156" t="e">
        <f>+J602=#REF!</f>
        <v>#REF!</v>
      </c>
      <c r="L602" s="5"/>
      <c r="M602" s="5"/>
      <c r="N602" s="5"/>
      <c r="O602" s="5"/>
      <c r="Q602" s="5"/>
    </row>
    <row r="603" spans="1:17">
      <c r="A603" s="130" t="str">
        <f t="shared" ref="A603" si="342">+A602</f>
        <v>SEPTEMBRE</v>
      </c>
      <c r="B603" s="38" t="s">
        <v>64</v>
      </c>
      <c r="C603" s="133" t="e">
        <f>#REF!</f>
        <v>#REF!</v>
      </c>
      <c r="D603" s="51"/>
      <c r="E603" s="50"/>
      <c r="F603" s="50"/>
      <c r="G603" s="50"/>
      <c r="H603" s="33" t="e">
        <f>+#REF!</f>
        <v>#REF!</v>
      </c>
      <c r="I603" s="52" t="e">
        <f>+#REF!</f>
        <v>#REF!</v>
      </c>
      <c r="J603" s="46" t="e">
        <f>SUM(C603:G603)-(H603+I603)</f>
        <v>#REF!</v>
      </c>
      <c r="K603" s="156" t="e">
        <f>+J603=#REF!</f>
        <v>#REF!</v>
      </c>
      <c r="L603" s="5"/>
      <c r="M603" s="5"/>
      <c r="N603" s="5"/>
      <c r="O603" s="5"/>
      <c r="Q603" s="5"/>
    </row>
    <row r="604" spans="1:17" ht="15.75">
      <c r="C604" s="151" t="e">
        <f>SUM(C589:C603)</f>
        <v>#REF!</v>
      </c>
      <c r="I604" s="149" t="e">
        <f>SUM(I589:I603)</f>
        <v>#REF!</v>
      </c>
      <c r="J604" s="111" t="e">
        <f>+SUM(J589:J603)</f>
        <v>#REF!</v>
      </c>
      <c r="K604" s="5" t="e">
        <f>J604=#REF!</f>
        <v>#REF!</v>
      </c>
      <c r="L604" s="5"/>
      <c r="M604" s="5"/>
      <c r="N604" s="5"/>
      <c r="O604" s="5"/>
      <c r="Q604" s="5"/>
    </row>
    <row r="605" spans="1:17">
      <c r="G605" s="9"/>
      <c r="L605" s="5"/>
      <c r="M605" s="5"/>
      <c r="N605" s="5"/>
      <c r="O605" s="5"/>
      <c r="Q605" s="5"/>
    </row>
    <row r="606" spans="1:17">
      <c r="A606" s="16" t="s">
        <v>52</v>
      </c>
      <c r="B606" s="16"/>
      <c r="C606" s="16"/>
      <c r="D606" s="17"/>
      <c r="E606" s="17"/>
      <c r="F606" s="17"/>
      <c r="G606" s="17"/>
      <c r="H606" s="17"/>
      <c r="I606" s="17"/>
      <c r="L606" s="5"/>
      <c r="M606" s="5"/>
      <c r="N606" s="5"/>
      <c r="O606" s="5"/>
      <c r="Q606" s="5"/>
    </row>
    <row r="607" spans="1:17">
      <c r="A607" s="18" t="s">
        <v>149</v>
      </c>
      <c r="B607" s="18"/>
      <c r="C607" s="18"/>
      <c r="D607" s="18"/>
      <c r="E607" s="18"/>
      <c r="F607" s="18"/>
      <c r="G607" s="18"/>
      <c r="H607" s="18"/>
      <c r="I607" s="18"/>
      <c r="J607" s="17"/>
      <c r="L607" s="5"/>
      <c r="M607" s="5"/>
      <c r="N607" s="5"/>
      <c r="O607" s="5"/>
      <c r="Q607" s="5"/>
    </row>
    <row r="608" spans="1:17">
      <c r="A608" s="19"/>
      <c r="B608" s="20"/>
      <c r="C608" s="21"/>
      <c r="D608" s="21"/>
      <c r="E608" s="21"/>
      <c r="F608" s="21"/>
      <c r="G608" s="21"/>
      <c r="H608" s="20"/>
      <c r="I608" s="20"/>
      <c r="J608" s="18"/>
      <c r="L608" s="5"/>
      <c r="M608" s="5"/>
      <c r="N608" s="5"/>
      <c r="O608" s="5"/>
      <c r="Q608" s="5"/>
    </row>
    <row r="609" spans="1:17">
      <c r="A609" s="379" t="s">
        <v>53</v>
      </c>
      <c r="B609" s="381" t="s">
        <v>54</v>
      </c>
      <c r="C609" s="383" t="s">
        <v>148</v>
      </c>
      <c r="D609" s="385" t="s">
        <v>55</v>
      </c>
      <c r="E609" s="386"/>
      <c r="F609" s="386"/>
      <c r="G609" s="387"/>
      <c r="H609" s="388" t="s">
        <v>56</v>
      </c>
      <c r="I609" s="390" t="s">
        <v>57</v>
      </c>
      <c r="J609" s="20"/>
      <c r="L609" s="5"/>
      <c r="M609" s="5"/>
      <c r="N609" s="5"/>
      <c r="O609" s="5"/>
      <c r="Q609" s="5"/>
    </row>
    <row r="610" spans="1:17">
      <c r="A610" s="380"/>
      <c r="B610" s="382"/>
      <c r="C610" s="384"/>
      <c r="D610" s="22" t="s">
        <v>24</v>
      </c>
      <c r="E610" s="22" t="s">
        <v>25</v>
      </c>
      <c r="F610" s="176" t="s">
        <v>123</v>
      </c>
      <c r="G610" s="22" t="s">
        <v>58</v>
      </c>
      <c r="H610" s="389"/>
      <c r="I610" s="391"/>
      <c r="J610" s="392" t="s">
        <v>150</v>
      </c>
      <c r="K610" s="155"/>
      <c r="L610" s="5"/>
      <c r="M610" s="5"/>
      <c r="N610" s="5"/>
      <c r="O610" s="5"/>
      <c r="Q610" s="5"/>
    </row>
    <row r="611" spans="1:17">
      <c r="A611" s="24"/>
      <c r="B611" s="25" t="s">
        <v>59</v>
      </c>
      <c r="C611" s="26"/>
      <c r="D611" s="26"/>
      <c r="E611" s="26"/>
      <c r="F611" s="26"/>
      <c r="G611" s="26"/>
      <c r="H611" s="26"/>
      <c r="I611" s="27"/>
      <c r="J611" s="393"/>
      <c r="K611" s="155"/>
      <c r="L611" s="5"/>
      <c r="M611" s="5"/>
      <c r="N611" s="5"/>
      <c r="O611" s="5"/>
      <c r="Q611" s="5"/>
    </row>
    <row r="612" spans="1:17">
      <c r="A612" s="130" t="s">
        <v>147</v>
      </c>
      <c r="B612" s="135" t="s">
        <v>47</v>
      </c>
      <c r="C612" s="33" t="e">
        <f>#REF!</f>
        <v>#REF!</v>
      </c>
      <c r="D612" s="32"/>
      <c r="E612" s="33" t="e">
        <f>+#REF!</f>
        <v>#REF!</v>
      </c>
      <c r="F612" s="33"/>
      <c r="G612" s="33"/>
      <c r="H612" s="57" t="e">
        <f>+#REF!</f>
        <v>#REF!</v>
      </c>
      <c r="I612" s="33" t="e">
        <f>+#REF!</f>
        <v>#REF!</v>
      </c>
      <c r="J612" s="31" t="e">
        <f t="shared" ref="J612:J613" si="343">+SUM(C612:G612)-(H612+I612)</f>
        <v>#REF!</v>
      </c>
      <c r="K612" s="156" t="e">
        <f>J612=#REF!</f>
        <v>#REF!</v>
      </c>
      <c r="L612" s="5"/>
      <c r="M612" s="5"/>
      <c r="N612" s="5"/>
      <c r="O612" s="5"/>
      <c r="Q612" s="5"/>
    </row>
    <row r="613" spans="1:17">
      <c r="A613" s="130" t="s">
        <v>147</v>
      </c>
      <c r="B613" s="135" t="s">
        <v>31</v>
      </c>
      <c r="C613" s="33" t="e">
        <f>#REF!</f>
        <v>#REF!</v>
      </c>
      <c r="D613" s="32"/>
      <c r="E613" s="33" t="e">
        <f>+#REF!</f>
        <v>#REF!</v>
      </c>
      <c r="F613" s="33"/>
      <c r="G613" s="33"/>
      <c r="H613" s="57" t="e">
        <f>+#REF!</f>
        <v>#REF!</v>
      </c>
      <c r="I613" s="33" t="e">
        <f>+#REF!</f>
        <v>#REF!</v>
      </c>
      <c r="J613" s="107" t="e">
        <f t="shared" si="343"/>
        <v>#REF!</v>
      </c>
      <c r="K613" s="156" t="e">
        <f>J613=#REF!</f>
        <v>#REF!</v>
      </c>
      <c r="L613" s="5"/>
      <c r="M613" s="5"/>
      <c r="N613" s="5"/>
      <c r="O613" s="5"/>
      <c r="Q613" s="5"/>
    </row>
    <row r="614" spans="1:17">
      <c r="A614" s="130" t="s">
        <v>147</v>
      </c>
      <c r="B614" s="136" t="s">
        <v>152</v>
      </c>
      <c r="C614" s="33" t="e">
        <f>#REF!</f>
        <v>#REF!</v>
      </c>
      <c r="D614" s="127"/>
      <c r="E614" s="33">
        <v>30000</v>
      </c>
      <c r="F614" s="53">
        <v>240000</v>
      </c>
      <c r="G614" s="53"/>
      <c r="H614" s="57" t="e">
        <f>+#REF!</f>
        <v>#REF!</v>
      </c>
      <c r="I614" s="33" t="e">
        <f>+#REF!</f>
        <v>#REF!</v>
      </c>
      <c r="J614" s="132" t="e">
        <f>+SUM(C614:G614)-(H614+I614)</f>
        <v>#REF!</v>
      </c>
      <c r="K614" s="156" t="e">
        <f>J614=#REF!</f>
        <v>#REF!</v>
      </c>
      <c r="L614" s="5"/>
      <c r="M614" s="5"/>
      <c r="N614" s="5"/>
      <c r="O614" s="5"/>
      <c r="Q614" s="5"/>
    </row>
    <row r="615" spans="1:17">
      <c r="A615" s="130" t="s">
        <v>147</v>
      </c>
      <c r="B615" s="137" t="s">
        <v>84</v>
      </c>
      <c r="C615" s="128" t="e">
        <f>#REF!</f>
        <v>#REF!</v>
      </c>
      <c r="D615" s="131"/>
      <c r="E615" s="128" t="e">
        <f>+#REF!</f>
        <v>#REF!</v>
      </c>
      <c r="F615" s="146"/>
      <c r="G615" s="146"/>
      <c r="H615" s="178" t="e">
        <f>+#REF!</f>
        <v>#REF!</v>
      </c>
      <c r="I615" s="128" t="e">
        <f>+#REF!</f>
        <v>#REF!</v>
      </c>
      <c r="J615" s="129" t="e">
        <f>+SUM(C615:G615)-(H615+I615)</f>
        <v>#REF!</v>
      </c>
      <c r="K615" s="156" t="e">
        <f>J615=#REF!</f>
        <v>#REF!</v>
      </c>
      <c r="L615" s="5"/>
      <c r="M615" s="5"/>
      <c r="N615" s="5"/>
      <c r="O615" s="5"/>
      <c r="Q615" s="5"/>
    </row>
    <row r="616" spans="1:17">
      <c r="A616" s="130" t="s">
        <v>147</v>
      </c>
      <c r="B616" s="137" t="s">
        <v>83</v>
      </c>
      <c r="C616" s="128" t="e">
        <f>#REF!</f>
        <v>#REF!</v>
      </c>
      <c r="D616" s="131"/>
      <c r="E616" s="128" t="e">
        <f>+#REF!</f>
        <v>#REF!</v>
      </c>
      <c r="F616" s="146"/>
      <c r="G616" s="146"/>
      <c r="H616" s="178" t="e">
        <f>+#REF!</f>
        <v>#REF!</v>
      </c>
      <c r="I616" s="128" t="e">
        <f>+#REF!</f>
        <v>#REF!</v>
      </c>
      <c r="J616" s="129" t="e">
        <f t="shared" ref="J616:J622" si="344">+SUM(C616:G616)-(H616+I616)</f>
        <v>#REF!</v>
      </c>
      <c r="K616" s="156" t="e">
        <f>J616=#REF!</f>
        <v>#REF!</v>
      </c>
      <c r="L616" s="5"/>
      <c r="M616" s="5"/>
      <c r="N616" s="5"/>
      <c r="O616" s="5"/>
      <c r="Q616" s="5"/>
    </row>
    <row r="617" spans="1:17">
      <c r="A617" s="130" t="s">
        <v>147</v>
      </c>
      <c r="B617" s="135" t="s">
        <v>151</v>
      </c>
      <c r="C617" s="33" t="e">
        <f>#REF!</f>
        <v>#REF!</v>
      </c>
      <c r="D617" s="32"/>
      <c r="E617" s="33" t="e">
        <f>+#REF!</f>
        <v>#REF!</v>
      </c>
      <c r="F617" s="33"/>
      <c r="G617" s="110"/>
      <c r="H617" s="57" t="e">
        <f>+#REF!</f>
        <v>#REF!</v>
      </c>
      <c r="I617" s="33" t="e">
        <f>+#REF!</f>
        <v>#REF!</v>
      </c>
      <c r="J617" s="31" t="e">
        <f t="shared" si="344"/>
        <v>#REF!</v>
      </c>
      <c r="K617" s="156" t="e">
        <f>J617=#REF!</f>
        <v>#REF!</v>
      </c>
      <c r="L617" s="5"/>
      <c r="M617" s="5"/>
      <c r="N617" s="5"/>
      <c r="O617" s="5"/>
      <c r="Q617" s="5"/>
    </row>
    <row r="618" spans="1:17">
      <c r="A618" s="130" t="s">
        <v>147</v>
      </c>
      <c r="B618" s="135" t="s">
        <v>30</v>
      </c>
      <c r="C618" s="33" t="e">
        <f>#REF!</f>
        <v>#REF!</v>
      </c>
      <c r="D618" s="32"/>
      <c r="E618" s="33" t="e">
        <f>+#REF!</f>
        <v>#REF!</v>
      </c>
      <c r="F618" s="33"/>
      <c r="G618" s="110"/>
      <c r="H618" s="57" t="e">
        <f>+#REF!</f>
        <v>#REF!</v>
      </c>
      <c r="I618" s="33" t="e">
        <f>+#REF!</f>
        <v>#REF!</v>
      </c>
      <c r="J618" s="31" t="e">
        <f t="shared" si="344"/>
        <v>#REF!</v>
      </c>
      <c r="K618" s="156" t="e">
        <f>J618=#REF!</f>
        <v>#REF!</v>
      </c>
      <c r="L618" s="5"/>
      <c r="M618" s="5"/>
      <c r="N618" s="5"/>
      <c r="O618" s="5"/>
      <c r="Q618" s="5"/>
    </row>
    <row r="619" spans="1:17">
      <c r="A619" s="130" t="s">
        <v>147</v>
      </c>
      <c r="B619" s="135" t="s">
        <v>35</v>
      </c>
      <c r="C619" s="33" t="e">
        <f>#REF!</f>
        <v>#REF!</v>
      </c>
      <c r="D619" s="32"/>
      <c r="E619" s="33">
        <v>15000</v>
      </c>
      <c r="F619" s="33">
        <v>496625</v>
      </c>
      <c r="G619" s="110"/>
      <c r="H619" s="57" t="e">
        <f>+#REF!</f>
        <v>#REF!</v>
      </c>
      <c r="I619" s="33" t="e">
        <f>+#REF!</f>
        <v>#REF!</v>
      </c>
      <c r="J619" s="31" t="e">
        <f t="shared" si="344"/>
        <v>#REF!</v>
      </c>
      <c r="K619" s="156" t="e">
        <f>J619=#REF!</f>
        <v>#REF!</v>
      </c>
      <c r="L619" s="5"/>
      <c r="M619" s="5"/>
      <c r="N619" s="5"/>
      <c r="O619" s="5"/>
      <c r="Q619" s="5"/>
    </row>
    <row r="620" spans="1:17">
      <c r="A620" s="130" t="s">
        <v>147</v>
      </c>
      <c r="B620" s="135" t="s">
        <v>93</v>
      </c>
      <c r="C620" s="33" t="e">
        <f>#REF!</f>
        <v>#REF!</v>
      </c>
      <c r="D620" s="32"/>
      <c r="E620" s="33" t="e">
        <f>+#REF!</f>
        <v>#REF!</v>
      </c>
      <c r="F620" s="33"/>
      <c r="G620" s="110"/>
      <c r="H620" s="57" t="e">
        <f>+#REF!</f>
        <v>#REF!</v>
      </c>
      <c r="I620" s="33" t="e">
        <f>+#REF!</f>
        <v>#REF!</v>
      </c>
      <c r="J620" s="31" t="e">
        <f t="shared" si="344"/>
        <v>#REF!</v>
      </c>
      <c r="K620" s="156" t="e">
        <f>J620=#REF!</f>
        <v>#REF!</v>
      </c>
      <c r="L620" s="5"/>
      <c r="M620" s="5"/>
      <c r="N620" s="5"/>
      <c r="O620" s="5"/>
      <c r="Q620" s="5"/>
    </row>
    <row r="621" spans="1:17">
      <c r="A621" s="130" t="s">
        <v>147</v>
      </c>
      <c r="B621" s="135" t="s">
        <v>29</v>
      </c>
      <c r="C621" s="33" t="e">
        <f>#REF!</f>
        <v>#REF!</v>
      </c>
      <c r="D621" s="32"/>
      <c r="E621" s="33" t="e">
        <f>+#REF!</f>
        <v>#REF!</v>
      </c>
      <c r="F621" s="33"/>
      <c r="G621" s="110"/>
      <c r="H621" s="57" t="e">
        <f>+#REF!</f>
        <v>#REF!</v>
      </c>
      <c r="I621" s="33" t="e">
        <f>+#REF!</f>
        <v>#REF!</v>
      </c>
      <c r="J621" s="31" t="e">
        <f t="shared" ref="J621" si="345">+SUM(C621:G621)-(H621+I621)</f>
        <v>#REF!</v>
      </c>
      <c r="K621" s="156" t="e">
        <f>J621=#REF!</f>
        <v>#REF!</v>
      </c>
      <c r="L621" s="5"/>
      <c r="M621" s="5"/>
      <c r="N621" s="5"/>
      <c r="O621" s="5"/>
      <c r="Q621" s="5"/>
    </row>
    <row r="622" spans="1:17">
      <c r="A622" s="130" t="s">
        <v>147</v>
      </c>
      <c r="B622" s="136" t="s">
        <v>113</v>
      </c>
      <c r="C622" s="33" t="e">
        <f>#REF!</f>
        <v>#REF!</v>
      </c>
      <c r="D622" s="127"/>
      <c r="E622" s="33" t="e">
        <f>+#REF!</f>
        <v>#REF!</v>
      </c>
      <c r="F622" s="53"/>
      <c r="G622" s="147"/>
      <c r="H622" s="57" t="e">
        <f>+#REF!</f>
        <v>#REF!</v>
      </c>
      <c r="I622" s="33" t="e">
        <f>+#REF!</f>
        <v>#REF!</v>
      </c>
      <c r="J622" s="31" t="e">
        <f t="shared" si="344"/>
        <v>#REF!</v>
      </c>
      <c r="K622" s="156" t="e">
        <f>J622=#REF!</f>
        <v>#REF!</v>
      </c>
      <c r="L622" s="5"/>
      <c r="M622" s="5"/>
      <c r="N622" s="5"/>
      <c r="O622" s="5"/>
      <c r="Q622" s="5"/>
    </row>
    <row r="623" spans="1:17">
      <c r="A623" s="35" t="s">
        <v>60</v>
      </c>
      <c r="B623" s="36"/>
      <c r="C623" s="36"/>
      <c r="D623" s="36"/>
      <c r="E623" s="36"/>
      <c r="F623" s="36"/>
      <c r="G623" s="36"/>
      <c r="H623" s="36"/>
      <c r="I623" s="36"/>
      <c r="J623" s="37"/>
      <c r="K623" s="155"/>
      <c r="L623" s="5"/>
      <c r="M623" s="5"/>
      <c r="N623" s="5"/>
      <c r="O623" s="5"/>
      <c r="Q623" s="5"/>
    </row>
    <row r="624" spans="1:17">
      <c r="A624" s="130" t="s">
        <v>147</v>
      </c>
      <c r="B624" s="38" t="s">
        <v>61</v>
      </c>
      <c r="C624" s="39" t="e">
        <f>#REF!</f>
        <v>#REF!</v>
      </c>
      <c r="D624" s="51">
        <v>4000000</v>
      </c>
      <c r="E624" s="109"/>
      <c r="F624" s="51"/>
      <c r="G624" s="133">
        <v>15000</v>
      </c>
      <c r="H624" s="53" t="e">
        <f>+#REF!</f>
        <v>#REF!</v>
      </c>
      <c r="I624" s="134" t="e">
        <f>+#REF!</f>
        <v>#REF!</v>
      </c>
      <c r="J624" s="46" t="e">
        <f>+SUM(C624:G624)-(H624+I624)</f>
        <v>#REF!</v>
      </c>
      <c r="K624" s="156" t="e">
        <f>J624=#REF!</f>
        <v>#REF!</v>
      </c>
      <c r="L624" s="5"/>
      <c r="M624" s="5"/>
      <c r="N624" s="5"/>
      <c r="O624" s="5"/>
      <c r="Q624" s="5"/>
    </row>
    <row r="625" spans="1:17">
      <c r="A625" s="44" t="s">
        <v>62</v>
      </c>
      <c r="B625" s="25"/>
      <c r="C625" s="36"/>
      <c r="D625" s="25"/>
      <c r="E625" s="25"/>
      <c r="F625" s="25"/>
      <c r="G625" s="25"/>
      <c r="H625" s="25"/>
      <c r="I625" s="25"/>
      <c r="J625" s="37"/>
      <c r="K625" s="155"/>
      <c r="L625" s="5"/>
      <c r="M625" s="5"/>
      <c r="N625" s="5"/>
      <c r="O625" s="5"/>
      <c r="Q625" s="5"/>
    </row>
    <row r="626" spans="1:17">
      <c r="A626" s="130" t="s">
        <v>147</v>
      </c>
      <c r="B626" s="38" t="s">
        <v>63</v>
      </c>
      <c r="C626" s="133" t="e">
        <f>#REF!</f>
        <v>#REF!</v>
      </c>
      <c r="D626" s="140"/>
      <c r="E626" s="51"/>
      <c r="F626" s="51"/>
      <c r="G626" s="51"/>
      <c r="H626" s="53" t="e">
        <f>+#REF!</f>
        <v>#REF!</v>
      </c>
      <c r="I626" s="55" t="e">
        <f>+#REF!</f>
        <v>#REF!</v>
      </c>
      <c r="J626" s="46" t="e">
        <f>+SUM(C626:G626)-(H626+I626)</f>
        <v>#REF!</v>
      </c>
      <c r="K626" s="156" t="e">
        <f>+J626=#REF!</f>
        <v>#REF!</v>
      </c>
      <c r="L626" s="5"/>
      <c r="M626" s="5"/>
      <c r="N626" s="5"/>
      <c r="O626" s="5"/>
      <c r="Q626" s="5"/>
    </row>
    <row r="627" spans="1:17">
      <c r="A627" s="130" t="s">
        <v>147</v>
      </c>
      <c r="B627" s="38" t="s">
        <v>64</v>
      </c>
      <c r="C627" s="133" t="e">
        <f>#REF!</f>
        <v>#REF!</v>
      </c>
      <c r="D627" s="51"/>
      <c r="E627" s="50"/>
      <c r="F627" s="50"/>
      <c r="G627" s="50"/>
      <c r="H627" s="33" t="e">
        <f>+#REF!</f>
        <v>#REF!</v>
      </c>
      <c r="I627" s="52" t="e">
        <f>+#REF!</f>
        <v>#REF!</v>
      </c>
      <c r="J627" s="46" t="e">
        <f>SUM(C627:G627)-(H627+I627)</f>
        <v>#REF!</v>
      </c>
      <c r="K627" s="156" t="e">
        <f>+J627=#REF!</f>
        <v>#REF!</v>
      </c>
      <c r="Q627" s="5"/>
    </row>
    <row r="628" spans="1:17" ht="15.75">
      <c r="C628" s="151" t="e">
        <f>SUM(C612:C627)</f>
        <v>#REF!</v>
      </c>
      <c r="I628" s="149" t="e">
        <f>SUM(I612:I627)</f>
        <v>#REF!</v>
      </c>
      <c r="J628" s="111" t="e">
        <f>+SUM(J612:J627)</f>
        <v>#REF!</v>
      </c>
      <c r="K628" s="5" t="e">
        <f>J628=#REF!</f>
        <v>#REF!</v>
      </c>
      <c r="Q628" s="5"/>
    </row>
    <row r="629" spans="1:17" s="171" customFormat="1" ht="16.5">
      <c r="A629" s="14"/>
      <c r="B629" s="175"/>
      <c r="C629" s="174"/>
      <c r="D629" s="174"/>
      <c r="E629" s="173"/>
      <c r="F629" s="174"/>
      <c r="G629" s="174" t="e">
        <f>+#REF!-J628</f>
        <v>#REF!</v>
      </c>
      <c r="H629" s="174"/>
      <c r="I629" s="174"/>
      <c r="L629" s="172"/>
      <c r="M629" s="172"/>
      <c r="N629" s="172"/>
      <c r="O629" s="172"/>
    </row>
    <row r="630" spans="1:17">
      <c r="A630" s="16" t="s">
        <v>52</v>
      </c>
      <c r="B630" s="16"/>
      <c r="C630" s="16"/>
      <c r="D630" s="17"/>
      <c r="E630" s="17"/>
      <c r="F630" s="17"/>
      <c r="G630" s="17"/>
      <c r="H630" s="17"/>
      <c r="I630" s="17"/>
      <c r="Q630" s="5"/>
    </row>
    <row r="631" spans="1:17">
      <c r="A631" s="18" t="s">
        <v>144</v>
      </c>
      <c r="B631" s="18"/>
      <c r="C631" s="18"/>
      <c r="D631" s="18"/>
      <c r="E631" s="18"/>
      <c r="F631" s="18"/>
      <c r="G631" s="18"/>
      <c r="H631" s="18"/>
      <c r="I631" s="18"/>
      <c r="J631" s="17"/>
      <c r="Q631" s="5"/>
    </row>
    <row r="632" spans="1:17">
      <c r="A632" s="19"/>
      <c r="B632" s="20"/>
      <c r="C632" s="21"/>
      <c r="D632" s="21"/>
      <c r="E632" s="21"/>
      <c r="F632" s="21"/>
      <c r="G632" s="21"/>
      <c r="H632" s="20"/>
      <c r="I632" s="20"/>
      <c r="J632" s="18"/>
      <c r="Q632" s="5"/>
    </row>
    <row r="633" spans="1:17">
      <c r="A633" s="379" t="s">
        <v>53</v>
      </c>
      <c r="B633" s="381" t="s">
        <v>54</v>
      </c>
      <c r="C633" s="383" t="s">
        <v>145</v>
      </c>
      <c r="D633" s="385" t="s">
        <v>55</v>
      </c>
      <c r="E633" s="386"/>
      <c r="F633" s="386"/>
      <c r="G633" s="387"/>
      <c r="H633" s="388" t="s">
        <v>56</v>
      </c>
      <c r="I633" s="390" t="s">
        <v>57</v>
      </c>
      <c r="J633" s="20"/>
      <c r="Q633" s="5"/>
    </row>
    <row r="634" spans="1:17">
      <c r="A634" s="380"/>
      <c r="B634" s="382"/>
      <c r="C634" s="384"/>
      <c r="D634" s="22" t="s">
        <v>24</v>
      </c>
      <c r="E634" s="22" t="s">
        <v>25</v>
      </c>
      <c r="F634" s="170" t="s">
        <v>123</v>
      </c>
      <c r="G634" s="22" t="s">
        <v>58</v>
      </c>
      <c r="H634" s="389"/>
      <c r="I634" s="391"/>
      <c r="J634" s="392" t="s">
        <v>146</v>
      </c>
      <c r="K634" s="155"/>
      <c r="Q634" s="5"/>
    </row>
    <row r="635" spans="1:17">
      <c r="A635" s="24"/>
      <c r="B635" s="25" t="s">
        <v>59</v>
      </c>
      <c r="C635" s="26"/>
      <c r="D635" s="26"/>
      <c r="E635" s="26"/>
      <c r="F635" s="26"/>
      <c r="G635" s="26"/>
      <c r="H635" s="26"/>
      <c r="I635" s="27"/>
      <c r="J635" s="393"/>
      <c r="K635" s="155"/>
      <c r="Q635" s="5"/>
    </row>
    <row r="636" spans="1:17">
      <c r="A636" s="130" t="s">
        <v>72</v>
      </c>
      <c r="B636" s="135" t="s">
        <v>47</v>
      </c>
      <c r="C636" s="33" t="e">
        <f>#REF!</f>
        <v>#REF!</v>
      </c>
      <c r="D636" s="32"/>
      <c r="E636" s="33">
        <v>970765</v>
      </c>
      <c r="F636" s="33"/>
      <c r="G636" s="33"/>
      <c r="H636" s="57">
        <v>0</v>
      </c>
      <c r="I636" s="33">
        <v>980165</v>
      </c>
      <c r="J636" s="31" t="e">
        <f t="shared" ref="J636:J637" si="346">+SUM(C636:G636)-(H636+I636)</f>
        <v>#REF!</v>
      </c>
      <c r="K636" s="156" t="e">
        <f>J636=#REF!</f>
        <v>#REF!</v>
      </c>
      <c r="Q636" s="5"/>
    </row>
    <row r="637" spans="1:17">
      <c r="A637" s="130" t="s">
        <v>72</v>
      </c>
      <c r="B637" s="135" t="s">
        <v>31</v>
      </c>
      <c r="C637" s="33" t="e">
        <f>#REF!</f>
        <v>#REF!</v>
      </c>
      <c r="D637" s="32"/>
      <c r="E637" s="33">
        <v>58000</v>
      </c>
      <c r="F637" s="33"/>
      <c r="G637" s="33"/>
      <c r="H637" s="33">
        <v>0</v>
      </c>
      <c r="I637" s="33">
        <v>59500</v>
      </c>
      <c r="J637" s="107" t="e">
        <f t="shared" si="346"/>
        <v>#REF!</v>
      </c>
      <c r="K637" s="156" t="e">
        <f>J637=#REF!</f>
        <v>#REF!</v>
      </c>
      <c r="Q637" s="5"/>
    </row>
    <row r="638" spans="1:17">
      <c r="A638" s="130" t="s">
        <v>72</v>
      </c>
      <c r="B638" s="136" t="s">
        <v>30</v>
      </c>
      <c r="C638" s="33" t="e">
        <f>#REF!</f>
        <v>#REF!</v>
      </c>
      <c r="D638" s="127"/>
      <c r="E638" s="53">
        <v>557150</v>
      </c>
      <c r="F638" s="53"/>
      <c r="G638" s="53"/>
      <c r="H638" s="53">
        <v>0</v>
      </c>
      <c r="I638" s="53">
        <v>556650</v>
      </c>
      <c r="J638" s="132" t="e">
        <f>+SUM(C638:G638)-(H638+I638)</f>
        <v>#REF!</v>
      </c>
      <c r="K638" s="156" t="e">
        <f>J638=#REF!</f>
        <v>#REF!</v>
      </c>
      <c r="Q638" s="5"/>
    </row>
    <row r="639" spans="1:17">
      <c r="A639" s="130" t="s">
        <v>72</v>
      </c>
      <c r="B639" s="137" t="s">
        <v>84</v>
      </c>
      <c r="C639" s="128" t="e">
        <f>#REF!</f>
        <v>#REF!</v>
      </c>
      <c r="D639" s="131"/>
      <c r="E639" s="146"/>
      <c r="F639" s="146"/>
      <c r="G639" s="146"/>
      <c r="H639" s="146">
        <v>0</v>
      </c>
      <c r="I639" s="146">
        <v>0</v>
      </c>
      <c r="J639" s="129" t="e">
        <f>+SUM(C639:G639)-(H639+I639)</f>
        <v>#REF!</v>
      </c>
      <c r="K639" s="156" t="e">
        <f>J639=#REF!</f>
        <v>#REF!</v>
      </c>
      <c r="Q639" s="5"/>
    </row>
    <row r="640" spans="1:17">
      <c r="A640" s="130" t="s">
        <v>72</v>
      </c>
      <c r="B640" s="137" t="s">
        <v>83</v>
      </c>
      <c r="C640" s="128" t="e">
        <f>#REF!</f>
        <v>#REF!</v>
      </c>
      <c r="D640" s="131"/>
      <c r="E640" s="146"/>
      <c r="F640" s="146"/>
      <c r="G640" s="146"/>
      <c r="H640" s="146">
        <v>0</v>
      </c>
      <c r="I640" s="146">
        <v>0</v>
      </c>
      <c r="J640" s="129" t="e">
        <f t="shared" ref="J640:J645" si="347">+SUM(C640:G640)-(H640+I640)</f>
        <v>#REF!</v>
      </c>
      <c r="K640" s="156" t="e">
        <f>J640=#REF!</f>
        <v>#REF!</v>
      </c>
      <c r="Q640" s="5"/>
    </row>
    <row r="641" spans="1:17">
      <c r="A641" s="130" t="s">
        <v>72</v>
      </c>
      <c r="B641" s="135" t="s">
        <v>35</v>
      </c>
      <c r="C641" s="33" t="e">
        <f>#REF!</f>
        <v>#REF!</v>
      </c>
      <c r="D641" s="32"/>
      <c r="E641" s="33">
        <v>941000</v>
      </c>
      <c r="F641" s="33"/>
      <c r="G641" s="110"/>
      <c r="H641" s="110">
        <v>0</v>
      </c>
      <c r="I641" s="33">
        <v>1084725</v>
      </c>
      <c r="J641" s="31" t="e">
        <f t="shared" si="347"/>
        <v>#REF!</v>
      </c>
      <c r="K641" s="156" t="e">
        <f>J641=#REF!</f>
        <v>#REF!</v>
      </c>
      <c r="Q641" s="5"/>
    </row>
    <row r="642" spans="1:17">
      <c r="A642" s="130" t="s">
        <v>72</v>
      </c>
      <c r="B642" s="135" t="s">
        <v>93</v>
      </c>
      <c r="C642" s="33" t="e">
        <f>#REF!</f>
        <v>#REF!</v>
      </c>
      <c r="D642" s="32"/>
      <c r="E642" s="33">
        <v>52000</v>
      </c>
      <c r="F642" s="110"/>
      <c r="G642" s="110"/>
      <c r="H642" s="110">
        <v>0</v>
      </c>
      <c r="I642" s="33">
        <v>67000</v>
      </c>
      <c r="J642" s="31" t="e">
        <f t="shared" si="347"/>
        <v>#REF!</v>
      </c>
      <c r="K642" s="156" t="e">
        <f>J642=#REF!</f>
        <v>#REF!</v>
      </c>
      <c r="Q642" s="5"/>
    </row>
    <row r="643" spans="1:17">
      <c r="A643" s="130" t="s">
        <v>72</v>
      </c>
      <c r="B643" s="135" t="s">
        <v>29</v>
      </c>
      <c r="C643" s="33" t="e">
        <f>#REF!</f>
        <v>#REF!</v>
      </c>
      <c r="D643" s="32"/>
      <c r="E643" s="33">
        <v>515000</v>
      </c>
      <c r="F643" s="110"/>
      <c r="G643" s="110"/>
      <c r="H643" s="110">
        <v>0</v>
      </c>
      <c r="I643" s="33">
        <v>655500</v>
      </c>
      <c r="J643" s="31" t="e">
        <f t="shared" si="347"/>
        <v>#REF!</v>
      </c>
      <c r="K643" s="156" t="e">
        <f>J643=#REF!</f>
        <v>#REF!</v>
      </c>
      <c r="Q643" s="5"/>
    </row>
    <row r="644" spans="1:17">
      <c r="A644" s="130" t="s">
        <v>72</v>
      </c>
      <c r="B644" s="135" t="s">
        <v>32</v>
      </c>
      <c r="C644" s="33" t="e">
        <f>#REF!</f>
        <v>#REF!</v>
      </c>
      <c r="D644" s="32"/>
      <c r="E644" s="33">
        <v>10000</v>
      </c>
      <c r="F644" s="110"/>
      <c r="G644" s="110"/>
      <c r="H644" s="33">
        <v>500</v>
      </c>
      <c r="I644" s="33">
        <v>15300</v>
      </c>
      <c r="J644" s="31" t="e">
        <f t="shared" si="347"/>
        <v>#REF!</v>
      </c>
      <c r="K644" s="156" t="e">
        <f>J644=#REF!</f>
        <v>#REF!</v>
      </c>
      <c r="Q644" s="5"/>
    </row>
    <row r="645" spans="1:17">
      <c r="A645" s="130" t="s">
        <v>72</v>
      </c>
      <c r="B645" s="136" t="s">
        <v>113</v>
      </c>
      <c r="C645" s="33" t="e">
        <f>#REF!</f>
        <v>#REF!</v>
      </c>
      <c r="D645" s="127"/>
      <c r="E645" s="53">
        <v>20000</v>
      </c>
      <c r="F645" s="53"/>
      <c r="G645" s="147"/>
      <c r="H645" s="53">
        <v>0</v>
      </c>
      <c r="I645" s="53">
        <v>28000</v>
      </c>
      <c r="J645" s="31" t="e">
        <f t="shared" si="347"/>
        <v>#REF!</v>
      </c>
      <c r="K645" s="156" t="e">
        <f>J645=#REF!</f>
        <v>#REF!</v>
      </c>
      <c r="Q645" s="5"/>
    </row>
    <row r="646" spans="1:17">
      <c r="A646" s="35" t="s">
        <v>60</v>
      </c>
      <c r="B646" s="36"/>
      <c r="C646" s="36"/>
      <c r="D646" s="36"/>
      <c r="E646" s="36"/>
      <c r="F646" s="36"/>
      <c r="G646" s="36"/>
      <c r="H646" s="36"/>
      <c r="I646" s="36"/>
      <c r="J646" s="37"/>
      <c r="K646" s="155"/>
      <c r="Q646" s="5"/>
    </row>
    <row r="647" spans="1:17">
      <c r="A647" s="130" t="s">
        <v>72</v>
      </c>
      <c r="B647" s="38" t="s">
        <v>61</v>
      </c>
      <c r="C647" s="39" t="e">
        <f>#REF!</f>
        <v>#REF!</v>
      </c>
      <c r="D647" s="51">
        <v>6000500</v>
      </c>
      <c r="E647" s="109"/>
      <c r="F647" s="51"/>
      <c r="G647" s="148"/>
      <c r="H647" s="53">
        <v>3123915</v>
      </c>
      <c r="I647" s="134">
        <v>3367697</v>
      </c>
      <c r="J647" s="46" t="e">
        <f>+SUM(C647:G647)-(H647+I647)</f>
        <v>#REF!</v>
      </c>
      <c r="K647" s="156" t="e">
        <f>J647=#REF!</f>
        <v>#REF!</v>
      </c>
      <c r="Q647" s="5"/>
    </row>
    <row r="648" spans="1:17">
      <c r="A648" s="44" t="s">
        <v>62</v>
      </c>
      <c r="B648" s="25"/>
      <c r="C648" s="36"/>
      <c r="D648" s="25"/>
      <c r="E648" s="25"/>
      <c r="F648" s="25"/>
      <c r="G648" s="25"/>
      <c r="H648" s="25"/>
      <c r="I648" s="25"/>
      <c r="J648" s="37"/>
      <c r="K648" s="155"/>
      <c r="Q648" s="5"/>
    </row>
    <row r="649" spans="1:17">
      <c r="A649" s="130" t="s">
        <v>72</v>
      </c>
      <c r="B649" s="38" t="s">
        <v>63</v>
      </c>
      <c r="C649" s="133" t="e">
        <f>#REF!</f>
        <v>#REF!</v>
      </c>
      <c r="D649" s="140"/>
      <c r="E649" s="51"/>
      <c r="F649" s="51"/>
      <c r="G649" s="51"/>
      <c r="H649" s="53">
        <v>2000000</v>
      </c>
      <c r="I649" s="55">
        <v>271244</v>
      </c>
      <c r="J649" s="46" t="e">
        <f>+SUM(C649:G649)-(H649+I649)</f>
        <v>#REF!</v>
      </c>
      <c r="K649" s="156" t="e">
        <f>+J649=#REF!</f>
        <v>#REF!</v>
      </c>
      <c r="Q649" s="5"/>
    </row>
    <row r="650" spans="1:17">
      <c r="A650" s="130" t="s">
        <v>72</v>
      </c>
      <c r="B650" s="38" t="s">
        <v>64</v>
      </c>
      <c r="C650" s="133" t="e">
        <f>#REF!</f>
        <v>#REF!</v>
      </c>
      <c r="D650" s="51">
        <v>31201251</v>
      </c>
      <c r="E650" s="50"/>
      <c r="F650" s="50"/>
      <c r="G650" s="50"/>
      <c r="H650" s="33">
        <v>4000000</v>
      </c>
      <c r="I650" s="52">
        <v>6204544</v>
      </c>
      <c r="J650" s="46" t="e">
        <f>SUM(C650:G650)-(H650+I650)</f>
        <v>#REF!</v>
      </c>
      <c r="K650" s="156" t="e">
        <f>+J650=#REF!</f>
        <v>#REF!</v>
      </c>
      <c r="Q650" s="5"/>
    </row>
    <row r="651" spans="1:17" ht="15.75">
      <c r="C651" s="151" t="e">
        <f>SUM(C636:C650)</f>
        <v>#REF!</v>
      </c>
      <c r="I651" s="149">
        <f>SUM(I636:I650)</f>
        <v>13290325</v>
      </c>
      <c r="J651" s="111" t="e">
        <f>+SUM(J636:J650)</f>
        <v>#REF!</v>
      </c>
      <c r="K651" s="5" t="e">
        <f>J651=#REF!</f>
        <v>#REF!</v>
      </c>
      <c r="Q651" s="5"/>
    </row>
    <row r="652" spans="1:17" s="171" customFormat="1" ht="16.5">
      <c r="A652" s="14"/>
      <c r="B652" s="175"/>
      <c r="C652" s="174"/>
      <c r="D652" s="174"/>
      <c r="E652" s="173"/>
      <c r="F652" s="174"/>
      <c r="G652" s="174" t="e">
        <f>+#REF!-J651</f>
        <v>#REF!</v>
      </c>
      <c r="H652" s="174"/>
      <c r="I652" s="174"/>
      <c r="L652" s="172"/>
      <c r="M652" s="172"/>
      <c r="N652" s="172"/>
      <c r="O652" s="172"/>
    </row>
    <row r="653" spans="1:17" ht="16.5">
      <c r="A653" s="14"/>
      <c r="B653" s="15"/>
      <c r="C653" s="12"/>
      <c r="D653" s="12"/>
      <c r="E653" s="13"/>
      <c r="F653" s="12"/>
      <c r="G653" s="12"/>
      <c r="H653" s="12"/>
      <c r="I653" s="12"/>
      <c r="Q653" s="5"/>
    </row>
    <row r="654" spans="1:17">
      <c r="A654" s="16" t="s">
        <v>52</v>
      </c>
      <c r="B654" s="16"/>
      <c r="C654" s="16"/>
      <c r="D654" s="17"/>
      <c r="E654" s="17"/>
      <c r="F654" s="17"/>
      <c r="G654" s="17"/>
      <c r="H654" s="17"/>
      <c r="I654" s="17"/>
      <c r="Q654" s="5"/>
    </row>
    <row r="655" spans="1:17">
      <c r="A655" s="18" t="s">
        <v>140</v>
      </c>
      <c r="B655" s="18"/>
      <c r="C655" s="18"/>
      <c r="D655" s="18"/>
      <c r="E655" s="18"/>
      <c r="F655" s="18"/>
      <c r="G655" s="18"/>
      <c r="H655" s="18"/>
      <c r="I655" s="18"/>
      <c r="J655" s="17"/>
      <c r="Q655" s="5"/>
    </row>
    <row r="656" spans="1:17">
      <c r="A656" s="19"/>
      <c r="B656" s="20"/>
      <c r="C656" s="21"/>
      <c r="D656" s="21"/>
      <c r="E656" s="21"/>
      <c r="F656" s="21"/>
      <c r="G656" s="21"/>
      <c r="H656" s="20"/>
      <c r="I656" s="20"/>
      <c r="J656" s="18"/>
      <c r="Q656" s="5"/>
    </row>
    <row r="657" spans="1:17">
      <c r="A657" s="379" t="s">
        <v>53</v>
      </c>
      <c r="B657" s="381" t="s">
        <v>54</v>
      </c>
      <c r="C657" s="383" t="s">
        <v>142</v>
      </c>
      <c r="D657" s="385" t="s">
        <v>55</v>
      </c>
      <c r="E657" s="386"/>
      <c r="F657" s="386"/>
      <c r="G657" s="387"/>
      <c r="H657" s="388" t="s">
        <v>56</v>
      </c>
      <c r="I657" s="390" t="s">
        <v>57</v>
      </c>
      <c r="J657" s="20"/>
      <c r="Q657" s="5"/>
    </row>
    <row r="658" spans="1:17">
      <c r="A658" s="380"/>
      <c r="B658" s="382"/>
      <c r="C658" s="384"/>
      <c r="D658" s="22" t="s">
        <v>24</v>
      </c>
      <c r="E658" s="22" t="s">
        <v>25</v>
      </c>
      <c r="F658" s="168" t="s">
        <v>123</v>
      </c>
      <c r="G658" s="22" t="s">
        <v>58</v>
      </c>
      <c r="H658" s="389"/>
      <c r="I658" s="391"/>
      <c r="J658" s="392" t="s">
        <v>141</v>
      </c>
      <c r="K658" s="155"/>
      <c r="Q658" s="5"/>
    </row>
    <row r="659" spans="1:17">
      <c r="A659" s="24"/>
      <c r="B659" s="25" t="s">
        <v>59</v>
      </c>
      <c r="C659" s="26"/>
      <c r="D659" s="26"/>
      <c r="E659" s="26"/>
      <c r="F659" s="26"/>
      <c r="G659" s="26"/>
      <c r="H659" s="26"/>
      <c r="I659" s="27"/>
      <c r="J659" s="393"/>
      <c r="K659" s="155"/>
      <c r="L659" s="5"/>
      <c r="M659" s="5"/>
      <c r="N659" s="5"/>
      <c r="O659" s="5"/>
      <c r="Q659" s="5"/>
    </row>
    <row r="660" spans="1:17">
      <c r="A660" s="130" t="s">
        <v>143</v>
      </c>
      <c r="B660" s="135" t="s">
        <v>76</v>
      </c>
      <c r="C660" s="33" t="e">
        <f>+#REF!</f>
        <v>#REF!</v>
      </c>
      <c r="D660" s="32"/>
      <c r="E660" s="33">
        <v>114000</v>
      </c>
      <c r="F660" s="33"/>
      <c r="G660" s="33"/>
      <c r="H660" s="57">
        <v>11050</v>
      </c>
      <c r="I660" s="33">
        <v>112000</v>
      </c>
      <c r="J660" s="31" t="e">
        <f>+SUM(C660:G660)-(H660+I660)</f>
        <v>#REF!</v>
      </c>
      <c r="K660" s="156" t="e">
        <f>J660=#REF!</f>
        <v>#REF!</v>
      </c>
      <c r="L660" s="5"/>
      <c r="M660" s="5"/>
      <c r="N660" s="5"/>
      <c r="O660" s="5"/>
      <c r="Q660" s="5"/>
    </row>
    <row r="661" spans="1:17">
      <c r="A661" s="130" t="s">
        <v>143</v>
      </c>
      <c r="B661" s="135" t="s">
        <v>47</v>
      </c>
      <c r="C661" s="33" t="e">
        <f t="shared" ref="C661:C671" si="348">+C638</f>
        <v>#REF!</v>
      </c>
      <c r="D661" s="32"/>
      <c r="E661" s="33">
        <v>87350</v>
      </c>
      <c r="F661" s="33">
        <f>60000+62000</f>
        <v>122000</v>
      </c>
      <c r="G661" s="33"/>
      <c r="H661" s="57">
        <v>161395</v>
      </c>
      <c r="I661" s="33">
        <v>281200</v>
      </c>
      <c r="J661" s="31" t="e">
        <f t="shared" ref="J661:J662" si="349">+SUM(C661:G661)-(H661+I661)</f>
        <v>#REF!</v>
      </c>
      <c r="K661" s="156" t="e">
        <f t="shared" ref="K661:K671" si="350">J661=I638</f>
        <v>#REF!</v>
      </c>
      <c r="L661" s="5"/>
      <c r="M661" s="5"/>
      <c r="N661" s="5"/>
      <c r="O661" s="5"/>
      <c r="Q661" s="5"/>
    </row>
    <row r="662" spans="1:17">
      <c r="A662" s="130" t="s">
        <v>143</v>
      </c>
      <c r="B662" s="135" t="s">
        <v>31</v>
      </c>
      <c r="C662" s="33" t="e">
        <f t="shared" si="348"/>
        <v>#REF!</v>
      </c>
      <c r="D662" s="32"/>
      <c r="E662" s="33">
        <v>371500</v>
      </c>
      <c r="F662" s="33"/>
      <c r="G662" s="33"/>
      <c r="H662" s="33">
        <f>62000+81500+137000</f>
        <v>280500</v>
      </c>
      <c r="I662" s="33">
        <v>177000</v>
      </c>
      <c r="J662" s="107" t="e">
        <f t="shared" si="349"/>
        <v>#REF!</v>
      </c>
      <c r="K662" s="156" t="e">
        <f t="shared" si="350"/>
        <v>#REF!</v>
      </c>
      <c r="L662" s="5"/>
      <c r="M662" s="5"/>
      <c r="N662" s="5"/>
      <c r="O662" s="5"/>
      <c r="Q662" s="5"/>
    </row>
    <row r="663" spans="1:17">
      <c r="A663" s="130" t="s">
        <v>143</v>
      </c>
      <c r="B663" s="135" t="s">
        <v>77</v>
      </c>
      <c r="C663" s="33" t="e">
        <f t="shared" si="348"/>
        <v>#REF!</v>
      </c>
      <c r="D663" s="110"/>
      <c r="E663" s="33">
        <v>35560</v>
      </c>
      <c r="F663" s="33">
        <f>10000+81500</f>
        <v>91500</v>
      </c>
      <c r="G663" s="33"/>
      <c r="H663" s="33">
        <v>35000</v>
      </c>
      <c r="I663" s="33">
        <v>159750</v>
      </c>
      <c r="J663" s="107" t="e">
        <f>+SUM(C663:G663)-(H663+I663)</f>
        <v>#REF!</v>
      </c>
      <c r="K663" s="156" t="e">
        <f t="shared" si="350"/>
        <v>#REF!</v>
      </c>
      <c r="L663" s="5"/>
      <c r="M663" s="5"/>
      <c r="N663" s="5"/>
      <c r="O663" s="5"/>
      <c r="Q663" s="5"/>
    </row>
    <row r="664" spans="1:17">
      <c r="A664" s="130" t="s">
        <v>143</v>
      </c>
      <c r="B664" s="136" t="s">
        <v>30</v>
      </c>
      <c r="C664" s="33" t="e">
        <f t="shared" si="348"/>
        <v>#REF!</v>
      </c>
      <c r="D664" s="127"/>
      <c r="E664" s="53">
        <v>372085</v>
      </c>
      <c r="F664" s="53"/>
      <c r="G664" s="53"/>
      <c r="H664" s="53"/>
      <c r="I664" s="53">
        <v>336400</v>
      </c>
      <c r="J664" s="132" t="e">
        <f>+SUM(C664:G664)-(H664+I664)</f>
        <v>#REF!</v>
      </c>
      <c r="K664" s="156" t="e">
        <f t="shared" si="350"/>
        <v>#REF!</v>
      </c>
      <c r="L664" s="5"/>
      <c r="M664" s="5"/>
      <c r="N664" s="5"/>
      <c r="O664" s="5"/>
      <c r="Q664" s="5"/>
    </row>
    <row r="665" spans="1:17">
      <c r="A665" s="130" t="s">
        <v>143</v>
      </c>
      <c r="B665" s="137" t="s">
        <v>84</v>
      </c>
      <c r="C665" s="128" t="e">
        <f t="shared" si="348"/>
        <v>#REF!</v>
      </c>
      <c r="D665" s="131"/>
      <c r="E665" s="146"/>
      <c r="F665" s="146"/>
      <c r="G665" s="146"/>
      <c r="H665" s="146"/>
      <c r="I665" s="146"/>
      <c r="J665" s="129" t="e">
        <f>+SUM(C665:G665)-(H665+I665)</f>
        <v>#REF!</v>
      </c>
      <c r="K665" s="156" t="e">
        <f t="shared" si="350"/>
        <v>#REF!</v>
      </c>
      <c r="L665" s="5"/>
      <c r="M665" s="5"/>
      <c r="N665" s="5"/>
      <c r="O665" s="5"/>
      <c r="Q665" s="5"/>
    </row>
    <row r="666" spans="1:17">
      <c r="A666" s="130" t="s">
        <v>143</v>
      </c>
      <c r="B666" s="137" t="s">
        <v>83</v>
      </c>
      <c r="C666" s="128" t="e">
        <f t="shared" si="348"/>
        <v>#REF!</v>
      </c>
      <c r="D666" s="131"/>
      <c r="E666" s="146"/>
      <c r="F666" s="146"/>
      <c r="G666" s="146"/>
      <c r="H666" s="146"/>
      <c r="I666" s="146"/>
      <c r="J666" s="129" t="e">
        <f t="shared" ref="J666:J671" si="351">+SUM(C666:G666)-(H666+I666)</f>
        <v>#REF!</v>
      </c>
      <c r="K666" s="156" t="e">
        <f t="shared" si="350"/>
        <v>#REF!</v>
      </c>
      <c r="L666" s="5"/>
      <c r="M666" s="5"/>
      <c r="N666" s="5"/>
      <c r="O666" s="5"/>
      <c r="Q666" s="5"/>
    </row>
    <row r="667" spans="1:17">
      <c r="A667" s="130" t="s">
        <v>143</v>
      </c>
      <c r="B667" s="135" t="s">
        <v>35</v>
      </c>
      <c r="C667" s="33" t="e">
        <f t="shared" si="348"/>
        <v>#REF!</v>
      </c>
      <c r="D667" s="32"/>
      <c r="E667" s="33">
        <v>400000</v>
      </c>
      <c r="F667" s="33">
        <v>137000</v>
      </c>
      <c r="G667" s="110"/>
      <c r="H667" s="110"/>
      <c r="I667" s="33">
        <v>563500</v>
      </c>
      <c r="J667" s="31" t="e">
        <f t="shared" si="351"/>
        <v>#REF!</v>
      </c>
      <c r="K667" s="156" t="e">
        <f t="shared" si="350"/>
        <v>#REF!</v>
      </c>
      <c r="L667" s="5"/>
      <c r="M667" s="5"/>
      <c r="N667" s="5"/>
      <c r="O667" s="5"/>
      <c r="Q667" s="5"/>
    </row>
    <row r="668" spans="1:17">
      <c r="A668" s="130" t="s">
        <v>143</v>
      </c>
      <c r="B668" s="135" t="s">
        <v>93</v>
      </c>
      <c r="C668" s="33" t="e">
        <f t="shared" si="348"/>
        <v>#REF!</v>
      </c>
      <c r="D668" s="32"/>
      <c r="E668" s="33">
        <v>35000</v>
      </c>
      <c r="F668" s="110"/>
      <c r="G668" s="110"/>
      <c r="H668" s="110"/>
      <c r="I668" s="33">
        <v>23500</v>
      </c>
      <c r="J668" s="31" t="e">
        <f t="shared" si="351"/>
        <v>#REF!</v>
      </c>
      <c r="K668" s="156" t="e">
        <f t="shared" si="350"/>
        <v>#REF!</v>
      </c>
      <c r="L668" s="5"/>
      <c r="M668" s="5"/>
      <c r="N668" s="5"/>
      <c r="O668" s="5"/>
      <c r="Q668" s="5"/>
    </row>
    <row r="669" spans="1:17">
      <c r="A669" s="130" t="s">
        <v>143</v>
      </c>
      <c r="B669" s="135" t="s">
        <v>29</v>
      </c>
      <c r="C669" s="33">
        <f t="shared" si="348"/>
        <v>0</v>
      </c>
      <c r="D669" s="32"/>
      <c r="E669" s="33">
        <v>454000</v>
      </c>
      <c r="F669" s="110"/>
      <c r="G669" s="110"/>
      <c r="H669" s="110"/>
      <c r="I669" s="33">
        <v>329100</v>
      </c>
      <c r="J669" s="31">
        <f t="shared" si="351"/>
        <v>124900</v>
      </c>
      <c r="K669" s="156" t="b">
        <f t="shared" si="350"/>
        <v>0</v>
      </c>
      <c r="L669" s="5"/>
      <c r="M669" s="5"/>
      <c r="N669" s="5"/>
      <c r="O669" s="5"/>
      <c r="Q669" s="5"/>
    </row>
    <row r="670" spans="1:17">
      <c r="A670" s="130" t="s">
        <v>143</v>
      </c>
      <c r="B670" s="135" t="s">
        <v>32</v>
      </c>
      <c r="C670" s="33" t="e">
        <f t="shared" si="348"/>
        <v>#REF!</v>
      </c>
      <c r="D670" s="32"/>
      <c r="E670" s="33"/>
      <c r="F670" s="110"/>
      <c r="G670" s="110"/>
      <c r="H670" s="33">
        <v>20000</v>
      </c>
      <c r="I670" s="33">
        <v>5000</v>
      </c>
      <c r="J670" s="31" t="e">
        <f t="shared" si="351"/>
        <v>#REF!</v>
      </c>
      <c r="K670" s="156" t="e">
        <f t="shared" si="350"/>
        <v>#REF!</v>
      </c>
      <c r="L670" s="5"/>
      <c r="M670" s="5"/>
      <c r="N670" s="5"/>
      <c r="O670" s="5"/>
      <c r="Q670" s="5"/>
    </row>
    <row r="671" spans="1:17">
      <c r="A671" s="130" t="s">
        <v>143</v>
      </c>
      <c r="B671" s="136" t="s">
        <v>113</v>
      </c>
      <c r="C671" s="33">
        <f t="shared" si="348"/>
        <v>0</v>
      </c>
      <c r="D671" s="127"/>
      <c r="E671" s="53">
        <v>231000</v>
      </c>
      <c r="F671" s="53"/>
      <c r="G671" s="147"/>
      <c r="H671" s="53">
        <v>90000</v>
      </c>
      <c r="I671" s="53">
        <v>180000</v>
      </c>
      <c r="J671" s="31">
        <f t="shared" si="351"/>
        <v>-39000</v>
      </c>
      <c r="K671" s="156" t="b">
        <f t="shared" si="350"/>
        <v>0</v>
      </c>
      <c r="L671" s="5"/>
      <c r="M671" s="5"/>
      <c r="N671" s="5"/>
      <c r="O671" s="5"/>
      <c r="Q671" s="5"/>
    </row>
    <row r="672" spans="1:17">
      <c r="A672" s="35" t="s">
        <v>60</v>
      </c>
      <c r="B672" s="36"/>
      <c r="C672" s="36"/>
      <c r="D672" s="36"/>
      <c r="E672" s="36"/>
      <c r="F672" s="36"/>
      <c r="G672" s="36"/>
      <c r="H672" s="36"/>
      <c r="I672" s="36"/>
      <c r="J672" s="37"/>
      <c r="K672" s="155"/>
      <c r="L672" s="5"/>
      <c r="M672" s="5"/>
      <c r="N672" s="5"/>
      <c r="O672" s="5"/>
      <c r="Q672" s="5"/>
    </row>
    <row r="673" spans="1:17">
      <c r="A673" s="130" t="s">
        <v>143</v>
      </c>
      <c r="B673" s="38" t="s">
        <v>61</v>
      </c>
      <c r="C673" s="39" t="e">
        <f>+C637</f>
        <v>#REF!</v>
      </c>
      <c r="D673" s="51">
        <v>5000000</v>
      </c>
      <c r="E673" s="109"/>
      <c r="F673" s="51">
        <v>217445</v>
      </c>
      <c r="G673" s="148"/>
      <c r="H673" s="139">
        <v>2070495</v>
      </c>
      <c r="I673" s="134">
        <v>3286349</v>
      </c>
      <c r="J673" s="46" t="e">
        <f>+SUM(C673:G673)-(H673+I673)</f>
        <v>#REF!</v>
      </c>
      <c r="K673" s="156" t="e">
        <f>J673=I637</f>
        <v>#REF!</v>
      </c>
      <c r="L673" s="5"/>
      <c r="M673" s="5"/>
      <c r="N673" s="5"/>
      <c r="O673" s="5"/>
      <c r="Q673" s="5"/>
    </row>
    <row r="674" spans="1:17">
      <c r="A674" s="44" t="s">
        <v>62</v>
      </c>
      <c r="B674" s="25"/>
      <c r="C674" s="36"/>
      <c r="D674" s="25"/>
      <c r="E674" s="25"/>
      <c r="F674" s="25"/>
      <c r="G674" s="25"/>
      <c r="H674" s="25"/>
      <c r="I674" s="25"/>
      <c r="J674" s="37"/>
      <c r="K674" s="155"/>
      <c r="L674" s="5"/>
      <c r="M674" s="5"/>
      <c r="N674" s="5"/>
      <c r="O674" s="5"/>
      <c r="Q674" s="5"/>
    </row>
    <row r="675" spans="1:17">
      <c r="A675" s="130" t="s">
        <v>143</v>
      </c>
      <c r="B675" s="38" t="s">
        <v>63</v>
      </c>
      <c r="C675" s="133" t="e">
        <f>+#REF!</f>
        <v>#REF!</v>
      </c>
      <c r="D675" s="140">
        <v>7900099</v>
      </c>
      <c r="E675" s="51"/>
      <c r="F675" s="51"/>
      <c r="G675" s="51"/>
      <c r="H675" s="53">
        <v>3000000</v>
      </c>
      <c r="I675" s="55">
        <v>379529</v>
      </c>
      <c r="J675" s="46" t="e">
        <f>+SUM(C675:G675)-(H675+I675)</f>
        <v>#REF!</v>
      </c>
      <c r="K675" s="156" t="e">
        <f>+J675=#REF!</f>
        <v>#REF!</v>
      </c>
      <c r="L675" s="5"/>
      <c r="M675" s="5"/>
      <c r="N675" s="5"/>
      <c r="O675" s="5"/>
      <c r="Q675" s="5"/>
    </row>
    <row r="676" spans="1:17">
      <c r="A676" s="130" t="s">
        <v>143</v>
      </c>
      <c r="B676" s="38" t="s">
        <v>64</v>
      </c>
      <c r="C676" s="133" t="e">
        <f>+C636</f>
        <v>#REF!</v>
      </c>
      <c r="D676" s="51"/>
      <c r="E676" s="50"/>
      <c r="F676" s="50"/>
      <c r="G676" s="50"/>
      <c r="H676" s="33">
        <v>2000000</v>
      </c>
      <c r="I676" s="52">
        <v>5392233</v>
      </c>
      <c r="J676" s="46" t="e">
        <f>SUM(C676:G676)-(H676+I676)</f>
        <v>#REF!</v>
      </c>
      <c r="K676" s="156" t="e">
        <f>+J676=I636</f>
        <v>#REF!</v>
      </c>
      <c r="L676" s="5"/>
      <c r="M676" s="5"/>
      <c r="N676" s="5"/>
      <c r="O676" s="5"/>
      <c r="Q676" s="5"/>
    </row>
    <row r="677" spans="1:17" ht="15.75">
      <c r="C677" s="151" t="e">
        <f>SUM(C660:C676)</f>
        <v>#REF!</v>
      </c>
      <c r="I677" s="149">
        <f>SUM(I660:I676)</f>
        <v>11225561</v>
      </c>
      <c r="J677" s="111" t="e">
        <f>+SUM(J660:J676)</f>
        <v>#REF!</v>
      </c>
      <c r="K677" s="5" t="e">
        <f>J677=I649</f>
        <v>#REF!</v>
      </c>
      <c r="L677" s="5"/>
      <c r="M677" s="5"/>
      <c r="N677" s="5"/>
      <c r="O677" s="5"/>
      <c r="Q677" s="5"/>
    </row>
    <row r="678" spans="1:17" ht="16.5">
      <c r="A678" s="14"/>
      <c r="B678" s="15"/>
      <c r="C678" s="12"/>
      <c r="D678" s="12"/>
      <c r="E678" s="13"/>
      <c r="F678" s="12"/>
      <c r="G678" s="12"/>
      <c r="H678" s="12"/>
      <c r="I678" s="12"/>
      <c r="L678" s="5"/>
      <c r="M678" s="5"/>
      <c r="N678" s="5"/>
      <c r="O678" s="5"/>
      <c r="Q678" s="5"/>
    </row>
    <row r="679" spans="1:17">
      <c r="A679" s="16" t="s">
        <v>52</v>
      </c>
      <c r="B679" s="16"/>
      <c r="C679" s="16"/>
      <c r="D679" s="17"/>
      <c r="E679" s="17"/>
      <c r="F679" s="17"/>
      <c r="G679" s="17"/>
      <c r="H679" s="17"/>
      <c r="I679" s="17"/>
      <c r="L679" s="5"/>
      <c r="M679" s="5"/>
      <c r="N679" s="5"/>
      <c r="O679" s="5"/>
      <c r="Q679" s="5"/>
    </row>
    <row r="680" spans="1:17">
      <c r="A680" s="18" t="s">
        <v>131</v>
      </c>
      <c r="B680" s="18"/>
      <c r="C680" s="18"/>
      <c r="D680" s="18"/>
      <c r="E680" s="18"/>
      <c r="F680" s="18"/>
      <c r="G680" s="18"/>
      <c r="H680" s="18"/>
      <c r="I680" s="18"/>
      <c r="J680" s="17"/>
      <c r="L680" s="5"/>
      <c r="M680" s="5"/>
      <c r="N680" s="5"/>
      <c r="O680" s="5"/>
      <c r="Q680" s="5"/>
    </row>
    <row r="681" spans="1:17">
      <c r="A681" s="19"/>
      <c r="B681" s="20"/>
      <c r="C681" s="21"/>
      <c r="D681" s="21"/>
      <c r="E681" s="21"/>
      <c r="F681" s="21"/>
      <c r="G681" s="21"/>
      <c r="H681" s="20"/>
      <c r="I681" s="20"/>
      <c r="J681" s="18"/>
      <c r="L681" s="5"/>
      <c r="M681" s="5"/>
      <c r="N681" s="5"/>
      <c r="O681" s="5"/>
      <c r="Q681" s="5"/>
    </row>
    <row r="682" spans="1:17">
      <c r="A682" s="379" t="s">
        <v>53</v>
      </c>
      <c r="B682" s="381" t="s">
        <v>54</v>
      </c>
      <c r="C682" s="383" t="s">
        <v>132</v>
      </c>
      <c r="D682" s="385" t="s">
        <v>55</v>
      </c>
      <c r="E682" s="386"/>
      <c r="F682" s="386"/>
      <c r="G682" s="387"/>
      <c r="H682" s="388" t="s">
        <v>56</v>
      </c>
      <c r="I682" s="390" t="s">
        <v>57</v>
      </c>
      <c r="J682" s="20"/>
      <c r="L682" s="5"/>
      <c r="M682" s="5"/>
      <c r="N682" s="5"/>
      <c r="O682" s="5"/>
      <c r="Q682" s="5"/>
    </row>
    <row r="683" spans="1:17">
      <c r="A683" s="380"/>
      <c r="B683" s="382"/>
      <c r="C683" s="384"/>
      <c r="D683" s="22" t="s">
        <v>24</v>
      </c>
      <c r="E683" s="22" t="s">
        <v>25</v>
      </c>
      <c r="F683" s="167" t="s">
        <v>123</v>
      </c>
      <c r="G683" s="22" t="s">
        <v>58</v>
      </c>
      <c r="H683" s="389"/>
      <c r="I683" s="391"/>
      <c r="J683" s="392" t="s">
        <v>133</v>
      </c>
      <c r="K683" s="155"/>
      <c r="L683" s="5"/>
      <c r="M683" s="5"/>
      <c r="N683" s="5"/>
      <c r="O683" s="5"/>
      <c r="Q683" s="5"/>
    </row>
    <row r="684" spans="1:17">
      <c r="A684" s="24"/>
      <c r="B684" s="25" t="s">
        <v>59</v>
      </c>
      <c r="C684" s="26"/>
      <c r="D684" s="26"/>
      <c r="E684" s="26"/>
      <c r="F684" s="26"/>
      <c r="G684" s="26"/>
      <c r="H684" s="26"/>
      <c r="I684" s="27"/>
      <c r="J684" s="393"/>
      <c r="K684" s="155"/>
      <c r="L684" s="5"/>
      <c r="M684" s="5"/>
      <c r="N684" s="5"/>
      <c r="O684" s="5"/>
      <c r="Q684" s="5"/>
    </row>
    <row r="685" spans="1:17">
      <c r="A685" s="130" t="s">
        <v>134</v>
      </c>
      <c r="B685" s="135" t="s">
        <v>76</v>
      </c>
      <c r="C685" s="33">
        <v>40050</v>
      </c>
      <c r="D685" s="32"/>
      <c r="E685" s="33">
        <v>104000</v>
      </c>
      <c r="F685" s="33"/>
      <c r="G685" s="33"/>
      <c r="H685" s="57">
        <v>54000</v>
      </c>
      <c r="I685" s="33">
        <v>81000</v>
      </c>
      <c r="J685" s="31">
        <f>+SUM(C685:G685)-(H685+I685)</f>
        <v>9050</v>
      </c>
      <c r="K685" s="156" t="e">
        <f>J685=#REF!</f>
        <v>#REF!</v>
      </c>
      <c r="L685" s="5"/>
      <c r="M685" s="5"/>
      <c r="N685" s="5"/>
      <c r="O685" s="5"/>
      <c r="Q685" s="5"/>
    </row>
    <row r="686" spans="1:17">
      <c r="A686" s="130" t="s">
        <v>134</v>
      </c>
      <c r="B686" s="135" t="s">
        <v>47</v>
      </c>
      <c r="C686" s="33">
        <v>38845</v>
      </c>
      <c r="D686" s="32"/>
      <c r="E686" s="33">
        <v>1550000</v>
      </c>
      <c r="F686" s="33"/>
      <c r="G686" s="33"/>
      <c r="H686" s="57">
        <v>311000</v>
      </c>
      <c r="I686" s="33">
        <v>1017400</v>
      </c>
      <c r="J686" s="31">
        <f t="shared" ref="J686:J687" si="352">+SUM(C686:G686)-(H686+I686)</f>
        <v>260445</v>
      </c>
      <c r="K686" s="156" t="b">
        <f>J686=I638</f>
        <v>0</v>
      </c>
      <c r="L686" s="5"/>
      <c r="M686" s="5"/>
      <c r="N686" s="5"/>
      <c r="O686" s="5"/>
      <c r="Q686" s="5"/>
    </row>
    <row r="687" spans="1:17">
      <c r="A687" s="130" t="s">
        <v>134</v>
      </c>
      <c r="B687" s="135" t="s">
        <v>31</v>
      </c>
      <c r="C687" s="33">
        <v>6895</v>
      </c>
      <c r="D687" s="32"/>
      <c r="E687" s="33">
        <v>581000</v>
      </c>
      <c r="F687" s="33"/>
      <c r="G687" s="33"/>
      <c r="H687" s="33"/>
      <c r="I687" s="33">
        <v>498900</v>
      </c>
      <c r="J687" s="107">
        <f t="shared" si="352"/>
        <v>88995</v>
      </c>
      <c r="K687" s="156" t="b">
        <f>J687=I639</f>
        <v>0</v>
      </c>
      <c r="L687" s="5"/>
      <c r="M687" s="5"/>
      <c r="N687" s="5"/>
      <c r="O687" s="5"/>
      <c r="Q687" s="5"/>
    </row>
    <row r="688" spans="1:17">
      <c r="A688" s="130" t="s">
        <v>134</v>
      </c>
      <c r="B688" s="135" t="s">
        <v>77</v>
      </c>
      <c r="C688" s="33">
        <v>28540</v>
      </c>
      <c r="D688" s="110"/>
      <c r="E688" s="33">
        <v>332000</v>
      </c>
      <c r="F688" s="33">
        <v>10000</v>
      </c>
      <c r="G688" s="33"/>
      <c r="H688" s="33"/>
      <c r="I688" s="33">
        <v>302850</v>
      </c>
      <c r="J688" s="107">
        <f>+SUM(C688:G688)-(H688+I688)</f>
        <v>67690</v>
      </c>
      <c r="K688" s="156" t="b">
        <f>J688=I640</f>
        <v>0</v>
      </c>
      <c r="L688" s="5"/>
      <c r="M688" s="5"/>
      <c r="N688" s="5"/>
      <c r="O688" s="5"/>
      <c r="Q688" s="5"/>
    </row>
    <row r="689" spans="1:17">
      <c r="A689" s="130" t="s">
        <v>134</v>
      </c>
      <c r="B689" s="135" t="s">
        <v>69</v>
      </c>
      <c r="C689" s="33">
        <v>184</v>
      </c>
      <c r="D689" s="110"/>
      <c r="E689" s="33"/>
      <c r="F689" s="33"/>
      <c r="G689" s="33"/>
      <c r="H689" s="33">
        <v>184</v>
      </c>
      <c r="I689" s="33"/>
      <c r="J689" s="107">
        <f t="shared" ref="J689" si="353">+SUM(C689:G689)-(H689+I689)</f>
        <v>0</v>
      </c>
      <c r="K689" s="156" t="e">
        <f>J689=#REF!</f>
        <v>#REF!</v>
      </c>
      <c r="L689" s="5"/>
      <c r="M689" s="5"/>
      <c r="N689" s="5"/>
      <c r="O689" s="5"/>
      <c r="Q689" s="5"/>
    </row>
    <row r="690" spans="1:17">
      <c r="A690" s="130" t="s">
        <v>134</v>
      </c>
      <c r="B690" s="136" t="s">
        <v>30</v>
      </c>
      <c r="C690" s="33">
        <v>68200</v>
      </c>
      <c r="D690" s="127"/>
      <c r="E690" s="53">
        <v>638000</v>
      </c>
      <c r="F690" s="53">
        <v>45000</v>
      </c>
      <c r="G690" s="53"/>
      <c r="H690" s="53"/>
      <c r="I690" s="53">
        <v>787385</v>
      </c>
      <c r="J690" s="132">
        <f>+SUM(C690:G690)-(H690+I690)</f>
        <v>-36185</v>
      </c>
      <c r="K690" s="156" t="b">
        <f t="shared" ref="K690:K697" si="354">J690=I641</f>
        <v>0</v>
      </c>
      <c r="L690" s="5"/>
      <c r="M690" s="5"/>
      <c r="N690" s="5"/>
      <c r="O690" s="5"/>
      <c r="Q690" s="5"/>
    </row>
    <row r="691" spans="1:17">
      <c r="A691" s="130" t="s">
        <v>134</v>
      </c>
      <c r="B691" s="137" t="s">
        <v>84</v>
      </c>
      <c r="C691" s="128">
        <v>233614</v>
      </c>
      <c r="D691" s="131"/>
      <c r="E691" s="146"/>
      <c r="F691" s="146"/>
      <c r="G691" s="146"/>
      <c r="H691" s="146"/>
      <c r="I691" s="146"/>
      <c r="J691" s="129">
        <f>+SUM(C691:G691)-(H691+I691)</f>
        <v>233614</v>
      </c>
      <c r="K691" s="156" t="b">
        <f t="shared" si="354"/>
        <v>0</v>
      </c>
      <c r="L691" s="5"/>
      <c r="M691" s="5"/>
      <c r="N691" s="5"/>
      <c r="O691" s="5"/>
      <c r="Q691" s="5"/>
    </row>
    <row r="692" spans="1:17">
      <c r="A692" s="130" t="s">
        <v>134</v>
      </c>
      <c r="B692" s="137" t="s">
        <v>83</v>
      </c>
      <c r="C692" s="128">
        <v>249769</v>
      </c>
      <c r="D692" s="131"/>
      <c r="E692" s="146"/>
      <c r="F692" s="146"/>
      <c r="G692" s="146"/>
      <c r="H692" s="146"/>
      <c r="I692" s="146"/>
      <c r="J692" s="129">
        <f t="shared" ref="J692:J697" si="355">+SUM(C692:G692)-(H692+I692)</f>
        <v>249769</v>
      </c>
      <c r="K692" s="156" t="b">
        <f t="shared" si="354"/>
        <v>0</v>
      </c>
      <c r="L692" s="5"/>
      <c r="M692" s="5"/>
      <c r="N692" s="5"/>
      <c r="O692" s="5"/>
      <c r="Q692" s="5"/>
    </row>
    <row r="693" spans="1:17">
      <c r="A693" s="130" t="s">
        <v>134</v>
      </c>
      <c r="B693" s="135" t="s">
        <v>35</v>
      </c>
      <c r="C693" s="33">
        <v>-4675</v>
      </c>
      <c r="D693" s="32"/>
      <c r="E693" s="33">
        <v>494000</v>
      </c>
      <c r="F693" s="33">
        <v>256000</v>
      </c>
      <c r="G693" s="110"/>
      <c r="H693" s="110">
        <v>6500</v>
      </c>
      <c r="I693" s="33">
        <v>607250</v>
      </c>
      <c r="J693" s="31">
        <f t="shared" si="355"/>
        <v>131575</v>
      </c>
      <c r="K693" s="156" t="b">
        <f t="shared" si="354"/>
        <v>0</v>
      </c>
      <c r="L693" s="5"/>
      <c r="M693" s="5"/>
      <c r="N693" s="5"/>
      <c r="O693" s="5"/>
      <c r="Q693" s="5"/>
    </row>
    <row r="694" spans="1:17">
      <c r="A694" s="130" t="s">
        <v>134</v>
      </c>
      <c r="B694" s="135" t="s">
        <v>93</v>
      </c>
      <c r="C694" s="33">
        <v>5000</v>
      </c>
      <c r="D694" s="32"/>
      <c r="E694" s="33">
        <v>30000</v>
      </c>
      <c r="F694" s="110"/>
      <c r="G694" s="110"/>
      <c r="H694" s="110"/>
      <c r="I694" s="33">
        <v>29500</v>
      </c>
      <c r="J694" s="31">
        <f t="shared" si="355"/>
        <v>5500</v>
      </c>
      <c r="K694" s="156" t="b">
        <f t="shared" si="354"/>
        <v>0</v>
      </c>
      <c r="L694" s="5"/>
      <c r="M694" s="5"/>
      <c r="N694" s="5"/>
      <c r="O694" s="5"/>
      <c r="Q694" s="5"/>
    </row>
    <row r="695" spans="1:17">
      <c r="A695" s="130" t="s">
        <v>134</v>
      </c>
      <c r="B695" s="135" t="s">
        <v>29</v>
      </c>
      <c r="C695" s="33">
        <v>72800</v>
      </c>
      <c r="D695" s="32"/>
      <c r="E695" s="33">
        <v>446000</v>
      </c>
      <c r="F695" s="110"/>
      <c r="G695" s="110"/>
      <c r="H695" s="110"/>
      <c r="I695" s="33">
        <v>512600</v>
      </c>
      <c r="J695" s="31">
        <f t="shared" si="355"/>
        <v>6200</v>
      </c>
      <c r="K695" s="156" t="b">
        <f t="shared" si="354"/>
        <v>0</v>
      </c>
      <c r="L695" s="5"/>
      <c r="M695" s="5"/>
      <c r="N695" s="5"/>
      <c r="O695" s="5"/>
      <c r="Q695" s="5"/>
    </row>
    <row r="696" spans="1:17">
      <c r="A696" s="130" t="s">
        <v>134</v>
      </c>
      <c r="B696" s="135" t="s">
        <v>32</v>
      </c>
      <c r="C696" s="33">
        <v>47300</v>
      </c>
      <c r="D696" s="32"/>
      <c r="E696" s="33">
        <v>5000</v>
      </c>
      <c r="F696" s="110">
        <v>6500</v>
      </c>
      <c r="G696" s="110"/>
      <c r="H696" s="33">
        <v>20000</v>
      </c>
      <c r="I696" s="33">
        <v>8000</v>
      </c>
      <c r="J696" s="31">
        <f t="shared" si="355"/>
        <v>30800</v>
      </c>
      <c r="K696" s="156" t="b">
        <f t="shared" si="354"/>
        <v>0</v>
      </c>
      <c r="L696" s="5"/>
      <c r="M696" s="5"/>
      <c r="N696" s="5"/>
      <c r="O696" s="5"/>
      <c r="Q696" s="5"/>
    </row>
    <row r="697" spans="1:17">
      <c r="A697" s="130" t="s">
        <v>134</v>
      </c>
      <c r="B697" s="136" t="s">
        <v>113</v>
      </c>
      <c r="C697" s="33">
        <v>79600</v>
      </c>
      <c r="D697" s="127"/>
      <c r="E697" s="53"/>
      <c r="F697" s="53"/>
      <c r="G697" s="147"/>
      <c r="H697" s="53"/>
      <c r="I697" s="53">
        <v>37707</v>
      </c>
      <c r="J697" s="31">
        <f t="shared" si="355"/>
        <v>41893</v>
      </c>
      <c r="K697" s="156" t="b">
        <f t="shared" si="354"/>
        <v>0</v>
      </c>
      <c r="L697" s="5"/>
      <c r="M697" s="5"/>
      <c r="N697" s="5"/>
      <c r="O697" s="5"/>
      <c r="Q697" s="5"/>
    </row>
    <row r="698" spans="1:17">
      <c r="A698" s="35" t="s">
        <v>60</v>
      </c>
      <c r="B698" s="36"/>
      <c r="C698" s="36"/>
      <c r="D698" s="36"/>
      <c r="E698" s="36"/>
      <c r="F698" s="36"/>
      <c r="G698" s="36"/>
      <c r="H698" s="36"/>
      <c r="I698" s="36"/>
      <c r="J698" s="37"/>
      <c r="K698" s="155"/>
      <c r="L698" s="5"/>
      <c r="M698" s="5"/>
      <c r="N698" s="5"/>
      <c r="O698" s="5"/>
      <c r="Q698" s="5"/>
    </row>
    <row r="699" spans="1:17">
      <c r="A699" s="130" t="s">
        <v>134</v>
      </c>
      <c r="B699" s="38" t="s">
        <v>61</v>
      </c>
      <c r="C699" s="39">
        <v>467929</v>
      </c>
      <c r="D699" s="51">
        <v>6310000</v>
      </c>
      <c r="E699" s="109"/>
      <c r="F699" s="51">
        <v>74184</v>
      </c>
      <c r="G699" s="148"/>
      <c r="H699" s="139">
        <v>4180000</v>
      </c>
      <c r="I699" s="134">
        <v>1710965</v>
      </c>
      <c r="J699" s="46">
        <f>+SUM(C699:G699)-(H699+I699)</f>
        <v>961148</v>
      </c>
      <c r="K699" s="156" t="b">
        <f>J699=I637</f>
        <v>0</v>
      </c>
      <c r="L699" s="5"/>
      <c r="M699" s="5"/>
      <c r="N699" s="5"/>
      <c r="O699" s="5"/>
      <c r="Q699" s="5"/>
    </row>
    <row r="700" spans="1:17">
      <c r="A700" s="44" t="s">
        <v>62</v>
      </c>
      <c r="B700" s="25"/>
      <c r="C700" s="36"/>
      <c r="D700" s="25"/>
      <c r="E700" s="25"/>
      <c r="F700" s="25"/>
      <c r="G700" s="25"/>
      <c r="H700" s="25"/>
      <c r="I700" s="25"/>
      <c r="J700" s="37"/>
      <c r="K700" s="155"/>
      <c r="L700" s="5"/>
      <c r="M700" s="5"/>
      <c r="N700" s="5"/>
      <c r="O700" s="5"/>
      <c r="Q700" s="5"/>
    </row>
    <row r="701" spans="1:17">
      <c r="A701" s="130" t="s">
        <v>134</v>
      </c>
      <c r="B701" s="38" t="s">
        <v>63</v>
      </c>
      <c r="C701" s="133">
        <v>7405927</v>
      </c>
      <c r="D701" s="140"/>
      <c r="E701" s="51"/>
      <c r="F701" s="51"/>
      <c r="G701" s="51"/>
      <c r="H701" s="53">
        <v>2000000</v>
      </c>
      <c r="I701" s="55">
        <v>1710232</v>
      </c>
      <c r="J701" s="46">
        <f>+SUM(C701:G701)-(H701+I701)</f>
        <v>3695695</v>
      </c>
      <c r="K701" s="156" t="e">
        <f>+J701=#REF!</f>
        <v>#REF!</v>
      </c>
      <c r="L701" s="5"/>
      <c r="M701" s="5"/>
      <c r="N701" s="5"/>
      <c r="O701" s="5"/>
      <c r="Q701" s="5"/>
    </row>
    <row r="702" spans="1:17">
      <c r="A702" s="130" t="s">
        <v>134</v>
      </c>
      <c r="B702" s="38" t="s">
        <v>64</v>
      </c>
      <c r="C702" s="133">
        <v>22972065</v>
      </c>
      <c r="D702" s="51"/>
      <c r="E702" s="50"/>
      <c r="F702" s="50"/>
      <c r="G702" s="50"/>
      <c r="H702" s="33">
        <v>4310000</v>
      </c>
      <c r="I702" s="52">
        <v>3055511</v>
      </c>
      <c r="J702" s="46">
        <f>SUM(C702:G702)-(H702+I702)</f>
        <v>15606554</v>
      </c>
      <c r="K702" s="156" t="b">
        <f>+J702=I636</f>
        <v>0</v>
      </c>
      <c r="L702" s="5"/>
      <c r="M702" s="5"/>
      <c r="N702" s="5"/>
      <c r="O702" s="5"/>
      <c r="Q702" s="5"/>
    </row>
    <row r="703" spans="1:17" ht="15.75">
      <c r="C703" s="151">
        <f>SUM(C685:C702)</f>
        <v>31712043</v>
      </c>
      <c r="I703" s="149">
        <f>SUM(I685:I702)</f>
        <v>10359300</v>
      </c>
      <c r="J703" s="111">
        <f>+SUM(J685:J702)</f>
        <v>21352743</v>
      </c>
      <c r="K703" s="5" t="b">
        <f>J703=I649</f>
        <v>0</v>
      </c>
      <c r="L703" s="5"/>
      <c r="M703" s="5"/>
      <c r="N703" s="5"/>
      <c r="O703" s="5"/>
      <c r="Q703" s="5"/>
    </row>
    <row r="704" spans="1:17" ht="16.5">
      <c r="A704" s="14"/>
      <c r="B704" s="15"/>
      <c r="C704" s="12"/>
      <c r="D704" s="12"/>
      <c r="E704" s="13"/>
      <c r="F704" s="12"/>
      <c r="G704" s="12"/>
      <c r="H704" s="12"/>
      <c r="I704" s="12"/>
      <c r="L704" s="5"/>
      <c r="M704" s="5"/>
      <c r="N704" s="5"/>
      <c r="O704" s="5"/>
      <c r="Q704" s="5"/>
    </row>
    <row r="705" spans="1:17">
      <c r="A705" s="16" t="s">
        <v>52</v>
      </c>
      <c r="B705" s="16"/>
      <c r="C705" s="16"/>
      <c r="D705" s="17"/>
      <c r="E705" s="17"/>
      <c r="F705" s="17"/>
      <c r="G705" s="17"/>
      <c r="H705" s="17"/>
      <c r="I705" s="17"/>
      <c r="L705" s="5"/>
      <c r="M705" s="5"/>
      <c r="N705" s="5"/>
      <c r="O705" s="5"/>
      <c r="Q705" s="5"/>
    </row>
    <row r="706" spans="1:17">
      <c r="A706" s="18" t="s">
        <v>124</v>
      </c>
      <c r="B706" s="18"/>
      <c r="C706" s="18"/>
      <c r="D706" s="18"/>
      <c r="E706" s="18"/>
      <c r="F706" s="18"/>
      <c r="G706" s="18"/>
      <c r="H706" s="18"/>
      <c r="I706" s="18"/>
      <c r="J706" s="17"/>
      <c r="L706" s="5"/>
      <c r="M706" s="5"/>
      <c r="N706" s="5"/>
      <c r="O706" s="5"/>
      <c r="Q706" s="5"/>
    </row>
    <row r="707" spans="1:17">
      <c r="A707" s="19"/>
      <c r="B707" s="20"/>
      <c r="C707" s="21"/>
      <c r="D707" s="21"/>
      <c r="E707" s="21"/>
      <c r="F707" s="21"/>
      <c r="G707" s="21"/>
      <c r="H707" s="20"/>
      <c r="I707" s="20"/>
      <c r="J707" s="18"/>
      <c r="L707" s="5"/>
      <c r="M707" s="5"/>
      <c r="N707" s="5"/>
      <c r="O707" s="5"/>
      <c r="Q707" s="5"/>
    </row>
    <row r="708" spans="1:17">
      <c r="A708" s="379" t="s">
        <v>53</v>
      </c>
      <c r="B708" s="381" t="s">
        <v>54</v>
      </c>
      <c r="C708" s="383" t="s">
        <v>125</v>
      </c>
      <c r="D708" s="385" t="s">
        <v>55</v>
      </c>
      <c r="E708" s="386"/>
      <c r="F708" s="386"/>
      <c r="G708" s="387"/>
      <c r="H708" s="388" t="s">
        <v>56</v>
      </c>
      <c r="I708" s="390" t="s">
        <v>57</v>
      </c>
      <c r="J708" s="20"/>
      <c r="L708" s="5"/>
      <c r="M708" s="5"/>
      <c r="N708" s="5"/>
      <c r="O708" s="5"/>
      <c r="Q708" s="5"/>
    </row>
    <row r="709" spans="1:17">
      <c r="A709" s="380"/>
      <c r="B709" s="382"/>
      <c r="C709" s="384"/>
      <c r="D709" s="22" t="s">
        <v>24</v>
      </c>
      <c r="E709" s="22" t="s">
        <v>25</v>
      </c>
      <c r="F709" s="166" t="s">
        <v>123</v>
      </c>
      <c r="G709" s="22" t="s">
        <v>58</v>
      </c>
      <c r="H709" s="389"/>
      <c r="I709" s="391"/>
      <c r="J709" s="392" t="s">
        <v>126</v>
      </c>
      <c r="K709" s="155"/>
      <c r="L709" s="5"/>
      <c r="M709" s="5"/>
      <c r="N709" s="5"/>
      <c r="O709" s="5"/>
      <c r="Q709" s="5"/>
    </row>
    <row r="710" spans="1:17">
      <c r="A710" s="24"/>
      <c r="B710" s="25" t="s">
        <v>59</v>
      </c>
      <c r="C710" s="26"/>
      <c r="D710" s="26"/>
      <c r="E710" s="26"/>
      <c r="F710" s="26"/>
      <c r="G710" s="26"/>
      <c r="H710" s="26"/>
      <c r="I710" s="27"/>
      <c r="J710" s="393"/>
      <c r="K710" s="155"/>
      <c r="L710" s="5"/>
      <c r="M710" s="5"/>
      <c r="N710" s="5"/>
      <c r="O710" s="5"/>
      <c r="Q710" s="5"/>
    </row>
    <row r="711" spans="1:17">
      <c r="A711" s="130" t="s">
        <v>127</v>
      </c>
      <c r="B711" s="135" t="s">
        <v>76</v>
      </c>
      <c r="C711" s="33">
        <v>-450</v>
      </c>
      <c r="D711" s="32"/>
      <c r="E711" s="33">
        <v>168000</v>
      </c>
      <c r="F711" s="33">
        <v>55000</v>
      </c>
      <c r="G711" s="33"/>
      <c r="H711" s="57"/>
      <c r="I711" s="33">
        <v>182500</v>
      </c>
      <c r="J711" s="31">
        <f>+SUM(C711:G711)-(H711+I711)</f>
        <v>40050</v>
      </c>
      <c r="K711" s="156"/>
      <c r="L711" s="5"/>
      <c r="M711" s="5"/>
      <c r="N711" s="5"/>
      <c r="O711" s="5"/>
      <c r="Q711" s="5"/>
    </row>
    <row r="712" spans="1:17">
      <c r="A712" s="130" t="s">
        <v>127</v>
      </c>
      <c r="B712" s="135" t="s">
        <v>47</v>
      </c>
      <c r="C712" s="33">
        <v>12510</v>
      </c>
      <c r="D712" s="32"/>
      <c r="E712" s="33">
        <v>303000</v>
      </c>
      <c r="F712" s="33"/>
      <c r="G712" s="33"/>
      <c r="H712" s="57"/>
      <c r="I712" s="33">
        <v>276665</v>
      </c>
      <c r="J712" s="31">
        <f t="shared" ref="J712:J713" si="356">+SUM(C712:G712)-(H712+I712)</f>
        <v>38845</v>
      </c>
      <c r="K712" s="156"/>
      <c r="L712" s="5"/>
      <c r="M712" s="5"/>
      <c r="N712" s="5"/>
      <c r="O712" s="5"/>
      <c r="Q712" s="5"/>
    </row>
    <row r="713" spans="1:17">
      <c r="A713" s="130" t="s">
        <v>127</v>
      </c>
      <c r="B713" s="135" t="s">
        <v>31</v>
      </c>
      <c r="C713" s="33">
        <v>2895</v>
      </c>
      <c r="D713" s="32"/>
      <c r="E713" s="33">
        <v>40000</v>
      </c>
      <c r="F713" s="33"/>
      <c r="G713" s="33"/>
      <c r="H713" s="33"/>
      <c r="I713" s="33">
        <v>36000</v>
      </c>
      <c r="J713" s="107">
        <f t="shared" si="356"/>
        <v>6895</v>
      </c>
      <c r="K713" s="156"/>
      <c r="L713" s="5"/>
      <c r="M713" s="5"/>
      <c r="N713" s="5"/>
      <c r="O713" s="5"/>
      <c r="Q713" s="5"/>
    </row>
    <row r="714" spans="1:17">
      <c r="A714" s="130" t="s">
        <v>127</v>
      </c>
      <c r="B714" s="135" t="s">
        <v>77</v>
      </c>
      <c r="C714" s="33">
        <v>62040</v>
      </c>
      <c r="D714" s="110"/>
      <c r="E714" s="33"/>
      <c r="F714" s="33"/>
      <c r="G714" s="33"/>
      <c r="H714" s="33">
        <v>25000</v>
      </c>
      <c r="I714" s="33">
        <v>8500</v>
      </c>
      <c r="J714" s="107">
        <f>+SUM(C714:G714)-(H714+I714)</f>
        <v>28540</v>
      </c>
      <c r="K714" s="156"/>
      <c r="L714" s="5"/>
      <c r="M714" s="5"/>
      <c r="N714" s="5"/>
      <c r="O714" s="5"/>
      <c r="Q714" s="5"/>
    </row>
    <row r="715" spans="1:17">
      <c r="A715" s="130" t="s">
        <v>127</v>
      </c>
      <c r="B715" s="135" t="s">
        <v>69</v>
      </c>
      <c r="C715" s="33">
        <v>184</v>
      </c>
      <c r="D715" s="110"/>
      <c r="E715" s="33">
        <v>0</v>
      </c>
      <c r="F715" s="33"/>
      <c r="G715" s="33"/>
      <c r="H715" s="33"/>
      <c r="I715" s="33">
        <v>0</v>
      </c>
      <c r="J715" s="107">
        <f t="shared" ref="J715" si="357">+SUM(C715:G715)-(H715+I715)</f>
        <v>184</v>
      </c>
      <c r="K715" s="156"/>
      <c r="L715" s="5"/>
      <c r="M715" s="5"/>
      <c r="N715" s="5"/>
      <c r="O715" s="5"/>
      <c r="Q715" s="5"/>
    </row>
    <row r="716" spans="1:17">
      <c r="A716" s="130" t="s">
        <v>127</v>
      </c>
      <c r="B716" s="136" t="s">
        <v>30</v>
      </c>
      <c r="C716" s="33">
        <v>-36500</v>
      </c>
      <c r="D716" s="127"/>
      <c r="E716" s="53">
        <v>523500</v>
      </c>
      <c r="F716" s="53"/>
      <c r="G716" s="53"/>
      <c r="H716" s="53"/>
      <c r="I716" s="53">
        <v>418800</v>
      </c>
      <c r="J716" s="132">
        <f>+SUM(C716:G716)-(H716+I716)</f>
        <v>68200</v>
      </c>
      <c r="K716" s="156"/>
      <c r="L716" s="5"/>
      <c r="M716" s="5"/>
      <c r="N716" s="5"/>
      <c r="O716" s="5"/>
      <c r="Q716" s="5"/>
    </row>
    <row r="717" spans="1:17">
      <c r="A717" s="130" t="s">
        <v>127</v>
      </c>
      <c r="B717" s="137" t="s">
        <v>84</v>
      </c>
      <c r="C717" s="128">
        <v>233614</v>
      </c>
      <c r="D717" s="131"/>
      <c r="E717" s="146"/>
      <c r="F717" s="146"/>
      <c r="G717" s="146"/>
      <c r="H717" s="146"/>
      <c r="I717" s="146"/>
      <c r="J717" s="129">
        <f>+SUM(C717:G717)-(H717+I717)</f>
        <v>233614</v>
      </c>
      <c r="K717" s="156"/>
      <c r="L717" s="5"/>
      <c r="M717" s="5"/>
      <c r="N717" s="5"/>
      <c r="O717" s="5"/>
      <c r="Q717" s="5"/>
    </row>
    <row r="718" spans="1:17">
      <c r="A718" s="130" t="s">
        <v>127</v>
      </c>
      <c r="B718" s="137" t="s">
        <v>83</v>
      </c>
      <c r="C718" s="128">
        <v>249769</v>
      </c>
      <c r="D718" s="131"/>
      <c r="E718" s="146"/>
      <c r="F718" s="146"/>
      <c r="G718" s="146"/>
      <c r="H718" s="146"/>
      <c r="I718" s="146"/>
      <c r="J718" s="129">
        <f t="shared" ref="J718:J723" si="358">+SUM(C718:G718)-(H718+I718)</f>
        <v>249769</v>
      </c>
      <c r="K718" s="156"/>
      <c r="L718" s="5"/>
      <c r="M718" s="5"/>
      <c r="N718" s="5"/>
      <c r="O718" s="5"/>
      <c r="Q718" s="5"/>
    </row>
    <row r="719" spans="1:17">
      <c r="A719" s="130" t="s">
        <v>127</v>
      </c>
      <c r="B719" s="135" t="s">
        <v>35</v>
      </c>
      <c r="C719" s="33">
        <v>71200</v>
      </c>
      <c r="D719" s="32"/>
      <c r="E719" s="33">
        <v>1056000</v>
      </c>
      <c r="F719" s="33"/>
      <c r="G719" s="110"/>
      <c r="H719" s="110">
        <v>55000</v>
      </c>
      <c r="I719" s="33">
        <v>1076875</v>
      </c>
      <c r="J719" s="31">
        <f t="shared" si="358"/>
        <v>-4675</v>
      </c>
      <c r="K719" s="156"/>
      <c r="L719" s="5"/>
      <c r="M719" s="5"/>
      <c r="N719" s="5"/>
      <c r="O719" s="5"/>
      <c r="Q719" s="5"/>
    </row>
    <row r="720" spans="1:17">
      <c r="A720" s="130" t="s">
        <v>127</v>
      </c>
      <c r="B720" s="135" t="s">
        <v>93</v>
      </c>
      <c r="C720" s="33">
        <v>6000</v>
      </c>
      <c r="D720" s="32"/>
      <c r="E720" s="33">
        <v>20000</v>
      </c>
      <c r="F720" s="110"/>
      <c r="G720" s="110"/>
      <c r="H720" s="110"/>
      <c r="I720" s="33">
        <v>21000</v>
      </c>
      <c r="J720" s="31">
        <f t="shared" si="358"/>
        <v>5000</v>
      </c>
      <c r="K720" s="156"/>
      <c r="L720" s="5"/>
      <c r="M720" s="5"/>
      <c r="N720" s="5"/>
      <c r="O720" s="5"/>
      <c r="Q720" s="5"/>
    </row>
    <row r="721" spans="1:17">
      <c r="A721" s="130" t="s">
        <v>127</v>
      </c>
      <c r="B721" s="135" t="s">
        <v>29</v>
      </c>
      <c r="C721" s="33">
        <v>167700</v>
      </c>
      <c r="D721" s="32"/>
      <c r="E721" s="33">
        <v>473000</v>
      </c>
      <c r="F721" s="110"/>
      <c r="G721" s="110"/>
      <c r="H721" s="110"/>
      <c r="I721" s="33">
        <v>567900</v>
      </c>
      <c r="J721" s="31">
        <f t="shared" si="358"/>
        <v>72800</v>
      </c>
      <c r="K721" s="156"/>
      <c r="L721" s="5"/>
      <c r="M721" s="5"/>
      <c r="N721" s="5"/>
      <c r="O721" s="5"/>
      <c r="Q721" s="5"/>
    </row>
    <row r="722" spans="1:17">
      <c r="A722" s="130" t="s">
        <v>127</v>
      </c>
      <c r="B722" s="135" t="s">
        <v>32</v>
      </c>
      <c r="C722" s="33">
        <v>65300</v>
      </c>
      <c r="D722" s="32"/>
      <c r="E722" s="33">
        <v>10000</v>
      </c>
      <c r="F722" s="110"/>
      <c r="G722" s="110"/>
      <c r="H722" s="110">
        <v>20000</v>
      </c>
      <c r="I722" s="33">
        <v>8000</v>
      </c>
      <c r="J722" s="31">
        <f t="shared" si="358"/>
        <v>47300</v>
      </c>
      <c r="K722" s="156"/>
      <c r="L722" s="5"/>
      <c r="M722" s="5"/>
      <c r="N722" s="5"/>
      <c r="O722" s="5"/>
      <c r="Q722" s="5"/>
    </row>
    <row r="723" spans="1:17">
      <c r="A723" s="130" t="s">
        <v>127</v>
      </c>
      <c r="B723" s="136" t="s">
        <v>113</v>
      </c>
      <c r="C723" s="33">
        <v>-11700</v>
      </c>
      <c r="D723" s="127"/>
      <c r="E723" s="53">
        <v>385800</v>
      </c>
      <c r="F723" s="53"/>
      <c r="G723" s="147"/>
      <c r="H723" s="53"/>
      <c r="I723" s="53">
        <v>294500</v>
      </c>
      <c r="J723" s="31">
        <f t="shared" si="358"/>
        <v>79600</v>
      </c>
      <c r="K723" s="156"/>
      <c r="L723" s="5"/>
      <c r="M723" s="5"/>
      <c r="N723" s="5"/>
      <c r="O723" s="5"/>
      <c r="Q723" s="5"/>
    </row>
    <row r="724" spans="1:17">
      <c r="A724" s="35" t="s">
        <v>60</v>
      </c>
      <c r="B724" s="36"/>
      <c r="C724" s="36"/>
      <c r="D724" s="36"/>
      <c r="E724" s="36"/>
      <c r="F724" s="36"/>
      <c r="G724" s="36"/>
      <c r="H724" s="36"/>
      <c r="I724" s="36"/>
      <c r="J724" s="37"/>
      <c r="K724" s="155"/>
      <c r="L724" s="5"/>
      <c r="M724" s="5"/>
      <c r="N724" s="5"/>
      <c r="O724" s="5"/>
      <c r="Q724" s="5"/>
    </row>
    <row r="725" spans="1:17">
      <c r="A725" s="130" t="s">
        <v>127</v>
      </c>
      <c r="B725" s="38" t="s">
        <v>61</v>
      </c>
      <c r="C725" s="39">
        <v>1672959</v>
      </c>
      <c r="D725" s="51">
        <v>3341000</v>
      </c>
      <c r="E725" s="109"/>
      <c r="F725" s="109">
        <v>45000</v>
      </c>
      <c r="G725" s="148"/>
      <c r="H725" s="139">
        <v>2979300</v>
      </c>
      <c r="I725" s="134">
        <v>1611730</v>
      </c>
      <c r="J725" s="46">
        <f>+SUM(C725:G725)-(H725+I725)</f>
        <v>467929</v>
      </c>
      <c r="K725" s="156"/>
      <c r="L725" s="5"/>
      <c r="M725" s="5"/>
      <c r="N725" s="5"/>
      <c r="O725" s="5"/>
      <c r="Q725" s="5"/>
    </row>
    <row r="726" spans="1:17">
      <c r="A726" s="44" t="s">
        <v>62</v>
      </c>
      <c r="B726" s="25"/>
      <c r="C726" s="36"/>
      <c r="D726" s="25"/>
      <c r="E726" s="25"/>
      <c r="F726" s="25"/>
      <c r="G726" s="25"/>
      <c r="H726" s="25"/>
      <c r="I726" s="25"/>
      <c r="J726" s="37"/>
      <c r="K726" s="155"/>
      <c r="L726" s="5"/>
      <c r="M726" s="5"/>
      <c r="N726" s="5"/>
      <c r="O726" s="5"/>
      <c r="Q726" s="5"/>
    </row>
    <row r="727" spans="1:17">
      <c r="A727" s="130" t="s">
        <v>127</v>
      </c>
      <c r="B727" s="38" t="s">
        <v>63</v>
      </c>
      <c r="C727" s="133">
        <v>2957378</v>
      </c>
      <c r="D727" s="140">
        <v>7828953</v>
      </c>
      <c r="E727" s="51"/>
      <c r="F727" s="51"/>
      <c r="G727" s="51"/>
      <c r="H727" s="53">
        <v>3000000</v>
      </c>
      <c r="I727" s="55">
        <v>380404</v>
      </c>
      <c r="J727" s="46">
        <f>+SUM(C727:G727)-(H727+I727)</f>
        <v>7405927</v>
      </c>
      <c r="K727" s="156"/>
      <c r="L727" s="5"/>
      <c r="M727" s="5"/>
      <c r="N727" s="5"/>
      <c r="O727" s="5"/>
      <c r="Q727" s="5"/>
    </row>
    <row r="728" spans="1:17">
      <c r="A728" s="130" t="s">
        <v>127</v>
      </c>
      <c r="B728" s="38" t="s">
        <v>64</v>
      </c>
      <c r="C728" s="133">
        <v>28018504</v>
      </c>
      <c r="D728" s="51"/>
      <c r="E728" s="50"/>
      <c r="F728" s="50"/>
      <c r="G728" s="50"/>
      <c r="H728" s="33">
        <v>341000</v>
      </c>
      <c r="I728" s="52">
        <v>4705439</v>
      </c>
      <c r="J728" s="46">
        <f>SUM(C728:G728)-(H728+I728)</f>
        <v>22972065</v>
      </c>
      <c r="K728" s="156"/>
      <c r="L728" s="5"/>
      <c r="M728" s="5"/>
      <c r="N728" s="5"/>
      <c r="O728" s="5"/>
      <c r="Q728" s="5"/>
    </row>
    <row r="729" spans="1:17" ht="15.75">
      <c r="C729" s="151">
        <f>SUM(C711:C728)</f>
        <v>33471403</v>
      </c>
      <c r="I729" s="149">
        <f>SUM(I711:I728)</f>
        <v>9588313</v>
      </c>
      <c r="J729" s="111">
        <f>+SUM(J711:J728)</f>
        <v>31712043</v>
      </c>
      <c r="L729" s="5"/>
      <c r="M729" s="5"/>
      <c r="N729" s="5"/>
      <c r="O729" s="5"/>
      <c r="Q729" s="5"/>
    </row>
    <row r="730" spans="1:17" ht="16.5">
      <c r="A730" s="14"/>
      <c r="B730" s="15"/>
      <c r="C730" s="12" t="e">
        <f>C729=C649</f>
        <v>#REF!</v>
      </c>
      <c r="D730" s="12"/>
      <c r="E730" s="13"/>
      <c r="F730" s="12"/>
      <c r="G730" s="12"/>
      <c r="H730" s="12"/>
      <c r="I730" s="12"/>
      <c r="L730" s="5"/>
      <c r="M730" s="5"/>
      <c r="N730" s="5"/>
      <c r="O730" s="5"/>
      <c r="Q730" s="5"/>
    </row>
    <row r="731" spans="1:17">
      <c r="A731" s="16" t="s">
        <v>52</v>
      </c>
      <c r="B731" s="16"/>
      <c r="C731" s="16"/>
      <c r="D731" s="17"/>
      <c r="E731" s="17"/>
      <c r="F731" s="17"/>
      <c r="G731" s="17"/>
      <c r="H731" s="17"/>
      <c r="I731" s="17"/>
      <c r="L731" s="5"/>
      <c r="M731" s="5"/>
      <c r="N731" s="5"/>
      <c r="O731" s="5"/>
      <c r="Q731" s="5"/>
    </row>
    <row r="732" spans="1:17">
      <c r="A732" s="18" t="s">
        <v>119</v>
      </c>
      <c r="B732" s="18"/>
      <c r="C732" s="18"/>
      <c r="D732" s="18"/>
      <c r="E732" s="18"/>
      <c r="F732" s="18"/>
      <c r="G732" s="18"/>
      <c r="H732" s="18"/>
      <c r="I732" s="18"/>
      <c r="J732" s="17"/>
      <c r="L732" s="5"/>
      <c r="M732" s="5"/>
      <c r="N732" s="5"/>
      <c r="O732" s="5"/>
      <c r="Q732" s="5"/>
    </row>
    <row r="733" spans="1:17">
      <c r="A733" s="19"/>
      <c r="B733" s="20"/>
      <c r="C733" s="21"/>
      <c r="D733" s="21"/>
      <c r="E733" s="21"/>
      <c r="F733" s="21"/>
      <c r="G733" s="21"/>
      <c r="H733" s="20"/>
      <c r="I733" s="20"/>
      <c r="J733" s="18"/>
      <c r="L733" s="5"/>
      <c r="M733" s="5"/>
      <c r="N733" s="5"/>
      <c r="O733" s="5"/>
      <c r="Q733" s="5"/>
    </row>
    <row r="734" spans="1:17">
      <c r="A734" s="379" t="s">
        <v>53</v>
      </c>
      <c r="B734" s="381" t="s">
        <v>54</v>
      </c>
      <c r="C734" s="383" t="s">
        <v>121</v>
      </c>
      <c r="D734" s="385" t="s">
        <v>55</v>
      </c>
      <c r="E734" s="386"/>
      <c r="F734" s="386"/>
      <c r="G734" s="387"/>
      <c r="H734" s="388" t="s">
        <v>56</v>
      </c>
      <c r="I734" s="390" t="s">
        <v>57</v>
      </c>
      <c r="J734" s="20"/>
      <c r="L734" s="5"/>
      <c r="M734" s="5"/>
      <c r="N734" s="5"/>
      <c r="O734" s="5"/>
      <c r="Q734" s="5"/>
    </row>
    <row r="735" spans="1:17">
      <c r="A735" s="380"/>
      <c r="B735" s="382"/>
      <c r="C735" s="384"/>
      <c r="D735" s="22" t="s">
        <v>24</v>
      </c>
      <c r="E735" s="22" t="s">
        <v>25</v>
      </c>
      <c r="F735" s="154" t="s">
        <v>123</v>
      </c>
      <c r="G735" s="22" t="s">
        <v>58</v>
      </c>
      <c r="H735" s="389"/>
      <c r="I735" s="391"/>
      <c r="J735" s="392" t="s">
        <v>122</v>
      </c>
      <c r="K735" s="155"/>
      <c r="L735" s="5"/>
      <c r="M735" s="5"/>
      <c r="N735" s="5"/>
      <c r="O735" s="5"/>
      <c r="Q735" s="5"/>
    </row>
    <row r="736" spans="1:17">
      <c r="A736" s="24"/>
      <c r="B736" s="25" t="s">
        <v>59</v>
      </c>
      <c r="C736" s="26"/>
      <c r="D736" s="26"/>
      <c r="E736" s="26"/>
      <c r="F736" s="26"/>
      <c r="G736" s="26"/>
      <c r="H736" s="26"/>
      <c r="I736" s="27"/>
      <c r="J736" s="393"/>
      <c r="K736" s="155"/>
      <c r="L736" s="5"/>
      <c r="M736" s="5"/>
      <c r="N736" s="5"/>
      <c r="O736" s="5"/>
      <c r="Q736" s="5"/>
    </row>
    <row r="737" spans="1:17">
      <c r="A737" s="130" t="s">
        <v>120</v>
      </c>
      <c r="B737" s="135" t="s">
        <v>76</v>
      </c>
      <c r="C737" s="33">
        <v>7670</v>
      </c>
      <c r="D737" s="32"/>
      <c r="E737" s="33">
        <v>438000</v>
      </c>
      <c r="F737" s="33"/>
      <c r="G737" s="33"/>
      <c r="H737" s="57">
        <v>40000</v>
      </c>
      <c r="I737" s="33">
        <v>406120</v>
      </c>
      <c r="J737" s="31">
        <f>+SUM(C737:G737)-(H737+I737)</f>
        <v>-450</v>
      </c>
      <c r="K737" s="156" t="e">
        <f>J737=#REF!</f>
        <v>#REF!</v>
      </c>
      <c r="L737" s="5"/>
      <c r="M737" s="5"/>
      <c r="N737" s="5"/>
      <c r="O737" s="5"/>
      <c r="Q737" s="5"/>
    </row>
    <row r="738" spans="1:17">
      <c r="A738" s="130" t="s">
        <v>120</v>
      </c>
      <c r="B738" s="135" t="s">
        <v>47</v>
      </c>
      <c r="C738" s="33">
        <v>4710</v>
      </c>
      <c r="D738" s="32"/>
      <c r="E738" s="33">
        <v>303000</v>
      </c>
      <c r="F738" s="33">
        <f>25000+91000+62000</f>
        <v>178000</v>
      </c>
      <c r="G738" s="33"/>
      <c r="H738" s="57">
        <v>29000</v>
      </c>
      <c r="I738" s="33">
        <v>444200</v>
      </c>
      <c r="J738" s="31">
        <f t="shared" ref="J738:J739" si="359">+SUM(C738:G738)-(H738+I738)</f>
        <v>12510</v>
      </c>
      <c r="K738" s="156" t="b">
        <f>J738=I638</f>
        <v>0</v>
      </c>
      <c r="L738" s="5"/>
      <c r="M738" s="5"/>
      <c r="N738" s="5"/>
      <c r="O738" s="5"/>
      <c r="Q738" s="5"/>
    </row>
    <row r="739" spans="1:17">
      <c r="A739" s="130" t="s">
        <v>120</v>
      </c>
      <c r="B739" s="135" t="s">
        <v>31</v>
      </c>
      <c r="C739" s="33">
        <v>9295</v>
      </c>
      <c r="D739" s="32"/>
      <c r="E739" s="33">
        <v>743000</v>
      </c>
      <c r="F739" s="33">
        <v>2000</v>
      </c>
      <c r="G739" s="33"/>
      <c r="H739" s="33">
        <f>103000+91000+137000+101000+91000</f>
        <v>523000</v>
      </c>
      <c r="I739" s="33">
        <v>228400</v>
      </c>
      <c r="J739" s="107">
        <f t="shared" si="359"/>
        <v>2895</v>
      </c>
      <c r="K739" s="156" t="b">
        <f>J739=I639</f>
        <v>0</v>
      </c>
      <c r="L739" s="5"/>
      <c r="M739" s="5"/>
      <c r="N739" s="5"/>
      <c r="O739" s="5"/>
      <c r="Q739" s="5"/>
    </row>
    <row r="740" spans="1:17">
      <c r="A740" s="130" t="s">
        <v>120</v>
      </c>
      <c r="B740" s="135" t="s">
        <v>77</v>
      </c>
      <c r="C740" s="33">
        <v>-25100</v>
      </c>
      <c r="D740" s="110"/>
      <c r="E740" s="33">
        <v>121100</v>
      </c>
      <c r="F740" s="33">
        <f>103000+1000+28000+137000</f>
        <v>269000</v>
      </c>
      <c r="G740" s="33"/>
      <c r="H740" s="33"/>
      <c r="I740" s="33">
        <v>302960</v>
      </c>
      <c r="J740" s="107">
        <f>+SUM(C740:G740)-(H740+I740)</f>
        <v>62040</v>
      </c>
      <c r="K740" s="156" t="b">
        <f>J740=I640</f>
        <v>0</v>
      </c>
      <c r="L740" s="5"/>
      <c r="M740" s="5"/>
      <c r="N740" s="5"/>
      <c r="O740" s="5"/>
      <c r="Q740" s="5"/>
    </row>
    <row r="741" spans="1:17">
      <c r="A741" s="130" t="s">
        <v>120</v>
      </c>
      <c r="B741" s="135" t="s">
        <v>69</v>
      </c>
      <c r="C741" s="33">
        <v>7384</v>
      </c>
      <c r="D741" s="110"/>
      <c r="E741" s="33">
        <v>319000</v>
      </c>
      <c r="F741" s="33">
        <v>101000</v>
      </c>
      <c r="G741" s="33"/>
      <c r="H741" s="33">
        <v>62000</v>
      </c>
      <c r="I741" s="33">
        <v>365200</v>
      </c>
      <c r="J741" s="107">
        <f t="shared" ref="J741" si="360">+SUM(C741:G741)-(H741+I741)</f>
        <v>184</v>
      </c>
      <c r="K741" s="156" t="e">
        <f>J741=#REF!</f>
        <v>#REF!</v>
      </c>
      <c r="L741" s="5"/>
      <c r="M741" s="5"/>
      <c r="N741" s="5"/>
      <c r="O741" s="5"/>
      <c r="Q741" s="5"/>
    </row>
    <row r="742" spans="1:17">
      <c r="A742" s="130" t="s">
        <v>120</v>
      </c>
      <c r="B742" s="136" t="s">
        <v>30</v>
      </c>
      <c r="C742" s="33">
        <v>61300</v>
      </c>
      <c r="D742" s="127"/>
      <c r="E742" s="53">
        <v>931200</v>
      </c>
      <c r="F742" s="53"/>
      <c r="G742" s="53"/>
      <c r="H742" s="53">
        <v>28000</v>
      </c>
      <c r="I742" s="53">
        <v>1001000</v>
      </c>
      <c r="J742" s="132">
        <f>+SUM(C742:G742)-(H742+I742)</f>
        <v>-36500</v>
      </c>
      <c r="K742" s="156" t="b">
        <f t="shared" ref="K742:K749" si="361">J742=I641</f>
        <v>0</v>
      </c>
      <c r="L742" s="5"/>
      <c r="M742" s="5"/>
      <c r="N742" s="5"/>
      <c r="O742" s="5"/>
      <c r="Q742" s="5"/>
    </row>
    <row r="743" spans="1:17">
      <c r="A743" s="130" t="s">
        <v>120</v>
      </c>
      <c r="B743" s="137" t="s">
        <v>84</v>
      </c>
      <c r="C743" s="128">
        <v>233614</v>
      </c>
      <c r="D743" s="131"/>
      <c r="E743" s="146"/>
      <c r="F743" s="146"/>
      <c r="G743" s="146"/>
      <c r="H743" s="146"/>
      <c r="I743" s="146"/>
      <c r="J743" s="129">
        <f>+SUM(C743:G743)-(H743+I743)</f>
        <v>233614</v>
      </c>
      <c r="K743" s="156" t="b">
        <f t="shared" si="361"/>
        <v>0</v>
      </c>
      <c r="L743" s="5"/>
      <c r="M743" s="5"/>
      <c r="N743" s="5"/>
      <c r="O743" s="5"/>
      <c r="Q743" s="5"/>
    </row>
    <row r="744" spans="1:17">
      <c r="A744" s="130" t="s">
        <v>120</v>
      </c>
      <c r="B744" s="137" t="s">
        <v>83</v>
      </c>
      <c r="C744" s="128">
        <v>249769</v>
      </c>
      <c r="D744" s="131"/>
      <c r="E744" s="146"/>
      <c r="F744" s="146"/>
      <c r="G744" s="146"/>
      <c r="H744" s="146"/>
      <c r="I744" s="146"/>
      <c r="J744" s="129">
        <f t="shared" ref="J744:J747" si="362">+SUM(C744:G744)-(H744+I744)</f>
        <v>249769</v>
      </c>
      <c r="K744" s="156" t="b">
        <f t="shared" si="361"/>
        <v>0</v>
      </c>
      <c r="L744" s="5"/>
      <c r="M744" s="5"/>
      <c r="N744" s="5"/>
      <c r="O744" s="5"/>
      <c r="Q744" s="5"/>
    </row>
    <row r="745" spans="1:17">
      <c r="A745" s="130" t="s">
        <v>120</v>
      </c>
      <c r="B745" s="135" t="s">
        <v>35</v>
      </c>
      <c r="C745" s="33">
        <v>4500</v>
      </c>
      <c r="D745" s="32"/>
      <c r="E745" s="33">
        <v>234000</v>
      </c>
      <c r="F745" s="33">
        <v>40000</v>
      </c>
      <c r="G745" s="110"/>
      <c r="H745" s="110"/>
      <c r="I745" s="33">
        <v>207300</v>
      </c>
      <c r="J745" s="31">
        <f t="shared" si="362"/>
        <v>71200</v>
      </c>
      <c r="K745" s="156" t="b">
        <f t="shared" si="361"/>
        <v>0</v>
      </c>
      <c r="L745" s="5"/>
      <c r="M745" s="5"/>
      <c r="N745" s="5"/>
      <c r="O745" s="5"/>
      <c r="Q745" s="5"/>
    </row>
    <row r="746" spans="1:17">
      <c r="A746" s="130" t="s">
        <v>120</v>
      </c>
      <c r="B746" s="135" t="s">
        <v>93</v>
      </c>
      <c r="C746" s="33">
        <v>-6000</v>
      </c>
      <c r="D746" s="32"/>
      <c r="E746" s="33">
        <v>61000</v>
      </c>
      <c r="F746" s="110"/>
      <c r="G746" s="110"/>
      <c r="H746" s="110"/>
      <c r="I746" s="33">
        <v>49000</v>
      </c>
      <c r="J746" s="31">
        <f t="shared" si="362"/>
        <v>6000</v>
      </c>
      <c r="K746" s="156" t="b">
        <f t="shared" si="361"/>
        <v>0</v>
      </c>
      <c r="L746" s="5"/>
      <c r="M746" s="5"/>
      <c r="N746" s="5"/>
      <c r="O746" s="5"/>
      <c r="Q746" s="5"/>
    </row>
    <row r="747" spans="1:17">
      <c r="A747" s="130" t="s">
        <v>120</v>
      </c>
      <c r="B747" s="135" t="s">
        <v>29</v>
      </c>
      <c r="C747" s="33">
        <v>72200</v>
      </c>
      <c r="D747" s="32"/>
      <c r="E747" s="33">
        <v>722000</v>
      </c>
      <c r="F747" s="110"/>
      <c r="G747" s="110"/>
      <c r="H747" s="110"/>
      <c r="I747" s="33">
        <v>626500</v>
      </c>
      <c r="J747" s="31">
        <f t="shared" si="362"/>
        <v>167700</v>
      </c>
      <c r="K747" s="156" t="b">
        <f t="shared" si="361"/>
        <v>0</v>
      </c>
      <c r="L747" s="5"/>
      <c r="M747" s="5"/>
      <c r="N747" s="5"/>
      <c r="O747" s="5"/>
      <c r="Q747" s="5"/>
    </row>
    <row r="748" spans="1:17">
      <c r="A748" s="130" t="s">
        <v>120</v>
      </c>
      <c r="B748" s="135" t="s">
        <v>32</v>
      </c>
      <c r="C748" s="33">
        <v>9300</v>
      </c>
      <c r="D748" s="32"/>
      <c r="E748" s="33">
        <v>60000</v>
      </c>
      <c r="F748" s="110"/>
      <c r="G748" s="110"/>
      <c r="H748" s="110"/>
      <c r="I748" s="33">
        <v>4000</v>
      </c>
      <c r="J748" s="31">
        <f t="shared" ref="J748:J749" si="363">+SUM(C748:G748)-(H748+I748)</f>
        <v>65300</v>
      </c>
      <c r="K748" s="156" t="b">
        <f t="shared" si="361"/>
        <v>0</v>
      </c>
      <c r="L748" s="5"/>
      <c r="M748" s="5"/>
      <c r="N748" s="5"/>
      <c r="O748" s="5"/>
      <c r="Q748" s="5"/>
    </row>
    <row r="749" spans="1:17">
      <c r="A749" s="130" t="s">
        <v>120</v>
      </c>
      <c r="B749" s="136" t="s">
        <v>113</v>
      </c>
      <c r="C749" s="33">
        <v>-14000</v>
      </c>
      <c r="D749" s="127"/>
      <c r="E749" s="53">
        <v>378000</v>
      </c>
      <c r="F749" s="53">
        <f>29000+91000</f>
        <v>120000</v>
      </c>
      <c r="G749" s="147"/>
      <c r="H749" s="53">
        <f>2000+1000+25000</f>
        <v>28000</v>
      </c>
      <c r="I749" s="53">
        <v>467700</v>
      </c>
      <c r="J749" s="31">
        <f t="shared" si="363"/>
        <v>-11700</v>
      </c>
      <c r="K749" s="156" t="b">
        <f t="shared" si="361"/>
        <v>0</v>
      </c>
      <c r="L749" s="5"/>
      <c r="M749" s="5"/>
      <c r="N749" s="5"/>
      <c r="O749" s="5"/>
      <c r="Q749" s="5"/>
    </row>
    <row r="750" spans="1:17">
      <c r="A750" s="35" t="s">
        <v>60</v>
      </c>
      <c r="B750" s="36"/>
      <c r="C750" s="36"/>
      <c r="D750" s="36"/>
      <c r="E750" s="36"/>
      <c r="F750" s="36"/>
      <c r="G750" s="36"/>
      <c r="H750" s="36"/>
      <c r="I750" s="36"/>
      <c r="J750" s="37"/>
      <c r="K750" s="155"/>
      <c r="L750" s="5"/>
      <c r="M750" s="5"/>
      <c r="N750" s="5"/>
      <c r="O750" s="5"/>
      <c r="Q750" s="5"/>
    </row>
    <row r="751" spans="1:17">
      <c r="A751" s="130" t="s">
        <v>120</v>
      </c>
      <c r="B751" s="38" t="s">
        <v>61</v>
      </c>
      <c r="C751" s="39">
        <v>1148337</v>
      </c>
      <c r="D751" s="51">
        <v>7000000</v>
      </c>
      <c r="E751" s="109"/>
      <c r="F751" s="109"/>
      <c r="G751" s="148"/>
      <c r="H751" s="139">
        <v>4310300</v>
      </c>
      <c r="I751" s="134">
        <v>2165078</v>
      </c>
      <c r="J751" s="46">
        <f>+SUM(C751:G751)-(H751+I751)</f>
        <v>1672959</v>
      </c>
      <c r="K751" s="156" t="b">
        <f>J751=I637</f>
        <v>0</v>
      </c>
      <c r="L751" s="5"/>
      <c r="M751" s="5"/>
      <c r="N751" s="5"/>
      <c r="O751" s="5"/>
      <c r="Q751" s="5"/>
    </row>
    <row r="752" spans="1:17">
      <c r="A752" s="44" t="s">
        <v>62</v>
      </c>
      <c r="B752" s="25"/>
      <c r="C752" s="36"/>
      <c r="D752" s="25"/>
      <c r="E752" s="25"/>
      <c r="F752" s="25"/>
      <c r="G752" s="25"/>
      <c r="H752" s="25"/>
      <c r="I752" s="25"/>
      <c r="J752" s="37"/>
      <c r="K752" s="155"/>
      <c r="L752" s="5"/>
      <c r="M752" s="5"/>
      <c r="N752" s="5"/>
      <c r="O752" s="5"/>
      <c r="Q752" s="5"/>
    </row>
    <row r="753" spans="1:17">
      <c r="A753" s="130" t="s">
        <v>120</v>
      </c>
      <c r="B753" s="38" t="s">
        <v>63</v>
      </c>
      <c r="C753" s="133">
        <v>10113263</v>
      </c>
      <c r="D753" s="140">
        <v>0</v>
      </c>
      <c r="E753" s="51"/>
      <c r="F753" s="51"/>
      <c r="G753" s="51"/>
      <c r="H753" s="53">
        <v>7000000</v>
      </c>
      <c r="I753" s="55">
        <v>155885</v>
      </c>
      <c r="J753" s="46">
        <f>+SUM(C753:G753)-(H753+I753)</f>
        <v>2957378</v>
      </c>
      <c r="K753" s="156" t="e">
        <f>+J753=#REF!</f>
        <v>#REF!</v>
      </c>
      <c r="L753" s="5"/>
      <c r="M753" s="5"/>
      <c r="N753" s="5"/>
      <c r="O753" s="5"/>
      <c r="Q753" s="5"/>
    </row>
    <row r="754" spans="1:17">
      <c r="A754" s="130" t="s">
        <v>120</v>
      </c>
      <c r="B754" s="38" t="s">
        <v>64</v>
      </c>
      <c r="C754" s="133">
        <v>6219904</v>
      </c>
      <c r="D754" s="51">
        <v>28506579</v>
      </c>
      <c r="E754" s="50"/>
      <c r="F754" s="50"/>
      <c r="G754" s="50"/>
      <c r="H754" s="33"/>
      <c r="I754" s="52">
        <v>6707979</v>
      </c>
      <c r="J754" s="46">
        <f>SUM(C754:G754)-(H754+I754)</f>
        <v>28018504</v>
      </c>
      <c r="K754" s="156" t="b">
        <f>+J754=I636</f>
        <v>0</v>
      </c>
      <c r="L754" s="5"/>
      <c r="M754" s="5"/>
      <c r="N754" s="5"/>
      <c r="O754" s="5"/>
      <c r="Q754" s="5"/>
    </row>
    <row r="755" spans="1:17" ht="15.75">
      <c r="C755" s="151">
        <f>SUM(C737:C754)</f>
        <v>18096146</v>
      </c>
      <c r="I755" s="149">
        <f>SUM(I737:I754)</f>
        <v>13131322</v>
      </c>
      <c r="J755" s="111">
        <f>+SUM(J737:J754)</f>
        <v>33471403</v>
      </c>
      <c r="K755" s="5" t="b">
        <f>J755=I649</f>
        <v>0</v>
      </c>
      <c r="L755" s="5"/>
      <c r="M755" s="5"/>
      <c r="N755" s="5"/>
      <c r="O755" s="5"/>
      <c r="Q755" s="5"/>
    </row>
    <row r="756" spans="1:17" ht="16.5">
      <c r="A756" s="14"/>
      <c r="B756" s="15"/>
      <c r="C756" s="12" t="e">
        <f>C755=C649</f>
        <v>#REF!</v>
      </c>
      <c r="D756" s="12"/>
      <c r="E756" s="13"/>
      <c r="F756" s="12"/>
      <c r="G756" s="12"/>
      <c r="H756" s="12"/>
      <c r="I756" s="12"/>
      <c r="L756" s="5"/>
      <c r="M756" s="5"/>
      <c r="N756" s="5"/>
      <c r="O756" s="5"/>
      <c r="Q756" s="5"/>
    </row>
    <row r="757" spans="1:17" ht="16.5">
      <c r="A757" s="14"/>
      <c r="B757" s="15"/>
      <c r="C757" s="12"/>
      <c r="D757" s="12"/>
      <c r="E757" s="13"/>
      <c r="F757" s="12"/>
      <c r="G757" s="12"/>
      <c r="H757" s="12"/>
      <c r="I757" s="12"/>
      <c r="L757" s="5"/>
      <c r="M757" s="5"/>
      <c r="N757" s="5"/>
      <c r="O757" s="5"/>
      <c r="Q757" s="5"/>
    </row>
    <row r="758" spans="1:17">
      <c r="A758" s="16" t="s">
        <v>52</v>
      </c>
      <c r="B758" s="16"/>
      <c r="C758" s="16"/>
      <c r="D758" s="17"/>
      <c r="E758" s="17"/>
      <c r="F758" s="17"/>
      <c r="G758" s="17"/>
      <c r="H758" s="17"/>
      <c r="I758" s="17"/>
      <c r="L758" s="5"/>
      <c r="M758" s="5"/>
      <c r="N758" s="5"/>
      <c r="O758" s="5"/>
      <c r="Q758" s="5"/>
    </row>
    <row r="759" spans="1:17">
      <c r="A759" s="18" t="s">
        <v>114</v>
      </c>
      <c r="B759" s="18"/>
      <c r="C759" s="18"/>
      <c r="D759" s="18"/>
      <c r="E759" s="18"/>
      <c r="F759" s="18"/>
      <c r="G759" s="18"/>
      <c r="H759" s="18"/>
      <c r="I759" s="18"/>
      <c r="J759" s="17"/>
      <c r="L759" s="5"/>
      <c r="M759" s="5"/>
      <c r="N759" s="5"/>
      <c r="O759" s="5"/>
      <c r="Q759" s="5"/>
    </row>
    <row r="760" spans="1:17">
      <c r="A760" s="19"/>
      <c r="B760" s="20"/>
      <c r="C760" s="21"/>
      <c r="D760" s="21"/>
      <c r="E760" s="21"/>
      <c r="F760" s="21"/>
      <c r="G760" s="21"/>
      <c r="H760" s="20"/>
      <c r="I760" s="20"/>
      <c r="J760" s="18"/>
      <c r="L760" s="5"/>
      <c r="M760" s="5"/>
      <c r="N760" s="5"/>
      <c r="O760" s="5"/>
      <c r="Q760" s="5"/>
    </row>
    <row r="761" spans="1:17">
      <c r="A761" s="379" t="s">
        <v>53</v>
      </c>
      <c r="B761" s="381" t="s">
        <v>54</v>
      </c>
      <c r="C761" s="383" t="s">
        <v>116</v>
      </c>
      <c r="D761" s="385" t="s">
        <v>55</v>
      </c>
      <c r="E761" s="386"/>
      <c r="F761" s="386"/>
      <c r="G761" s="387"/>
      <c r="H761" s="388" t="s">
        <v>56</v>
      </c>
      <c r="I761" s="390" t="s">
        <v>57</v>
      </c>
      <c r="J761" s="20"/>
      <c r="L761" s="5"/>
      <c r="M761" s="5"/>
      <c r="N761" s="5"/>
      <c r="O761" s="5"/>
      <c r="Q761" s="5"/>
    </row>
    <row r="762" spans="1:17">
      <c r="A762" s="380"/>
      <c r="B762" s="382"/>
      <c r="C762" s="384"/>
      <c r="D762" s="22" t="s">
        <v>24</v>
      </c>
      <c r="E762" s="22" t="s">
        <v>25</v>
      </c>
      <c r="F762" s="152" t="s">
        <v>118</v>
      </c>
      <c r="G762" s="22" t="s">
        <v>58</v>
      </c>
      <c r="H762" s="389"/>
      <c r="I762" s="391"/>
      <c r="J762" s="392" t="s">
        <v>117</v>
      </c>
      <c r="L762" s="5"/>
      <c r="M762" s="5"/>
      <c r="N762" s="5"/>
      <c r="O762" s="5"/>
      <c r="Q762" s="5"/>
    </row>
    <row r="763" spans="1:17">
      <c r="A763" s="24"/>
      <c r="B763" s="25" t="s">
        <v>59</v>
      </c>
      <c r="C763" s="26"/>
      <c r="D763" s="26"/>
      <c r="E763" s="26"/>
      <c r="F763" s="26"/>
      <c r="G763" s="26"/>
      <c r="H763" s="26"/>
      <c r="I763" s="27"/>
      <c r="J763" s="393"/>
      <c r="L763" s="5"/>
      <c r="M763" s="5"/>
      <c r="N763" s="5"/>
      <c r="O763" s="5"/>
      <c r="Q763" s="5"/>
    </row>
    <row r="764" spans="1:17">
      <c r="A764" s="130" t="s">
        <v>115</v>
      </c>
      <c r="B764" s="135" t="s">
        <v>76</v>
      </c>
      <c r="C764" s="33">
        <v>3670</v>
      </c>
      <c r="D764" s="32"/>
      <c r="E764" s="33">
        <v>118000</v>
      </c>
      <c r="F764" s="33">
        <v>4000</v>
      </c>
      <c r="G764" s="33"/>
      <c r="H764" s="57"/>
      <c r="I764" s="33">
        <v>118000</v>
      </c>
      <c r="J764" s="31">
        <f>+SUM(C764:G764)-(H764+I764)</f>
        <v>7670</v>
      </c>
      <c r="K764" s="153"/>
      <c r="L764" s="5"/>
      <c r="M764" s="5"/>
      <c r="N764" s="5"/>
      <c r="O764" s="5"/>
      <c r="Q764" s="5"/>
    </row>
    <row r="765" spans="1:17">
      <c r="A765" s="130" t="s">
        <v>115</v>
      </c>
      <c r="B765" s="135" t="s">
        <v>47</v>
      </c>
      <c r="C765" s="33">
        <v>-540</v>
      </c>
      <c r="D765" s="32"/>
      <c r="E765" s="33">
        <v>209750</v>
      </c>
      <c r="F765" s="33">
        <v>5000</v>
      </c>
      <c r="G765" s="33"/>
      <c r="H765" s="57"/>
      <c r="I765" s="33">
        <v>209500</v>
      </c>
      <c r="J765" s="31">
        <f t="shared" ref="J765:J766" si="364">+SUM(C765:G765)-(H765+I765)</f>
        <v>4710</v>
      </c>
      <c r="K765" s="153"/>
      <c r="L765" s="5"/>
      <c r="M765" s="5"/>
      <c r="N765" s="5"/>
      <c r="O765" s="5"/>
      <c r="Q765" s="5"/>
    </row>
    <row r="766" spans="1:17">
      <c r="A766" s="130" t="s">
        <v>115</v>
      </c>
      <c r="B766" s="135" t="s">
        <v>31</v>
      </c>
      <c r="C766" s="33">
        <v>2395</v>
      </c>
      <c r="D766" s="32"/>
      <c r="E766" s="33">
        <v>70000</v>
      </c>
      <c r="F766" s="33">
        <v>4000</v>
      </c>
      <c r="G766" s="33"/>
      <c r="H766" s="33"/>
      <c r="I766" s="33">
        <v>67100</v>
      </c>
      <c r="J766" s="107">
        <f t="shared" si="364"/>
        <v>9295</v>
      </c>
      <c r="K766" s="153"/>
      <c r="L766" s="5"/>
      <c r="M766" s="5"/>
      <c r="N766" s="5"/>
      <c r="O766" s="5"/>
      <c r="Q766" s="5"/>
    </row>
    <row r="767" spans="1:17">
      <c r="A767" s="130" t="s">
        <v>115</v>
      </c>
      <c r="B767" s="135" t="s">
        <v>77</v>
      </c>
      <c r="C767" s="33">
        <v>96100</v>
      </c>
      <c r="D767" s="110"/>
      <c r="E767" s="33">
        <v>488100</v>
      </c>
      <c r="F767" s="33">
        <v>4000</v>
      </c>
      <c r="G767" s="33"/>
      <c r="H767" s="33">
        <v>61600</v>
      </c>
      <c r="I767" s="33">
        <v>551700</v>
      </c>
      <c r="J767" s="107">
        <f>+SUM(C767:G767)-(H767+I767)</f>
        <v>-25100</v>
      </c>
      <c r="K767" s="153"/>
      <c r="L767" s="5"/>
      <c r="M767" s="5"/>
      <c r="N767" s="5"/>
      <c r="O767" s="5"/>
      <c r="Q767" s="5"/>
    </row>
    <row r="768" spans="1:17">
      <c r="A768" s="130" t="s">
        <v>115</v>
      </c>
      <c r="B768" s="135" t="s">
        <v>69</v>
      </c>
      <c r="C768" s="33">
        <v>13884</v>
      </c>
      <c r="D768" s="110"/>
      <c r="E768" s="33">
        <v>194000</v>
      </c>
      <c r="F768" s="33"/>
      <c r="G768" s="33"/>
      <c r="H768" s="33">
        <v>17000</v>
      </c>
      <c r="I768" s="33">
        <v>183500</v>
      </c>
      <c r="J768" s="107">
        <f t="shared" ref="J768" si="365">+SUM(C768:G768)-(H768+I768)</f>
        <v>7384</v>
      </c>
      <c r="K768" s="153"/>
      <c r="L768" s="5"/>
      <c r="M768" s="5"/>
      <c r="N768" s="5"/>
      <c r="O768" s="5"/>
      <c r="Q768" s="5"/>
    </row>
    <row r="769" spans="1:17">
      <c r="A769" s="130" t="s">
        <v>115</v>
      </c>
      <c r="B769" s="136" t="s">
        <v>30</v>
      </c>
      <c r="C769" s="33">
        <v>72400</v>
      </c>
      <c r="D769" s="127"/>
      <c r="E769" s="53">
        <v>599900</v>
      </c>
      <c r="F769" s="53"/>
      <c r="G769" s="53"/>
      <c r="H769" s="53"/>
      <c r="I769" s="53">
        <v>611000</v>
      </c>
      <c r="J769" s="132">
        <f>+SUM(C769:G769)-(H769+I769)</f>
        <v>61300</v>
      </c>
      <c r="K769" s="153"/>
      <c r="L769" s="5"/>
      <c r="M769" s="5"/>
      <c r="N769" s="5"/>
      <c r="O769" s="5"/>
      <c r="Q769" s="5"/>
    </row>
    <row r="770" spans="1:17">
      <c r="A770" s="130" t="s">
        <v>115</v>
      </c>
      <c r="B770" s="137" t="s">
        <v>84</v>
      </c>
      <c r="C770" s="128">
        <v>233614</v>
      </c>
      <c r="D770" s="131"/>
      <c r="E770" s="146"/>
      <c r="F770" s="146"/>
      <c r="G770" s="146"/>
      <c r="H770" s="146"/>
      <c r="I770" s="146"/>
      <c r="J770" s="129">
        <f>+SUM(C770:G770)-(H770+I770)</f>
        <v>233614</v>
      </c>
      <c r="K770" s="153"/>
      <c r="L770" s="5"/>
      <c r="M770" s="5"/>
      <c r="N770" s="5"/>
      <c r="O770" s="5"/>
      <c r="Q770" s="5"/>
    </row>
    <row r="771" spans="1:17">
      <c r="A771" s="130" t="s">
        <v>115</v>
      </c>
      <c r="B771" s="137" t="s">
        <v>83</v>
      </c>
      <c r="C771" s="128">
        <v>249769</v>
      </c>
      <c r="D771" s="131"/>
      <c r="E771" s="146"/>
      <c r="F771" s="146"/>
      <c r="G771" s="146"/>
      <c r="H771" s="146"/>
      <c r="I771" s="146"/>
      <c r="J771" s="129">
        <f t="shared" ref="J771:J778" si="366">+SUM(C771:G771)-(H771+I771)</f>
        <v>249769</v>
      </c>
      <c r="K771" s="153"/>
      <c r="L771" s="5"/>
      <c r="M771" s="5"/>
      <c r="N771" s="5"/>
      <c r="O771" s="5"/>
      <c r="Q771" s="5"/>
    </row>
    <row r="772" spans="1:17">
      <c r="A772" s="130" t="s">
        <v>115</v>
      </c>
      <c r="B772" s="135" t="s">
        <v>35</v>
      </c>
      <c r="C772" s="33">
        <v>18490</v>
      </c>
      <c r="D772" s="32"/>
      <c r="E772" s="33">
        <v>796460</v>
      </c>
      <c r="F772" s="33">
        <v>61600</v>
      </c>
      <c r="G772" s="110"/>
      <c r="H772" s="110"/>
      <c r="I772" s="33">
        <v>872050</v>
      </c>
      <c r="J772" s="31">
        <f t="shared" si="366"/>
        <v>4500</v>
      </c>
      <c r="K772" s="153"/>
      <c r="L772" s="5"/>
      <c r="M772" s="5"/>
      <c r="N772" s="5"/>
      <c r="O772" s="5"/>
      <c r="Q772" s="5"/>
    </row>
    <row r="773" spans="1:17">
      <c r="A773" s="130" t="s">
        <v>115</v>
      </c>
      <c r="B773" s="135" t="s">
        <v>93</v>
      </c>
      <c r="C773" s="33">
        <v>4500</v>
      </c>
      <c r="D773" s="32"/>
      <c r="E773" s="33">
        <v>40000</v>
      </c>
      <c r="F773" s="110"/>
      <c r="G773" s="110"/>
      <c r="H773" s="110"/>
      <c r="I773" s="33">
        <v>50500</v>
      </c>
      <c r="J773" s="31">
        <f t="shared" si="366"/>
        <v>-6000</v>
      </c>
      <c r="K773" s="153"/>
      <c r="L773" s="5"/>
      <c r="M773" s="5"/>
      <c r="N773" s="5"/>
      <c r="O773" s="5"/>
      <c r="Q773" s="5"/>
    </row>
    <row r="774" spans="1:17">
      <c r="A774" s="130" t="s">
        <v>115</v>
      </c>
      <c r="B774" s="135" t="s">
        <v>29</v>
      </c>
      <c r="C774" s="33">
        <v>44200</v>
      </c>
      <c r="D774" s="32"/>
      <c r="E774" s="33">
        <v>60000</v>
      </c>
      <c r="F774" s="110"/>
      <c r="G774" s="110"/>
      <c r="H774" s="110"/>
      <c r="I774" s="33">
        <v>32000</v>
      </c>
      <c r="J774" s="31">
        <f t="shared" si="366"/>
        <v>72200</v>
      </c>
      <c r="K774" s="153"/>
      <c r="L774" s="5"/>
      <c r="M774" s="5"/>
      <c r="N774" s="5"/>
      <c r="O774" s="5"/>
      <c r="Q774" s="5"/>
    </row>
    <row r="775" spans="1:17">
      <c r="A775" s="130" t="s">
        <v>115</v>
      </c>
      <c r="B775" s="135" t="s">
        <v>94</v>
      </c>
      <c r="C775" s="33">
        <v>-851709</v>
      </c>
      <c r="D775" s="32"/>
      <c r="E775" s="33">
        <v>851709</v>
      </c>
      <c r="F775" s="110"/>
      <c r="G775" s="110"/>
      <c r="H775" s="110"/>
      <c r="I775" s="33"/>
      <c r="J775" s="31">
        <f>+SUM(C775:G775)-(H775+I775)</f>
        <v>0</v>
      </c>
      <c r="K775" s="153"/>
      <c r="L775" s="5"/>
      <c r="M775" s="5"/>
      <c r="N775" s="5"/>
      <c r="O775" s="5"/>
      <c r="Q775" s="5"/>
    </row>
    <row r="776" spans="1:17">
      <c r="A776" s="130" t="s">
        <v>115</v>
      </c>
      <c r="B776" s="135" t="s">
        <v>101</v>
      </c>
      <c r="C776" s="33">
        <v>90300</v>
      </c>
      <c r="D776" s="32"/>
      <c r="E776" s="33">
        <v>69200</v>
      </c>
      <c r="F776" s="110"/>
      <c r="G776" s="110"/>
      <c r="H776" s="110"/>
      <c r="I776" s="33">
        <v>159500</v>
      </c>
      <c r="J776" s="31">
        <f t="shared" si="366"/>
        <v>0</v>
      </c>
      <c r="K776" s="153"/>
      <c r="L776" s="5"/>
      <c r="M776" s="5"/>
      <c r="N776" s="5"/>
      <c r="O776" s="5"/>
      <c r="Q776" s="5"/>
    </row>
    <row r="777" spans="1:17">
      <c r="A777" s="130" t="s">
        <v>115</v>
      </c>
      <c r="B777" s="135" t="s">
        <v>32</v>
      </c>
      <c r="C777" s="33">
        <v>300</v>
      </c>
      <c r="D777" s="32"/>
      <c r="E777" s="33">
        <v>20000</v>
      </c>
      <c r="F777" s="110"/>
      <c r="G777" s="110"/>
      <c r="H777" s="110"/>
      <c r="I777" s="33">
        <v>11000</v>
      </c>
      <c r="J777" s="31">
        <f t="shared" si="366"/>
        <v>9300</v>
      </c>
      <c r="K777" s="153"/>
      <c r="L777" s="5"/>
      <c r="M777" s="5"/>
      <c r="N777" s="5"/>
      <c r="O777" s="5"/>
      <c r="Q777" s="5"/>
    </row>
    <row r="778" spans="1:17">
      <c r="A778" s="130" t="s">
        <v>115</v>
      </c>
      <c r="B778" s="136" t="s">
        <v>113</v>
      </c>
      <c r="C778" s="33">
        <v>0</v>
      </c>
      <c r="D778" s="127"/>
      <c r="E778" s="145"/>
      <c r="F778" s="145"/>
      <c r="G778" s="147"/>
      <c r="H778" s="145"/>
      <c r="I778" s="53">
        <v>14000</v>
      </c>
      <c r="J778" s="31">
        <f t="shared" si="366"/>
        <v>-14000</v>
      </c>
      <c r="K778" s="153"/>
      <c r="L778" s="5"/>
      <c r="M778" s="5"/>
      <c r="N778" s="5"/>
      <c r="O778" s="5"/>
      <c r="Q778" s="5"/>
    </row>
    <row r="779" spans="1:17">
      <c r="A779" s="35" t="s">
        <v>60</v>
      </c>
      <c r="B779" s="36"/>
      <c r="C779" s="36"/>
      <c r="D779" s="36"/>
      <c r="E779" s="36"/>
      <c r="F779" s="36"/>
      <c r="G779" s="36"/>
      <c r="H779" s="36"/>
      <c r="I779" s="36"/>
      <c r="J779" s="37"/>
      <c r="L779" s="5"/>
      <c r="M779" s="5"/>
      <c r="N779" s="5"/>
      <c r="O779" s="5"/>
      <c r="Q779" s="5"/>
    </row>
    <row r="780" spans="1:17">
      <c r="A780" s="130" t="s">
        <v>115</v>
      </c>
      <c r="B780" s="38" t="s">
        <v>61</v>
      </c>
      <c r="C780" s="39" t="e">
        <f>C637</f>
        <v>#REF!</v>
      </c>
      <c r="D780" s="51">
        <v>5872000</v>
      </c>
      <c r="E780" s="109"/>
      <c r="F780" s="109"/>
      <c r="G780" s="148"/>
      <c r="H780" s="139">
        <v>3517119</v>
      </c>
      <c r="I780" s="134">
        <v>1523260</v>
      </c>
      <c r="J780" s="46" t="e">
        <f>+SUM(C780:G780)-(H780+I780)</f>
        <v>#REF!</v>
      </c>
      <c r="K780" s="153"/>
      <c r="L780" s="5"/>
      <c r="M780" s="5"/>
      <c r="N780" s="5"/>
      <c r="O780" s="5"/>
      <c r="Q780" s="5"/>
    </row>
    <row r="781" spans="1:17">
      <c r="A781" s="44" t="s">
        <v>62</v>
      </c>
      <c r="B781" s="25"/>
      <c r="C781" s="36"/>
      <c r="D781" s="25"/>
      <c r="E781" s="25"/>
      <c r="F781" s="25"/>
      <c r="G781" s="25"/>
      <c r="H781" s="25"/>
      <c r="I781" s="25"/>
      <c r="J781" s="37"/>
      <c r="L781" s="5"/>
      <c r="M781" s="5"/>
      <c r="N781" s="5"/>
      <c r="O781" s="5"/>
      <c r="Q781" s="5"/>
    </row>
    <row r="782" spans="1:17">
      <c r="A782" s="130" t="s">
        <v>115</v>
      </c>
      <c r="B782" s="38" t="s">
        <v>63</v>
      </c>
      <c r="C782" s="133" t="e">
        <f>#REF!</f>
        <v>#REF!</v>
      </c>
      <c r="D782" s="140">
        <v>10380044</v>
      </c>
      <c r="E782" s="51"/>
      <c r="F782" s="51"/>
      <c r="G782" s="51"/>
      <c r="H782" s="53">
        <v>5500000</v>
      </c>
      <c r="I782" s="55">
        <v>277455</v>
      </c>
      <c r="J782" s="46" t="e">
        <f>+SUM(C782:G782)-(H782+I782)</f>
        <v>#REF!</v>
      </c>
      <c r="K782" s="153"/>
      <c r="L782" s="5"/>
      <c r="M782" s="5"/>
      <c r="N782" s="5"/>
      <c r="O782" s="5"/>
      <c r="Q782" s="5"/>
    </row>
    <row r="783" spans="1:17">
      <c r="A783" s="130" t="s">
        <v>115</v>
      </c>
      <c r="B783" s="38" t="s">
        <v>64</v>
      </c>
      <c r="C783" s="133" t="e">
        <f>C636</f>
        <v>#REF!</v>
      </c>
      <c r="D783" s="51"/>
      <c r="E783" s="50"/>
      <c r="F783" s="50"/>
      <c r="G783" s="50"/>
      <c r="H783" s="33">
        <v>372000</v>
      </c>
      <c r="I783" s="52">
        <v>4601760</v>
      </c>
      <c r="J783" s="46" t="e">
        <f>SUM(C783:G783)-(H783+I783)</f>
        <v>#REF!</v>
      </c>
      <c r="K783" s="153"/>
      <c r="L783" s="5"/>
      <c r="M783" s="5"/>
      <c r="N783" s="5"/>
      <c r="O783" s="5"/>
      <c r="Q783" s="5"/>
    </row>
    <row r="784" spans="1:17" ht="15.75">
      <c r="C784" s="151" t="e">
        <f>SUM(C764:C783)</f>
        <v>#REF!</v>
      </c>
      <c r="I784" s="149">
        <f>SUM(I764:I783)</f>
        <v>9282325</v>
      </c>
      <c r="J784" s="111" t="e">
        <f>+SUM(J764:J783)</f>
        <v>#REF!</v>
      </c>
      <c r="L784" s="5"/>
      <c r="M784" s="5"/>
      <c r="N784" s="5"/>
      <c r="O784" s="5"/>
      <c r="Q784" s="5"/>
    </row>
    <row r="785" spans="1:17" ht="16.5">
      <c r="A785" s="14"/>
      <c r="B785" s="15"/>
      <c r="C785" s="12"/>
      <c r="D785" s="12"/>
      <c r="E785" s="13"/>
      <c r="F785" s="12"/>
      <c r="G785" s="12"/>
      <c r="H785" s="12"/>
      <c r="I785" s="12"/>
      <c r="L785" s="5"/>
      <c r="M785" s="5"/>
      <c r="N785" s="5"/>
      <c r="O785" s="5"/>
      <c r="Q785" s="5"/>
    </row>
    <row r="786" spans="1:17">
      <c r="A786" s="16" t="s">
        <v>52</v>
      </c>
      <c r="B786" s="16"/>
      <c r="C786" s="16"/>
      <c r="D786" s="17"/>
      <c r="E786" s="17"/>
      <c r="F786" s="17"/>
      <c r="G786" s="17"/>
      <c r="H786" s="17"/>
      <c r="I786" s="17"/>
      <c r="L786" s="5"/>
      <c r="M786" s="5"/>
      <c r="N786" s="5"/>
      <c r="O786" s="5"/>
      <c r="Q786" s="5"/>
    </row>
    <row r="787" spans="1:17">
      <c r="A787" s="18" t="s">
        <v>109</v>
      </c>
      <c r="B787" s="18"/>
      <c r="C787" s="18"/>
      <c r="D787" s="18"/>
      <c r="E787" s="18"/>
      <c r="F787" s="18"/>
      <c r="G787" s="18"/>
      <c r="H787" s="18"/>
      <c r="I787" s="18"/>
      <c r="J787" s="17"/>
      <c r="L787" s="5"/>
      <c r="M787" s="5"/>
      <c r="N787" s="5"/>
      <c r="O787" s="5"/>
      <c r="Q787" s="5"/>
    </row>
    <row r="788" spans="1:17">
      <c r="A788" s="19"/>
      <c r="B788" s="20"/>
      <c r="C788" s="21"/>
      <c r="D788" s="21"/>
      <c r="E788" s="21"/>
      <c r="F788" s="21"/>
      <c r="G788" s="21"/>
      <c r="H788" s="20"/>
      <c r="I788" s="20"/>
      <c r="J788" s="18"/>
      <c r="L788" s="5"/>
      <c r="M788" s="5"/>
      <c r="N788" s="5"/>
      <c r="O788" s="5"/>
      <c r="Q788" s="5"/>
    </row>
    <row r="789" spans="1:17">
      <c r="A789" s="379" t="s">
        <v>53</v>
      </c>
      <c r="B789" s="381" t="s">
        <v>54</v>
      </c>
      <c r="C789" s="383" t="s">
        <v>110</v>
      </c>
      <c r="D789" s="385" t="s">
        <v>55</v>
      </c>
      <c r="E789" s="386"/>
      <c r="F789" s="386"/>
      <c r="G789" s="387"/>
      <c r="H789" s="388" t="s">
        <v>56</v>
      </c>
      <c r="I789" s="390" t="s">
        <v>57</v>
      </c>
      <c r="J789" s="20"/>
      <c r="L789" s="5"/>
      <c r="M789" s="5"/>
      <c r="N789" s="5"/>
      <c r="O789" s="5"/>
      <c r="Q789" s="5"/>
    </row>
    <row r="790" spans="1:17">
      <c r="A790" s="380"/>
      <c r="B790" s="382"/>
      <c r="C790" s="384"/>
      <c r="D790" s="22" t="s">
        <v>24</v>
      </c>
      <c r="E790" s="22" t="s">
        <v>25</v>
      </c>
      <c r="F790" s="150" t="s">
        <v>112</v>
      </c>
      <c r="G790" s="22" t="s">
        <v>58</v>
      </c>
      <c r="H790" s="389"/>
      <c r="I790" s="391"/>
      <c r="J790" s="392" t="s">
        <v>111</v>
      </c>
      <c r="L790" s="5"/>
      <c r="M790" s="5"/>
      <c r="N790" s="5"/>
      <c r="O790" s="5"/>
      <c r="Q790" s="5"/>
    </row>
    <row r="791" spans="1:17">
      <c r="A791" s="24"/>
      <c r="B791" s="25" t="s">
        <v>59</v>
      </c>
      <c r="C791" s="26"/>
      <c r="D791" s="26"/>
      <c r="E791" s="26"/>
      <c r="F791" s="26"/>
      <c r="G791" s="26"/>
      <c r="H791" s="26"/>
      <c r="I791" s="27"/>
      <c r="J791" s="393"/>
      <c r="L791" s="5"/>
      <c r="M791" s="5"/>
      <c r="N791" s="5"/>
      <c r="O791" s="5"/>
      <c r="Q791" s="5"/>
    </row>
    <row r="792" spans="1:17">
      <c r="A792" s="130" t="s">
        <v>108</v>
      </c>
      <c r="B792" s="135" t="s">
        <v>76</v>
      </c>
      <c r="C792" s="33">
        <v>-11330</v>
      </c>
      <c r="D792" s="32"/>
      <c r="E792" s="33">
        <v>201400</v>
      </c>
      <c r="F792" s="33">
        <v>184300</v>
      </c>
      <c r="G792" s="33"/>
      <c r="H792" s="57"/>
      <c r="I792" s="33">
        <v>370700</v>
      </c>
      <c r="J792" s="31">
        <f>+SUM(C792:G792)-(H792+I792)</f>
        <v>3670</v>
      </c>
      <c r="K792" s="70"/>
      <c r="L792" s="5"/>
      <c r="M792" s="5"/>
      <c r="N792" s="5"/>
      <c r="O792" s="5"/>
      <c r="Q792" s="5"/>
    </row>
    <row r="793" spans="1:17">
      <c r="A793" s="130" t="s">
        <v>108</v>
      </c>
      <c r="B793" s="135" t="s">
        <v>47</v>
      </c>
      <c r="C793" s="33">
        <v>8260</v>
      </c>
      <c r="D793" s="32"/>
      <c r="E793" s="33">
        <v>357900</v>
      </c>
      <c r="F793" s="33"/>
      <c r="G793" s="33"/>
      <c r="H793" s="57">
        <v>50000</v>
      </c>
      <c r="I793" s="33">
        <v>316700</v>
      </c>
      <c r="J793" s="31">
        <f t="shared" ref="J793:J794" si="367">+SUM(C793:G793)-(H793+I793)</f>
        <v>-540</v>
      </c>
      <c r="K793" s="70"/>
      <c r="L793" s="5"/>
      <c r="M793" s="5"/>
      <c r="N793" s="5"/>
      <c r="O793" s="5"/>
      <c r="Q793" s="5"/>
    </row>
    <row r="794" spans="1:17">
      <c r="A794" s="130" t="s">
        <v>108</v>
      </c>
      <c r="B794" s="135" t="s">
        <v>31</v>
      </c>
      <c r="C794" s="33">
        <v>3795</v>
      </c>
      <c r="D794" s="32"/>
      <c r="E794" s="33">
        <v>20000</v>
      </c>
      <c r="F794" s="33"/>
      <c r="G794" s="33"/>
      <c r="H794" s="33"/>
      <c r="I794" s="33">
        <v>21400</v>
      </c>
      <c r="J794" s="107">
        <f t="shared" si="367"/>
        <v>2395</v>
      </c>
      <c r="K794" s="70"/>
      <c r="L794" s="5"/>
      <c r="M794" s="5"/>
      <c r="N794" s="5"/>
      <c r="O794" s="5"/>
      <c r="Q794" s="5"/>
    </row>
    <row r="795" spans="1:17">
      <c r="A795" s="130" t="s">
        <v>108</v>
      </c>
      <c r="B795" s="135" t="s">
        <v>77</v>
      </c>
      <c r="C795" s="33">
        <v>-83100</v>
      </c>
      <c r="D795" s="110"/>
      <c r="E795" s="33">
        <v>699200</v>
      </c>
      <c r="F795" s="33"/>
      <c r="G795" s="33"/>
      <c r="H795" s="33"/>
      <c r="I795" s="33">
        <v>520000</v>
      </c>
      <c r="J795" s="107">
        <f>+SUM(C795:G795)-(H795+I795)</f>
        <v>96100</v>
      </c>
      <c r="K795" s="70"/>
      <c r="L795" s="5"/>
      <c r="M795" s="5"/>
      <c r="N795" s="5"/>
      <c r="O795" s="5"/>
      <c r="Q795" s="5"/>
    </row>
    <row r="796" spans="1:17">
      <c r="A796" s="130" t="s">
        <v>108</v>
      </c>
      <c r="B796" s="135" t="s">
        <v>69</v>
      </c>
      <c r="C796" s="33">
        <v>1784</v>
      </c>
      <c r="D796" s="110"/>
      <c r="E796" s="33">
        <v>568600</v>
      </c>
      <c r="F796" s="33">
        <v>50000</v>
      </c>
      <c r="G796" s="33"/>
      <c r="H796" s="33">
        <v>184300</v>
      </c>
      <c r="I796" s="33">
        <v>422200</v>
      </c>
      <c r="J796" s="107">
        <f t="shared" ref="J796" si="368">+SUM(C796:G796)-(H796+I796)</f>
        <v>13884</v>
      </c>
      <c r="K796" s="70"/>
      <c r="L796" s="5"/>
      <c r="M796" s="5"/>
      <c r="N796" s="5"/>
      <c r="O796" s="5"/>
      <c r="Q796" s="5"/>
    </row>
    <row r="797" spans="1:17">
      <c r="A797" s="130" t="s">
        <v>108</v>
      </c>
      <c r="B797" s="136" t="s">
        <v>30</v>
      </c>
      <c r="C797" s="33">
        <v>88800</v>
      </c>
      <c r="D797" s="127"/>
      <c r="E797" s="53">
        <v>694600</v>
      </c>
      <c r="F797" s="53"/>
      <c r="G797" s="53"/>
      <c r="H797" s="53"/>
      <c r="I797" s="53">
        <v>711000</v>
      </c>
      <c r="J797" s="132">
        <f>+SUM(C797:G797)-(H797+I797)</f>
        <v>72400</v>
      </c>
      <c r="K797" s="70"/>
      <c r="L797" s="5"/>
      <c r="M797" s="5"/>
      <c r="N797" s="5"/>
      <c r="O797" s="5"/>
      <c r="Q797" s="5"/>
    </row>
    <row r="798" spans="1:17">
      <c r="A798" s="130" t="s">
        <v>108</v>
      </c>
      <c r="B798" s="137" t="s">
        <v>84</v>
      </c>
      <c r="C798" s="128">
        <v>233614</v>
      </c>
      <c r="D798" s="131"/>
      <c r="E798" s="146"/>
      <c r="F798" s="146"/>
      <c r="G798" s="146"/>
      <c r="H798" s="146"/>
      <c r="I798" s="146"/>
      <c r="J798" s="129">
        <f>+SUM(C798:G798)-(H798+I798)</f>
        <v>233614</v>
      </c>
      <c r="K798" s="70"/>
      <c r="L798" s="5"/>
      <c r="M798" s="5"/>
      <c r="N798" s="5"/>
      <c r="O798" s="5"/>
      <c r="Q798" s="5"/>
    </row>
    <row r="799" spans="1:17">
      <c r="A799" s="130" t="s">
        <v>108</v>
      </c>
      <c r="B799" s="137" t="s">
        <v>83</v>
      </c>
      <c r="C799" s="128">
        <v>249769</v>
      </c>
      <c r="D799" s="131"/>
      <c r="E799" s="146"/>
      <c r="F799" s="146"/>
      <c r="G799" s="146"/>
      <c r="H799" s="146"/>
      <c r="I799" s="146"/>
      <c r="J799" s="129">
        <f t="shared" ref="J799:J803" si="369">+SUM(C799:G799)-(H799+I799)</f>
        <v>249769</v>
      </c>
      <c r="K799" s="70"/>
      <c r="L799" s="5"/>
      <c r="M799" s="5"/>
      <c r="N799" s="5"/>
      <c r="O799" s="5"/>
      <c r="Q799" s="5"/>
    </row>
    <row r="800" spans="1:17">
      <c r="A800" s="130" t="s">
        <v>108</v>
      </c>
      <c r="B800" s="135" t="s">
        <v>35</v>
      </c>
      <c r="C800" s="33">
        <v>7890</v>
      </c>
      <c r="D800" s="32"/>
      <c r="E800" s="33">
        <v>135600</v>
      </c>
      <c r="F800" s="110"/>
      <c r="G800" s="110"/>
      <c r="H800" s="110"/>
      <c r="I800" s="33">
        <v>125000</v>
      </c>
      <c r="J800" s="31">
        <f t="shared" si="369"/>
        <v>18490</v>
      </c>
      <c r="K800" s="70"/>
      <c r="L800" s="5"/>
      <c r="M800" s="5"/>
      <c r="N800" s="5"/>
      <c r="O800" s="5"/>
      <c r="Q800" s="5"/>
    </row>
    <row r="801" spans="1:17">
      <c r="A801" s="130" t="s">
        <v>108</v>
      </c>
      <c r="B801" s="135" t="s">
        <v>93</v>
      </c>
      <c r="C801" s="33">
        <v>5000</v>
      </c>
      <c r="D801" s="32"/>
      <c r="E801" s="33">
        <v>30000</v>
      </c>
      <c r="F801" s="110"/>
      <c r="G801" s="110"/>
      <c r="H801" s="110"/>
      <c r="I801" s="33">
        <v>30500</v>
      </c>
      <c r="J801" s="31">
        <f t="shared" si="369"/>
        <v>4500</v>
      </c>
      <c r="K801" s="70"/>
      <c r="L801" s="5"/>
      <c r="M801" s="5"/>
      <c r="N801" s="5"/>
      <c r="O801" s="5"/>
      <c r="Q801" s="5"/>
    </row>
    <row r="802" spans="1:17">
      <c r="A802" s="130" t="s">
        <v>108</v>
      </c>
      <c r="B802" s="135" t="s">
        <v>29</v>
      </c>
      <c r="C802" s="33">
        <v>57700</v>
      </c>
      <c r="D802" s="32"/>
      <c r="E802" s="33">
        <v>639000</v>
      </c>
      <c r="F802" s="110"/>
      <c r="G802" s="110"/>
      <c r="H802" s="110"/>
      <c r="I802" s="33">
        <v>652500</v>
      </c>
      <c r="J802" s="31">
        <f t="shared" si="369"/>
        <v>44200</v>
      </c>
      <c r="K802" s="70"/>
      <c r="L802" s="5"/>
      <c r="M802" s="5"/>
      <c r="N802" s="5"/>
      <c r="O802" s="5"/>
      <c r="Q802" s="5"/>
    </row>
    <row r="803" spans="1:17">
      <c r="A803" s="130" t="s">
        <v>108</v>
      </c>
      <c r="B803" s="135" t="s">
        <v>94</v>
      </c>
      <c r="C803" s="33">
        <v>-32081</v>
      </c>
      <c r="D803" s="32"/>
      <c r="E803" s="110"/>
      <c r="F803" s="110"/>
      <c r="G803" s="110"/>
      <c r="H803" s="110"/>
      <c r="I803" s="33">
        <v>819628</v>
      </c>
      <c r="J803" s="31">
        <f t="shared" si="369"/>
        <v>-851709</v>
      </c>
      <c r="K803" s="70"/>
      <c r="L803" s="5"/>
      <c r="M803" s="5"/>
      <c r="N803" s="5"/>
      <c r="O803" s="5"/>
      <c r="Q803" s="5"/>
    </row>
    <row r="804" spans="1:17">
      <c r="A804" s="130" t="s">
        <v>108</v>
      </c>
      <c r="B804" s="135" t="s">
        <v>101</v>
      </c>
      <c r="C804" s="33">
        <v>62000</v>
      </c>
      <c r="D804" s="32"/>
      <c r="E804" s="33">
        <v>622600</v>
      </c>
      <c r="F804" s="110"/>
      <c r="G804" s="110"/>
      <c r="H804" s="110"/>
      <c r="I804" s="33">
        <v>594300</v>
      </c>
      <c r="J804" s="31">
        <f>+SUM(C804:G804)-(H804+I804)</f>
        <v>90300</v>
      </c>
      <c r="K804" s="70"/>
      <c r="L804" s="5"/>
      <c r="M804" s="5"/>
      <c r="N804" s="5"/>
      <c r="O804" s="5"/>
      <c r="Q804" s="5"/>
    </row>
    <row r="805" spans="1:17">
      <c r="A805" s="130" t="s">
        <v>108</v>
      </c>
      <c r="B805" s="136" t="s">
        <v>32</v>
      </c>
      <c r="C805" s="33">
        <v>4300</v>
      </c>
      <c r="D805" s="127"/>
      <c r="E805" s="145"/>
      <c r="F805" s="145"/>
      <c r="G805" s="147"/>
      <c r="H805" s="145"/>
      <c r="I805" s="53">
        <v>4000</v>
      </c>
      <c r="J805" s="31">
        <f t="shared" ref="J805" si="370">+SUM(C805:G805)-(H805+I805)</f>
        <v>300</v>
      </c>
      <c r="K805" s="70"/>
      <c r="L805" s="5"/>
      <c r="M805" s="5"/>
      <c r="N805" s="5"/>
      <c r="O805" s="5"/>
      <c r="Q805" s="5"/>
    </row>
    <row r="806" spans="1:17">
      <c r="A806" s="35" t="s">
        <v>60</v>
      </c>
      <c r="B806" s="36"/>
      <c r="C806" s="36"/>
      <c r="D806" s="36"/>
      <c r="E806" s="36"/>
      <c r="F806" s="36"/>
      <c r="G806" s="36"/>
      <c r="H806" s="36"/>
      <c r="I806" s="36"/>
      <c r="J806" s="37"/>
      <c r="K806" s="70"/>
      <c r="L806" s="5"/>
      <c r="M806" s="5"/>
      <c r="N806" s="5"/>
      <c r="O806" s="5"/>
      <c r="Q806" s="5"/>
    </row>
    <row r="807" spans="1:17">
      <c r="A807" s="130" t="s">
        <v>108</v>
      </c>
      <c r="B807" s="38" t="s">
        <v>61</v>
      </c>
      <c r="C807" s="39">
        <v>62150</v>
      </c>
      <c r="D807" s="51">
        <v>5500000</v>
      </c>
      <c r="E807" s="109"/>
      <c r="F807" s="109"/>
      <c r="G807" s="148"/>
      <c r="H807" s="139">
        <v>3968900</v>
      </c>
      <c r="I807" s="134">
        <v>1276534</v>
      </c>
      <c r="J807" s="46">
        <f>+SUM(C807:G807)-(H807+I807)</f>
        <v>316716</v>
      </c>
      <c r="K807" s="70"/>
      <c r="L807" s="5"/>
      <c r="M807" s="5"/>
      <c r="N807" s="5"/>
      <c r="O807" s="5"/>
      <c r="Q807" s="5"/>
    </row>
    <row r="808" spans="1:17">
      <c r="A808" s="44" t="s">
        <v>62</v>
      </c>
      <c r="B808" s="25"/>
      <c r="C808" s="36"/>
      <c r="D808" s="25"/>
      <c r="E808" s="25"/>
      <c r="F808" s="25"/>
      <c r="G808" s="25"/>
      <c r="H808" s="25"/>
      <c r="I808" s="25"/>
      <c r="J808" s="37"/>
      <c r="L808" s="5"/>
      <c r="M808" s="5"/>
      <c r="N808" s="5"/>
      <c r="O808" s="5"/>
      <c r="Q808" s="5"/>
    </row>
    <row r="809" spans="1:17">
      <c r="A809" s="130" t="s">
        <v>108</v>
      </c>
      <c r="B809" s="38" t="s">
        <v>63</v>
      </c>
      <c r="C809" s="133">
        <v>11284555</v>
      </c>
      <c r="D809" s="140"/>
      <c r="E809" s="51"/>
      <c r="F809" s="51"/>
      <c r="G809" s="51"/>
      <c r="H809" s="53">
        <v>5500000</v>
      </c>
      <c r="I809" s="55">
        <v>273881</v>
      </c>
      <c r="J809" s="46">
        <f>+SUM(C809:G809)-(H809+I809)</f>
        <v>5510674</v>
      </c>
      <c r="K809" s="70"/>
      <c r="L809" s="5"/>
      <c r="M809" s="5"/>
      <c r="N809" s="5"/>
      <c r="O809" s="5"/>
      <c r="Q809" s="5"/>
    </row>
    <row r="810" spans="1:17">
      <c r="A810" s="130" t="s">
        <v>108</v>
      </c>
      <c r="B810" s="38" t="s">
        <v>64</v>
      </c>
      <c r="C810" s="133">
        <v>2158645</v>
      </c>
      <c r="D810" s="51">
        <v>15435980</v>
      </c>
      <c r="E810" s="50"/>
      <c r="F810" s="50"/>
      <c r="G810" s="50"/>
      <c r="H810" s="33"/>
      <c r="I810" s="52">
        <v>6400961</v>
      </c>
      <c r="J810" s="46">
        <f>SUM(C810:G810)-(H810+I810)</f>
        <v>11193664</v>
      </c>
      <c r="K810" s="70"/>
      <c r="L810" s="5"/>
      <c r="M810" s="5"/>
      <c r="N810" s="5"/>
      <c r="O810" s="5"/>
      <c r="Q810" s="5"/>
    </row>
    <row r="811" spans="1:17" ht="15.75">
      <c r="C811" s="151">
        <f>SUM(C792:C810)</f>
        <v>14101751</v>
      </c>
      <c r="I811" s="149">
        <f>SUM(I792:I810)</f>
        <v>12539304</v>
      </c>
      <c r="J811" s="111">
        <f>+SUM(J792:J810)</f>
        <v>16998427</v>
      </c>
      <c r="L811" s="5"/>
      <c r="M811" s="5"/>
      <c r="N811" s="5"/>
      <c r="O811" s="5"/>
      <c r="Q811" s="5"/>
    </row>
    <row r="812" spans="1:17" ht="16.5">
      <c r="A812" s="10"/>
      <c r="B812" s="11"/>
      <c r="C812" s="12"/>
      <c r="D812" s="12"/>
      <c r="E812" s="12"/>
      <c r="F812" s="12"/>
      <c r="G812" s="12"/>
      <c r="H812" s="12"/>
      <c r="I812" s="12"/>
      <c r="J812" s="141"/>
      <c r="L812" s="5"/>
      <c r="M812" s="5"/>
      <c r="N812" s="5"/>
      <c r="O812" s="5"/>
      <c r="Q812" s="5"/>
    </row>
    <row r="813" spans="1:17" ht="16.5">
      <c r="A813" s="14"/>
      <c r="B813" s="15"/>
      <c r="C813" s="12"/>
      <c r="D813" s="12"/>
      <c r="E813" s="13"/>
      <c r="F813" s="12"/>
      <c r="G813" s="12"/>
      <c r="H813" s="12"/>
      <c r="I813" s="12"/>
      <c r="L813" s="5"/>
      <c r="M813" s="5"/>
      <c r="N813" s="5"/>
      <c r="O813" s="5"/>
      <c r="Q813" s="5"/>
    </row>
    <row r="814" spans="1:17">
      <c r="A814" s="16" t="s">
        <v>52</v>
      </c>
      <c r="B814" s="16"/>
      <c r="C814" s="16"/>
      <c r="D814" s="17"/>
      <c r="E814" s="17"/>
      <c r="F814" s="17"/>
      <c r="G814" s="17"/>
      <c r="H814" s="17"/>
      <c r="I814" s="17"/>
      <c r="L814" s="5"/>
      <c r="M814" s="5"/>
      <c r="N814" s="5"/>
      <c r="O814" s="5"/>
      <c r="Q814" s="5"/>
    </row>
    <row r="815" spans="1:17">
      <c r="A815" s="18" t="s">
        <v>106</v>
      </c>
      <c r="B815" s="18"/>
      <c r="C815" s="18"/>
      <c r="D815" s="18"/>
      <c r="E815" s="18"/>
      <c r="F815" s="18"/>
      <c r="G815" s="18"/>
      <c r="H815" s="18"/>
      <c r="I815" s="18"/>
      <c r="J815" s="17"/>
      <c r="L815" s="5"/>
      <c r="M815" s="5"/>
      <c r="N815" s="5"/>
      <c r="O815" s="5"/>
      <c r="Q815" s="5"/>
    </row>
    <row r="816" spans="1:17">
      <c r="A816" s="19"/>
      <c r="B816" s="20"/>
      <c r="C816" s="21"/>
      <c r="D816" s="21"/>
      <c r="E816" s="21"/>
      <c r="F816" s="21"/>
      <c r="G816" s="21"/>
      <c r="H816" s="20"/>
      <c r="I816" s="20"/>
      <c r="J816" s="18"/>
      <c r="L816" s="5"/>
      <c r="M816" s="5"/>
      <c r="N816" s="5"/>
      <c r="O816" s="5"/>
      <c r="Q816" s="5"/>
    </row>
    <row r="817" spans="1:17">
      <c r="A817" s="379" t="s">
        <v>53</v>
      </c>
      <c r="B817" s="381" t="s">
        <v>54</v>
      </c>
      <c r="C817" s="383" t="s">
        <v>104</v>
      </c>
      <c r="D817" s="385" t="s">
        <v>55</v>
      </c>
      <c r="E817" s="386"/>
      <c r="F817" s="386"/>
      <c r="G817" s="387"/>
      <c r="H817" s="388" t="s">
        <v>56</v>
      </c>
      <c r="I817" s="390" t="s">
        <v>57</v>
      </c>
      <c r="J817" s="20"/>
      <c r="L817" s="5"/>
      <c r="M817" s="5"/>
      <c r="N817" s="5"/>
      <c r="O817" s="5"/>
      <c r="Q817" s="5"/>
    </row>
    <row r="818" spans="1:17">
      <c r="A818" s="380"/>
      <c r="B818" s="382"/>
      <c r="C818" s="384"/>
      <c r="D818" s="22" t="s">
        <v>24</v>
      </c>
      <c r="E818" s="22" t="s">
        <v>25</v>
      </c>
      <c r="F818" s="142" t="s">
        <v>107</v>
      </c>
      <c r="G818" s="22" t="s">
        <v>58</v>
      </c>
      <c r="H818" s="389"/>
      <c r="I818" s="391"/>
      <c r="J818" s="392" t="s">
        <v>105</v>
      </c>
      <c r="L818" s="5"/>
      <c r="M818" s="5"/>
      <c r="N818" s="5"/>
      <c r="O818" s="5"/>
      <c r="Q818" s="5"/>
    </row>
    <row r="819" spans="1:17">
      <c r="A819" s="24"/>
      <c r="B819" s="25" t="s">
        <v>59</v>
      </c>
      <c r="C819" s="26"/>
      <c r="D819" s="26"/>
      <c r="E819" s="26"/>
      <c r="F819" s="26"/>
      <c r="G819" s="26"/>
      <c r="H819" s="26"/>
      <c r="I819" s="27"/>
      <c r="J819" s="393"/>
      <c r="L819" s="5"/>
      <c r="M819" s="5"/>
      <c r="N819" s="5"/>
      <c r="O819" s="5"/>
      <c r="Q819" s="5"/>
    </row>
    <row r="820" spans="1:17">
      <c r="A820" s="130" t="s">
        <v>103</v>
      </c>
      <c r="B820" s="135" t="s">
        <v>76</v>
      </c>
      <c r="C820" s="33">
        <v>22200</v>
      </c>
      <c r="D820" s="32"/>
      <c r="E820" s="33">
        <v>439970</v>
      </c>
      <c r="F820" s="110"/>
      <c r="G820" s="110"/>
      <c r="H820" s="144"/>
      <c r="I820" s="33">
        <v>473500</v>
      </c>
      <c r="J820" s="31">
        <f>+SUM(C820:G820)-(H820+I820)</f>
        <v>-11330</v>
      </c>
      <c r="K820" s="70"/>
      <c r="L820" s="5"/>
      <c r="M820" s="5"/>
      <c r="N820" s="5"/>
      <c r="O820" s="5"/>
      <c r="Q820" s="5"/>
    </row>
    <row r="821" spans="1:17">
      <c r="A821" s="130" t="s">
        <v>103</v>
      </c>
      <c r="B821" s="135" t="s">
        <v>47</v>
      </c>
      <c r="C821" s="33">
        <v>3060</v>
      </c>
      <c r="D821" s="32"/>
      <c r="E821" s="33">
        <v>157200</v>
      </c>
      <c r="F821" s="33"/>
      <c r="G821" s="33"/>
      <c r="H821" s="57"/>
      <c r="I821" s="33">
        <v>152000</v>
      </c>
      <c r="J821" s="31">
        <f t="shared" ref="J821:J822" si="371">+SUM(C821:G821)-(H821+I821)</f>
        <v>8260</v>
      </c>
      <c r="K821" s="70"/>
      <c r="L821" s="5"/>
      <c r="M821" s="5"/>
      <c r="N821" s="5"/>
      <c r="O821" s="5"/>
      <c r="Q821" s="5"/>
    </row>
    <row r="822" spans="1:17">
      <c r="A822" s="130" t="s">
        <v>103</v>
      </c>
      <c r="B822" s="135" t="s">
        <v>31</v>
      </c>
      <c r="C822" s="33">
        <v>3795</v>
      </c>
      <c r="D822" s="32"/>
      <c r="E822" s="33">
        <v>45000</v>
      </c>
      <c r="F822" s="33"/>
      <c r="G822" s="33"/>
      <c r="H822" s="33"/>
      <c r="I822" s="33">
        <v>45000</v>
      </c>
      <c r="J822" s="107">
        <f t="shared" si="371"/>
        <v>3795</v>
      </c>
      <c r="K822" s="70"/>
      <c r="L822" s="5"/>
      <c r="M822" s="5"/>
      <c r="N822" s="5"/>
      <c r="O822" s="5"/>
      <c r="Q822" s="5"/>
    </row>
    <row r="823" spans="1:17">
      <c r="A823" s="130" t="s">
        <v>103</v>
      </c>
      <c r="B823" s="135" t="s">
        <v>77</v>
      </c>
      <c r="C823" s="33">
        <v>2300</v>
      </c>
      <c r="D823" s="110"/>
      <c r="E823" s="33">
        <v>266600</v>
      </c>
      <c r="F823" s="33">
        <v>159900</v>
      </c>
      <c r="G823" s="33"/>
      <c r="H823" s="33">
        <v>25000</v>
      </c>
      <c r="I823" s="33">
        <v>486900</v>
      </c>
      <c r="J823" s="107">
        <f>+SUM(C823:G823)-(H823+I823)</f>
        <v>-83100</v>
      </c>
      <c r="K823" s="70"/>
      <c r="L823" s="5"/>
      <c r="M823" s="5"/>
      <c r="N823" s="5"/>
      <c r="O823" s="5"/>
      <c r="Q823" s="5"/>
    </row>
    <row r="824" spans="1:17">
      <c r="A824" s="130" t="s">
        <v>103</v>
      </c>
      <c r="B824" s="135" t="s">
        <v>69</v>
      </c>
      <c r="C824" s="33">
        <v>-14216</v>
      </c>
      <c r="D824" s="110"/>
      <c r="E824" s="33">
        <v>622600</v>
      </c>
      <c r="F824" s="33">
        <v>25000</v>
      </c>
      <c r="G824" s="33"/>
      <c r="H824" s="33">
        <v>260700</v>
      </c>
      <c r="I824" s="33">
        <v>370900</v>
      </c>
      <c r="J824" s="107">
        <f>+SUM(C824:G824)-(H824+I824)</f>
        <v>1784</v>
      </c>
      <c r="K824" s="70"/>
      <c r="L824" s="5"/>
      <c r="M824" s="5"/>
      <c r="N824" s="5"/>
      <c r="O824" s="5"/>
      <c r="Q824" s="5"/>
    </row>
    <row r="825" spans="1:17">
      <c r="A825" s="130" t="s">
        <v>103</v>
      </c>
      <c r="B825" s="136" t="s">
        <v>30</v>
      </c>
      <c r="C825" s="53">
        <v>143300</v>
      </c>
      <c r="D825" s="127"/>
      <c r="E825" s="53">
        <v>466500</v>
      </c>
      <c r="F825" s="145"/>
      <c r="G825" s="145"/>
      <c r="H825" s="145"/>
      <c r="I825" s="53">
        <v>521000</v>
      </c>
      <c r="J825" s="132">
        <f>+SUM(C825:G825)-(H825+I825)</f>
        <v>88800</v>
      </c>
      <c r="K825" s="70"/>
      <c r="L825" s="5"/>
      <c r="M825" s="5"/>
      <c r="N825" s="5"/>
      <c r="O825" s="5"/>
      <c r="Q825" s="5"/>
    </row>
    <row r="826" spans="1:17">
      <c r="A826" s="130" t="s">
        <v>103</v>
      </c>
      <c r="B826" s="137" t="s">
        <v>84</v>
      </c>
      <c r="C826" s="128">
        <v>233614</v>
      </c>
      <c r="D826" s="131"/>
      <c r="E826" s="146"/>
      <c r="F826" s="146"/>
      <c r="G826" s="146"/>
      <c r="H826" s="146"/>
      <c r="I826" s="146"/>
      <c r="J826" s="129">
        <f>+SUM(C826:G826)-(H826+I826)</f>
        <v>233614</v>
      </c>
      <c r="K826" s="70"/>
      <c r="L826" s="5"/>
      <c r="M826" s="5"/>
      <c r="N826" s="5"/>
      <c r="O826" s="5"/>
      <c r="Q826" s="5"/>
    </row>
    <row r="827" spans="1:17">
      <c r="A827" s="130" t="s">
        <v>103</v>
      </c>
      <c r="B827" s="137" t="s">
        <v>83</v>
      </c>
      <c r="C827" s="128">
        <v>249768</v>
      </c>
      <c r="D827" s="131"/>
      <c r="E827" s="146"/>
      <c r="F827" s="146"/>
      <c r="G827" s="146"/>
      <c r="H827" s="146"/>
      <c r="I827" s="146"/>
      <c r="J827" s="129">
        <f t="shared" ref="J827:J833" si="372">+SUM(C827:G827)-(H827+I827)</f>
        <v>249768</v>
      </c>
      <c r="K827" s="70"/>
      <c r="L827" s="5"/>
      <c r="M827" s="5"/>
      <c r="N827" s="5"/>
      <c r="O827" s="5"/>
      <c r="Q827" s="5"/>
    </row>
    <row r="828" spans="1:17">
      <c r="A828" s="130" t="s">
        <v>103</v>
      </c>
      <c r="B828" s="135" t="s">
        <v>35</v>
      </c>
      <c r="C828" s="33">
        <v>55090</v>
      </c>
      <c r="D828" s="32"/>
      <c r="E828" s="33">
        <v>143000</v>
      </c>
      <c r="F828" s="33">
        <v>70800</v>
      </c>
      <c r="G828" s="110"/>
      <c r="H828" s="110"/>
      <c r="I828" s="33">
        <v>261000</v>
      </c>
      <c r="J828" s="31">
        <f t="shared" si="372"/>
        <v>7890</v>
      </c>
      <c r="K828" s="70"/>
      <c r="L828" s="5"/>
      <c r="M828" s="5"/>
      <c r="N828" s="5"/>
      <c r="O828" s="5"/>
      <c r="Q828" s="5"/>
    </row>
    <row r="829" spans="1:17">
      <c r="A829" s="130" t="s">
        <v>103</v>
      </c>
      <c r="B829" s="135" t="s">
        <v>93</v>
      </c>
      <c r="C829" s="33">
        <v>0</v>
      </c>
      <c r="D829" s="32"/>
      <c r="E829" s="33">
        <v>30000</v>
      </c>
      <c r="F829" s="110"/>
      <c r="G829" s="110"/>
      <c r="H829" s="110"/>
      <c r="I829" s="33">
        <v>25000</v>
      </c>
      <c r="J829" s="31">
        <f t="shared" si="372"/>
        <v>5000</v>
      </c>
      <c r="K829" s="70"/>
      <c r="L829" s="5"/>
      <c r="M829" s="5"/>
      <c r="N829" s="5"/>
      <c r="O829" s="5"/>
      <c r="Q829" s="5"/>
    </row>
    <row r="830" spans="1:17">
      <c r="A830" s="130" t="s">
        <v>103</v>
      </c>
      <c r="B830" s="135" t="s">
        <v>29</v>
      </c>
      <c r="C830" s="33">
        <v>110700</v>
      </c>
      <c r="D830" s="32"/>
      <c r="E830" s="33">
        <v>375000</v>
      </c>
      <c r="F830" s="33">
        <v>30000</v>
      </c>
      <c r="G830" s="110"/>
      <c r="H830" s="110"/>
      <c r="I830" s="33">
        <v>458000</v>
      </c>
      <c r="J830" s="31">
        <f t="shared" si="372"/>
        <v>57700</v>
      </c>
      <c r="K830" s="70"/>
      <c r="L830" s="5"/>
      <c r="M830" s="5"/>
      <c r="N830" s="5"/>
      <c r="O830" s="5"/>
      <c r="Q830" s="5"/>
    </row>
    <row r="831" spans="1:17">
      <c r="A831" s="130" t="s">
        <v>103</v>
      </c>
      <c r="B831" s="135" t="s">
        <v>94</v>
      </c>
      <c r="C831" s="33">
        <v>-32081</v>
      </c>
      <c r="D831" s="32"/>
      <c r="E831" s="110">
        <v>0</v>
      </c>
      <c r="F831" s="110"/>
      <c r="G831" s="110"/>
      <c r="H831" s="110"/>
      <c r="I831" s="110">
        <v>0</v>
      </c>
      <c r="J831" s="31">
        <f t="shared" si="372"/>
        <v>-32081</v>
      </c>
      <c r="K831" s="70"/>
      <c r="L831" s="5"/>
      <c r="M831" s="5"/>
      <c r="N831" s="5"/>
      <c r="O831" s="5"/>
      <c r="Q831" s="5"/>
    </row>
    <row r="832" spans="1:17">
      <c r="A832" s="130" t="s">
        <v>103</v>
      </c>
      <c r="B832" s="135" t="s">
        <v>101</v>
      </c>
      <c r="C832" s="33">
        <v>0</v>
      </c>
      <c r="D832" s="32"/>
      <c r="E832" s="33">
        <v>82000</v>
      </c>
      <c r="F832" s="110"/>
      <c r="G832" s="110"/>
      <c r="H832" s="110"/>
      <c r="I832" s="33">
        <v>20000</v>
      </c>
      <c r="J832" s="31">
        <f>+SUM(C832:G832)-(H832+I832)</f>
        <v>62000</v>
      </c>
      <c r="K832" s="70"/>
      <c r="L832" s="5"/>
      <c r="M832" s="5"/>
      <c r="N832" s="5"/>
      <c r="O832" s="5"/>
      <c r="Q832" s="5"/>
    </row>
    <row r="833" spans="1:17">
      <c r="A833" s="130" t="s">
        <v>103</v>
      </c>
      <c r="B833" s="136" t="s">
        <v>32</v>
      </c>
      <c r="C833" s="53">
        <v>7300</v>
      </c>
      <c r="D833" s="127"/>
      <c r="E833" s="145"/>
      <c r="F833" s="145"/>
      <c r="G833" s="147"/>
      <c r="H833" s="145"/>
      <c r="I833" s="53">
        <v>3000</v>
      </c>
      <c r="J833" s="31">
        <f t="shared" si="372"/>
        <v>4300</v>
      </c>
      <c r="K833" s="70"/>
      <c r="L833" s="5"/>
      <c r="M833" s="5"/>
      <c r="N833" s="5"/>
      <c r="O833" s="5"/>
      <c r="Q833" s="5"/>
    </row>
    <row r="834" spans="1:17">
      <c r="A834" s="35" t="s">
        <v>60</v>
      </c>
      <c r="B834" s="36"/>
      <c r="C834" s="36"/>
      <c r="D834" s="36"/>
      <c r="E834" s="36"/>
      <c r="F834" s="36"/>
      <c r="G834" s="36"/>
      <c r="H834" s="36"/>
      <c r="I834" s="36"/>
      <c r="J834" s="37"/>
      <c r="K834" s="70"/>
      <c r="L834" s="5"/>
      <c r="M834" s="5"/>
      <c r="N834" s="5"/>
      <c r="O834" s="5"/>
      <c r="Q834" s="5"/>
    </row>
    <row r="835" spans="1:17">
      <c r="A835" s="130" t="s">
        <v>103</v>
      </c>
      <c r="B835" s="38" t="s">
        <v>61</v>
      </c>
      <c r="C835" s="39">
        <v>817769</v>
      </c>
      <c r="D835" s="51">
        <v>3000000</v>
      </c>
      <c r="E835" s="109"/>
      <c r="F835" s="109"/>
      <c r="G835" s="148"/>
      <c r="H835" s="139">
        <v>2627870</v>
      </c>
      <c r="I835" s="134">
        <v>1127749</v>
      </c>
      <c r="J835" s="46">
        <f>+SUM(C835:G835)-(H835+I835)</f>
        <v>62150</v>
      </c>
      <c r="K835" s="70"/>
      <c r="L835" s="5"/>
      <c r="M835" s="5"/>
      <c r="N835" s="5"/>
      <c r="O835" s="5"/>
      <c r="Q835" s="5"/>
    </row>
    <row r="836" spans="1:17">
      <c r="A836" s="44" t="s">
        <v>62</v>
      </c>
      <c r="B836" s="25"/>
      <c r="C836" s="36"/>
      <c r="D836" s="25"/>
      <c r="E836" s="25"/>
      <c r="F836" s="25"/>
      <c r="G836" s="25"/>
      <c r="H836" s="25"/>
      <c r="I836" s="25"/>
      <c r="J836" s="37"/>
      <c r="L836" s="5"/>
      <c r="M836" s="5"/>
      <c r="N836" s="5"/>
      <c r="O836" s="5"/>
      <c r="Q836" s="5"/>
    </row>
    <row r="837" spans="1:17">
      <c r="A837" s="130" t="s">
        <v>103</v>
      </c>
      <c r="B837" s="38" t="s">
        <v>63</v>
      </c>
      <c r="C837" s="133">
        <v>14712920</v>
      </c>
      <c r="D837" s="140"/>
      <c r="E837" s="51"/>
      <c r="F837" s="51"/>
      <c r="G837" s="51"/>
      <c r="H837" s="53">
        <v>3000000</v>
      </c>
      <c r="I837" s="55">
        <v>428365</v>
      </c>
      <c r="J837" s="46">
        <f>+SUM(C837:G837)-(H837+I837)</f>
        <v>11284555</v>
      </c>
      <c r="K837" s="70"/>
      <c r="L837" s="5"/>
      <c r="M837" s="5"/>
      <c r="N837" s="5"/>
      <c r="O837" s="5"/>
      <c r="Q837" s="5"/>
    </row>
    <row r="838" spans="1:17">
      <c r="A838" s="130" t="s">
        <v>103</v>
      </c>
      <c r="B838" s="38" t="s">
        <v>64</v>
      </c>
      <c r="C838" s="133">
        <v>8361083</v>
      </c>
      <c r="D838" s="51"/>
      <c r="E838" s="50"/>
      <c r="F838" s="50"/>
      <c r="G838" s="50"/>
      <c r="H838" s="33"/>
      <c r="I838" s="52">
        <v>6202438</v>
      </c>
      <c r="J838" s="46">
        <f>SUM(C838:G838)-(H838+I838)</f>
        <v>2158645</v>
      </c>
      <c r="K838" s="70"/>
      <c r="L838" s="5"/>
      <c r="M838" s="5"/>
      <c r="N838" s="5"/>
      <c r="O838" s="5"/>
      <c r="Q838" s="5"/>
    </row>
    <row r="839" spans="1:17" ht="15.75">
      <c r="C839" s="9"/>
      <c r="I839" s="149">
        <f>SUM(I820:I838)</f>
        <v>10574852</v>
      </c>
      <c r="J839" s="111">
        <f>+SUM(J820:J838)</f>
        <v>14101750</v>
      </c>
      <c r="K839" s="9">
        <f>J839-C811</f>
        <v>-1</v>
      </c>
      <c r="L839" s="5"/>
      <c r="M839" s="5"/>
      <c r="N839" s="5"/>
      <c r="O839" s="5"/>
      <c r="Q839" s="5"/>
    </row>
    <row r="840" spans="1:17" ht="16.5">
      <c r="A840" s="10"/>
      <c r="B840" s="11"/>
      <c r="C840" s="12"/>
      <c r="D840" s="12"/>
      <c r="E840" s="12"/>
      <c r="F840" s="12"/>
      <c r="G840" s="12"/>
      <c r="H840" s="12"/>
      <c r="I840" s="12"/>
      <c r="J840" s="141"/>
      <c r="L840" s="5"/>
      <c r="M840" s="5"/>
      <c r="N840" s="5"/>
      <c r="O840" s="5"/>
      <c r="Q840" s="5"/>
    </row>
    <row r="841" spans="1:17">
      <c r="A841" s="16" t="s">
        <v>52</v>
      </c>
      <c r="B841" s="16"/>
      <c r="C841" s="16"/>
      <c r="D841" s="17"/>
      <c r="E841" s="17"/>
      <c r="F841" s="17"/>
      <c r="G841" s="17"/>
      <c r="H841" s="17"/>
      <c r="I841" s="17"/>
      <c r="L841" s="5"/>
      <c r="M841" s="5"/>
      <c r="N841" s="5"/>
      <c r="O841" s="5"/>
      <c r="Q841" s="5"/>
    </row>
    <row r="842" spans="1:17">
      <c r="A842" s="18" t="s">
        <v>95</v>
      </c>
      <c r="B842" s="18"/>
      <c r="C842" s="18"/>
      <c r="D842" s="18"/>
      <c r="E842" s="18"/>
      <c r="F842" s="18"/>
      <c r="G842" s="18"/>
      <c r="H842" s="18"/>
      <c r="I842" s="18"/>
      <c r="J842" s="17"/>
      <c r="L842" s="5"/>
      <c r="M842" s="5"/>
      <c r="N842" s="5"/>
      <c r="O842" s="5"/>
      <c r="Q842" s="5"/>
    </row>
    <row r="843" spans="1:17">
      <c r="A843" s="19"/>
      <c r="B843" s="20"/>
      <c r="C843" s="21"/>
      <c r="D843" s="21"/>
      <c r="E843" s="21"/>
      <c r="F843" s="21"/>
      <c r="G843" s="21"/>
      <c r="H843" s="20"/>
      <c r="I843" s="20"/>
      <c r="J843" s="18"/>
      <c r="L843" s="5"/>
      <c r="M843" s="5"/>
      <c r="N843" s="5"/>
      <c r="O843" s="5"/>
      <c r="Q843" s="5"/>
    </row>
    <row r="844" spans="1:17" ht="15" customHeight="1">
      <c r="A844" s="379" t="s">
        <v>53</v>
      </c>
      <c r="B844" s="381" t="s">
        <v>54</v>
      </c>
      <c r="C844" s="383" t="s">
        <v>96</v>
      </c>
      <c r="D844" s="385" t="s">
        <v>55</v>
      </c>
      <c r="E844" s="386"/>
      <c r="F844" s="386"/>
      <c r="G844" s="387"/>
      <c r="H844" s="388" t="s">
        <v>56</v>
      </c>
      <c r="I844" s="390" t="s">
        <v>57</v>
      </c>
      <c r="J844" s="20"/>
      <c r="L844" s="5"/>
      <c r="M844" s="5"/>
      <c r="N844" s="5"/>
      <c r="O844" s="5"/>
      <c r="Q844" s="5"/>
    </row>
    <row r="845" spans="1:17" ht="15" customHeight="1">
      <c r="A845" s="380"/>
      <c r="B845" s="382"/>
      <c r="C845" s="384"/>
      <c r="D845" s="22" t="s">
        <v>24</v>
      </c>
      <c r="E845" s="22" t="s">
        <v>25</v>
      </c>
      <c r="F845" s="122" t="s">
        <v>99</v>
      </c>
      <c r="G845" s="22" t="s">
        <v>58</v>
      </c>
      <c r="H845" s="389"/>
      <c r="I845" s="391"/>
      <c r="J845" s="392" t="s">
        <v>97</v>
      </c>
      <c r="L845" s="5"/>
      <c r="M845" s="5"/>
      <c r="N845" s="5"/>
      <c r="O845" s="5"/>
      <c r="Q845" s="5"/>
    </row>
    <row r="846" spans="1:17">
      <c r="A846" s="24"/>
      <c r="B846" s="25" t="s">
        <v>59</v>
      </c>
      <c r="C846" s="26"/>
      <c r="D846" s="26"/>
      <c r="E846" s="26"/>
      <c r="F846" s="26"/>
      <c r="G846" s="26"/>
      <c r="H846" s="26"/>
      <c r="I846" s="27"/>
      <c r="J846" s="393"/>
      <c r="L846" s="5"/>
      <c r="M846" s="5"/>
      <c r="N846" s="5"/>
      <c r="O846" s="5"/>
      <c r="Q846" s="5"/>
    </row>
    <row r="847" spans="1:17">
      <c r="A847" s="130" t="s">
        <v>98</v>
      </c>
      <c r="B847" s="135" t="s">
        <v>76</v>
      </c>
      <c r="C847" s="33">
        <v>-10750</v>
      </c>
      <c r="D847" s="32"/>
      <c r="E847" s="32">
        <v>170625</v>
      </c>
      <c r="F847" s="32">
        <v>301700</v>
      </c>
      <c r="G847" s="32"/>
      <c r="H847" s="57">
        <v>27000</v>
      </c>
      <c r="I847" s="33">
        <v>412375</v>
      </c>
      <c r="J847" s="31">
        <f>+SUM(C847:G847)-(H847+I847)</f>
        <v>22200</v>
      </c>
      <c r="K847" s="70"/>
      <c r="L847" s="5"/>
      <c r="M847" s="5"/>
      <c r="N847" s="5"/>
      <c r="O847" s="5"/>
      <c r="Q847" s="5"/>
    </row>
    <row r="848" spans="1:17">
      <c r="A848" s="130" t="s">
        <v>98</v>
      </c>
      <c r="B848" s="135" t="s">
        <v>47</v>
      </c>
      <c r="C848" s="33">
        <v>9060</v>
      </c>
      <c r="D848" s="32"/>
      <c r="E848" s="32">
        <v>0</v>
      </c>
      <c r="F848" s="32"/>
      <c r="G848" s="32"/>
      <c r="H848" s="57"/>
      <c r="I848" s="33">
        <v>6000</v>
      </c>
      <c r="J848" s="31">
        <f t="shared" ref="J848:J849" si="373">+SUM(C848:G848)-(H848+I848)</f>
        <v>3060</v>
      </c>
      <c r="K848" s="70"/>
      <c r="L848" s="5"/>
      <c r="M848" s="5"/>
      <c r="N848" s="5"/>
      <c r="O848" s="5"/>
      <c r="Q848" s="5"/>
    </row>
    <row r="849" spans="1:17">
      <c r="A849" s="130" t="s">
        <v>98</v>
      </c>
      <c r="B849" s="135" t="s">
        <v>31</v>
      </c>
      <c r="C849" s="33">
        <v>1195</v>
      </c>
      <c r="D849" s="32"/>
      <c r="E849" s="32">
        <v>75000</v>
      </c>
      <c r="F849" s="33"/>
      <c r="G849" s="33"/>
      <c r="H849" s="33"/>
      <c r="I849" s="33">
        <v>72400</v>
      </c>
      <c r="J849" s="107">
        <f t="shared" si="373"/>
        <v>3795</v>
      </c>
      <c r="K849" s="70"/>
      <c r="L849" s="5"/>
      <c r="M849" s="5"/>
      <c r="N849" s="5"/>
      <c r="O849" s="5"/>
      <c r="Q849" s="5"/>
    </row>
    <row r="850" spans="1:17">
      <c r="A850" s="130" t="s">
        <v>98</v>
      </c>
      <c r="B850" s="135" t="s">
        <v>77</v>
      </c>
      <c r="C850" s="33">
        <v>-8600</v>
      </c>
      <c r="D850" s="110"/>
      <c r="E850" s="32">
        <v>596900</v>
      </c>
      <c r="F850" s="33"/>
      <c r="G850" s="33"/>
      <c r="H850" s="33"/>
      <c r="I850" s="33">
        <v>586000</v>
      </c>
      <c r="J850" s="107">
        <f>+SUM(C850:G850)-(H850+I850)</f>
        <v>2300</v>
      </c>
      <c r="K850" s="70"/>
      <c r="L850" s="5"/>
      <c r="M850" s="5"/>
      <c r="N850" s="5"/>
      <c r="O850" s="5"/>
      <c r="Q850" s="5"/>
    </row>
    <row r="851" spans="1:17">
      <c r="A851" s="130" t="s">
        <v>98</v>
      </c>
      <c r="B851" s="135" t="s">
        <v>69</v>
      </c>
      <c r="C851" s="33">
        <v>8884</v>
      </c>
      <c r="D851" s="110"/>
      <c r="E851" s="32">
        <v>618600</v>
      </c>
      <c r="F851" s="33">
        <v>27000</v>
      </c>
      <c r="G851" s="33"/>
      <c r="H851" s="33">
        <v>301700</v>
      </c>
      <c r="I851" s="33">
        <v>367000</v>
      </c>
      <c r="J851" s="107">
        <f t="shared" ref="J851" si="374">+SUM(C851:G851)-(H851+I851)</f>
        <v>-14216</v>
      </c>
      <c r="K851" s="70"/>
      <c r="L851" s="5"/>
      <c r="M851" s="5"/>
      <c r="N851" s="5"/>
      <c r="O851" s="5"/>
      <c r="Q851" s="5"/>
    </row>
    <row r="852" spans="1:17">
      <c r="A852" s="127" t="s">
        <v>98</v>
      </c>
      <c r="B852" s="136" t="s">
        <v>30</v>
      </c>
      <c r="C852" s="53">
        <v>191600</v>
      </c>
      <c r="D852" s="127"/>
      <c r="E852" s="127">
        <v>777000</v>
      </c>
      <c r="F852" s="53"/>
      <c r="G852" s="53"/>
      <c r="H852" s="53"/>
      <c r="I852" s="53">
        <v>825300</v>
      </c>
      <c r="J852" s="132">
        <f>+SUM(C852:G852)-(H852+I852)</f>
        <v>143300</v>
      </c>
      <c r="K852" s="70"/>
      <c r="L852" s="5"/>
      <c r="M852" s="5"/>
      <c r="N852" s="5"/>
      <c r="O852" s="5"/>
      <c r="Q852" s="5"/>
    </row>
    <row r="853" spans="1:17">
      <c r="A853" s="131" t="s">
        <v>98</v>
      </c>
      <c r="B853" s="137" t="s">
        <v>84</v>
      </c>
      <c r="C853" s="128">
        <v>233614</v>
      </c>
      <c r="D853" s="131"/>
      <c r="E853" s="131"/>
      <c r="F853" s="131"/>
      <c r="G853" s="131"/>
      <c r="H853" s="128"/>
      <c r="I853" s="128"/>
      <c r="J853" s="129">
        <f>+SUM(C853:G853)-(H853+I853)</f>
        <v>233614</v>
      </c>
      <c r="K853" s="70"/>
      <c r="L853" s="5"/>
      <c r="M853" s="5"/>
      <c r="N853" s="5"/>
      <c r="O853" s="5"/>
      <c r="Q853" s="5"/>
    </row>
    <row r="854" spans="1:17">
      <c r="A854" s="131" t="s">
        <v>98</v>
      </c>
      <c r="B854" s="137" t="s">
        <v>83</v>
      </c>
      <c r="C854" s="128">
        <v>249769</v>
      </c>
      <c r="D854" s="131"/>
      <c r="E854" s="131"/>
      <c r="F854" s="131"/>
      <c r="G854" s="131"/>
      <c r="H854" s="128"/>
      <c r="I854" s="128"/>
      <c r="J854" s="129">
        <f t="shared" ref="J854:J859" si="375">+SUM(C854:G854)-(H854+I854)</f>
        <v>249769</v>
      </c>
      <c r="K854" s="70"/>
      <c r="L854" s="5"/>
      <c r="M854" s="5"/>
      <c r="N854" s="5"/>
      <c r="O854" s="5"/>
      <c r="Q854" s="5"/>
    </row>
    <row r="855" spans="1:17">
      <c r="A855" s="130" t="s">
        <v>98</v>
      </c>
      <c r="B855" s="135" t="s">
        <v>35</v>
      </c>
      <c r="C855" s="33">
        <v>-3510</v>
      </c>
      <c r="D855" s="32"/>
      <c r="E855" s="32">
        <v>240100</v>
      </c>
      <c r="F855" s="32"/>
      <c r="G855" s="32"/>
      <c r="H855" s="33"/>
      <c r="I855" s="33">
        <v>181500</v>
      </c>
      <c r="J855" s="31">
        <f t="shared" si="375"/>
        <v>55090</v>
      </c>
      <c r="K855" s="70"/>
      <c r="L855" s="5"/>
      <c r="M855" s="5"/>
      <c r="N855" s="5"/>
      <c r="O855" s="5"/>
      <c r="Q855" s="5"/>
    </row>
    <row r="856" spans="1:17">
      <c r="A856" s="130" t="s">
        <v>98</v>
      </c>
      <c r="B856" s="135" t="s">
        <v>93</v>
      </c>
      <c r="C856" s="33">
        <v>0</v>
      </c>
      <c r="D856" s="32"/>
      <c r="E856" s="32">
        <v>5000</v>
      </c>
      <c r="F856" s="32"/>
      <c r="G856" s="32"/>
      <c r="H856" s="33"/>
      <c r="I856" s="33">
        <v>5000</v>
      </c>
      <c r="J856" s="31">
        <f t="shared" si="375"/>
        <v>0</v>
      </c>
      <c r="K856" s="70"/>
      <c r="L856" s="5"/>
      <c r="M856" s="5"/>
      <c r="N856" s="5"/>
      <c r="O856" s="5"/>
      <c r="Q856" s="5"/>
    </row>
    <row r="857" spans="1:17">
      <c r="A857" s="130" t="s">
        <v>98</v>
      </c>
      <c r="B857" s="135" t="s">
        <v>29</v>
      </c>
      <c r="C857" s="33">
        <v>111200</v>
      </c>
      <c r="D857" s="32"/>
      <c r="E857" s="32">
        <v>704000</v>
      </c>
      <c r="F857" s="32"/>
      <c r="G857" s="32"/>
      <c r="H857" s="33"/>
      <c r="I857" s="33">
        <v>704500</v>
      </c>
      <c r="J857" s="31">
        <f t="shared" si="375"/>
        <v>110700</v>
      </c>
      <c r="K857" s="70"/>
      <c r="L857" s="5"/>
      <c r="M857" s="5"/>
      <c r="N857" s="5"/>
      <c r="O857" s="5"/>
      <c r="Q857" s="5"/>
    </row>
    <row r="858" spans="1:17">
      <c r="A858" s="130" t="s">
        <v>98</v>
      </c>
      <c r="B858" s="135" t="s">
        <v>94</v>
      </c>
      <c r="C858" s="33">
        <v>-32081</v>
      </c>
      <c r="D858" s="32"/>
      <c r="E858" s="32">
        <v>0</v>
      </c>
      <c r="F858" s="32"/>
      <c r="G858" s="32"/>
      <c r="H858" s="33"/>
      <c r="I858" s="33">
        <v>0</v>
      </c>
      <c r="J858" s="31">
        <f t="shared" si="375"/>
        <v>-32081</v>
      </c>
      <c r="K858" s="70"/>
      <c r="L858" s="5"/>
      <c r="M858" s="5"/>
      <c r="N858" s="5"/>
      <c r="O858" s="5"/>
      <c r="Q858" s="5"/>
    </row>
    <row r="859" spans="1:17">
      <c r="A859" s="130" t="s">
        <v>98</v>
      </c>
      <c r="B859" s="136" t="s">
        <v>32</v>
      </c>
      <c r="C859" s="53">
        <v>5300</v>
      </c>
      <c r="D859" s="127"/>
      <c r="E859" s="127">
        <v>10000</v>
      </c>
      <c r="F859" s="127"/>
      <c r="G859" s="138"/>
      <c r="H859" s="53"/>
      <c r="I859" s="53">
        <v>8000</v>
      </c>
      <c r="J859" s="31">
        <f t="shared" si="375"/>
        <v>7300</v>
      </c>
      <c r="K859" s="70"/>
      <c r="L859" s="5"/>
      <c r="M859" s="5"/>
      <c r="N859" s="5"/>
      <c r="O859" s="5"/>
      <c r="Q859" s="5"/>
    </row>
    <row r="860" spans="1:17">
      <c r="A860" s="35" t="s">
        <v>60</v>
      </c>
      <c r="B860" s="36"/>
      <c r="C860" s="36"/>
      <c r="D860" s="36"/>
      <c r="E860" s="36"/>
      <c r="F860" s="36"/>
      <c r="G860" s="36"/>
      <c r="H860" s="36"/>
      <c r="I860" s="36"/>
      <c r="J860" s="37"/>
      <c r="K860" s="70"/>
      <c r="L860" s="5"/>
      <c r="M860" s="5"/>
      <c r="N860" s="5"/>
      <c r="O860" s="5"/>
      <c r="Q860" s="5"/>
    </row>
    <row r="861" spans="1:17">
      <c r="A861" s="28" t="s">
        <v>98</v>
      </c>
      <c r="B861" s="38" t="s">
        <v>61</v>
      </c>
      <c r="C861" s="39">
        <v>733034</v>
      </c>
      <c r="D861" s="40">
        <v>4293000</v>
      </c>
      <c r="E861" s="40"/>
      <c r="F861" s="40"/>
      <c r="G861" s="133"/>
      <c r="H861" s="139">
        <v>3197225</v>
      </c>
      <c r="I861" s="134">
        <v>1011040</v>
      </c>
      <c r="J861" s="46">
        <f>+SUM(C861:G861)-(H861+I861)</f>
        <v>817769</v>
      </c>
      <c r="K861" s="70"/>
      <c r="L861" s="5"/>
      <c r="M861" s="5"/>
      <c r="N861" s="5"/>
      <c r="O861" s="5"/>
      <c r="Q861" s="5"/>
    </row>
    <row r="862" spans="1:17">
      <c r="A862" s="44" t="s">
        <v>62</v>
      </c>
      <c r="B862" s="25"/>
      <c r="C862" s="36"/>
      <c r="D862" s="25"/>
      <c r="E862" s="25"/>
      <c r="F862" s="25"/>
      <c r="G862" s="25"/>
      <c r="H862" s="25"/>
      <c r="I862" s="25"/>
      <c r="J862" s="37"/>
      <c r="L862" s="5"/>
      <c r="M862" s="5"/>
      <c r="N862" s="5"/>
      <c r="O862" s="5"/>
      <c r="Q862" s="5"/>
    </row>
    <row r="863" spans="1:17">
      <c r="A863" s="28" t="s">
        <v>98</v>
      </c>
      <c r="B863" s="38" t="s">
        <v>63</v>
      </c>
      <c r="C863" s="133">
        <v>19184971</v>
      </c>
      <c r="D863" s="140"/>
      <c r="E863" s="51"/>
      <c r="F863" s="51"/>
      <c r="G863" s="51"/>
      <c r="H863" s="53">
        <v>4000000</v>
      </c>
      <c r="I863" s="55">
        <v>472051</v>
      </c>
      <c r="J863" s="46">
        <f>+SUM(C863:G863)-(H863+I863)</f>
        <v>14712920</v>
      </c>
      <c r="K863" s="70"/>
      <c r="L863" s="5"/>
      <c r="M863" s="5"/>
      <c r="N863" s="5"/>
      <c r="O863" s="5"/>
      <c r="Q863" s="5"/>
    </row>
    <row r="864" spans="1:17">
      <c r="A864" s="28" t="s">
        <v>98</v>
      </c>
      <c r="B864" s="38" t="s">
        <v>64</v>
      </c>
      <c r="C864" s="133">
        <v>14419055</v>
      </c>
      <c r="D864" s="51"/>
      <c r="E864" s="50"/>
      <c r="F864" s="50"/>
      <c r="G864" s="50"/>
      <c r="H864" s="33">
        <v>293000</v>
      </c>
      <c r="I864" s="52">
        <v>5764972</v>
      </c>
      <c r="J864" s="46">
        <f>SUM(C864:G864)-(H864+I864)</f>
        <v>8361083</v>
      </c>
      <c r="K864" s="70"/>
      <c r="L864" s="5"/>
      <c r="M864" s="5"/>
      <c r="N864" s="5"/>
      <c r="O864" s="5"/>
      <c r="Q864" s="5"/>
    </row>
    <row r="865" spans="1:17" ht="15.75">
      <c r="C865" s="9"/>
      <c r="I865" s="9"/>
      <c r="J865" s="111">
        <f>+SUM(J847:J864)</f>
        <v>24676603</v>
      </c>
      <c r="L865" s="5"/>
      <c r="M865" s="5"/>
      <c r="N865" s="5"/>
      <c r="O865" s="5"/>
      <c r="Q865" s="5"/>
    </row>
    <row r="866" spans="1:17" ht="16.5">
      <c r="A866" s="10"/>
      <c r="B866" s="11"/>
      <c r="C866" s="12"/>
      <c r="D866" s="12"/>
      <c r="E866" s="12"/>
      <c r="F866" s="12"/>
      <c r="G866" s="12"/>
      <c r="H866" s="12"/>
      <c r="I866" s="12"/>
      <c r="J866" s="141"/>
      <c r="L866" s="5"/>
      <c r="M866" s="5"/>
      <c r="N866" s="5"/>
      <c r="O866" s="5"/>
      <c r="Q866" s="5"/>
    </row>
    <row r="867" spans="1:17">
      <c r="A867" s="16" t="s">
        <v>52</v>
      </c>
      <c r="B867" s="16"/>
      <c r="C867" s="16"/>
      <c r="D867" s="17"/>
      <c r="E867" s="17"/>
      <c r="F867" s="17"/>
      <c r="G867" s="17"/>
      <c r="H867" s="17"/>
      <c r="I867" s="17"/>
      <c r="L867" s="5"/>
      <c r="M867" s="5"/>
      <c r="N867" s="5"/>
      <c r="O867" s="5"/>
      <c r="Q867" s="5"/>
    </row>
    <row r="868" spans="1:17">
      <c r="A868" s="18" t="s">
        <v>87</v>
      </c>
      <c r="B868" s="18"/>
      <c r="C868" s="18"/>
      <c r="D868" s="18"/>
      <c r="E868" s="18"/>
      <c r="F868" s="18"/>
      <c r="G868" s="18"/>
      <c r="H868" s="18"/>
      <c r="I868" s="18"/>
      <c r="J868" s="17"/>
      <c r="L868" s="5"/>
      <c r="M868" s="5"/>
      <c r="N868" s="5"/>
      <c r="O868" s="5"/>
      <c r="Q868" s="5"/>
    </row>
    <row r="869" spans="1:17" ht="15" customHeight="1">
      <c r="A869" s="19"/>
      <c r="B869" s="20"/>
      <c r="C869" s="21"/>
      <c r="D869" s="21"/>
      <c r="E869" s="21"/>
      <c r="F869" s="21"/>
      <c r="G869" s="21"/>
      <c r="H869" s="20"/>
      <c r="I869" s="20"/>
      <c r="J869" s="18"/>
      <c r="L869" s="5"/>
      <c r="M869" s="5"/>
      <c r="N869" s="5"/>
      <c r="O869" s="5"/>
      <c r="Q869" s="5"/>
    </row>
    <row r="870" spans="1:17" ht="15" customHeight="1">
      <c r="A870" s="379" t="s">
        <v>53</v>
      </c>
      <c r="B870" s="381" t="s">
        <v>54</v>
      </c>
      <c r="C870" s="383" t="s">
        <v>88</v>
      </c>
      <c r="D870" s="385" t="s">
        <v>55</v>
      </c>
      <c r="E870" s="386"/>
      <c r="F870" s="386"/>
      <c r="G870" s="387"/>
      <c r="H870" s="388" t="s">
        <v>56</v>
      </c>
      <c r="I870" s="390" t="s">
        <v>57</v>
      </c>
      <c r="J870" s="20"/>
      <c r="L870" s="5"/>
      <c r="M870" s="5"/>
      <c r="N870" s="5"/>
      <c r="O870" s="5"/>
      <c r="Q870" s="5"/>
    </row>
    <row r="871" spans="1:17" ht="15" customHeight="1">
      <c r="A871" s="380"/>
      <c r="B871" s="382"/>
      <c r="C871" s="384"/>
      <c r="D871" s="22" t="s">
        <v>24</v>
      </c>
      <c r="E871" s="22" t="s">
        <v>25</v>
      </c>
      <c r="F871" s="112" t="s">
        <v>91</v>
      </c>
      <c r="G871" s="22" t="s">
        <v>58</v>
      </c>
      <c r="H871" s="389"/>
      <c r="I871" s="391"/>
      <c r="J871" s="392" t="s">
        <v>89</v>
      </c>
      <c r="L871" s="5"/>
      <c r="M871" s="5"/>
      <c r="N871" s="5"/>
      <c r="O871" s="5"/>
      <c r="Q871" s="5"/>
    </row>
    <row r="872" spans="1:17">
      <c r="A872" s="24"/>
      <c r="B872" s="25" t="s">
        <v>59</v>
      </c>
      <c r="C872" s="26"/>
      <c r="D872" s="26"/>
      <c r="E872" s="26"/>
      <c r="F872" s="26"/>
      <c r="G872" s="26"/>
      <c r="H872" s="26"/>
      <c r="I872" s="27"/>
      <c r="J872" s="393"/>
      <c r="L872" s="5"/>
      <c r="M872" s="5"/>
      <c r="N872" s="5"/>
      <c r="O872" s="5"/>
      <c r="Q872" s="5"/>
    </row>
    <row r="873" spans="1:17" ht="16.5">
      <c r="A873" s="28" t="s">
        <v>90</v>
      </c>
      <c r="B873" s="8" t="s">
        <v>76</v>
      </c>
      <c r="C873" s="29" t="e">
        <f>+#REF!</f>
        <v>#REF!</v>
      </c>
      <c r="D873" s="30"/>
      <c r="E873" s="30">
        <v>271100</v>
      </c>
      <c r="F873" s="30">
        <f>112800+126500</f>
        <v>239300</v>
      </c>
      <c r="G873" s="30"/>
      <c r="H873" s="57"/>
      <c r="I873" s="34">
        <v>521950</v>
      </c>
      <c r="J873" s="31" t="e">
        <f>+SUM(C873:G873)-(H873+I873)</f>
        <v>#REF!</v>
      </c>
      <c r="L873" s="5"/>
      <c r="M873" s="5"/>
      <c r="N873" s="5"/>
      <c r="O873" s="5"/>
      <c r="Q873" s="5"/>
    </row>
    <row r="874" spans="1:17" ht="16.5">
      <c r="A874" s="28" t="s">
        <v>90</v>
      </c>
      <c r="B874" s="8" t="s">
        <v>47</v>
      </c>
      <c r="C874" s="29" t="e">
        <f>+C638</f>
        <v>#REF!</v>
      </c>
      <c r="D874" s="30"/>
      <c r="E874" s="30">
        <v>625000</v>
      </c>
      <c r="F874" s="30"/>
      <c r="G874" s="30"/>
      <c r="H874" s="57">
        <v>247500</v>
      </c>
      <c r="I874" s="34">
        <v>371500</v>
      </c>
      <c r="J874" s="31" t="e">
        <f t="shared" ref="J874:J875" si="376">+SUM(C874:G874)-(H874+I874)</f>
        <v>#REF!</v>
      </c>
      <c r="L874" s="5"/>
      <c r="M874" s="5"/>
      <c r="N874" s="5"/>
      <c r="O874" s="5"/>
      <c r="Q874" s="5"/>
    </row>
    <row r="875" spans="1:17" ht="16.5">
      <c r="A875" s="28" t="s">
        <v>90</v>
      </c>
      <c r="B875" s="8" t="s">
        <v>31</v>
      </c>
      <c r="C875" s="29" t="e">
        <f>+C639</f>
        <v>#REF!</v>
      </c>
      <c r="D875" s="30"/>
      <c r="E875" s="30">
        <v>60000</v>
      </c>
      <c r="F875" s="106"/>
      <c r="G875" s="106"/>
      <c r="H875" s="33"/>
      <c r="I875" s="56">
        <v>67200</v>
      </c>
      <c r="J875" s="107" t="e">
        <f t="shared" si="376"/>
        <v>#REF!</v>
      </c>
      <c r="L875" s="5"/>
      <c r="M875" s="5"/>
      <c r="N875" s="5"/>
      <c r="O875" s="5"/>
      <c r="Q875" s="5"/>
    </row>
    <row r="876" spans="1:17" ht="15.75" customHeight="1">
      <c r="A876" s="28" t="s">
        <v>90</v>
      </c>
      <c r="B876" s="8" t="s">
        <v>77</v>
      </c>
      <c r="C876" s="29" t="e">
        <f>+C640</f>
        <v>#REF!</v>
      </c>
      <c r="D876" s="58"/>
      <c r="E876" s="30">
        <v>140000</v>
      </c>
      <c r="F876" s="106">
        <v>270500</v>
      </c>
      <c r="G876" s="106"/>
      <c r="H876" s="33"/>
      <c r="I876" s="33">
        <v>417300</v>
      </c>
      <c r="J876" s="107" t="e">
        <f>+SUM(C876:G876)-(H876+I876)</f>
        <v>#REF!</v>
      </c>
      <c r="L876" s="5"/>
      <c r="M876" s="5"/>
      <c r="N876" s="5"/>
      <c r="O876" s="5"/>
      <c r="Q876" s="5"/>
    </row>
    <row r="877" spans="1:17" ht="16.5">
      <c r="A877" s="28" t="s">
        <v>90</v>
      </c>
      <c r="B877" s="8" t="s">
        <v>69</v>
      </c>
      <c r="C877" s="29">
        <v>15984</v>
      </c>
      <c r="D877" s="58"/>
      <c r="E877" s="30">
        <v>256400</v>
      </c>
      <c r="F877" s="106"/>
      <c r="G877" s="106"/>
      <c r="H877" s="33"/>
      <c r="I877" s="34">
        <v>263500</v>
      </c>
      <c r="J877" s="107">
        <f t="shared" ref="J877" si="377">+SUM(C877:G877)-(H877+I877)</f>
        <v>8884</v>
      </c>
      <c r="L877" s="5"/>
      <c r="M877" s="5"/>
      <c r="N877" s="5"/>
      <c r="O877" s="5"/>
      <c r="Q877" s="5"/>
    </row>
    <row r="878" spans="1:17" ht="16.5">
      <c r="A878" s="28" t="s">
        <v>90</v>
      </c>
      <c r="B878" s="8" t="s">
        <v>30</v>
      </c>
      <c r="C878" s="29" t="e">
        <f t="shared" ref="C878:C882" si="378">+C641</f>
        <v>#REF!</v>
      </c>
      <c r="D878" s="30"/>
      <c r="E878" s="30">
        <v>858500</v>
      </c>
      <c r="F878" s="106"/>
      <c r="G878" s="106"/>
      <c r="H878" s="33"/>
      <c r="I878" s="34">
        <v>645000</v>
      </c>
      <c r="J878" s="107" t="e">
        <f>+SUM(C878:G878)-(H878+I878)</f>
        <v>#REF!</v>
      </c>
      <c r="L878" s="5"/>
      <c r="M878" s="5"/>
      <c r="N878" s="5"/>
      <c r="O878" s="5"/>
      <c r="Q878" s="5"/>
    </row>
    <row r="879" spans="1:17" ht="16.5">
      <c r="A879" s="28" t="s">
        <v>90</v>
      </c>
      <c r="B879" s="8" t="s">
        <v>35</v>
      </c>
      <c r="C879" s="29" t="e">
        <f t="shared" si="378"/>
        <v>#REF!</v>
      </c>
      <c r="D879" s="30"/>
      <c r="E879" s="30">
        <v>800700</v>
      </c>
      <c r="F879" s="30"/>
      <c r="G879" s="30"/>
      <c r="H879" s="33">
        <v>262300</v>
      </c>
      <c r="I879" s="34">
        <v>543600</v>
      </c>
      <c r="J879" s="31" t="e">
        <f>+SUM(C879:G879)-(H879+I879)</f>
        <v>#REF!</v>
      </c>
      <c r="L879" s="5"/>
      <c r="M879" s="5"/>
      <c r="N879" s="5"/>
      <c r="O879" s="5"/>
      <c r="Q879" s="5"/>
    </row>
    <row r="880" spans="1:17" ht="16.5">
      <c r="A880" s="28" t="s">
        <v>90</v>
      </c>
      <c r="B880" s="8" t="s">
        <v>29</v>
      </c>
      <c r="C880" s="29" t="e">
        <f t="shared" si="378"/>
        <v>#REF!</v>
      </c>
      <c r="D880" s="30"/>
      <c r="E880" s="30">
        <v>971600</v>
      </c>
      <c r="F880" s="30"/>
      <c r="G880" s="30"/>
      <c r="H880" s="33">
        <v>200000</v>
      </c>
      <c r="I880" s="34">
        <v>639450</v>
      </c>
      <c r="J880" s="31" t="e">
        <f t="shared" ref="J880:J881" si="379">+SUM(C880:G880)-(H880+I880)</f>
        <v>#REF!</v>
      </c>
      <c r="L880" s="5"/>
      <c r="M880" s="5"/>
      <c r="N880" s="5"/>
      <c r="O880" s="5"/>
      <c r="Q880" s="5"/>
    </row>
    <row r="881" spans="1:17" ht="16.5">
      <c r="A881" s="28" t="s">
        <v>90</v>
      </c>
      <c r="B881" s="8" t="s">
        <v>5</v>
      </c>
      <c r="C881" s="29" t="e">
        <f t="shared" si="378"/>
        <v>#REF!</v>
      </c>
      <c r="D881" s="30"/>
      <c r="E881" s="30"/>
      <c r="F881" s="30"/>
      <c r="G881" s="30"/>
      <c r="H881" s="33"/>
      <c r="I881" s="56">
        <v>23000</v>
      </c>
      <c r="J881" s="31" t="e">
        <f t="shared" si="379"/>
        <v>#REF!</v>
      </c>
      <c r="L881" s="5"/>
      <c r="M881" s="5"/>
      <c r="N881" s="5"/>
      <c r="O881" s="5"/>
      <c r="Q881" s="5"/>
    </row>
    <row r="882" spans="1:17" ht="16.5">
      <c r="A882" s="28" t="s">
        <v>90</v>
      </c>
      <c r="B882" s="8" t="s">
        <v>32</v>
      </c>
      <c r="C882" s="29" t="e">
        <f t="shared" si="378"/>
        <v>#REF!</v>
      </c>
      <c r="D882" s="30"/>
      <c r="E882" s="30"/>
      <c r="F882" s="30"/>
      <c r="G882" s="30"/>
      <c r="H882" s="33"/>
      <c r="I882" s="34">
        <v>0</v>
      </c>
      <c r="J882" s="31" t="e">
        <f>+SUM(C882:G882)-(H882+I882)</f>
        <v>#REF!</v>
      </c>
      <c r="L882" s="5"/>
      <c r="M882" s="5"/>
      <c r="N882" s="5"/>
      <c r="O882" s="5"/>
      <c r="Q882" s="5"/>
    </row>
    <row r="883" spans="1:17" ht="16.5">
      <c r="A883" s="114" t="s">
        <v>90</v>
      </c>
      <c r="B883" s="115" t="s">
        <v>92</v>
      </c>
      <c r="C883" s="116">
        <v>3721074</v>
      </c>
      <c r="D883" s="117"/>
      <c r="E883" s="118"/>
      <c r="F883" s="117"/>
      <c r="G883" s="119"/>
      <c r="H883" s="116">
        <v>3721074</v>
      </c>
      <c r="I883" s="120"/>
      <c r="J883" s="121">
        <f>+SUM(C883:G883)-(H883+I883)</f>
        <v>0</v>
      </c>
      <c r="L883" s="5"/>
      <c r="M883" s="5"/>
      <c r="N883" s="5"/>
      <c r="O883" s="5"/>
      <c r="Q883" s="5"/>
    </row>
    <row r="884" spans="1:17">
      <c r="A884" s="35" t="s">
        <v>60</v>
      </c>
      <c r="B884" s="36"/>
      <c r="C884" s="36"/>
      <c r="D884" s="36"/>
      <c r="E884" s="36"/>
      <c r="F884" s="36"/>
      <c r="G884" s="36"/>
      <c r="H884" s="36"/>
      <c r="I884" s="36"/>
      <c r="J884" s="37"/>
      <c r="L884" s="5"/>
      <c r="M884" s="5"/>
      <c r="N884" s="5"/>
      <c r="O884" s="5"/>
      <c r="Q884" s="5"/>
    </row>
    <row r="885" spans="1:17">
      <c r="A885" s="28" t="s">
        <v>90</v>
      </c>
      <c r="B885" s="38" t="s">
        <v>61</v>
      </c>
      <c r="C885" s="39" t="e">
        <f>+C637</f>
        <v>#REF!</v>
      </c>
      <c r="D885" s="40">
        <v>5000000</v>
      </c>
      <c r="E885" s="40"/>
      <c r="F885" s="40"/>
      <c r="G885" s="41">
        <v>200000</v>
      </c>
      <c r="H885" s="49">
        <v>3983300</v>
      </c>
      <c r="I885" s="42">
        <v>776245</v>
      </c>
      <c r="J885" s="43" t="e">
        <f>+SUM(C885:G885)-(H885+I885)</f>
        <v>#REF!</v>
      </c>
      <c r="L885" s="5"/>
      <c r="M885" s="5"/>
      <c r="N885" s="5"/>
      <c r="O885" s="5"/>
      <c r="Q885" s="5"/>
    </row>
    <row r="886" spans="1:17">
      <c r="A886" s="44" t="s">
        <v>62</v>
      </c>
      <c r="B886" s="25"/>
      <c r="C886" s="36"/>
      <c r="D886" s="25"/>
      <c r="E886" s="25"/>
      <c r="F886" s="25"/>
      <c r="G886" s="25"/>
      <c r="H886" s="25"/>
      <c r="I886" s="25"/>
      <c r="J886" s="37"/>
      <c r="L886" s="5"/>
      <c r="M886" s="5"/>
      <c r="N886" s="5"/>
      <c r="O886" s="5"/>
      <c r="Q886" s="5"/>
    </row>
    <row r="887" spans="1:17">
      <c r="A887" s="28" t="s">
        <v>90</v>
      </c>
      <c r="B887" s="38" t="s">
        <v>63</v>
      </c>
      <c r="C887" s="45" t="e">
        <f>+#REF!</f>
        <v>#REF!</v>
      </c>
      <c r="D887" s="54">
        <v>19826114</v>
      </c>
      <c r="E887" s="51"/>
      <c r="F887" s="51"/>
      <c r="G887" s="51"/>
      <c r="H887" s="53">
        <v>5000000</v>
      </c>
      <c r="I887" s="55">
        <v>455737</v>
      </c>
      <c r="J887" s="46" t="e">
        <f>+SUM(C887:G887)-(H887+I887)</f>
        <v>#REF!</v>
      </c>
      <c r="L887" s="5"/>
      <c r="M887" s="5"/>
      <c r="N887" s="5"/>
      <c r="O887" s="5"/>
      <c r="Q887" s="5"/>
    </row>
    <row r="888" spans="1:17">
      <c r="A888" s="28" t="s">
        <v>90</v>
      </c>
      <c r="B888" s="38" t="s">
        <v>64</v>
      </c>
      <c r="C888" s="45" t="e">
        <f>+C636</f>
        <v>#REF!</v>
      </c>
      <c r="D888" s="51">
        <v>13119140</v>
      </c>
      <c r="E888" s="50"/>
      <c r="F888" s="50"/>
      <c r="G888" s="50"/>
      <c r="H888" s="33"/>
      <c r="I888" s="52">
        <v>3445919</v>
      </c>
      <c r="J888" s="46" t="e">
        <f>SUM(C888:G888)-(H888+I888)</f>
        <v>#REF!</v>
      </c>
      <c r="L888" s="5"/>
      <c r="M888" s="5"/>
      <c r="N888" s="5"/>
      <c r="O888" s="5"/>
      <c r="Q888" s="5"/>
    </row>
    <row r="889" spans="1:17">
      <c r="A889" s="162" t="s">
        <v>90</v>
      </c>
      <c r="B889" s="158" t="s">
        <v>83</v>
      </c>
      <c r="C889" s="163">
        <v>249769</v>
      </c>
      <c r="D889" s="51"/>
      <c r="E889" s="51"/>
      <c r="F889" s="51"/>
      <c r="G889" s="51"/>
      <c r="H889" s="33"/>
      <c r="I889" s="52"/>
      <c r="J889" s="164">
        <f>SUM(C889:G889)-(H889+I889)</f>
        <v>249769</v>
      </c>
      <c r="L889" s="5"/>
      <c r="M889" s="5"/>
      <c r="N889" s="5"/>
      <c r="O889" s="5"/>
      <c r="Q889" s="5"/>
    </row>
    <row r="890" spans="1:17">
      <c r="A890" s="162" t="s">
        <v>90</v>
      </c>
      <c r="B890" s="160" t="s">
        <v>84</v>
      </c>
      <c r="C890" s="163">
        <v>233614</v>
      </c>
      <c r="D890" s="51"/>
      <c r="E890" s="51"/>
      <c r="F890" s="51"/>
      <c r="G890" s="51"/>
      <c r="H890" s="33"/>
      <c r="I890" s="52"/>
      <c r="J890" s="164">
        <f>SUM(C890:G890)-(H890+I890)</f>
        <v>233614</v>
      </c>
      <c r="L890" s="5"/>
      <c r="M890" s="5"/>
      <c r="N890" s="5"/>
      <c r="O890" s="5"/>
      <c r="Q890" s="5"/>
    </row>
    <row r="891" spans="1:17">
      <c r="A891" s="162" t="s">
        <v>90</v>
      </c>
      <c r="B891" s="161" t="s">
        <v>85</v>
      </c>
      <c r="C891" s="163">
        <v>330169</v>
      </c>
      <c r="D891" s="165"/>
      <c r="E891" s="165"/>
      <c r="F891" s="165"/>
      <c r="G891" s="165"/>
      <c r="H891" s="165"/>
      <c r="I891" s="165"/>
      <c r="J891" s="164">
        <f>SUM(C891:G891)-(H891+I891)</f>
        <v>330169</v>
      </c>
      <c r="L891" s="5"/>
      <c r="M891" s="5"/>
      <c r="N891" s="5"/>
      <c r="O891" s="5"/>
      <c r="Q891" s="5"/>
    </row>
    <row r="892" spans="1:17" ht="15.75">
      <c r="C892" s="9"/>
      <c r="I892" s="9"/>
      <c r="J892" s="111" t="e">
        <f>+SUM(J873:J891)</f>
        <v>#REF!</v>
      </c>
      <c r="K892" s="113" t="e">
        <f>+J892-I649</f>
        <v>#REF!</v>
      </c>
      <c r="L892" s="5"/>
      <c r="M892" s="5"/>
      <c r="N892" s="5"/>
      <c r="O892" s="5"/>
      <c r="Q892" s="5"/>
    </row>
    <row r="894" spans="1:17">
      <c r="A894" s="16" t="s">
        <v>52</v>
      </c>
      <c r="B894" s="16"/>
      <c r="C894" s="16"/>
      <c r="D894" s="17"/>
      <c r="E894" s="17"/>
      <c r="F894" s="17"/>
      <c r="G894" s="17"/>
      <c r="H894" s="17"/>
      <c r="I894" s="17"/>
      <c r="L894" s="5"/>
      <c r="M894" s="5"/>
      <c r="N894" s="5"/>
      <c r="O894" s="5"/>
      <c r="Q894" s="5"/>
    </row>
    <row r="895" spans="1:17">
      <c r="A895" s="18" t="s">
        <v>78</v>
      </c>
      <c r="B895" s="18"/>
      <c r="C895" s="18"/>
      <c r="D895" s="18"/>
      <c r="E895" s="18"/>
      <c r="F895" s="18"/>
      <c r="G895" s="18"/>
      <c r="H895" s="18"/>
      <c r="I895" s="18"/>
      <c r="J895" s="17"/>
      <c r="L895" s="5"/>
      <c r="M895" s="5"/>
      <c r="N895" s="5"/>
      <c r="O895" s="5"/>
      <c r="Q895" s="5"/>
    </row>
    <row r="896" spans="1:17">
      <c r="A896" s="19"/>
      <c r="B896" s="20"/>
      <c r="C896" s="21"/>
      <c r="D896" s="21"/>
      <c r="E896" s="21"/>
      <c r="F896" s="21"/>
      <c r="G896" s="21"/>
      <c r="H896" s="20"/>
      <c r="I896" s="20"/>
      <c r="J896" s="18"/>
      <c r="L896" s="5"/>
      <c r="M896" s="5"/>
      <c r="N896" s="5"/>
      <c r="O896" s="5"/>
      <c r="Q896" s="5"/>
    </row>
    <row r="897" spans="1:17">
      <c r="A897" s="379" t="s">
        <v>53</v>
      </c>
      <c r="B897" s="381" t="s">
        <v>54</v>
      </c>
      <c r="C897" s="383" t="s">
        <v>80</v>
      </c>
      <c r="D897" s="385" t="s">
        <v>55</v>
      </c>
      <c r="E897" s="386"/>
      <c r="F897" s="386"/>
      <c r="G897" s="387"/>
      <c r="H897" s="388" t="s">
        <v>56</v>
      </c>
      <c r="I897" s="390" t="s">
        <v>57</v>
      </c>
      <c r="J897" s="20"/>
      <c r="L897" s="5"/>
      <c r="M897" s="5"/>
      <c r="N897" s="5"/>
      <c r="O897" s="5"/>
      <c r="Q897" s="5"/>
    </row>
    <row r="898" spans="1:17" ht="36.75" customHeight="1">
      <c r="A898" s="380"/>
      <c r="B898" s="382"/>
      <c r="C898" s="384"/>
      <c r="D898" s="22" t="s">
        <v>24</v>
      </c>
      <c r="E898" s="22" t="s">
        <v>25</v>
      </c>
      <c r="F898" s="23" t="s">
        <v>69</v>
      </c>
      <c r="G898" s="22" t="s">
        <v>58</v>
      </c>
      <c r="H898" s="389"/>
      <c r="I898" s="391"/>
      <c r="J898" s="392" t="s">
        <v>86</v>
      </c>
      <c r="L898" s="5"/>
      <c r="M898" s="5"/>
      <c r="N898" s="5"/>
      <c r="O898" s="5"/>
      <c r="Q898" s="5"/>
    </row>
    <row r="899" spans="1:17">
      <c r="A899" s="24"/>
      <c r="B899" s="25" t="s">
        <v>59</v>
      </c>
      <c r="C899" s="26"/>
      <c r="D899" s="26"/>
      <c r="E899" s="26"/>
      <c r="F899" s="26"/>
      <c r="G899" s="26"/>
      <c r="H899" s="26"/>
      <c r="I899" s="27"/>
      <c r="J899" s="393"/>
      <c r="L899" s="5"/>
      <c r="M899" s="5"/>
      <c r="N899" s="5"/>
      <c r="O899" s="5"/>
      <c r="Q899" s="5"/>
    </row>
    <row r="900" spans="1:17" ht="16.5">
      <c r="A900" s="28" t="s">
        <v>79</v>
      </c>
      <c r="B900" s="8" t="s">
        <v>76</v>
      </c>
      <c r="C900" s="29">
        <v>0</v>
      </c>
      <c r="D900" s="30"/>
      <c r="E900" s="30">
        <v>40000</v>
      </c>
      <c r="F900" s="30"/>
      <c r="G900" s="30"/>
      <c r="H900" s="57"/>
      <c r="I900" s="34">
        <v>39200</v>
      </c>
      <c r="J900" s="31">
        <f>+SUM(C900:G900)-(H900+I900)</f>
        <v>800</v>
      </c>
      <c r="L900" s="5"/>
      <c r="M900" s="5"/>
      <c r="N900" s="5"/>
      <c r="O900" s="5"/>
      <c r="Q900" s="5"/>
    </row>
    <row r="901" spans="1:17" ht="16.5">
      <c r="A901" s="28" t="s">
        <v>79</v>
      </c>
      <c r="B901" s="8" t="str">
        <f>+A638</f>
        <v>JUILLET</v>
      </c>
      <c r="C901" s="29">
        <v>19060</v>
      </c>
      <c r="D901" s="30"/>
      <c r="E901" s="30">
        <v>20000</v>
      </c>
      <c r="F901" s="30"/>
      <c r="G901" s="30"/>
      <c r="H901" s="57"/>
      <c r="I901" s="34">
        <v>36000</v>
      </c>
      <c r="J901" s="31">
        <f t="shared" ref="J901:J908" si="380">+SUM(C901:G901)-(H901+I901)</f>
        <v>3060</v>
      </c>
      <c r="L901" s="5"/>
      <c r="M901" s="5"/>
      <c r="N901" s="5"/>
      <c r="O901" s="5"/>
      <c r="Q901" s="5"/>
    </row>
    <row r="902" spans="1:17" ht="16.5">
      <c r="A902" s="28" t="s">
        <v>79</v>
      </c>
      <c r="B902" s="8" t="str">
        <f>+A639</f>
        <v>JUILLET</v>
      </c>
      <c r="C902" s="29">
        <v>8395</v>
      </c>
      <c r="D902" s="30"/>
      <c r="E902" s="30">
        <v>20000</v>
      </c>
      <c r="F902" s="106"/>
      <c r="G902" s="106"/>
      <c r="H902" s="33"/>
      <c r="I902" s="56">
        <v>20000</v>
      </c>
      <c r="J902" s="107">
        <f t="shared" si="380"/>
        <v>8395</v>
      </c>
      <c r="L902" s="5"/>
      <c r="M902" s="5"/>
      <c r="N902" s="5"/>
      <c r="O902" s="5"/>
      <c r="Q902" s="5"/>
    </row>
    <row r="903" spans="1:17" ht="16.5">
      <c r="A903" s="28" t="s">
        <v>79</v>
      </c>
      <c r="B903" s="8" t="str">
        <f>+A640</f>
        <v>JUILLET</v>
      </c>
      <c r="C903" s="29">
        <v>0</v>
      </c>
      <c r="D903" s="58"/>
      <c r="E903" s="30">
        <v>100000</v>
      </c>
      <c r="F903" s="106">
        <v>102200</v>
      </c>
      <c r="G903" s="106"/>
      <c r="H903" s="33"/>
      <c r="I903" s="33">
        <v>204000</v>
      </c>
      <c r="J903" s="107">
        <f>+SUM(C903:G903)-(H903+I903)</f>
        <v>-1800</v>
      </c>
      <c r="L903" s="5"/>
      <c r="M903" s="5"/>
      <c r="N903" s="5"/>
      <c r="O903" s="5"/>
      <c r="Q903" s="5"/>
    </row>
    <row r="904" spans="1:17" ht="16.5">
      <c r="A904" s="28" t="s">
        <v>79</v>
      </c>
      <c r="B904" s="8" t="e">
        <f>+#REF!</f>
        <v>#REF!</v>
      </c>
      <c r="C904" s="29">
        <v>7559</v>
      </c>
      <c r="D904" s="58"/>
      <c r="E904" s="30">
        <v>866200</v>
      </c>
      <c r="F904" s="106"/>
      <c r="G904" s="106"/>
      <c r="H904" s="33">
        <v>252200</v>
      </c>
      <c r="I904" s="34">
        <v>605575</v>
      </c>
      <c r="J904" s="107">
        <f t="shared" si="380"/>
        <v>15984</v>
      </c>
      <c r="L904" s="5"/>
      <c r="M904" s="5"/>
      <c r="N904" s="5"/>
      <c r="O904" s="5"/>
      <c r="Q904" s="5"/>
    </row>
    <row r="905" spans="1:17" ht="16.5">
      <c r="A905" s="28" t="s">
        <v>79</v>
      </c>
      <c r="B905" s="8" t="str">
        <f t="shared" ref="B905:B908" si="381">+A641</f>
        <v>JUILLET</v>
      </c>
      <c r="C905" s="29">
        <v>214000</v>
      </c>
      <c r="D905" s="30"/>
      <c r="E905" s="30">
        <v>724100</v>
      </c>
      <c r="F905" s="106"/>
      <c r="G905" s="106"/>
      <c r="H905" s="33"/>
      <c r="I905" s="34">
        <v>960000</v>
      </c>
      <c r="J905" s="107">
        <f>+SUM(C905:G905)-(H905+I905)</f>
        <v>-21900</v>
      </c>
      <c r="L905" s="5"/>
      <c r="M905" s="5"/>
      <c r="N905" s="5"/>
      <c r="O905" s="5"/>
      <c r="Q905" s="5"/>
    </row>
    <row r="906" spans="1:17" ht="16.5">
      <c r="A906" s="28" t="s">
        <v>79</v>
      </c>
      <c r="B906" s="8" t="str">
        <f t="shared" si="381"/>
        <v>JUILLET</v>
      </c>
      <c r="C906" s="29">
        <v>-13805</v>
      </c>
      <c r="D906" s="30"/>
      <c r="E906" s="30">
        <v>333400</v>
      </c>
      <c r="F906" s="30">
        <v>150000</v>
      </c>
      <c r="G906" s="30"/>
      <c r="H906" s="33">
        <v>129000</v>
      </c>
      <c r="I906" s="34">
        <v>338905</v>
      </c>
      <c r="J906" s="31">
        <f>+SUM(C906:G906)-(H906+I906)</f>
        <v>1690</v>
      </c>
      <c r="L906" s="5"/>
      <c r="M906" s="5"/>
      <c r="N906" s="5"/>
      <c r="O906" s="5"/>
      <c r="Q906" s="5"/>
    </row>
    <row r="907" spans="1:17" ht="16.5">
      <c r="A907" s="28" t="s">
        <v>79</v>
      </c>
      <c r="B907" s="8" t="str">
        <f t="shared" si="381"/>
        <v>JUILLET</v>
      </c>
      <c r="C907" s="29">
        <v>84350</v>
      </c>
      <c r="D907" s="30"/>
      <c r="E907" s="30">
        <v>669400</v>
      </c>
      <c r="F907" s="30"/>
      <c r="G907" s="30"/>
      <c r="H907" s="33">
        <v>100000</v>
      </c>
      <c r="I907" s="34">
        <v>674700</v>
      </c>
      <c r="J907" s="31">
        <f>+SUM(C907:G907)-(H907+I907)</f>
        <v>-20950</v>
      </c>
      <c r="L907" s="5"/>
      <c r="M907" s="5"/>
      <c r="N907" s="5"/>
      <c r="O907" s="5"/>
      <c r="Q907" s="5"/>
    </row>
    <row r="908" spans="1:17" ht="16.5">
      <c r="A908" s="28" t="s">
        <v>79</v>
      </c>
      <c r="B908" s="8" t="str">
        <f t="shared" si="381"/>
        <v>JUILLET</v>
      </c>
      <c r="C908" s="29">
        <v>-216251</v>
      </c>
      <c r="D908" s="30"/>
      <c r="E908" s="30">
        <v>242000</v>
      </c>
      <c r="F908" s="30"/>
      <c r="G908" s="30"/>
      <c r="H908" s="33"/>
      <c r="I908" s="56">
        <v>34830</v>
      </c>
      <c r="J908" s="31">
        <f t="shared" si="380"/>
        <v>-9081</v>
      </c>
      <c r="L908" s="5"/>
      <c r="M908" s="5"/>
      <c r="N908" s="5"/>
      <c r="O908" s="5"/>
      <c r="Q908" s="5"/>
    </row>
    <row r="909" spans="1:17" ht="16.5">
      <c r="A909" s="28" t="s">
        <v>79</v>
      </c>
      <c r="B909" s="8" t="s">
        <v>33</v>
      </c>
      <c r="C909" s="29">
        <v>2025</v>
      </c>
      <c r="D909" s="30"/>
      <c r="E909" s="30">
        <v>25000</v>
      </c>
      <c r="F909" s="30"/>
      <c r="G909" s="30"/>
      <c r="H909" s="33">
        <v>3025</v>
      </c>
      <c r="I909" s="34">
        <v>24000</v>
      </c>
      <c r="J909" s="31">
        <f>+SUM(C909:G909)-(H909+I909)</f>
        <v>0</v>
      </c>
      <c r="L909" s="5"/>
      <c r="M909" s="5"/>
      <c r="N909" s="5"/>
      <c r="O909" s="5"/>
      <c r="Q909" s="5"/>
    </row>
    <row r="910" spans="1:17" ht="16.5">
      <c r="A910" s="28" t="s">
        <v>79</v>
      </c>
      <c r="B910" s="8" t="s">
        <v>32</v>
      </c>
      <c r="C910" s="29">
        <v>10000</v>
      </c>
      <c r="D910" s="32"/>
      <c r="E910" s="30">
        <v>0</v>
      </c>
      <c r="F910" s="32"/>
      <c r="G910" s="32"/>
      <c r="H910" s="33"/>
      <c r="I910" s="34">
        <v>4700</v>
      </c>
      <c r="J910" s="31">
        <f>+SUM(C910:G910)-(H910+I910)</f>
        <v>5300</v>
      </c>
      <c r="L910" s="5"/>
      <c r="M910" s="5"/>
      <c r="N910" s="5"/>
      <c r="O910" s="5"/>
      <c r="Q910" s="5"/>
    </row>
    <row r="911" spans="1:17">
      <c r="A911" s="35" t="s">
        <v>60</v>
      </c>
      <c r="B911" s="36"/>
      <c r="C911" s="36"/>
      <c r="D911" s="36"/>
      <c r="E911" s="36"/>
      <c r="F911" s="36"/>
      <c r="G911" s="36"/>
      <c r="H911" s="36"/>
      <c r="I911" s="36"/>
      <c r="J911" s="37"/>
      <c r="L911" s="5"/>
      <c r="M911" s="5"/>
      <c r="N911" s="5"/>
      <c r="O911" s="5"/>
      <c r="Q911" s="5"/>
    </row>
    <row r="912" spans="1:17">
      <c r="A912" s="28" t="s">
        <v>79</v>
      </c>
      <c r="B912" s="38" t="s">
        <v>61</v>
      </c>
      <c r="C912" s="39">
        <v>791675</v>
      </c>
      <c r="D912" s="40">
        <v>3185100</v>
      </c>
      <c r="E912" s="40"/>
      <c r="F912" s="40"/>
      <c r="G912" s="41">
        <v>237025</v>
      </c>
      <c r="H912" s="49">
        <v>3045100</v>
      </c>
      <c r="I912" s="42">
        <v>876121</v>
      </c>
      <c r="J912" s="43">
        <f>+SUM(C912:G912)-(H912+I912)</f>
        <v>292579</v>
      </c>
      <c r="L912" s="5"/>
      <c r="M912" s="5"/>
      <c r="N912" s="5"/>
      <c r="O912" s="5"/>
      <c r="Q912" s="5"/>
    </row>
    <row r="913" spans="1:17">
      <c r="A913" s="44" t="s">
        <v>62</v>
      </c>
      <c r="B913" s="25"/>
      <c r="C913" s="36"/>
      <c r="D913" s="25"/>
      <c r="E913" s="25"/>
      <c r="F913" s="25"/>
      <c r="G913" s="25"/>
      <c r="H913" s="25"/>
      <c r="I913" s="25"/>
      <c r="J913" s="37"/>
      <c r="L913" s="5"/>
      <c r="M913" s="5"/>
      <c r="N913" s="5"/>
      <c r="O913" s="5"/>
      <c r="Q913" s="5"/>
    </row>
    <row r="914" spans="1:17">
      <c r="A914" s="28" t="s">
        <v>79</v>
      </c>
      <c r="B914" s="38" t="s">
        <v>63</v>
      </c>
      <c r="C914" s="45">
        <v>8039273</v>
      </c>
      <c r="D914" s="54">
        <v>0</v>
      </c>
      <c r="E914" s="51"/>
      <c r="F914" s="51"/>
      <c r="G914" s="51"/>
      <c r="H914" s="53">
        <v>3000000</v>
      </c>
      <c r="I914" s="55">
        <v>224679</v>
      </c>
      <c r="J914" s="46">
        <f>+SUM(C914:G914)-(H914+I914)</f>
        <v>4814594</v>
      </c>
      <c r="L914" s="5"/>
      <c r="M914" s="5"/>
      <c r="N914" s="5"/>
      <c r="O914" s="5"/>
      <c r="Q914" s="5"/>
    </row>
    <row r="915" spans="1:17">
      <c r="A915" s="28" t="s">
        <v>79</v>
      </c>
      <c r="B915" s="38" t="s">
        <v>64</v>
      </c>
      <c r="C915" s="45">
        <v>13283340</v>
      </c>
      <c r="D915" s="51">
        <v>0</v>
      </c>
      <c r="E915" s="50"/>
      <c r="F915" s="50"/>
      <c r="G915" s="50"/>
      <c r="H915" s="33">
        <v>185100</v>
      </c>
      <c r="I915" s="52">
        <v>8352406</v>
      </c>
      <c r="J915" s="46">
        <f>SUM(C915:G915)-(H915+I915)</f>
        <v>4745834</v>
      </c>
      <c r="Q915" s="5"/>
    </row>
    <row r="916" spans="1:17">
      <c r="A916" s="157" t="s">
        <v>79</v>
      </c>
      <c r="B916" s="158" t="s">
        <v>82</v>
      </c>
      <c r="C916" s="45">
        <v>3721074</v>
      </c>
      <c r="D916" s="157"/>
      <c r="E916" s="157"/>
      <c r="F916" s="157"/>
      <c r="G916" s="157"/>
      <c r="H916" s="157"/>
      <c r="I916" s="157"/>
      <c r="J916" s="159">
        <f>SUM(C916:G916)-(H916+I916)</f>
        <v>3721074</v>
      </c>
      <c r="Q916" s="5"/>
    </row>
    <row r="917" spans="1:17">
      <c r="A917" s="157" t="s">
        <v>79</v>
      </c>
      <c r="B917" s="158" t="s">
        <v>83</v>
      </c>
      <c r="C917" s="45">
        <v>249769</v>
      </c>
      <c r="D917" s="51"/>
      <c r="E917" s="51"/>
      <c r="F917" s="51"/>
      <c r="G917" s="51"/>
      <c r="H917" s="33"/>
      <c r="I917" s="52"/>
      <c r="J917" s="159">
        <f>SUM(C917:G917)-(H917+I917)</f>
        <v>249769</v>
      </c>
      <c r="Q917" s="5"/>
    </row>
    <row r="918" spans="1:17">
      <c r="A918" s="157" t="s">
        <v>79</v>
      </c>
      <c r="B918" s="160" t="s">
        <v>84</v>
      </c>
      <c r="C918" s="45">
        <v>233614</v>
      </c>
      <c r="D918" s="51"/>
      <c r="E918" s="51"/>
      <c r="F918" s="51"/>
      <c r="G918" s="51"/>
      <c r="H918" s="33"/>
      <c r="I918" s="52"/>
      <c r="J918" s="159">
        <f>SUM(C918:G918)-(H918+I918)</f>
        <v>233614</v>
      </c>
      <c r="Q918" s="5"/>
    </row>
    <row r="919" spans="1:17">
      <c r="A919" s="157" t="s">
        <v>79</v>
      </c>
      <c r="B919" s="161" t="s">
        <v>85</v>
      </c>
      <c r="C919" s="45">
        <v>330169</v>
      </c>
      <c r="D919" s="157"/>
      <c r="E919" s="157"/>
      <c r="F919" s="157"/>
      <c r="G919" s="157"/>
      <c r="H919" s="157"/>
      <c r="I919" s="157"/>
      <c r="J919" s="159">
        <f>SUM(C919:G919)-(H919+I919)</f>
        <v>330169</v>
      </c>
      <c r="Q919" s="5"/>
    </row>
    <row r="920" spans="1:17" ht="15.75">
      <c r="C920" s="9"/>
      <c r="I920" s="9"/>
      <c r="J920" s="111">
        <f>+SUM(J900:J919)</f>
        <v>14369131</v>
      </c>
      <c r="Q920" s="5"/>
    </row>
    <row r="921" spans="1:17">
      <c r="C921" s="9"/>
      <c r="I921" s="9"/>
      <c r="J921" s="9"/>
      <c r="Q921" s="5"/>
    </row>
    <row r="922" spans="1:17" s="74" customFormat="1">
      <c r="A922" s="72" t="s">
        <v>65</v>
      </c>
      <c r="B922" s="72"/>
      <c r="C922" s="72"/>
      <c r="D922" s="72"/>
      <c r="E922" s="72"/>
      <c r="F922" s="72"/>
      <c r="G922" s="72"/>
      <c r="H922" s="72"/>
      <c r="I922" s="72"/>
      <c r="J922" s="73"/>
      <c r="L922" s="75"/>
      <c r="M922" s="75"/>
      <c r="N922" s="75"/>
      <c r="O922" s="75"/>
    </row>
    <row r="923" spans="1:17" s="74" customFormat="1">
      <c r="A923" s="76"/>
      <c r="B923" s="73"/>
      <c r="C923" s="77"/>
      <c r="D923" s="77"/>
      <c r="E923" s="77"/>
      <c r="F923" s="77"/>
      <c r="G923" s="77"/>
      <c r="H923" s="73"/>
      <c r="I923" s="73"/>
      <c r="J923" s="72"/>
      <c r="L923" s="75"/>
      <c r="M923" s="75"/>
      <c r="N923" s="75"/>
      <c r="O923" s="75"/>
    </row>
    <row r="924" spans="1:17" s="74" customFormat="1">
      <c r="A924" s="379" t="s">
        <v>53</v>
      </c>
      <c r="B924" s="381" t="s">
        <v>54</v>
      </c>
      <c r="C924" s="383" t="s">
        <v>67</v>
      </c>
      <c r="D924" s="406" t="s">
        <v>55</v>
      </c>
      <c r="E924" s="407"/>
      <c r="F924" s="407"/>
      <c r="G924" s="408"/>
      <c r="H924" s="409" t="s">
        <v>56</v>
      </c>
      <c r="I924" s="411" t="s">
        <v>57</v>
      </c>
      <c r="J924" s="73"/>
      <c r="L924" s="75"/>
      <c r="M924" s="75"/>
      <c r="N924" s="75"/>
      <c r="O924" s="75"/>
    </row>
    <row r="925" spans="1:17" s="74" customFormat="1">
      <c r="A925" s="380"/>
      <c r="B925" s="382"/>
      <c r="C925" s="384"/>
      <c r="D925" s="22" t="s">
        <v>24</v>
      </c>
      <c r="E925" s="22" t="s">
        <v>25</v>
      </c>
      <c r="F925" s="71" t="s">
        <v>69</v>
      </c>
      <c r="G925" s="22" t="s">
        <v>58</v>
      </c>
      <c r="H925" s="410"/>
      <c r="I925" s="412"/>
      <c r="J925" s="392" t="s">
        <v>68</v>
      </c>
      <c r="L925" s="75"/>
      <c r="M925" s="75"/>
      <c r="N925" s="75"/>
      <c r="O925" s="75"/>
    </row>
    <row r="926" spans="1:17" s="74" customFormat="1">
      <c r="A926" s="78"/>
      <c r="B926" s="79" t="s">
        <v>59</v>
      </c>
      <c r="C926" s="80"/>
      <c r="D926" s="80"/>
      <c r="E926" s="80"/>
      <c r="F926" s="80"/>
      <c r="G926" s="80"/>
      <c r="H926" s="80"/>
      <c r="I926" s="81"/>
      <c r="J926" s="393"/>
      <c r="L926" s="75"/>
      <c r="M926" s="75"/>
      <c r="N926" s="75"/>
      <c r="O926" s="75"/>
    </row>
    <row r="927" spans="1:17" s="74" customFormat="1" ht="16.5">
      <c r="A927" s="82" t="s">
        <v>66</v>
      </c>
      <c r="B927" s="8" t="s">
        <v>47</v>
      </c>
      <c r="C927" s="83">
        <v>40560</v>
      </c>
      <c r="D927" s="30"/>
      <c r="E927" s="30">
        <v>0</v>
      </c>
      <c r="F927" s="30"/>
      <c r="G927" s="30"/>
      <c r="H927" s="84"/>
      <c r="I927" s="85">
        <f>+SUM([1]COMPTA_CREPIN!$F$3050:$F$3066)</f>
        <v>21500</v>
      </c>
      <c r="J927" s="31">
        <f>+SUM(C927:G927)-(H927+I927)</f>
        <v>19060</v>
      </c>
      <c r="L927" s="75"/>
      <c r="M927" s="75"/>
      <c r="N927" s="75"/>
      <c r="O927" s="75"/>
    </row>
    <row r="928" spans="1:17" s="74" customFormat="1" ht="16.5">
      <c r="A928" s="82" t="s">
        <v>66</v>
      </c>
      <c r="B928" s="8" t="s">
        <v>28</v>
      </c>
      <c r="C928" s="83">
        <v>227975</v>
      </c>
      <c r="D928" s="30"/>
      <c r="E928" s="30">
        <f>+'[2]Compta Dalia (2)'!$E$1908+'[2]Compta Dalia (2)'!$E$1909+'[2]Compta Dalia (2)'!$E$1911+'[2]Compta Dalia (2)'!$E$1917</f>
        <v>119600</v>
      </c>
      <c r="F928" s="30"/>
      <c r="G928" s="30"/>
      <c r="H928" s="84">
        <f>+'[2]Compta Dalia (2)'!$F$1919</f>
        <v>1635</v>
      </c>
      <c r="I928" s="85">
        <v>345940</v>
      </c>
      <c r="J928" s="31">
        <f t="shared" ref="J928:J935" si="382">+SUM(C928:G928)-(H928+I928)</f>
        <v>0</v>
      </c>
      <c r="L928" s="75"/>
      <c r="M928" s="75"/>
      <c r="N928" s="75"/>
      <c r="O928" s="75"/>
    </row>
    <row r="929" spans="1:15" s="74" customFormat="1" ht="16.5">
      <c r="A929" s="82" t="s">
        <v>66</v>
      </c>
      <c r="B929" s="8" t="s">
        <v>31</v>
      </c>
      <c r="C929" s="83">
        <v>-605</v>
      </c>
      <c r="D929" s="30"/>
      <c r="E929" s="30">
        <f>+'[3]compta (3)'!$E$2556+'[3]compta (3)'!$E$2557+'[3]compta (3)'!$E$2558</f>
        <v>30000</v>
      </c>
      <c r="F929" s="30"/>
      <c r="G929" s="30"/>
      <c r="H929" s="86"/>
      <c r="I929" s="87">
        <f>'[3]compta (3)'!$F$2559</f>
        <v>21000</v>
      </c>
      <c r="J929" s="31">
        <f t="shared" si="382"/>
        <v>8395</v>
      </c>
      <c r="L929" s="75"/>
      <c r="M929" s="75"/>
      <c r="N929" s="75"/>
      <c r="O929" s="75"/>
    </row>
    <row r="930" spans="1:15" s="74" customFormat="1" ht="16.5">
      <c r="A930" s="82" t="s">
        <v>66</v>
      </c>
      <c r="B930" s="105" t="s">
        <v>26</v>
      </c>
      <c r="C930" s="83">
        <v>264659</v>
      </c>
      <c r="D930" s="106"/>
      <c r="E930" s="106">
        <f>+'[4]compta (2)'!$E$2521+'[4]compta (2)'!$E$2525+'[4]compta (2)'!$E$2527+'[4]compta (2)'!$E$2529</f>
        <v>325000</v>
      </c>
      <c r="F930" s="106"/>
      <c r="G930" s="106"/>
      <c r="H930" s="33">
        <f>'[4]compta (2)'!$F$2528+60000</f>
        <v>75000</v>
      </c>
      <c r="I930" s="33">
        <f>'[4]compta (2)'!$F$2522+'[4]compta (2)'!$F$2523+'[4]compta (2)'!$F$2524+'[4]compta (2)'!$F$2526+'[4]compta (2)'!$F$2530+'[4]compta (2)'!$F$2532+'[4]compta (2)'!$F$2533+'[4]compta (2)'!$F$2534</f>
        <v>507100</v>
      </c>
      <c r="J930" s="107">
        <f t="shared" si="382"/>
        <v>7559</v>
      </c>
      <c r="L930" s="75"/>
      <c r="M930" s="75"/>
      <c r="N930" s="75"/>
      <c r="O930" s="75"/>
    </row>
    <row r="931" spans="1:15" s="74" customFormat="1" ht="16.5">
      <c r="A931" s="82" t="s">
        <v>66</v>
      </c>
      <c r="B931" s="105" t="s">
        <v>48</v>
      </c>
      <c r="C931" s="83">
        <v>272500</v>
      </c>
      <c r="D931" s="106"/>
      <c r="E931" s="106">
        <f>+'[5]COMPTA_I23C (2)'!$E$4171+'[5]COMPTA_I23C (2)'!$E$4172+'[5]COMPTA_I23C (2)'!$E$4174+'[5]COMPTA_I23C (2)'!$E$4178+'[5]COMPTA_I23C (2)'!$E$4180+'[5]COMPTA_I23C (2)'!$E$4181</f>
        <v>695000</v>
      </c>
      <c r="F931" s="106"/>
      <c r="G931" s="106"/>
      <c r="H931" s="33"/>
      <c r="I931" s="83">
        <v>753500</v>
      </c>
      <c r="J931" s="107">
        <f t="shared" si="382"/>
        <v>214000</v>
      </c>
      <c r="L931" s="75"/>
      <c r="M931" s="75"/>
      <c r="N931" s="75"/>
      <c r="O931" s="75"/>
    </row>
    <row r="932" spans="1:15" s="74" customFormat="1" ht="16.5">
      <c r="A932" s="82" t="s">
        <v>66</v>
      </c>
      <c r="B932" s="8" t="s">
        <v>35</v>
      </c>
      <c r="C932" s="83">
        <v>284595</v>
      </c>
      <c r="D932" s="30"/>
      <c r="E932" s="30">
        <f>+'[6]Feuil1 (2)'!$E$2684+'[6]Feuil1 (2)'!$E$2689+'[6]Feuil1 (2)'!$E$2691</f>
        <v>275000</v>
      </c>
      <c r="F932" s="30">
        <f>'[4]compta (2)'!$F$2531</f>
        <v>60000</v>
      </c>
      <c r="G932" s="30"/>
      <c r="H932" s="86"/>
      <c r="I932" s="85">
        <v>633400</v>
      </c>
      <c r="J932" s="31">
        <f t="shared" si="382"/>
        <v>-13805</v>
      </c>
      <c r="L932" s="75"/>
      <c r="M932" s="75"/>
      <c r="N932" s="75"/>
      <c r="O932" s="75"/>
    </row>
    <row r="933" spans="1:15" s="74" customFormat="1" ht="16.5">
      <c r="A933" s="82" t="s">
        <v>66</v>
      </c>
      <c r="B933" s="8" t="s">
        <v>27</v>
      </c>
      <c r="C933" s="83">
        <v>-1750</v>
      </c>
      <c r="D933" s="30"/>
      <c r="E933" s="30">
        <f>+'[7]Compta Jospin (2)'!$E$1583+'[7]Compta Jospin (2)'!$E$1584+'[7]Compta Jospin (2)'!$E$1587</f>
        <v>96400</v>
      </c>
      <c r="F933" s="30"/>
      <c r="G933" s="30"/>
      <c r="H933" s="86">
        <f>+'[7]Compta Jospin (2)'!$F$1592</f>
        <v>950</v>
      </c>
      <c r="I933" s="85">
        <v>93700</v>
      </c>
      <c r="J933" s="31">
        <f t="shared" si="382"/>
        <v>0</v>
      </c>
      <c r="L933" s="75"/>
      <c r="M933" s="75"/>
      <c r="N933" s="75"/>
      <c r="O933" s="75"/>
    </row>
    <row r="934" spans="1:15" s="74" customFormat="1" ht="16.5">
      <c r="A934" s="82" t="s">
        <v>66</v>
      </c>
      <c r="B934" s="8" t="s">
        <v>29</v>
      </c>
      <c r="C934" s="83">
        <v>265600</v>
      </c>
      <c r="D934" s="30"/>
      <c r="E934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934" s="30"/>
      <c r="G934" s="30"/>
      <c r="H934" s="86"/>
      <c r="I934" s="85">
        <v>1036850</v>
      </c>
      <c r="J934" s="31">
        <f t="shared" si="382"/>
        <v>84350</v>
      </c>
      <c r="L934" s="75"/>
      <c r="M934" s="75"/>
      <c r="N934" s="75"/>
      <c r="O934" s="75"/>
    </row>
    <row r="935" spans="1:15" s="74" customFormat="1" ht="16.5">
      <c r="A935" s="82" t="s">
        <v>66</v>
      </c>
      <c r="B935" s="8" t="s">
        <v>49</v>
      </c>
      <c r="C935" s="83">
        <f t="shared" ref="C935" si="383">+C908</f>
        <v>-216251</v>
      </c>
      <c r="D935" s="30"/>
      <c r="E935" s="30">
        <v>0</v>
      </c>
      <c r="F935" s="30"/>
      <c r="G935" s="30"/>
      <c r="H935" s="86"/>
      <c r="I935" s="87">
        <v>0</v>
      </c>
      <c r="J935" s="31">
        <f t="shared" si="382"/>
        <v>-216251</v>
      </c>
      <c r="L935" s="75"/>
      <c r="M935" s="75"/>
      <c r="N935" s="75"/>
      <c r="O935" s="75"/>
    </row>
    <row r="936" spans="1:15" s="74" customFormat="1" ht="16.5">
      <c r="A936" s="82" t="s">
        <v>66</v>
      </c>
      <c r="B936" s="8" t="s">
        <v>33</v>
      </c>
      <c r="C936" s="83">
        <v>1025</v>
      </c>
      <c r="D936" s="30"/>
      <c r="E936" s="30">
        <f>+'[9]compta shely'!$E$90+'[9]compta shely'!$E$97+'[9]compta shely'!$E$100</f>
        <v>25000</v>
      </c>
      <c r="F936" s="30"/>
      <c r="G936" s="30"/>
      <c r="H936" s="86"/>
      <c r="I936" s="85">
        <v>24000</v>
      </c>
      <c r="J936" s="31">
        <f>+SUM(C936:G936)-(H936+I936)</f>
        <v>2025</v>
      </c>
      <c r="L936" s="75"/>
      <c r="M936" s="75"/>
      <c r="N936" s="75"/>
      <c r="O936" s="75"/>
    </row>
    <row r="937" spans="1:15" s="74" customFormat="1" ht="16.5">
      <c r="A937" s="32" t="s">
        <v>66</v>
      </c>
      <c r="B937" s="8" t="s">
        <v>32</v>
      </c>
      <c r="C937" s="83">
        <v>0</v>
      </c>
      <c r="D937" s="32"/>
      <c r="E937" s="32">
        <f>+'[10]compta ted'!$E$11</f>
        <v>10000</v>
      </c>
      <c r="F937" s="32"/>
      <c r="G937" s="32"/>
      <c r="H937" s="86"/>
      <c r="I937" s="85">
        <v>0</v>
      </c>
      <c r="J937" s="31">
        <f>+SUM(C937:G937)-(H937+I937)</f>
        <v>10000</v>
      </c>
      <c r="L937" s="75"/>
      <c r="M937" s="75"/>
      <c r="N937" s="75"/>
      <c r="O937" s="75"/>
    </row>
    <row r="938" spans="1:15" s="74" customFormat="1">
      <c r="A938" s="88" t="s">
        <v>60</v>
      </c>
      <c r="B938" s="89"/>
      <c r="C938" s="89"/>
      <c r="D938" s="89"/>
      <c r="E938" s="89"/>
      <c r="F938" s="89"/>
      <c r="G938" s="89"/>
      <c r="H938" s="89"/>
      <c r="I938" s="89"/>
      <c r="J938" s="90"/>
      <c r="L938" s="75"/>
      <c r="M938" s="75"/>
      <c r="N938" s="75"/>
      <c r="O938" s="75"/>
    </row>
    <row r="939" spans="1:15" s="74" customFormat="1">
      <c r="A939" s="32" t="s">
        <v>66</v>
      </c>
      <c r="B939" s="38" t="s">
        <v>61</v>
      </c>
      <c r="C939" s="39">
        <v>954796</v>
      </c>
      <c r="D939" s="30">
        <v>3000000</v>
      </c>
      <c r="E939" s="30"/>
      <c r="F939" s="30"/>
      <c r="G939" s="91">
        <v>17585</v>
      </c>
      <c r="H939" s="92">
        <v>2431600</v>
      </c>
      <c r="I939" s="93">
        <v>749106</v>
      </c>
      <c r="J939" s="94">
        <f>+SUM(C939:G939)-(H939+I939)</f>
        <v>791675</v>
      </c>
      <c r="L939" s="75"/>
      <c r="M939" s="75"/>
      <c r="N939" s="75"/>
      <c r="O939" s="75"/>
    </row>
    <row r="940" spans="1:15" s="74" customFormat="1">
      <c r="A940" s="95" t="s">
        <v>62</v>
      </c>
      <c r="B940" s="79"/>
      <c r="C940" s="89"/>
      <c r="D940" s="79"/>
      <c r="E940" s="79"/>
      <c r="F940" s="79"/>
      <c r="G940" s="79"/>
      <c r="H940" s="79"/>
      <c r="I940" s="79"/>
      <c r="J940" s="90"/>
      <c r="L940" s="75"/>
      <c r="M940" s="75"/>
      <c r="N940" s="75"/>
      <c r="O940" s="75"/>
    </row>
    <row r="941" spans="1:15" s="74" customFormat="1">
      <c r="A941" s="32" t="s">
        <v>66</v>
      </c>
      <c r="B941" s="38" t="s">
        <v>63</v>
      </c>
      <c r="C941" s="83">
        <v>705838</v>
      </c>
      <c r="D941" s="96">
        <v>10801800</v>
      </c>
      <c r="E941" s="97"/>
      <c r="F941" s="97"/>
      <c r="G941" s="97"/>
      <c r="H941" s="98">
        <v>3000000</v>
      </c>
      <c r="I941" s="99">
        <v>468365</v>
      </c>
      <c r="J941" s="31">
        <f>+SUM(C941:G941)-(H941+I941)</f>
        <v>8039273</v>
      </c>
      <c r="L941" s="75"/>
      <c r="M941" s="75"/>
      <c r="N941" s="75"/>
      <c r="O941" s="75"/>
    </row>
    <row r="942" spans="1:15" s="74" customFormat="1">
      <c r="A942" s="32" t="s">
        <v>66</v>
      </c>
      <c r="B942" s="38" t="s">
        <v>64</v>
      </c>
      <c r="C942" s="83">
        <v>14874402</v>
      </c>
      <c r="D942" s="97">
        <v>3279785</v>
      </c>
      <c r="E942" s="100"/>
      <c r="F942" s="100"/>
      <c r="G942" s="100"/>
      <c r="H942" s="101"/>
      <c r="I942" s="102">
        <v>4870847</v>
      </c>
      <c r="J942" s="31">
        <f>SUM(C942:G942)-(H942+I942)</f>
        <v>13283340</v>
      </c>
      <c r="L942" s="75"/>
      <c r="M942" s="75"/>
      <c r="N942" s="75"/>
      <c r="O942" s="75"/>
    </row>
    <row r="943" spans="1:15" s="74" customFormat="1">
      <c r="L943" s="75"/>
      <c r="M943" s="75"/>
      <c r="N943" s="75"/>
      <c r="O943" s="75"/>
    </row>
    <row r="944" spans="1:15" s="74" customFormat="1">
      <c r="C944" s="103">
        <f>+SUM(C927:C942)</f>
        <v>17673344</v>
      </c>
      <c r="I944" s="103">
        <f>SUM(I927:I942)</f>
        <v>9525308</v>
      </c>
      <c r="J944" s="103">
        <f>+SUM(J927:J942)</f>
        <v>22229621</v>
      </c>
      <c r="L944" s="75"/>
      <c r="M944" s="75"/>
      <c r="N944" s="75"/>
      <c r="O944" s="75"/>
    </row>
    <row r="945" spans="1:17">
      <c r="C945" s="9"/>
      <c r="I945" s="9"/>
      <c r="J945" s="9"/>
      <c r="Q945" s="5"/>
    </row>
    <row r="946" spans="1:17">
      <c r="A946" s="64" t="s">
        <v>70</v>
      </c>
      <c r="B946" s="64"/>
      <c r="Q946" s="5"/>
    </row>
    <row r="947" spans="1:17">
      <c r="A947" s="65" t="s">
        <v>71</v>
      </c>
      <c r="B947" s="65"/>
      <c r="C947" s="65"/>
      <c r="D947" s="65"/>
      <c r="E947" s="65"/>
      <c r="F947" s="65"/>
      <c r="G947" s="65"/>
      <c r="H947" s="65"/>
      <c r="I947" s="65"/>
      <c r="J947" s="65"/>
      <c r="L947" s="5"/>
      <c r="M947" s="5"/>
      <c r="N947" s="5"/>
      <c r="O947" s="5"/>
      <c r="Q947" s="5"/>
    </row>
    <row r="949" spans="1:17" ht="15" customHeight="1">
      <c r="A949" s="394" t="s">
        <v>53</v>
      </c>
      <c r="B949" s="394" t="s">
        <v>54</v>
      </c>
      <c r="C949" s="405" t="s">
        <v>73</v>
      </c>
      <c r="D949" s="400" t="s">
        <v>55</v>
      </c>
      <c r="E949" s="400"/>
      <c r="F949" s="400"/>
      <c r="G949" s="400"/>
      <c r="H949" s="401" t="s">
        <v>56</v>
      </c>
      <c r="I949" s="403" t="s">
        <v>57</v>
      </c>
      <c r="J949" s="396" t="s">
        <v>74</v>
      </c>
      <c r="K949" s="397"/>
      <c r="L949" s="5"/>
      <c r="M949" s="5"/>
      <c r="N949" s="5"/>
      <c r="O949" s="5"/>
      <c r="Q949" s="5"/>
    </row>
    <row r="950" spans="1:17" ht="28.5" customHeight="1">
      <c r="A950" s="395"/>
      <c r="B950" s="395"/>
      <c r="C950" s="395"/>
      <c r="D950" s="69" t="s">
        <v>24</v>
      </c>
      <c r="E950" s="66" t="s">
        <v>25</v>
      </c>
      <c r="F950" s="66" t="s">
        <v>27</v>
      </c>
      <c r="G950" s="66" t="s">
        <v>58</v>
      </c>
      <c r="H950" s="402"/>
      <c r="I950" s="404"/>
      <c r="J950" s="398"/>
      <c r="K950" s="399"/>
      <c r="L950" s="5"/>
      <c r="M950" s="5"/>
      <c r="N950" s="5"/>
      <c r="O950" s="5"/>
      <c r="Q950" s="5"/>
    </row>
    <row r="951" spans="1:17">
      <c r="A951" s="47"/>
      <c r="B951" s="47" t="s">
        <v>59</v>
      </c>
      <c r="C951" s="49"/>
      <c r="D951" s="49"/>
      <c r="E951" s="49"/>
      <c r="F951" s="49"/>
      <c r="G951" s="49"/>
      <c r="H951" s="49"/>
      <c r="I951" s="49"/>
      <c r="J951" s="49"/>
      <c r="K951" s="47"/>
      <c r="L951" s="5"/>
      <c r="M951" s="5"/>
      <c r="N951" s="5"/>
      <c r="O951" s="5"/>
      <c r="Q951" s="5"/>
    </row>
    <row r="952" spans="1:17">
      <c r="A952" s="47" t="s">
        <v>72</v>
      </c>
      <c r="B952" s="47" t="s">
        <v>47</v>
      </c>
      <c r="C952" s="49">
        <v>89360</v>
      </c>
      <c r="D952" s="49"/>
      <c r="E952" s="49">
        <v>13000</v>
      </c>
      <c r="F952" s="49"/>
      <c r="G952" s="49"/>
      <c r="H952" s="49"/>
      <c r="I952" s="49">
        <v>61800</v>
      </c>
      <c r="J952" s="49">
        <v>40560</v>
      </c>
      <c r="K952" s="47"/>
      <c r="L952" s="5"/>
      <c r="M952" s="5"/>
      <c r="N952" s="5"/>
      <c r="O952" s="5"/>
      <c r="Q952" s="5"/>
    </row>
    <row r="953" spans="1:17">
      <c r="A953" s="47" t="s">
        <v>72</v>
      </c>
      <c r="B953" s="47" t="s">
        <v>28</v>
      </c>
      <c r="C953" s="49">
        <v>-1025</v>
      </c>
      <c r="D953" s="49"/>
      <c r="E953" s="49">
        <v>684500</v>
      </c>
      <c r="F953" s="49"/>
      <c r="G953" s="49"/>
      <c r="H953" s="49"/>
      <c r="I953" s="49">
        <v>455500</v>
      </c>
      <c r="J953" s="49">
        <v>227975</v>
      </c>
      <c r="K953" s="47"/>
      <c r="L953" s="5"/>
      <c r="M953" s="5"/>
      <c r="N953" s="5"/>
      <c r="O953" s="5"/>
      <c r="Q953" s="5"/>
    </row>
    <row r="954" spans="1:17">
      <c r="A954" s="47" t="s">
        <v>72</v>
      </c>
      <c r="B954" s="47" t="s">
        <v>31</v>
      </c>
      <c r="C954" s="49">
        <v>14395</v>
      </c>
      <c r="D954" s="49"/>
      <c r="E954" s="49">
        <v>40000</v>
      </c>
      <c r="F954" s="49"/>
      <c r="G954" s="49"/>
      <c r="H954" s="49"/>
      <c r="I954" s="49">
        <v>55000</v>
      </c>
      <c r="J954" s="49">
        <v>-605</v>
      </c>
      <c r="K954" s="47"/>
      <c r="L954" s="5"/>
      <c r="M954" s="5"/>
      <c r="N954" s="5"/>
      <c r="O954" s="5"/>
      <c r="Q954" s="5"/>
    </row>
    <row r="955" spans="1:17">
      <c r="A955" s="47" t="s">
        <v>72</v>
      </c>
      <c r="B955" s="47" t="s">
        <v>26</v>
      </c>
      <c r="C955" s="49">
        <v>8559</v>
      </c>
      <c r="D955" s="49"/>
      <c r="E955" s="49">
        <v>428750</v>
      </c>
      <c r="F955" s="49">
        <v>280200</v>
      </c>
      <c r="G955" s="49"/>
      <c r="H955" s="49"/>
      <c r="I955" s="49">
        <v>452850</v>
      </c>
      <c r="J955" s="49">
        <v>264659</v>
      </c>
      <c r="K955" s="47"/>
      <c r="L955" s="5"/>
      <c r="M955" s="5"/>
      <c r="N955" s="5"/>
      <c r="O955" s="5"/>
      <c r="Q955" s="5"/>
    </row>
    <row r="956" spans="1:17">
      <c r="A956" s="47" t="s">
        <v>72</v>
      </c>
      <c r="B956" s="47" t="s">
        <v>48</v>
      </c>
      <c r="C956" s="49">
        <v>-5750</v>
      </c>
      <c r="D956" s="49"/>
      <c r="E956" s="49">
        <v>1161750</v>
      </c>
      <c r="F956" s="49"/>
      <c r="G956" s="49"/>
      <c r="H956" s="49">
        <v>124000</v>
      </c>
      <c r="I956" s="49">
        <v>759500</v>
      </c>
      <c r="J956" s="49">
        <v>272500</v>
      </c>
      <c r="K956" s="47"/>
      <c r="L956" s="5"/>
      <c r="M956" s="5"/>
      <c r="N956" s="5"/>
      <c r="O956" s="5"/>
      <c r="Q956" s="5"/>
    </row>
    <row r="957" spans="1:17">
      <c r="A957" s="47" t="s">
        <v>72</v>
      </c>
      <c r="B957" s="47" t="s">
        <v>35</v>
      </c>
      <c r="C957" s="49">
        <v>12995</v>
      </c>
      <c r="D957" s="49"/>
      <c r="E957" s="49">
        <v>726000</v>
      </c>
      <c r="F957" s="49"/>
      <c r="G957" s="49"/>
      <c r="H957" s="49"/>
      <c r="I957" s="49">
        <v>454400</v>
      </c>
      <c r="J957" s="49">
        <v>284595</v>
      </c>
      <c r="K957" s="47"/>
      <c r="L957" s="5"/>
      <c r="M957" s="5"/>
      <c r="N957" s="5"/>
      <c r="O957" s="5"/>
      <c r="Q957" s="5"/>
    </row>
    <row r="958" spans="1:17">
      <c r="A958" s="47" t="s">
        <v>72</v>
      </c>
      <c r="B958" s="47" t="s">
        <v>27</v>
      </c>
      <c r="C958" s="49">
        <v>6050</v>
      </c>
      <c r="D958" s="49"/>
      <c r="E958" s="49">
        <v>736300</v>
      </c>
      <c r="F958" s="49"/>
      <c r="G958" s="49"/>
      <c r="H958" s="49">
        <v>405200</v>
      </c>
      <c r="I958" s="49">
        <v>338900</v>
      </c>
      <c r="J958" s="49">
        <v>-1750</v>
      </c>
      <c r="K958" s="47"/>
      <c r="L958" s="5"/>
      <c r="M958" s="5"/>
      <c r="N958" s="5"/>
      <c r="O958" s="5"/>
      <c r="Q958" s="5"/>
    </row>
    <row r="959" spans="1:17">
      <c r="A959" s="47" t="s">
        <v>72</v>
      </c>
      <c r="B959" s="47" t="s">
        <v>29</v>
      </c>
      <c r="C959" s="49">
        <v>142400</v>
      </c>
      <c r="D959" s="49"/>
      <c r="E959" s="49">
        <v>1014000</v>
      </c>
      <c r="F959" s="49"/>
      <c r="G959" s="49"/>
      <c r="H959" s="49">
        <v>100000</v>
      </c>
      <c r="I959" s="49">
        <v>790800</v>
      </c>
      <c r="J959" s="49">
        <v>265600</v>
      </c>
      <c r="K959" s="47"/>
      <c r="L959" s="5"/>
      <c r="M959" s="5"/>
      <c r="N959" s="5"/>
      <c r="O959" s="5"/>
      <c r="Q959" s="5"/>
    </row>
    <row r="960" spans="1:17">
      <c r="A960" s="47" t="s">
        <v>72</v>
      </c>
      <c r="B960" s="47" t="s">
        <v>49</v>
      </c>
      <c r="C960" s="49">
        <v>-221251.00072999997</v>
      </c>
      <c r="D960" s="49"/>
      <c r="E960" s="49">
        <v>485000</v>
      </c>
      <c r="F960" s="49"/>
      <c r="G960" s="49"/>
      <c r="H960" s="49">
        <v>5000</v>
      </c>
      <c r="I960" s="49">
        <v>475000</v>
      </c>
      <c r="J960" s="49">
        <v>-216251.00072999997</v>
      </c>
      <c r="K960" s="47"/>
      <c r="L960" s="5"/>
      <c r="M960" s="5"/>
      <c r="N960" s="5"/>
      <c r="O960" s="5"/>
      <c r="Q960" s="5"/>
    </row>
    <row r="961" spans="1:17">
      <c r="A961" s="47" t="s">
        <v>72</v>
      </c>
      <c r="B961" s="47" t="s">
        <v>33</v>
      </c>
      <c r="C961" s="49">
        <v>14225</v>
      </c>
      <c r="D961" s="49"/>
      <c r="E961" s="49">
        <v>30000</v>
      </c>
      <c r="F961" s="49"/>
      <c r="G961" s="49"/>
      <c r="H961" s="49"/>
      <c r="I961" s="49">
        <v>43200</v>
      </c>
      <c r="J961" s="49">
        <v>1025</v>
      </c>
      <c r="K961" s="47"/>
      <c r="L961" s="5"/>
      <c r="M961" s="5"/>
      <c r="N961" s="5"/>
      <c r="O961" s="5"/>
      <c r="Q961" s="5"/>
    </row>
    <row r="962" spans="1:17">
      <c r="A962" s="67" t="s">
        <v>60</v>
      </c>
      <c r="B962" s="67"/>
      <c r="C962" s="68"/>
      <c r="D962" s="68"/>
      <c r="E962" s="68"/>
      <c r="F962" s="68"/>
      <c r="G962" s="68"/>
      <c r="H962" s="68"/>
      <c r="I962" s="68"/>
      <c r="J962" s="68"/>
      <c r="K962" s="67"/>
      <c r="L962" s="5"/>
      <c r="M962" s="5"/>
      <c r="N962" s="5"/>
      <c r="O962" s="5"/>
      <c r="Q962" s="5"/>
    </row>
    <row r="963" spans="1:17">
      <c r="A963" s="47" t="s">
        <v>72</v>
      </c>
      <c r="B963" s="47" t="s">
        <v>61</v>
      </c>
      <c r="C963" s="49">
        <v>494738</v>
      </c>
      <c r="D963" s="49">
        <v>6000000</v>
      </c>
      <c r="E963" s="49"/>
      <c r="F963" s="49"/>
      <c r="G963" s="49">
        <v>105000</v>
      </c>
      <c r="H963" s="49">
        <v>5070300</v>
      </c>
      <c r="I963" s="49">
        <v>574642</v>
      </c>
      <c r="J963" s="49">
        <v>954796</v>
      </c>
      <c r="K963" s="47"/>
      <c r="L963" s="5"/>
      <c r="M963" s="5"/>
      <c r="N963" s="5"/>
      <c r="O963" s="5"/>
      <c r="Q963" s="5"/>
    </row>
    <row r="964" spans="1:17">
      <c r="A964" s="67" t="s">
        <v>62</v>
      </c>
      <c r="B964" s="67"/>
      <c r="C964" s="68"/>
      <c r="D964" s="68"/>
      <c r="E964" s="68"/>
      <c r="F964" s="68"/>
      <c r="G964" s="68"/>
      <c r="H964" s="68"/>
      <c r="I964" s="68"/>
      <c r="J964" s="68"/>
      <c r="K964" s="67"/>
      <c r="L964" s="5"/>
      <c r="M964" s="5"/>
      <c r="N964" s="5"/>
      <c r="O964" s="5"/>
      <c r="Q964" s="5"/>
    </row>
    <row r="965" spans="1:17">
      <c r="A965" s="47" t="s">
        <v>72</v>
      </c>
      <c r="B965" s="47" t="s">
        <v>63</v>
      </c>
      <c r="C965" s="49">
        <v>11363703</v>
      </c>
      <c r="D965" s="49"/>
      <c r="E965" s="49"/>
      <c r="F965" s="49"/>
      <c r="G965" s="49"/>
      <c r="H965" s="49">
        <v>10000000</v>
      </c>
      <c r="I965" s="49">
        <v>657865</v>
      </c>
      <c r="J965" s="49">
        <v>705838</v>
      </c>
      <c r="K965" s="47"/>
      <c r="L965" s="5"/>
      <c r="M965" s="5"/>
      <c r="N965" s="5"/>
      <c r="O965" s="5"/>
      <c r="Q965" s="5"/>
    </row>
    <row r="966" spans="1:17">
      <c r="A966" s="47" t="s">
        <v>72</v>
      </c>
      <c r="B966" s="47" t="s">
        <v>64</v>
      </c>
      <c r="C966" s="49">
        <v>4902843</v>
      </c>
      <c r="D966" s="49">
        <v>17119140</v>
      </c>
      <c r="E966" s="49"/>
      <c r="F966" s="49"/>
      <c r="G966" s="49"/>
      <c r="H966" s="49"/>
      <c r="I966" s="49">
        <v>7147581</v>
      </c>
      <c r="J966" s="49">
        <v>14874402</v>
      </c>
      <c r="K966" s="47"/>
      <c r="L966" s="5"/>
      <c r="M966" s="5"/>
      <c r="N966" s="5"/>
      <c r="O966" s="5"/>
      <c r="Q966" s="5"/>
    </row>
    <row r="967" spans="1:17">
      <c r="A967" s="47"/>
      <c r="B967" s="47"/>
      <c r="C967" s="49"/>
      <c r="D967" s="49"/>
      <c r="E967" s="49"/>
      <c r="F967" s="49"/>
      <c r="G967" s="49"/>
      <c r="H967" s="49"/>
      <c r="I967" s="49"/>
      <c r="J967" s="49"/>
      <c r="K967" s="47"/>
      <c r="L967" s="5"/>
      <c r="M967" s="5"/>
      <c r="N967" s="5"/>
      <c r="O967" s="5"/>
      <c r="Q967" s="5"/>
    </row>
    <row r="968" spans="1:17">
      <c r="A968" s="47"/>
      <c r="B968" s="47"/>
      <c r="C968" s="49"/>
      <c r="D968" s="49"/>
      <c r="E968" s="49"/>
      <c r="F968" s="49"/>
      <c r="G968" s="49"/>
      <c r="H968" s="49"/>
      <c r="I968" s="49">
        <v>12267038</v>
      </c>
      <c r="J968" s="49">
        <v>17673343.99927</v>
      </c>
      <c r="K968" s="47" t="b">
        <v>1</v>
      </c>
      <c r="L968" s="5"/>
      <c r="M968" s="5"/>
      <c r="N968" s="5"/>
      <c r="O968" s="5"/>
      <c r="Q968" s="5"/>
    </row>
    <row r="969" spans="1:17">
      <c r="J969" s="70" t="b">
        <f>J968=[11]TABLEAU!$I$16</f>
        <v>1</v>
      </c>
      <c r="L969" s="5"/>
      <c r="M969" s="5"/>
      <c r="N969" s="5"/>
      <c r="O969" s="5"/>
      <c r="Q969" s="5"/>
    </row>
  </sheetData>
  <mergeCells count="133">
    <mergeCell ref="I708:I709"/>
    <mergeCell ref="J709:J710"/>
    <mergeCell ref="A708:A709"/>
    <mergeCell ref="B708:B709"/>
    <mergeCell ref="C708:C709"/>
    <mergeCell ref="D708:G708"/>
    <mergeCell ref="H708:H709"/>
    <mergeCell ref="A561:A562"/>
    <mergeCell ref="B561:B562"/>
    <mergeCell ref="C561:C562"/>
    <mergeCell ref="D561:G561"/>
    <mergeCell ref="H561:H562"/>
    <mergeCell ref="I561:I562"/>
    <mergeCell ref="J562:J563"/>
    <mergeCell ref="I633:I634"/>
    <mergeCell ref="J634:J635"/>
    <mergeCell ref="A633:A634"/>
    <mergeCell ref="A682:A683"/>
    <mergeCell ref="I657:I658"/>
    <mergeCell ref="I682:I683"/>
    <mergeCell ref="J658:J659"/>
    <mergeCell ref="J683:J684"/>
    <mergeCell ref="D609:G609"/>
    <mergeCell ref="H609:H610"/>
    <mergeCell ref="I844:I845"/>
    <mergeCell ref="J845:J846"/>
    <mergeCell ref="A844:A845"/>
    <mergeCell ref="B844:B845"/>
    <mergeCell ref="C844:C845"/>
    <mergeCell ref="D844:G844"/>
    <mergeCell ref="H844:H845"/>
    <mergeCell ref="I789:I790"/>
    <mergeCell ref="J790:J791"/>
    <mergeCell ref="A789:A790"/>
    <mergeCell ref="B789:B790"/>
    <mergeCell ref="C789:C790"/>
    <mergeCell ref="D789:G789"/>
    <mergeCell ref="H789:H790"/>
    <mergeCell ref="I817:I818"/>
    <mergeCell ref="J818:J819"/>
    <mergeCell ref="A817:A818"/>
    <mergeCell ref="I734:I735"/>
    <mergeCell ref="J735:J736"/>
    <mergeCell ref="A734:A735"/>
    <mergeCell ref="B734:B735"/>
    <mergeCell ref="C734:C735"/>
    <mergeCell ref="D734:G734"/>
    <mergeCell ref="J871:J872"/>
    <mergeCell ref="A870:A871"/>
    <mergeCell ref="B870:B871"/>
    <mergeCell ref="C870:C871"/>
    <mergeCell ref="D870:G870"/>
    <mergeCell ref="H870:H871"/>
    <mergeCell ref="I761:I762"/>
    <mergeCell ref="J762:J763"/>
    <mergeCell ref="A761:A762"/>
    <mergeCell ref="B761:B762"/>
    <mergeCell ref="C761:C762"/>
    <mergeCell ref="D761:G761"/>
    <mergeCell ref="H761:H762"/>
    <mergeCell ref="B817:B818"/>
    <mergeCell ref="C817:C818"/>
    <mergeCell ref="D817:G817"/>
    <mergeCell ref="H817:H818"/>
    <mergeCell ref="I870:I871"/>
    <mergeCell ref="A949:A950"/>
    <mergeCell ref="J898:J899"/>
    <mergeCell ref="A897:A898"/>
    <mergeCell ref="B897:B898"/>
    <mergeCell ref="C897:C898"/>
    <mergeCell ref="D897:G897"/>
    <mergeCell ref="H897:H898"/>
    <mergeCell ref="I897:I898"/>
    <mergeCell ref="B949:B950"/>
    <mergeCell ref="J949:K950"/>
    <mergeCell ref="D949:G949"/>
    <mergeCell ref="H949:H950"/>
    <mergeCell ref="I949:I950"/>
    <mergeCell ref="C949:C950"/>
    <mergeCell ref="B924:B925"/>
    <mergeCell ref="C924:C925"/>
    <mergeCell ref="A924:A925"/>
    <mergeCell ref="D924:G924"/>
    <mergeCell ref="H924:H925"/>
    <mergeCell ref="J925:J926"/>
    <mergeCell ref="I924:I925"/>
    <mergeCell ref="B633:B634"/>
    <mergeCell ref="C633:C634"/>
    <mergeCell ref="D633:G633"/>
    <mergeCell ref="H633:H634"/>
    <mergeCell ref="H734:H735"/>
    <mergeCell ref="B682:B683"/>
    <mergeCell ref="C682:C683"/>
    <mergeCell ref="D682:G682"/>
    <mergeCell ref="H682:H683"/>
    <mergeCell ref="A536:A537"/>
    <mergeCell ref="B536:B537"/>
    <mergeCell ref="C536:C537"/>
    <mergeCell ref="D536:G536"/>
    <mergeCell ref="H536:H537"/>
    <mergeCell ref="I536:I537"/>
    <mergeCell ref="J537:J538"/>
    <mergeCell ref="A657:A658"/>
    <mergeCell ref="B657:B658"/>
    <mergeCell ref="C657:C658"/>
    <mergeCell ref="D657:G657"/>
    <mergeCell ref="H657:H658"/>
    <mergeCell ref="I586:I587"/>
    <mergeCell ref="J587:J588"/>
    <mergeCell ref="A586:A587"/>
    <mergeCell ref="B586:B587"/>
    <mergeCell ref="C586:C587"/>
    <mergeCell ref="D586:G586"/>
    <mergeCell ref="H586:H587"/>
    <mergeCell ref="I609:I610"/>
    <mergeCell ref="J610:J611"/>
    <mergeCell ref="A609:A610"/>
    <mergeCell ref="B609:B610"/>
    <mergeCell ref="C609:C610"/>
    <mergeCell ref="A488:A489"/>
    <mergeCell ref="B488:B489"/>
    <mergeCell ref="C488:C489"/>
    <mergeCell ref="D488:G488"/>
    <mergeCell ref="H488:H489"/>
    <mergeCell ref="I488:I489"/>
    <mergeCell ref="J489:J490"/>
    <mergeCell ref="A441:A442"/>
    <mergeCell ref="B441:B442"/>
    <mergeCell ref="C441:C442"/>
    <mergeCell ref="D441:G441"/>
    <mergeCell ref="H441:H442"/>
    <mergeCell ref="I441:I442"/>
    <mergeCell ref="J442:J4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K19" sqref="K19"/>
    </sheetView>
  </sheetViews>
  <sheetFormatPr baseColWidth="10" defaultRowHeight="15"/>
  <cols>
    <col min="1" max="1" width="21" customWidth="1"/>
    <col min="2" max="2" width="23.85546875" customWidth="1"/>
    <col min="3" max="3" width="8" customWidth="1"/>
    <col min="4" max="5" width="12.5703125" customWidth="1"/>
    <col min="6" max="14" width="5" customWidth="1"/>
    <col min="15" max="49" width="6" customWidth="1"/>
    <col min="50" max="69" width="7" customWidth="1"/>
    <col min="70" max="71" width="8" customWidth="1"/>
    <col min="72" max="72" width="6.28515625" customWidth="1"/>
    <col min="73" max="73" width="12.5703125" bestFit="1" customWidth="1"/>
  </cols>
  <sheetData>
    <row r="3" spans="1:4">
      <c r="A3" s="1" t="s">
        <v>128</v>
      </c>
      <c r="B3" t="s">
        <v>135</v>
      </c>
    </row>
    <row r="4" spans="1:4">
      <c r="A4" s="2" t="s">
        <v>102</v>
      </c>
      <c r="B4" s="169">
        <v>4962530</v>
      </c>
    </row>
    <row r="5" spans="1:4">
      <c r="A5" s="2" t="s">
        <v>165</v>
      </c>
      <c r="B5" s="169">
        <v>3892805</v>
      </c>
    </row>
    <row r="6" spans="1:4">
      <c r="A6" s="2" t="s">
        <v>129</v>
      </c>
      <c r="B6" s="169">
        <v>8855335</v>
      </c>
    </row>
    <row r="13" spans="1:4">
      <c r="A13" s="1" t="s">
        <v>135</v>
      </c>
      <c r="B13" s="1" t="s">
        <v>130</v>
      </c>
    </row>
    <row r="14" spans="1:4">
      <c r="A14" s="1" t="s">
        <v>128</v>
      </c>
      <c r="B14" t="s">
        <v>102</v>
      </c>
      <c r="C14" s="376" t="s">
        <v>165</v>
      </c>
      <c r="D14" s="376" t="s">
        <v>129</v>
      </c>
    </row>
    <row r="15" spans="1:4">
      <c r="A15" s="2" t="s">
        <v>208</v>
      </c>
      <c r="B15" s="169"/>
      <c r="C15" s="169">
        <v>2342754</v>
      </c>
      <c r="D15" s="169">
        <v>2342754</v>
      </c>
    </row>
    <row r="16" spans="1:4">
      <c r="A16" s="2" t="s">
        <v>209</v>
      </c>
      <c r="B16" s="169">
        <v>4962530</v>
      </c>
      <c r="C16" s="169">
        <v>1550051</v>
      </c>
      <c r="D16" s="169">
        <v>6512581</v>
      </c>
    </row>
    <row r="17" spans="1:4">
      <c r="A17" s="2" t="s">
        <v>129</v>
      </c>
      <c r="B17" s="169">
        <v>4962530</v>
      </c>
      <c r="C17" s="169">
        <v>3892805</v>
      </c>
      <c r="D17" s="169">
        <v>8855335</v>
      </c>
    </row>
    <row r="19" spans="1:4">
      <c r="C19" s="210">
        <f>(B16*100%)/D16</f>
        <v>0.76199129039623459</v>
      </c>
      <c r="D19" s="211" t="s">
        <v>210</v>
      </c>
    </row>
    <row r="20" spans="1:4">
      <c r="C20" s="210">
        <f>(C16*100%)/D16</f>
        <v>0.23800870960376538</v>
      </c>
      <c r="D20" s="211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S20"/>
  <sheetViews>
    <sheetView workbookViewId="0">
      <pane xSplit="1" topLeftCell="AK1" activePane="topRight" state="frozen"/>
      <selection pane="topRight" activeCell="AR9" sqref="AR9"/>
    </sheetView>
  </sheetViews>
  <sheetFormatPr baseColWidth="10" defaultRowHeight="15"/>
  <cols>
    <col min="1" max="1" width="21" customWidth="1"/>
    <col min="2" max="2" width="23.85546875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19.140625" customWidth="1"/>
    <col min="35" max="35" width="16.140625" customWidth="1"/>
    <col min="36" max="36" width="19.140625" customWidth="1"/>
    <col min="37" max="37" width="16.140625" customWidth="1"/>
    <col min="38" max="38" width="24.140625" customWidth="1"/>
    <col min="39" max="39" width="21" customWidth="1"/>
    <col min="40" max="40" width="24.7109375" bestFit="1" customWidth="1"/>
    <col min="41" max="41" width="17.7109375" customWidth="1"/>
    <col min="42" max="42" width="15.140625" customWidth="1"/>
    <col min="43" max="43" width="16.140625" customWidth="1"/>
  </cols>
  <sheetData>
    <row r="3" spans="1:45">
      <c r="B3" s="1" t="s">
        <v>130</v>
      </c>
    </row>
    <row r="4" spans="1:45">
      <c r="B4" t="s">
        <v>256</v>
      </c>
      <c r="D4" t="s">
        <v>243</v>
      </c>
      <c r="F4" t="s">
        <v>385</v>
      </c>
      <c r="H4" t="s">
        <v>443</v>
      </c>
      <c r="J4" t="s">
        <v>139</v>
      </c>
      <c r="L4" t="s">
        <v>258</v>
      </c>
      <c r="N4" t="s">
        <v>225</v>
      </c>
      <c r="P4" t="s">
        <v>253</v>
      </c>
      <c r="R4" t="s">
        <v>180</v>
      </c>
      <c r="T4" t="s">
        <v>184</v>
      </c>
      <c r="V4" t="s">
        <v>3</v>
      </c>
      <c r="X4" t="s">
        <v>181</v>
      </c>
      <c r="Z4" t="s">
        <v>224</v>
      </c>
      <c r="AB4" t="s">
        <v>34</v>
      </c>
      <c r="AD4" t="s">
        <v>453</v>
      </c>
      <c r="AF4" t="s">
        <v>156</v>
      </c>
      <c r="AH4" t="s">
        <v>285</v>
      </c>
      <c r="AJ4" t="s">
        <v>75</v>
      </c>
      <c r="AL4" t="s">
        <v>136</v>
      </c>
      <c r="AM4" t="s">
        <v>138</v>
      </c>
    </row>
    <row r="5" spans="1:45">
      <c r="A5" s="1" t="s">
        <v>128</v>
      </c>
      <c r="B5" t="s">
        <v>137</v>
      </c>
      <c r="C5" t="s">
        <v>135</v>
      </c>
      <c r="D5" t="s">
        <v>137</v>
      </c>
      <c r="E5" t="s">
        <v>135</v>
      </c>
      <c r="F5" t="s">
        <v>137</v>
      </c>
      <c r="G5" t="s">
        <v>135</v>
      </c>
      <c r="H5" t="s">
        <v>137</v>
      </c>
      <c r="I5" t="s">
        <v>135</v>
      </c>
      <c r="J5" t="s">
        <v>137</v>
      </c>
      <c r="K5" t="s">
        <v>135</v>
      </c>
      <c r="L5" t="s">
        <v>137</v>
      </c>
      <c r="M5" t="s">
        <v>135</v>
      </c>
      <c r="N5" t="s">
        <v>137</v>
      </c>
      <c r="O5" t="s">
        <v>135</v>
      </c>
      <c r="P5" t="s">
        <v>137</v>
      </c>
      <c r="Q5" t="s">
        <v>135</v>
      </c>
      <c r="R5" t="s">
        <v>137</v>
      </c>
      <c r="S5" t="s">
        <v>135</v>
      </c>
      <c r="T5" t="s">
        <v>137</v>
      </c>
      <c r="U5" t="s">
        <v>135</v>
      </c>
      <c r="V5" t="s">
        <v>137</v>
      </c>
      <c r="W5" t="s">
        <v>135</v>
      </c>
      <c r="X5" t="s">
        <v>137</v>
      </c>
      <c r="Y5" t="s">
        <v>135</v>
      </c>
      <c r="Z5" t="s">
        <v>137</v>
      </c>
      <c r="AA5" t="s">
        <v>135</v>
      </c>
      <c r="AB5" t="s">
        <v>137</v>
      </c>
      <c r="AC5" t="s">
        <v>135</v>
      </c>
      <c r="AD5" t="s">
        <v>137</v>
      </c>
      <c r="AE5" t="s">
        <v>135</v>
      </c>
      <c r="AF5" t="s">
        <v>137</v>
      </c>
      <c r="AG5" t="s">
        <v>135</v>
      </c>
      <c r="AH5" t="s">
        <v>137</v>
      </c>
      <c r="AI5" t="s">
        <v>135</v>
      </c>
      <c r="AJ5" t="s">
        <v>137</v>
      </c>
      <c r="AK5" t="s">
        <v>135</v>
      </c>
      <c r="AP5" s="47" t="s">
        <v>42</v>
      </c>
      <c r="AQ5" s="47" t="s">
        <v>43</v>
      </c>
      <c r="AR5" s="47" t="s">
        <v>44</v>
      </c>
      <c r="AS5" s="47" t="s">
        <v>45</v>
      </c>
    </row>
    <row r="6" spans="1:45">
      <c r="A6" s="2" t="s">
        <v>24</v>
      </c>
      <c r="B6" s="169"/>
      <c r="C6" s="169">
        <v>23748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>
        <v>350000</v>
      </c>
      <c r="P6" s="169"/>
      <c r="Q6" s="169"/>
      <c r="R6" s="169"/>
      <c r="S6" s="169"/>
      <c r="T6" s="169"/>
      <c r="U6" s="169"/>
      <c r="V6" s="169"/>
      <c r="W6" s="169">
        <v>260000</v>
      </c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>
        <v>4000000</v>
      </c>
      <c r="AL6" s="169"/>
      <c r="AM6" s="169">
        <v>4633748</v>
      </c>
      <c r="AO6" s="289" t="str">
        <f>A6</f>
        <v>BCI</v>
      </c>
      <c r="AP6" s="49">
        <f>AJ6</f>
        <v>0</v>
      </c>
      <c r="AQ6" s="49">
        <f>+AK6</f>
        <v>4000000</v>
      </c>
      <c r="AR6" s="49">
        <f>AM6-AQ6</f>
        <v>633748</v>
      </c>
      <c r="AS6" s="49">
        <f>+G6</f>
        <v>0</v>
      </c>
    </row>
    <row r="7" spans="1:45">
      <c r="A7" s="2" t="s">
        <v>157</v>
      </c>
      <c r="B7" s="169"/>
      <c r="C7" s="169">
        <v>14701</v>
      </c>
      <c r="D7" s="169"/>
      <c r="E7" s="169"/>
      <c r="F7" s="169"/>
      <c r="G7" s="169"/>
      <c r="H7" s="169">
        <v>5426732</v>
      </c>
      <c r="I7" s="169"/>
      <c r="J7" s="169"/>
      <c r="K7" s="169"/>
      <c r="L7" s="169"/>
      <c r="M7" s="169"/>
      <c r="N7" s="169"/>
      <c r="O7" s="169">
        <v>400000</v>
      </c>
      <c r="P7" s="169"/>
      <c r="Q7" s="169"/>
      <c r="R7" s="169"/>
      <c r="S7" s="169">
        <v>3317143</v>
      </c>
      <c r="T7" s="169"/>
      <c r="U7" s="169">
        <v>1000000</v>
      </c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5426732</v>
      </c>
      <c r="AM7" s="169">
        <v>4731844</v>
      </c>
      <c r="AO7" s="289" t="str">
        <f t="shared" ref="AO7:AO17" si="0">A7</f>
        <v>BCI-Sous Compte</v>
      </c>
      <c r="AP7" s="49">
        <f t="shared" ref="AP7:AP17" si="1">AJ7</f>
        <v>0</v>
      </c>
      <c r="AQ7" s="49">
        <f t="shared" ref="AQ7:AQ17" si="2">+AK7</f>
        <v>0</v>
      </c>
      <c r="AR7" s="49">
        <f t="shared" ref="AR7:AR17" si="3">AM7-AQ7</f>
        <v>4731844</v>
      </c>
      <c r="AS7" s="49">
        <f>H7</f>
        <v>5426732</v>
      </c>
    </row>
    <row r="8" spans="1:45">
      <c r="A8" s="2" t="s">
        <v>25</v>
      </c>
      <c r="B8" s="169"/>
      <c r="C8" s="169"/>
      <c r="D8" s="169"/>
      <c r="E8" s="169">
        <v>990000</v>
      </c>
      <c r="F8" s="169"/>
      <c r="G8" s="169"/>
      <c r="H8" s="169"/>
      <c r="I8" s="169"/>
      <c r="J8" s="169"/>
      <c r="K8" s="169">
        <v>45050</v>
      </c>
      <c r="L8" s="169"/>
      <c r="M8" s="169"/>
      <c r="N8" s="169"/>
      <c r="O8" s="169">
        <v>397000</v>
      </c>
      <c r="P8" s="169"/>
      <c r="Q8" s="169">
        <v>8000</v>
      </c>
      <c r="R8" s="169"/>
      <c r="S8" s="169">
        <v>296998</v>
      </c>
      <c r="T8" s="169"/>
      <c r="U8" s="169">
        <v>5000</v>
      </c>
      <c r="V8" s="169"/>
      <c r="W8" s="169">
        <v>95625</v>
      </c>
      <c r="X8" s="169"/>
      <c r="Y8" s="169">
        <v>259000</v>
      </c>
      <c r="Z8" s="169"/>
      <c r="AA8" s="169">
        <v>9720</v>
      </c>
      <c r="AB8" s="169"/>
      <c r="AC8" s="169"/>
      <c r="AD8" s="169"/>
      <c r="AE8" s="169"/>
      <c r="AF8" s="169"/>
      <c r="AG8" s="169"/>
      <c r="AH8" s="169"/>
      <c r="AI8" s="169"/>
      <c r="AJ8" s="169">
        <v>4595950</v>
      </c>
      <c r="AK8" s="169">
        <v>1465700</v>
      </c>
      <c r="AL8" s="169">
        <v>4595950</v>
      </c>
      <c r="AM8" s="169">
        <v>3572093</v>
      </c>
      <c r="AO8" s="289" t="str">
        <f t="shared" si="0"/>
        <v>Caisse</v>
      </c>
      <c r="AP8" s="49">
        <f t="shared" si="1"/>
        <v>4595950</v>
      </c>
      <c r="AQ8" s="49">
        <f t="shared" si="2"/>
        <v>1465700</v>
      </c>
      <c r="AR8" s="49">
        <f t="shared" si="3"/>
        <v>2106393</v>
      </c>
      <c r="AS8" s="49">
        <v>0</v>
      </c>
    </row>
    <row r="9" spans="1:45">
      <c r="A9" s="2" t="s">
        <v>47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>
        <v>32000</v>
      </c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>
        <v>155500</v>
      </c>
      <c r="AD9" s="169"/>
      <c r="AE9" s="169"/>
      <c r="AF9" s="169"/>
      <c r="AG9" s="169">
        <v>334400</v>
      </c>
      <c r="AH9" s="169"/>
      <c r="AI9" s="169"/>
      <c r="AJ9" s="169">
        <v>552500</v>
      </c>
      <c r="AK9" s="169">
        <v>400000</v>
      </c>
      <c r="AL9" s="169">
        <v>552500</v>
      </c>
      <c r="AM9" s="169">
        <v>921900</v>
      </c>
      <c r="AO9" s="289" t="str">
        <f t="shared" si="0"/>
        <v>Crépin</v>
      </c>
      <c r="AP9" s="49">
        <f t="shared" si="1"/>
        <v>552500</v>
      </c>
      <c r="AQ9" s="49">
        <f t="shared" si="2"/>
        <v>400000</v>
      </c>
      <c r="AR9" s="49">
        <f t="shared" si="3"/>
        <v>521900</v>
      </c>
      <c r="AS9" s="49">
        <v>0</v>
      </c>
    </row>
    <row r="10" spans="1:45">
      <c r="A10" s="2" t="s">
        <v>414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>
        <v>5000</v>
      </c>
      <c r="AD10" s="169"/>
      <c r="AE10" s="169"/>
      <c r="AF10" s="169"/>
      <c r="AG10" s="169">
        <v>2000</v>
      </c>
      <c r="AH10" s="169"/>
      <c r="AI10" s="169"/>
      <c r="AJ10" s="169">
        <v>20000</v>
      </c>
      <c r="AK10" s="169"/>
      <c r="AL10" s="169">
        <v>20000</v>
      </c>
      <c r="AM10" s="169">
        <v>7000</v>
      </c>
      <c r="AO10" s="289" t="str">
        <f t="shared" si="0"/>
        <v>Donald</v>
      </c>
      <c r="AP10" s="49">
        <f t="shared" si="1"/>
        <v>20000</v>
      </c>
      <c r="AQ10" s="49">
        <f t="shared" si="2"/>
        <v>0</v>
      </c>
      <c r="AR10" s="49">
        <f t="shared" si="3"/>
        <v>7000</v>
      </c>
      <c r="AS10" s="49">
        <v>0</v>
      </c>
    </row>
    <row r="11" spans="1:45">
      <c r="A11" s="2" t="s">
        <v>31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>
        <v>650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>
        <v>34000</v>
      </c>
      <c r="AD11" s="169"/>
      <c r="AE11" s="169"/>
      <c r="AF11" s="169"/>
      <c r="AG11" s="169"/>
      <c r="AH11" s="169"/>
      <c r="AI11" s="169"/>
      <c r="AJ11" s="169">
        <v>15000</v>
      </c>
      <c r="AK11" s="169">
        <v>45000</v>
      </c>
      <c r="AL11" s="169">
        <v>15000</v>
      </c>
      <c r="AM11" s="169">
        <v>79650</v>
      </c>
      <c r="AO11" s="289" t="str">
        <f t="shared" si="0"/>
        <v>Evariste</v>
      </c>
      <c r="AP11" s="49">
        <f t="shared" si="1"/>
        <v>15000</v>
      </c>
      <c r="AQ11" s="49">
        <f t="shared" si="2"/>
        <v>45000</v>
      </c>
      <c r="AR11" s="49">
        <f t="shared" si="3"/>
        <v>34650</v>
      </c>
      <c r="AS11" s="49">
        <v>0</v>
      </c>
    </row>
    <row r="12" spans="1:45">
      <c r="A12" s="2" t="s">
        <v>207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>
        <v>22000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>
        <v>86300</v>
      </c>
      <c r="AD12" s="169"/>
      <c r="AE12" s="169"/>
      <c r="AF12" s="169"/>
      <c r="AG12" s="169">
        <v>150000</v>
      </c>
      <c r="AH12" s="169"/>
      <c r="AI12" s="169"/>
      <c r="AJ12" s="169">
        <v>294000</v>
      </c>
      <c r="AK12" s="169">
        <v>30000</v>
      </c>
      <c r="AL12" s="169">
        <v>294000</v>
      </c>
      <c r="AM12" s="169">
        <v>288300</v>
      </c>
      <c r="AO12" s="289" t="str">
        <f t="shared" si="0"/>
        <v>Hurielle</v>
      </c>
      <c r="AP12" s="49">
        <f t="shared" si="1"/>
        <v>294000</v>
      </c>
      <c r="AQ12" s="49">
        <f t="shared" si="2"/>
        <v>30000</v>
      </c>
      <c r="AR12" s="49">
        <f t="shared" si="3"/>
        <v>258300</v>
      </c>
      <c r="AS12" s="49">
        <v>0</v>
      </c>
    </row>
    <row r="13" spans="1:45">
      <c r="A13" s="2" t="s">
        <v>93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>
        <v>24000</v>
      </c>
      <c r="AD13" s="169"/>
      <c r="AE13" s="169"/>
      <c r="AF13" s="169"/>
      <c r="AG13" s="169"/>
      <c r="AH13" s="169"/>
      <c r="AI13" s="169"/>
      <c r="AJ13" s="169"/>
      <c r="AK13" s="169">
        <v>60000</v>
      </c>
      <c r="AL13" s="169"/>
      <c r="AM13" s="169">
        <v>84000</v>
      </c>
      <c r="AO13" s="289" t="str">
        <f t="shared" si="0"/>
        <v>Merveille</v>
      </c>
      <c r="AP13" s="49">
        <f t="shared" si="1"/>
        <v>0</v>
      </c>
      <c r="AQ13" s="49">
        <f t="shared" si="2"/>
        <v>60000</v>
      </c>
      <c r="AR13" s="49">
        <f t="shared" si="3"/>
        <v>24000</v>
      </c>
      <c r="AS13" s="49">
        <v>0</v>
      </c>
    </row>
    <row r="14" spans="1:45">
      <c r="A14" s="2" t="s">
        <v>317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>
        <v>75000</v>
      </c>
      <c r="AD14" s="169"/>
      <c r="AE14" s="169"/>
      <c r="AF14" s="169"/>
      <c r="AG14" s="169">
        <v>21000</v>
      </c>
      <c r="AH14" s="169"/>
      <c r="AI14" s="169">
        <v>2000</v>
      </c>
      <c r="AJ14" s="169">
        <v>105000</v>
      </c>
      <c r="AK14" s="169">
        <v>10000</v>
      </c>
      <c r="AL14" s="169">
        <v>105000</v>
      </c>
      <c r="AM14" s="169">
        <v>108000</v>
      </c>
      <c r="AO14" s="289" t="str">
        <f t="shared" si="0"/>
        <v>P10</v>
      </c>
      <c r="AP14" s="49">
        <f t="shared" si="1"/>
        <v>105000</v>
      </c>
      <c r="AQ14" s="49">
        <f t="shared" si="2"/>
        <v>10000</v>
      </c>
      <c r="AR14" s="49">
        <f t="shared" si="3"/>
        <v>98000</v>
      </c>
      <c r="AS14" s="49">
        <v>0</v>
      </c>
    </row>
    <row r="15" spans="1:45">
      <c r="A15" s="2" t="s">
        <v>29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>
        <v>63000</v>
      </c>
      <c r="AD15" s="169"/>
      <c r="AE15" s="169"/>
      <c r="AF15" s="169"/>
      <c r="AG15" s="169">
        <v>170000</v>
      </c>
      <c r="AH15" s="169"/>
      <c r="AI15" s="169">
        <v>26000</v>
      </c>
      <c r="AJ15" s="169">
        <v>315000</v>
      </c>
      <c r="AK15" s="169">
        <v>60950</v>
      </c>
      <c r="AL15" s="169">
        <v>315000</v>
      </c>
      <c r="AM15" s="169">
        <v>319950</v>
      </c>
      <c r="AO15" s="289" t="str">
        <f t="shared" si="0"/>
        <v>P29</v>
      </c>
      <c r="AP15" s="49">
        <f t="shared" si="1"/>
        <v>315000</v>
      </c>
      <c r="AQ15" s="49">
        <f t="shared" si="2"/>
        <v>60950</v>
      </c>
      <c r="AR15" s="49">
        <f t="shared" si="3"/>
        <v>259000</v>
      </c>
      <c r="AS15" s="49">
        <v>0</v>
      </c>
    </row>
    <row r="16" spans="1:45">
      <c r="A16" s="2" t="s">
        <v>113</v>
      </c>
      <c r="B16" s="169"/>
      <c r="C16" s="169"/>
      <c r="D16" s="169"/>
      <c r="E16" s="169"/>
      <c r="F16" s="169"/>
      <c r="G16" s="169">
        <v>40000</v>
      </c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>
        <v>43000</v>
      </c>
      <c r="AD16" s="169"/>
      <c r="AE16" s="169"/>
      <c r="AF16" s="169"/>
      <c r="AG16" s="169">
        <v>75000</v>
      </c>
      <c r="AH16" s="169"/>
      <c r="AI16" s="169"/>
      <c r="AJ16" s="169">
        <v>150000</v>
      </c>
      <c r="AK16" s="169"/>
      <c r="AL16" s="169">
        <v>150000</v>
      </c>
      <c r="AM16" s="169">
        <v>158000</v>
      </c>
      <c r="AO16" s="289" t="str">
        <f t="shared" si="0"/>
        <v>Tiffany</v>
      </c>
      <c r="AP16" s="49">
        <f t="shared" si="1"/>
        <v>150000</v>
      </c>
      <c r="AQ16" s="49">
        <f t="shared" si="2"/>
        <v>0</v>
      </c>
      <c r="AR16" s="49">
        <f t="shared" si="3"/>
        <v>158000</v>
      </c>
      <c r="AS16" s="49">
        <v>0</v>
      </c>
    </row>
    <row r="17" spans="1:45">
      <c r="A17" s="2" t="s">
        <v>223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>
        <v>2500</v>
      </c>
      <c r="AD17" s="169"/>
      <c r="AE17" s="169">
        <v>20000</v>
      </c>
      <c r="AF17" s="169"/>
      <c r="AG17" s="169"/>
      <c r="AH17" s="169"/>
      <c r="AI17" s="169"/>
      <c r="AJ17" s="169">
        <v>24200</v>
      </c>
      <c r="AK17" s="169"/>
      <c r="AL17" s="169">
        <v>24200</v>
      </c>
      <c r="AM17" s="169">
        <v>22500</v>
      </c>
      <c r="AO17" s="289" t="str">
        <f t="shared" si="0"/>
        <v>Yan</v>
      </c>
      <c r="AP17" s="49">
        <f t="shared" si="1"/>
        <v>24200</v>
      </c>
      <c r="AQ17" s="49">
        <f t="shared" si="2"/>
        <v>0</v>
      </c>
      <c r="AR17" s="49">
        <f t="shared" si="3"/>
        <v>22500</v>
      </c>
      <c r="AS17" s="49">
        <v>0</v>
      </c>
    </row>
    <row r="18" spans="1:45">
      <c r="A18" s="2" t="s">
        <v>129</v>
      </c>
      <c r="B18" s="169"/>
      <c r="C18" s="169">
        <v>38449</v>
      </c>
      <c r="D18" s="169"/>
      <c r="E18" s="169">
        <v>990000</v>
      </c>
      <c r="F18" s="169"/>
      <c r="G18" s="169">
        <v>40000</v>
      </c>
      <c r="H18" s="169">
        <v>5426732</v>
      </c>
      <c r="I18" s="169"/>
      <c r="J18" s="169"/>
      <c r="K18" s="169">
        <v>45050</v>
      </c>
      <c r="L18" s="169"/>
      <c r="M18" s="169">
        <v>54000</v>
      </c>
      <c r="N18" s="169"/>
      <c r="O18" s="169">
        <v>1147000</v>
      </c>
      <c r="P18" s="169"/>
      <c r="Q18" s="169">
        <v>8650</v>
      </c>
      <c r="R18" s="169"/>
      <c r="S18" s="169">
        <v>3614141</v>
      </c>
      <c r="T18" s="169"/>
      <c r="U18" s="169">
        <v>1005000</v>
      </c>
      <c r="V18" s="169"/>
      <c r="W18" s="169">
        <v>355625</v>
      </c>
      <c r="X18" s="169"/>
      <c r="Y18" s="169">
        <v>259000</v>
      </c>
      <c r="Z18" s="169"/>
      <c r="AA18" s="169">
        <v>9720</v>
      </c>
      <c r="AB18" s="169"/>
      <c r="AC18" s="169">
        <v>488300</v>
      </c>
      <c r="AD18" s="169"/>
      <c r="AE18" s="169">
        <v>20000</v>
      </c>
      <c r="AF18" s="169"/>
      <c r="AG18" s="169">
        <v>752400</v>
      </c>
      <c r="AH18" s="169"/>
      <c r="AI18" s="169">
        <v>28000</v>
      </c>
      <c r="AJ18" s="169">
        <v>6071650</v>
      </c>
      <c r="AK18" s="169">
        <v>6071650</v>
      </c>
      <c r="AL18" s="169">
        <v>11498382</v>
      </c>
      <c r="AM18" s="169">
        <v>14926985</v>
      </c>
      <c r="AP18" s="49">
        <f>+SUM(AP6:AP17)</f>
        <v>6071650</v>
      </c>
      <c r="AQ18" s="49">
        <f>+SUM(AQ6:AQ17)</f>
        <v>6071650</v>
      </c>
      <c r="AR18" s="49">
        <f>+SUM(AR6:AR17)</f>
        <v>8855335</v>
      </c>
      <c r="AS18" s="49">
        <f>+SUM(AS6:AS15)</f>
        <v>5426732</v>
      </c>
    </row>
    <row r="20" spans="1:45">
      <c r="AP20" s="187">
        <f>+AQ18-AP18</f>
        <v>0</v>
      </c>
      <c r="AQ20" s="377" t="b">
        <f>+AR18=GETPIVOTDATA("Spent",Donateurs!$A$3)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7"/>
  <sheetViews>
    <sheetView tabSelected="1" zoomScale="78" zoomScaleNormal="78" workbookViewId="0">
      <pane ySplit="12" topLeftCell="A13" activePane="bottomLeft" state="frozen"/>
      <selection pane="bottomLeft" activeCell="N22" sqref="N22"/>
    </sheetView>
  </sheetViews>
  <sheetFormatPr baseColWidth="10" defaultRowHeight="15"/>
  <cols>
    <col min="2" max="2" width="105.85546875" customWidth="1"/>
    <col min="3" max="3" width="21" customWidth="1"/>
    <col min="4" max="4" width="13.85546875" customWidth="1"/>
    <col min="5" max="5" width="13.28515625" customWidth="1"/>
    <col min="6" max="6" width="13.5703125" customWidth="1"/>
    <col min="7" max="7" width="18.28515625" customWidth="1"/>
    <col min="8" max="8" width="18.140625" customWidth="1"/>
    <col min="13" max="13" width="15.28515625" customWidth="1"/>
  </cols>
  <sheetData>
    <row r="1" spans="1:18" s="185" customFormat="1" ht="26.25" customHeight="1">
      <c r="A1" s="413" t="s">
        <v>298</v>
      </c>
      <c r="B1" s="413"/>
      <c r="C1" s="413"/>
      <c r="D1" s="413"/>
      <c r="E1" s="414"/>
      <c r="F1" s="415"/>
      <c r="G1" s="413"/>
      <c r="H1" s="413"/>
      <c r="I1" s="416"/>
      <c r="J1" s="413"/>
      <c r="K1" s="413"/>
      <c r="L1" s="413"/>
      <c r="M1" s="413"/>
      <c r="N1" s="413"/>
      <c r="O1" s="417"/>
    </row>
    <row r="2" spans="1:18" s="182" customFormat="1" ht="16.5">
      <c r="A2" s="312"/>
      <c r="B2" s="362" t="s">
        <v>299</v>
      </c>
      <c r="C2" s="363">
        <v>25430796</v>
      </c>
      <c r="D2" s="348"/>
      <c r="E2" s="353"/>
      <c r="F2" s="364"/>
      <c r="G2" s="365"/>
      <c r="I2" s="342"/>
      <c r="J2" s="342"/>
      <c r="N2" s="348"/>
      <c r="O2" s="366"/>
    </row>
    <row r="3" spans="1:18" s="182" customFormat="1" ht="16.5">
      <c r="A3" s="312"/>
      <c r="C3" s="348"/>
      <c r="D3" s="348"/>
      <c r="E3" s="353"/>
      <c r="F3" s="364"/>
      <c r="G3" s="365"/>
      <c r="I3" s="342"/>
      <c r="J3" s="342"/>
      <c r="N3" s="348"/>
      <c r="O3" s="366"/>
    </row>
    <row r="4" spans="1:18" s="182" customFormat="1" ht="16.5">
      <c r="A4" s="312"/>
      <c r="B4" s="367" t="s">
        <v>6</v>
      </c>
      <c r="C4" s="368" t="s">
        <v>7</v>
      </c>
      <c r="D4" s="348"/>
      <c r="E4" s="353"/>
      <c r="F4" s="364"/>
      <c r="G4" s="365"/>
      <c r="I4" s="342"/>
      <c r="J4" s="342"/>
      <c r="N4" s="348"/>
      <c r="O4" s="366"/>
    </row>
    <row r="5" spans="1:18" s="182" customFormat="1" ht="16.5">
      <c r="A5" s="312"/>
      <c r="B5" s="182" t="s">
        <v>8</v>
      </c>
      <c r="C5" s="369">
        <f>SUM(E13:E1081)</f>
        <v>11498382</v>
      </c>
      <c r="D5" s="348"/>
      <c r="E5" s="370" t="s">
        <v>100</v>
      </c>
      <c r="F5" s="364"/>
      <c r="G5" s="365"/>
      <c r="H5" s="355"/>
      <c r="I5" s="342"/>
      <c r="J5" s="342"/>
      <c r="N5" s="348"/>
      <c r="O5" s="366"/>
    </row>
    <row r="6" spans="1:18" s="182" customFormat="1" ht="16.5">
      <c r="A6" s="312"/>
      <c r="B6" s="182" t="s">
        <v>9</v>
      </c>
      <c r="C6" s="369">
        <f>SUM(F13:F1082)</f>
        <v>14926985</v>
      </c>
      <c r="D6" s="348"/>
      <c r="E6" s="371">
        <f>+C7-Récapitulatif!I18</f>
        <v>0</v>
      </c>
      <c r="F6" s="364"/>
      <c r="G6" s="365"/>
      <c r="I6" s="342"/>
      <c r="J6" s="372"/>
      <c r="K6" s="359"/>
      <c r="N6" s="348"/>
      <c r="O6" s="366"/>
    </row>
    <row r="7" spans="1:18" s="182" customFormat="1" ht="16.5">
      <c r="A7" s="312"/>
      <c r="B7" s="373" t="s">
        <v>10</v>
      </c>
      <c r="C7" s="374">
        <f>C2+C5-C6</f>
        <v>22002193</v>
      </c>
      <c r="D7" s="375">
        <f>C7-Récapitulatif!I18</f>
        <v>0</v>
      </c>
      <c r="E7" s="353"/>
      <c r="F7" s="364"/>
      <c r="G7" s="365"/>
      <c r="I7" s="342"/>
      <c r="J7" s="342"/>
      <c r="K7" s="359"/>
      <c r="N7" s="348"/>
      <c r="O7" s="366"/>
    </row>
    <row r="8" spans="1:18" s="182" customFormat="1" ht="16.5">
      <c r="A8" s="312"/>
      <c r="C8" s="348"/>
      <c r="D8" s="348"/>
      <c r="E8" s="353"/>
      <c r="F8" s="364"/>
      <c r="G8" s="365"/>
      <c r="I8" s="342"/>
      <c r="J8" s="342"/>
      <c r="N8" s="348"/>
      <c r="O8" s="366"/>
    </row>
    <row r="9" spans="1:18" s="341" customFormat="1" ht="16.5"/>
    <row r="10" spans="1:18" s="289" customFormat="1"/>
    <row r="11" spans="1:18" s="289" customFormat="1"/>
    <row r="12" spans="1:18" ht="16.5">
      <c r="A12" s="333" t="s">
        <v>0</v>
      </c>
      <c r="B12" s="334" t="s">
        <v>11</v>
      </c>
      <c r="C12" s="335" t="s">
        <v>12</v>
      </c>
      <c r="D12" s="335" t="s">
        <v>13</v>
      </c>
      <c r="E12" s="336" t="s">
        <v>14</v>
      </c>
      <c r="F12" s="337" t="s">
        <v>15</v>
      </c>
      <c r="G12" s="338" t="s">
        <v>16</v>
      </c>
      <c r="H12" s="334" t="s">
        <v>17</v>
      </c>
      <c r="I12" s="339" t="s">
        <v>18</v>
      </c>
      <c r="J12" s="339" t="s">
        <v>19</v>
      </c>
      <c r="K12" s="334" t="s">
        <v>20</v>
      </c>
      <c r="L12" s="334" t="s">
        <v>21</v>
      </c>
      <c r="M12" s="334" t="s">
        <v>81</v>
      </c>
      <c r="N12" s="335" t="s">
        <v>23</v>
      </c>
      <c r="O12" s="334" t="s">
        <v>22</v>
      </c>
      <c r="P12" s="340"/>
      <c r="Q12" s="340"/>
      <c r="R12" s="340"/>
    </row>
    <row r="13" spans="1:18" s="343" customFormat="1" ht="16.5">
      <c r="A13" s="313">
        <v>44835</v>
      </c>
      <c r="B13" s="342" t="s">
        <v>299</v>
      </c>
      <c r="C13" s="342"/>
      <c r="D13" s="342"/>
      <c r="E13" s="418"/>
      <c r="F13" s="419"/>
      <c r="G13" s="420">
        <f>+C2</f>
        <v>25430796</v>
      </c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</row>
    <row r="14" spans="1:18" s="343" customFormat="1" ht="16.5">
      <c r="A14" s="313">
        <v>44837</v>
      </c>
      <c r="B14" s="343" t="s">
        <v>280</v>
      </c>
      <c r="C14" s="343" t="s">
        <v>243</v>
      </c>
      <c r="D14" s="343" t="s">
        <v>164</v>
      </c>
      <c r="E14" s="344"/>
      <c r="F14" s="344">
        <v>5000</v>
      </c>
      <c r="G14" s="344">
        <f>+G13+E14-F14</f>
        <v>25425796</v>
      </c>
      <c r="H14" s="343" t="s">
        <v>25</v>
      </c>
      <c r="I14" s="343" t="s">
        <v>300</v>
      </c>
      <c r="J14" s="343" t="s">
        <v>165</v>
      </c>
      <c r="K14" s="343" t="s">
        <v>208</v>
      </c>
      <c r="L14" s="343" t="s">
        <v>260</v>
      </c>
      <c r="Q14" s="345"/>
      <c r="R14" s="345"/>
    </row>
    <row r="15" spans="1:18" s="343" customFormat="1" ht="16.5">
      <c r="A15" s="313">
        <v>44837</v>
      </c>
      <c r="B15" s="343" t="s">
        <v>301</v>
      </c>
      <c r="C15" s="343" t="s">
        <v>243</v>
      </c>
      <c r="D15" s="343" t="s">
        <v>164</v>
      </c>
      <c r="E15" s="344"/>
      <c r="F15" s="344">
        <v>45000</v>
      </c>
      <c r="G15" s="344">
        <f t="shared" ref="G15:G66" si="0">+G14+E15-F15</f>
        <v>25380796</v>
      </c>
      <c r="H15" s="343" t="s">
        <v>25</v>
      </c>
      <c r="I15" s="343" t="s">
        <v>300</v>
      </c>
      <c r="J15" s="343" t="s">
        <v>165</v>
      </c>
      <c r="K15" s="343" t="s">
        <v>208</v>
      </c>
      <c r="L15" s="343" t="s">
        <v>260</v>
      </c>
      <c r="Q15" s="344"/>
      <c r="R15" s="345"/>
    </row>
    <row r="16" spans="1:18" s="343" customFormat="1" ht="16.5">
      <c r="A16" s="313">
        <v>44837</v>
      </c>
      <c r="B16" s="343" t="s">
        <v>302</v>
      </c>
      <c r="C16" s="343" t="s">
        <v>75</v>
      </c>
      <c r="E16" s="344">
        <v>40000</v>
      </c>
      <c r="F16" s="344"/>
      <c r="G16" s="344">
        <f t="shared" si="0"/>
        <v>25420796</v>
      </c>
      <c r="H16" s="343" t="s">
        <v>25</v>
      </c>
      <c r="Q16" s="344"/>
      <c r="R16" s="345"/>
    </row>
    <row r="17" spans="1:18" s="343" customFormat="1" ht="16.5">
      <c r="A17" s="313">
        <v>44837</v>
      </c>
      <c r="B17" s="343" t="s">
        <v>303</v>
      </c>
      <c r="C17" s="343" t="s">
        <v>75</v>
      </c>
      <c r="E17" s="344">
        <v>400000</v>
      </c>
      <c r="F17" s="344"/>
      <c r="G17" s="344">
        <f t="shared" si="0"/>
        <v>25820796</v>
      </c>
      <c r="H17" s="343" t="s">
        <v>25</v>
      </c>
      <c r="Q17" s="344"/>
      <c r="R17" s="345"/>
    </row>
    <row r="18" spans="1:18" s="343" customFormat="1" ht="16.5">
      <c r="A18" s="313">
        <v>44837</v>
      </c>
      <c r="B18" s="343" t="s">
        <v>304</v>
      </c>
      <c r="C18" s="343" t="s">
        <v>75</v>
      </c>
      <c r="E18" s="344">
        <v>45000</v>
      </c>
      <c r="F18" s="344"/>
      <c r="G18" s="344">
        <f t="shared" si="0"/>
        <v>25865796</v>
      </c>
      <c r="H18" s="343" t="s">
        <v>25</v>
      </c>
      <c r="Q18" s="344"/>
      <c r="R18" s="345"/>
    </row>
    <row r="19" spans="1:18" s="343" customFormat="1" ht="16.5">
      <c r="A19" s="313">
        <v>44837</v>
      </c>
      <c r="B19" s="343" t="s">
        <v>305</v>
      </c>
      <c r="C19" s="343" t="s">
        <v>75</v>
      </c>
      <c r="E19" s="344">
        <v>20000</v>
      </c>
      <c r="F19" s="344"/>
      <c r="G19" s="344">
        <f t="shared" si="0"/>
        <v>25885796</v>
      </c>
      <c r="H19" s="343" t="s">
        <v>25</v>
      </c>
      <c r="M19" s="346"/>
      <c r="Q19" s="344"/>
      <c r="R19" s="345"/>
    </row>
    <row r="20" spans="1:18" s="343" customFormat="1" ht="16.5">
      <c r="A20" s="313">
        <v>44837</v>
      </c>
      <c r="B20" s="343" t="s">
        <v>306</v>
      </c>
      <c r="C20" s="343" t="s">
        <v>75</v>
      </c>
      <c r="E20" s="344">
        <v>60950</v>
      </c>
      <c r="F20" s="344"/>
      <c r="G20" s="344">
        <f t="shared" si="0"/>
        <v>25946746</v>
      </c>
      <c r="H20" s="343" t="s">
        <v>25</v>
      </c>
      <c r="M20" s="346"/>
      <c r="Q20" s="344"/>
      <c r="R20" s="345"/>
    </row>
    <row r="21" spans="1:18" s="343" customFormat="1" ht="16.5">
      <c r="A21" s="313">
        <v>44837</v>
      </c>
      <c r="B21" s="343" t="s">
        <v>279</v>
      </c>
      <c r="C21" s="343" t="s">
        <v>75</v>
      </c>
      <c r="E21" s="344">
        <v>30000</v>
      </c>
      <c r="F21" s="344"/>
      <c r="G21" s="344">
        <f t="shared" si="0"/>
        <v>25976746</v>
      </c>
      <c r="H21" s="343" t="s">
        <v>25</v>
      </c>
      <c r="M21" s="346"/>
      <c r="Q21" s="344"/>
      <c r="R21" s="345"/>
    </row>
    <row r="22" spans="1:18" s="343" customFormat="1" ht="16.5">
      <c r="A22" s="313">
        <v>44837</v>
      </c>
      <c r="B22" s="343" t="s">
        <v>307</v>
      </c>
      <c r="C22" s="343" t="s">
        <v>243</v>
      </c>
      <c r="D22" s="343" t="s">
        <v>163</v>
      </c>
      <c r="E22" s="344"/>
      <c r="F22" s="344">
        <v>50000</v>
      </c>
      <c r="G22" s="344">
        <f t="shared" si="0"/>
        <v>25926746</v>
      </c>
      <c r="H22" s="343" t="s">
        <v>25</v>
      </c>
      <c r="I22" s="343" t="s">
        <v>300</v>
      </c>
      <c r="J22" s="343" t="s">
        <v>165</v>
      </c>
      <c r="K22" s="343" t="s">
        <v>208</v>
      </c>
      <c r="L22" s="343" t="s">
        <v>260</v>
      </c>
      <c r="M22" s="346"/>
      <c r="Q22" s="344"/>
      <c r="R22" s="345"/>
    </row>
    <row r="23" spans="1:18" s="343" customFormat="1" ht="16.5">
      <c r="A23" s="313">
        <v>44837</v>
      </c>
      <c r="B23" s="343" t="s">
        <v>308</v>
      </c>
      <c r="C23" s="343" t="s">
        <v>243</v>
      </c>
      <c r="D23" s="343" t="s">
        <v>163</v>
      </c>
      <c r="E23" s="344"/>
      <c r="F23" s="344">
        <v>20000</v>
      </c>
      <c r="G23" s="344">
        <f t="shared" si="0"/>
        <v>25906746</v>
      </c>
      <c r="H23" s="343" t="s">
        <v>25</v>
      </c>
      <c r="I23" s="343" t="s">
        <v>300</v>
      </c>
      <c r="J23" s="343" t="s">
        <v>165</v>
      </c>
      <c r="K23" s="343" t="s">
        <v>208</v>
      </c>
      <c r="L23" s="343" t="s">
        <v>260</v>
      </c>
      <c r="Q23" s="344"/>
      <c r="R23" s="345"/>
    </row>
    <row r="24" spans="1:18" s="343" customFormat="1" ht="16.5">
      <c r="A24" s="313">
        <v>44837</v>
      </c>
      <c r="B24" s="343" t="s">
        <v>309</v>
      </c>
      <c r="C24" s="343" t="s">
        <v>243</v>
      </c>
      <c r="D24" s="343" t="s">
        <v>163</v>
      </c>
      <c r="E24" s="344"/>
      <c r="F24" s="344">
        <v>15000</v>
      </c>
      <c r="G24" s="344">
        <f t="shared" si="0"/>
        <v>25891746</v>
      </c>
      <c r="H24" s="343" t="s">
        <v>25</v>
      </c>
      <c r="I24" s="343" t="s">
        <v>300</v>
      </c>
      <c r="J24" s="343" t="s">
        <v>165</v>
      </c>
      <c r="K24" s="343" t="s">
        <v>208</v>
      </c>
      <c r="L24" s="343" t="s">
        <v>260</v>
      </c>
      <c r="N24" s="344"/>
      <c r="O24" s="344"/>
      <c r="Q24" s="344"/>
      <c r="R24" s="345"/>
    </row>
    <row r="25" spans="1:18" s="343" customFormat="1" ht="16.5">
      <c r="A25" s="313">
        <v>44837</v>
      </c>
      <c r="B25" s="343" t="s">
        <v>310</v>
      </c>
      <c r="C25" s="343" t="s">
        <v>243</v>
      </c>
      <c r="D25" s="343" t="s">
        <v>164</v>
      </c>
      <c r="E25" s="344"/>
      <c r="F25" s="344">
        <v>20000</v>
      </c>
      <c r="G25" s="344">
        <f t="shared" si="0"/>
        <v>25871746</v>
      </c>
      <c r="H25" s="343" t="s">
        <v>25</v>
      </c>
      <c r="I25" s="343" t="s">
        <v>300</v>
      </c>
      <c r="J25" s="343" t="s">
        <v>165</v>
      </c>
      <c r="K25" s="343" t="s">
        <v>208</v>
      </c>
      <c r="L25" s="343" t="s">
        <v>260</v>
      </c>
      <c r="N25" s="344"/>
      <c r="O25" s="344"/>
      <c r="Q25" s="344"/>
      <c r="R25" s="345"/>
    </row>
    <row r="26" spans="1:18" s="343" customFormat="1" ht="16.5">
      <c r="A26" s="314">
        <v>44837</v>
      </c>
      <c r="B26" s="347" t="s">
        <v>311</v>
      </c>
      <c r="C26" s="343" t="s">
        <v>243</v>
      </c>
      <c r="D26" s="343" t="s">
        <v>163</v>
      </c>
      <c r="F26" s="344">
        <v>50000</v>
      </c>
      <c r="G26" s="344">
        <f t="shared" si="0"/>
        <v>25821746</v>
      </c>
      <c r="H26" s="343" t="s">
        <v>25</v>
      </c>
      <c r="I26" s="343" t="s">
        <v>300</v>
      </c>
      <c r="J26" s="343" t="s">
        <v>165</v>
      </c>
      <c r="K26" s="343" t="s">
        <v>208</v>
      </c>
      <c r="L26" s="343" t="s">
        <v>260</v>
      </c>
      <c r="M26" s="346"/>
      <c r="Q26" s="344"/>
      <c r="R26" s="345"/>
    </row>
    <row r="27" spans="1:18" s="343" customFormat="1" ht="16.5">
      <c r="A27" s="314">
        <v>44837</v>
      </c>
      <c r="B27" s="347" t="s">
        <v>312</v>
      </c>
      <c r="C27" s="343" t="s">
        <v>243</v>
      </c>
      <c r="D27" s="343" t="s">
        <v>257</v>
      </c>
      <c r="F27" s="344">
        <v>60000</v>
      </c>
      <c r="G27" s="344">
        <f t="shared" si="0"/>
        <v>25761746</v>
      </c>
      <c r="H27" s="343" t="s">
        <v>25</v>
      </c>
      <c r="I27" s="343" t="s">
        <v>300</v>
      </c>
      <c r="J27" s="343" t="s">
        <v>165</v>
      </c>
      <c r="K27" s="343" t="s">
        <v>208</v>
      </c>
      <c r="L27" s="343" t="s">
        <v>260</v>
      </c>
      <c r="M27" s="346"/>
      <c r="Q27" s="344"/>
      <c r="R27" s="345"/>
    </row>
    <row r="28" spans="1:18" s="343" customFormat="1" ht="16.5">
      <c r="A28" s="314">
        <v>44837</v>
      </c>
      <c r="B28" s="347" t="s">
        <v>313</v>
      </c>
      <c r="C28" s="343" t="s">
        <v>243</v>
      </c>
      <c r="D28" s="349" t="s">
        <v>257</v>
      </c>
      <c r="F28" s="344">
        <v>60000</v>
      </c>
      <c r="G28" s="344">
        <f t="shared" si="0"/>
        <v>25701746</v>
      </c>
      <c r="H28" s="343" t="s">
        <v>25</v>
      </c>
      <c r="I28" s="343" t="s">
        <v>300</v>
      </c>
      <c r="J28" s="343" t="s">
        <v>165</v>
      </c>
      <c r="K28" s="343" t="s">
        <v>208</v>
      </c>
      <c r="L28" s="343" t="s">
        <v>260</v>
      </c>
      <c r="M28" s="346"/>
      <c r="Q28" s="344"/>
      <c r="R28" s="345"/>
    </row>
    <row r="29" spans="1:18" s="343" customFormat="1" ht="16.5">
      <c r="A29" s="314">
        <v>44837</v>
      </c>
      <c r="B29" s="347" t="s">
        <v>314</v>
      </c>
      <c r="C29" s="343" t="s">
        <v>243</v>
      </c>
      <c r="D29" s="349" t="s">
        <v>257</v>
      </c>
      <c r="F29" s="344">
        <v>80000</v>
      </c>
      <c r="G29" s="344">
        <f t="shared" si="0"/>
        <v>25621746</v>
      </c>
      <c r="H29" s="343" t="s">
        <v>25</v>
      </c>
      <c r="I29" s="343" t="s">
        <v>300</v>
      </c>
      <c r="J29" s="343" t="s">
        <v>165</v>
      </c>
      <c r="K29" s="343" t="s">
        <v>208</v>
      </c>
      <c r="L29" s="343" t="s">
        <v>260</v>
      </c>
      <c r="M29" s="346"/>
      <c r="Q29" s="344"/>
      <c r="R29" s="345"/>
    </row>
    <row r="30" spans="1:18" s="343" customFormat="1" ht="16.5">
      <c r="A30" s="314">
        <v>44837</v>
      </c>
      <c r="B30" s="347" t="s">
        <v>315</v>
      </c>
      <c r="C30" s="349" t="s">
        <v>243</v>
      </c>
      <c r="D30" s="349" t="s">
        <v>257</v>
      </c>
      <c r="F30" s="344">
        <v>20000</v>
      </c>
      <c r="G30" s="344">
        <f t="shared" si="0"/>
        <v>25601746</v>
      </c>
      <c r="H30" s="343" t="s">
        <v>25</v>
      </c>
      <c r="I30" s="343" t="s">
        <v>300</v>
      </c>
      <c r="J30" s="343" t="s">
        <v>165</v>
      </c>
      <c r="K30" s="343" t="s">
        <v>208</v>
      </c>
      <c r="L30" s="343" t="s">
        <v>260</v>
      </c>
      <c r="M30" s="346"/>
      <c r="Q30" s="344"/>
      <c r="R30" s="345"/>
    </row>
    <row r="31" spans="1:18" s="343" customFormat="1" ht="16.5">
      <c r="A31" s="315">
        <v>44837</v>
      </c>
      <c r="B31" s="351" t="s">
        <v>316</v>
      </c>
      <c r="C31" s="351" t="s">
        <v>243</v>
      </c>
      <c r="D31" s="351" t="s">
        <v>257</v>
      </c>
      <c r="E31" s="351"/>
      <c r="F31" s="351">
        <v>20000</v>
      </c>
      <c r="G31" s="344">
        <f t="shared" si="0"/>
        <v>25581746</v>
      </c>
      <c r="H31" s="352" t="s">
        <v>25</v>
      </c>
      <c r="I31" s="343" t="s">
        <v>300</v>
      </c>
      <c r="J31" s="343" t="s">
        <v>165</v>
      </c>
      <c r="K31" s="343" t="s">
        <v>208</v>
      </c>
      <c r="L31" s="343" t="s">
        <v>260</v>
      </c>
      <c r="M31" s="351"/>
      <c r="N31" s="351"/>
      <c r="O31" s="351"/>
      <c r="Q31" s="344"/>
      <c r="R31" s="345"/>
    </row>
    <row r="32" spans="1:18" s="343" customFormat="1" ht="16.5">
      <c r="A32" s="313">
        <v>44837</v>
      </c>
      <c r="B32" s="343" t="s">
        <v>317</v>
      </c>
      <c r="C32" s="343" t="s">
        <v>75</v>
      </c>
      <c r="E32" s="344"/>
      <c r="F32" s="344">
        <v>15000</v>
      </c>
      <c r="G32" s="344">
        <f t="shared" si="0"/>
        <v>25566746</v>
      </c>
      <c r="H32" s="343" t="s">
        <v>25</v>
      </c>
      <c r="Q32" s="344"/>
      <c r="R32" s="345"/>
    </row>
    <row r="33" spans="1:18" s="343" customFormat="1" ht="16.5">
      <c r="A33" s="317">
        <v>44837</v>
      </c>
      <c r="B33" s="182" t="s">
        <v>318</v>
      </c>
      <c r="C33" s="182" t="s">
        <v>243</v>
      </c>
      <c r="D33" s="351" t="s">
        <v>257</v>
      </c>
      <c r="E33" s="182"/>
      <c r="F33" s="182">
        <v>30000</v>
      </c>
      <c r="G33" s="344">
        <f t="shared" si="0"/>
        <v>25536746</v>
      </c>
      <c r="H33" s="182" t="s">
        <v>25</v>
      </c>
      <c r="I33" s="343" t="s">
        <v>300</v>
      </c>
      <c r="J33" s="343" t="s">
        <v>165</v>
      </c>
      <c r="K33" s="343" t="s">
        <v>208</v>
      </c>
      <c r="L33" s="343" t="s">
        <v>260</v>
      </c>
      <c r="M33" s="182"/>
      <c r="N33" s="182"/>
      <c r="O33" s="182"/>
      <c r="Q33" s="344"/>
      <c r="R33" s="345"/>
    </row>
    <row r="34" spans="1:18" s="343" customFormat="1" ht="16.5">
      <c r="A34" s="317">
        <v>44837</v>
      </c>
      <c r="B34" s="343" t="s">
        <v>445</v>
      </c>
      <c r="C34" s="343" t="s">
        <v>256</v>
      </c>
      <c r="D34" s="343" t="s">
        <v>252</v>
      </c>
      <c r="E34" s="182"/>
      <c r="F34" s="343">
        <v>14701</v>
      </c>
      <c r="G34" s="344">
        <f t="shared" si="0"/>
        <v>25522045</v>
      </c>
      <c r="H34" s="343" t="s">
        <v>157</v>
      </c>
      <c r="I34" s="347" t="s">
        <v>255</v>
      </c>
      <c r="J34" s="343" t="s">
        <v>165</v>
      </c>
      <c r="K34" s="343" t="s">
        <v>209</v>
      </c>
      <c r="L34" s="343" t="s">
        <v>260</v>
      </c>
      <c r="M34" s="378" t="s">
        <v>465</v>
      </c>
      <c r="N34" s="343" t="s">
        <v>261</v>
      </c>
      <c r="Q34" s="345"/>
      <c r="R34" s="345"/>
    </row>
    <row r="35" spans="1:18" s="343" customFormat="1" ht="16.5">
      <c r="A35" s="313">
        <v>44837</v>
      </c>
      <c r="B35" s="343" t="s">
        <v>286</v>
      </c>
      <c r="C35" s="343" t="s">
        <v>75</v>
      </c>
      <c r="E35" s="344"/>
      <c r="F35" s="344">
        <v>40000</v>
      </c>
      <c r="G35" s="344">
        <f t="shared" si="0"/>
        <v>25482045</v>
      </c>
      <c r="H35" s="343" t="s">
        <v>93</v>
      </c>
      <c r="Q35" s="345"/>
      <c r="R35" s="345"/>
    </row>
    <row r="36" spans="1:18" s="343" customFormat="1" ht="16.5">
      <c r="A36" s="313">
        <v>44837</v>
      </c>
      <c r="B36" s="343" t="s">
        <v>286</v>
      </c>
      <c r="C36" s="343" t="s">
        <v>75</v>
      </c>
      <c r="E36" s="344"/>
      <c r="F36" s="344">
        <v>20000</v>
      </c>
      <c r="G36" s="344">
        <f t="shared" si="0"/>
        <v>25462045</v>
      </c>
      <c r="H36" s="343" t="s">
        <v>93</v>
      </c>
      <c r="Q36" s="345"/>
      <c r="R36" s="345"/>
    </row>
    <row r="37" spans="1:18" s="343" customFormat="1" ht="16.5">
      <c r="A37" s="313">
        <v>44837</v>
      </c>
      <c r="B37" s="347" t="s">
        <v>388</v>
      </c>
      <c r="C37" s="343" t="s">
        <v>34</v>
      </c>
      <c r="D37" s="343" t="s">
        <v>163</v>
      </c>
      <c r="E37" s="353"/>
      <c r="F37" s="344">
        <v>2500</v>
      </c>
      <c r="G37" s="344">
        <f t="shared" si="0"/>
        <v>25459545</v>
      </c>
      <c r="H37" s="344" t="s">
        <v>223</v>
      </c>
      <c r="I37" s="343" t="s">
        <v>300</v>
      </c>
      <c r="J37" s="342" t="s">
        <v>165</v>
      </c>
      <c r="K37" s="345" t="s">
        <v>209</v>
      </c>
      <c r="L37" s="343" t="s">
        <v>260</v>
      </c>
      <c r="M37" s="378" t="s">
        <v>466</v>
      </c>
      <c r="N37" s="343" t="s">
        <v>268</v>
      </c>
      <c r="Q37" s="345"/>
      <c r="R37" s="345"/>
    </row>
    <row r="38" spans="1:18" s="343" customFormat="1" ht="16.5">
      <c r="A38" s="317">
        <v>44837</v>
      </c>
      <c r="B38" s="343" t="s">
        <v>409</v>
      </c>
      <c r="C38" s="343" t="s">
        <v>75</v>
      </c>
      <c r="E38" s="344"/>
      <c r="F38" s="344">
        <v>45000</v>
      </c>
      <c r="G38" s="344">
        <f t="shared" si="0"/>
        <v>25414545</v>
      </c>
      <c r="H38" s="343" t="s">
        <v>31</v>
      </c>
      <c r="M38" s="346"/>
      <c r="Q38" s="345"/>
      <c r="R38" s="345"/>
    </row>
    <row r="39" spans="1:18" s="343" customFormat="1" ht="16.5">
      <c r="A39" s="313">
        <v>44837</v>
      </c>
      <c r="B39" s="343" t="s">
        <v>259</v>
      </c>
      <c r="C39" s="343" t="s">
        <v>278</v>
      </c>
      <c r="E39" s="344"/>
      <c r="F39" s="344">
        <v>30000</v>
      </c>
      <c r="G39" s="344">
        <f t="shared" si="0"/>
        <v>25384545</v>
      </c>
      <c r="H39" s="343" t="s">
        <v>207</v>
      </c>
      <c r="Q39" s="345"/>
      <c r="R39" s="345"/>
    </row>
    <row r="40" spans="1:18" s="343" customFormat="1" ht="16.5">
      <c r="A40" s="316">
        <v>44837</v>
      </c>
      <c r="B40" s="352" t="s">
        <v>425</v>
      </c>
      <c r="C40" s="352" t="s">
        <v>75</v>
      </c>
      <c r="D40" s="352"/>
      <c r="E40" s="356">
        <v>15000</v>
      </c>
      <c r="F40" s="356"/>
      <c r="G40" s="344">
        <f t="shared" si="0"/>
        <v>25399545</v>
      </c>
      <c r="H40" s="357" t="s">
        <v>317</v>
      </c>
      <c r="I40" s="352"/>
      <c r="Q40" s="345"/>
      <c r="R40" s="345"/>
    </row>
    <row r="41" spans="1:18" s="343" customFormat="1" ht="16.5">
      <c r="A41" s="317">
        <v>44837</v>
      </c>
      <c r="B41" s="182" t="s">
        <v>430</v>
      </c>
      <c r="C41" s="182" t="s">
        <v>75</v>
      </c>
      <c r="D41" s="354"/>
      <c r="E41" s="182"/>
      <c r="F41" s="182">
        <v>60950</v>
      </c>
      <c r="G41" s="344">
        <f t="shared" si="0"/>
        <v>25338595</v>
      </c>
      <c r="H41" s="182" t="s">
        <v>29</v>
      </c>
      <c r="I41" s="182"/>
      <c r="J41" s="182"/>
      <c r="K41" s="182"/>
      <c r="L41" s="182"/>
      <c r="M41" s="182"/>
      <c r="N41" s="182"/>
      <c r="O41" s="182"/>
      <c r="Q41" s="345"/>
      <c r="R41" s="345"/>
    </row>
    <row r="42" spans="1:18" s="343" customFormat="1" ht="16.5">
      <c r="A42" s="313">
        <v>44837</v>
      </c>
      <c r="B42" s="343" t="s">
        <v>444</v>
      </c>
      <c r="C42" s="343" t="s">
        <v>75</v>
      </c>
      <c r="E42" s="344"/>
      <c r="F42" s="344">
        <v>400000</v>
      </c>
      <c r="G42" s="344">
        <f t="shared" si="0"/>
        <v>24938595</v>
      </c>
      <c r="H42" s="343" t="s">
        <v>47</v>
      </c>
      <c r="Q42" s="345"/>
      <c r="R42" s="345"/>
    </row>
    <row r="43" spans="1:18" s="343" customFormat="1" ht="16.5">
      <c r="A43" s="313">
        <v>44838</v>
      </c>
      <c r="B43" s="182" t="s">
        <v>223</v>
      </c>
      <c r="C43" s="182" t="s">
        <v>75</v>
      </c>
      <c r="D43" s="182"/>
      <c r="E43" s="182"/>
      <c r="F43" s="182">
        <v>24200</v>
      </c>
      <c r="G43" s="344">
        <f t="shared" si="0"/>
        <v>24914395</v>
      </c>
      <c r="H43" s="182" t="s">
        <v>25</v>
      </c>
      <c r="M43" s="346"/>
      <c r="O43" s="182"/>
      <c r="P43" s="350"/>
      <c r="Q43" s="345"/>
      <c r="R43" s="345"/>
    </row>
    <row r="44" spans="1:18" s="343" customFormat="1" ht="16.5">
      <c r="A44" s="313">
        <v>44838</v>
      </c>
      <c r="B44" s="182" t="s">
        <v>461</v>
      </c>
      <c r="C44" s="182" t="s">
        <v>180</v>
      </c>
      <c r="D44" s="182" t="s">
        <v>2</v>
      </c>
      <c r="E44" s="182"/>
      <c r="F44" s="182">
        <v>270331</v>
      </c>
      <c r="G44" s="344">
        <f t="shared" si="0"/>
        <v>24644064</v>
      </c>
      <c r="H44" s="182" t="s">
        <v>25</v>
      </c>
      <c r="I44" s="343" t="s">
        <v>319</v>
      </c>
      <c r="J44" s="343" t="s">
        <v>165</v>
      </c>
      <c r="K44" s="343" t="s">
        <v>208</v>
      </c>
      <c r="L44" s="343" t="s">
        <v>260</v>
      </c>
      <c r="M44" s="346"/>
      <c r="O44" s="182"/>
      <c r="Q44" s="345"/>
      <c r="R44" s="345"/>
    </row>
    <row r="45" spans="1:18" s="343" customFormat="1" ht="16.5">
      <c r="A45" s="317">
        <v>44838</v>
      </c>
      <c r="B45" s="343" t="s">
        <v>449</v>
      </c>
      <c r="C45" s="343" t="s">
        <v>180</v>
      </c>
      <c r="D45" s="343" t="s">
        <v>163</v>
      </c>
      <c r="E45" s="344"/>
      <c r="F45" s="344">
        <v>26667</v>
      </c>
      <c r="G45" s="344">
        <f t="shared" si="0"/>
        <v>24617397</v>
      </c>
      <c r="H45" s="343" t="s">
        <v>25</v>
      </c>
      <c r="I45" s="343" t="s">
        <v>319</v>
      </c>
      <c r="J45" s="343" t="s">
        <v>102</v>
      </c>
      <c r="K45" s="343" t="s">
        <v>209</v>
      </c>
      <c r="L45" s="343" t="s">
        <v>260</v>
      </c>
      <c r="M45" s="378" t="s">
        <v>467</v>
      </c>
      <c r="N45" s="344" t="s">
        <v>264</v>
      </c>
      <c r="O45" s="344"/>
      <c r="Q45" s="345"/>
      <c r="R45" s="345"/>
    </row>
    <row r="46" spans="1:18" s="343" customFormat="1" ht="16.5">
      <c r="A46" s="317">
        <v>44838</v>
      </c>
      <c r="B46" s="343" t="s">
        <v>462</v>
      </c>
      <c r="C46" s="343" t="s">
        <v>243</v>
      </c>
      <c r="D46" s="343" t="s">
        <v>164</v>
      </c>
      <c r="E46" s="344"/>
      <c r="F46" s="344">
        <v>5000</v>
      </c>
      <c r="G46" s="344">
        <f t="shared" si="0"/>
        <v>24612397</v>
      </c>
      <c r="H46" s="343" t="s">
        <v>25</v>
      </c>
      <c r="I46" s="343" t="s">
        <v>300</v>
      </c>
      <c r="J46" s="343" t="s">
        <v>165</v>
      </c>
      <c r="K46" s="343" t="s">
        <v>208</v>
      </c>
      <c r="L46" s="343" t="s">
        <v>260</v>
      </c>
      <c r="N46" s="344"/>
      <c r="O46" s="344"/>
      <c r="Q46" s="345"/>
      <c r="R46" s="345"/>
    </row>
    <row r="47" spans="1:18" s="343" customFormat="1" ht="16.5">
      <c r="A47" s="316">
        <v>44838</v>
      </c>
      <c r="B47" s="343" t="s">
        <v>363</v>
      </c>
      <c r="C47" s="344" t="s">
        <v>184</v>
      </c>
      <c r="D47" s="344" t="s">
        <v>364</v>
      </c>
      <c r="F47" s="343">
        <v>500000</v>
      </c>
      <c r="G47" s="344">
        <f t="shared" si="0"/>
        <v>24112397</v>
      </c>
      <c r="H47" s="343" t="s">
        <v>157</v>
      </c>
      <c r="I47" s="343">
        <v>3667246</v>
      </c>
      <c r="J47" s="343" t="s">
        <v>102</v>
      </c>
      <c r="K47" s="343" t="s">
        <v>209</v>
      </c>
      <c r="L47" s="343" t="s">
        <v>260</v>
      </c>
      <c r="M47" s="378" t="s">
        <v>468</v>
      </c>
      <c r="N47" s="343" t="s">
        <v>450</v>
      </c>
      <c r="Q47" s="345"/>
      <c r="R47" s="345"/>
    </row>
    <row r="48" spans="1:18" s="343" customFormat="1" ht="16.5">
      <c r="A48" s="317">
        <v>44838</v>
      </c>
      <c r="B48" s="343" t="s">
        <v>365</v>
      </c>
      <c r="C48" s="344" t="s">
        <v>184</v>
      </c>
      <c r="D48" s="344" t="s">
        <v>364</v>
      </c>
      <c r="F48" s="344">
        <v>500000</v>
      </c>
      <c r="G48" s="344">
        <f t="shared" si="0"/>
        <v>23612397</v>
      </c>
      <c r="H48" s="343" t="s">
        <v>157</v>
      </c>
      <c r="I48" s="343">
        <v>3667247</v>
      </c>
      <c r="J48" s="343" t="s">
        <v>102</v>
      </c>
      <c r="K48" s="343" t="s">
        <v>209</v>
      </c>
      <c r="L48" s="343" t="s">
        <v>260</v>
      </c>
      <c r="M48" s="378" t="s">
        <v>469</v>
      </c>
      <c r="N48" s="343" t="s">
        <v>450</v>
      </c>
      <c r="P48" s="350"/>
      <c r="Q48" s="345"/>
      <c r="R48" s="345"/>
    </row>
    <row r="49" spans="1:18" s="343" customFormat="1" ht="16.5">
      <c r="A49" s="314">
        <v>44838</v>
      </c>
      <c r="B49" s="343" t="s">
        <v>452</v>
      </c>
      <c r="C49" s="343" t="s">
        <v>453</v>
      </c>
      <c r="D49" s="343" t="s">
        <v>163</v>
      </c>
      <c r="F49" s="343">
        <v>20000</v>
      </c>
      <c r="G49" s="344">
        <f t="shared" si="0"/>
        <v>23592397</v>
      </c>
      <c r="H49" s="182" t="s">
        <v>223</v>
      </c>
      <c r="I49" s="343" t="s">
        <v>319</v>
      </c>
      <c r="J49" s="343" t="s">
        <v>165</v>
      </c>
      <c r="K49" s="343" t="s">
        <v>208</v>
      </c>
      <c r="L49" s="343" t="s">
        <v>260</v>
      </c>
      <c r="Q49" s="345"/>
      <c r="R49" s="345"/>
    </row>
    <row r="50" spans="1:18" s="343" customFormat="1" ht="16.5">
      <c r="A50" s="316">
        <v>44838</v>
      </c>
      <c r="B50" s="182" t="s">
        <v>389</v>
      </c>
      <c r="C50" s="182" t="s">
        <v>75</v>
      </c>
      <c r="D50" s="354"/>
      <c r="E50" s="182">
        <v>24200</v>
      </c>
      <c r="F50" s="182"/>
      <c r="G50" s="344">
        <f t="shared" si="0"/>
        <v>23616597</v>
      </c>
      <c r="H50" s="182" t="s">
        <v>223</v>
      </c>
      <c r="I50" s="182"/>
      <c r="J50" s="182"/>
      <c r="K50" s="182"/>
      <c r="L50" s="182"/>
      <c r="M50" s="182"/>
      <c r="N50" s="182"/>
      <c r="O50" s="182"/>
      <c r="Q50" s="345"/>
      <c r="R50" s="345"/>
    </row>
    <row r="51" spans="1:18" s="343" customFormat="1" ht="16.5">
      <c r="A51" s="313">
        <v>44839</v>
      </c>
      <c r="B51" s="343" t="s">
        <v>320</v>
      </c>
      <c r="C51" s="343" t="s">
        <v>253</v>
      </c>
      <c r="D51" s="343" t="s">
        <v>252</v>
      </c>
      <c r="E51" s="344"/>
      <c r="F51" s="344">
        <v>4000</v>
      </c>
      <c r="G51" s="344">
        <f t="shared" si="0"/>
        <v>23612597</v>
      </c>
      <c r="H51" s="343" t="s">
        <v>25</v>
      </c>
      <c r="I51" s="343" t="s">
        <v>319</v>
      </c>
      <c r="J51" s="343" t="s">
        <v>165</v>
      </c>
      <c r="K51" s="343" t="s">
        <v>208</v>
      </c>
      <c r="L51" s="343" t="s">
        <v>260</v>
      </c>
      <c r="N51" s="344"/>
      <c r="O51" s="344"/>
      <c r="P51" s="350"/>
      <c r="Q51" s="345"/>
      <c r="R51" s="345"/>
    </row>
    <row r="52" spans="1:18" s="343" customFormat="1" ht="16.5">
      <c r="A52" s="313">
        <v>44839</v>
      </c>
      <c r="B52" s="343" t="s">
        <v>207</v>
      </c>
      <c r="C52" s="343" t="s">
        <v>75</v>
      </c>
      <c r="E52" s="344"/>
      <c r="F52" s="344">
        <v>97000</v>
      </c>
      <c r="G52" s="344">
        <f t="shared" si="0"/>
        <v>23515597</v>
      </c>
      <c r="H52" s="343" t="s">
        <v>25</v>
      </c>
      <c r="Q52" s="345"/>
      <c r="R52" s="345"/>
    </row>
    <row r="53" spans="1:18" s="343" customFormat="1" ht="16.5">
      <c r="A53" s="313">
        <v>44839</v>
      </c>
      <c r="B53" s="347" t="s">
        <v>321</v>
      </c>
      <c r="C53" s="343" t="s">
        <v>225</v>
      </c>
      <c r="D53" s="343" t="s">
        <v>163</v>
      </c>
      <c r="E53" s="353"/>
      <c r="F53" s="344">
        <v>76000</v>
      </c>
      <c r="G53" s="344">
        <f t="shared" si="0"/>
        <v>23439597</v>
      </c>
      <c r="H53" s="344" t="s">
        <v>25</v>
      </c>
      <c r="I53" s="343" t="s">
        <v>319</v>
      </c>
      <c r="J53" s="342" t="s">
        <v>165</v>
      </c>
      <c r="K53" s="345" t="s">
        <v>209</v>
      </c>
      <c r="L53" s="343" t="s">
        <v>260</v>
      </c>
      <c r="M53" s="378" t="s">
        <v>470</v>
      </c>
      <c r="N53" s="343" t="s">
        <v>263</v>
      </c>
      <c r="Q53" s="345"/>
      <c r="R53" s="345"/>
    </row>
    <row r="54" spans="1:18" s="343" customFormat="1" ht="16.5">
      <c r="A54" s="313">
        <v>44839</v>
      </c>
      <c r="B54" s="352" t="s">
        <v>366</v>
      </c>
      <c r="C54" s="356" t="s">
        <v>225</v>
      </c>
      <c r="D54" s="356" t="s">
        <v>163</v>
      </c>
      <c r="E54" s="357"/>
      <c r="F54" s="352">
        <v>200000</v>
      </c>
      <c r="G54" s="344">
        <f t="shared" si="0"/>
        <v>23239597</v>
      </c>
      <c r="H54" s="343" t="s">
        <v>157</v>
      </c>
      <c r="I54" s="352">
        <v>3667248</v>
      </c>
      <c r="J54" s="342" t="s">
        <v>102</v>
      </c>
      <c r="K54" s="345" t="s">
        <v>209</v>
      </c>
      <c r="L54" s="343" t="s">
        <v>260</v>
      </c>
      <c r="M54" s="378" t="s">
        <v>471</v>
      </c>
      <c r="N54" s="343" t="s">
        <v>263</v>
      </c>
      <c r="Q54" s="345"/>
      <c r="R54" s="345"/>
    </row>
    <row r="55" spans="1:18" s="343" customFormat="1" ht="16.5">
      <c r="A55" s="316">
        <v>44839</v>
      </c>
      <c r="B55" s="343" t="s">
        <v>367</v>
      </c>
      <c r="C55" s="356" t="s">
        <v>225</v>
      </c>
      <c r="D55" s="344" t="s">
        <v>163</v>
      </c>
      <c r="F55" s="343">
        <v>200000</v>
      </c>
      <c r="G55" s="344">
        <f t="shared" si="0"/>
        <v>23039597</v>
      </c>
      <c r="H55" s="343" t="s">
        <v>157</v>
      </c>
      <c r="I55" s="343">
        <v>3667249</v>
      </c>
      <c r="J55" s="342" t="s">
        <v>102</v>
      </c>
      <c r="K55" s="345" t="s">
        <v>209</v>
      </c>
      <c r="L55" s="343" t="s">
        <v>260</v>
      </c>
      <c r="M55" s="378" t="s">
        <v>472</v>
      </c>
      <c r="N55" s="343" t="s">
        <v>263</v>
      </c>
      <c r="Q55" s="345"/>
      <c r="R55" s="345"/>
    </row>
    <row r="56" spans="1:18" s="343" customFormat="1" ht="16.5">
      <c r="A56" s="313">
        <v>44839</v>
      </c>
      <c r="B56" s="343" t="s">
        <v>287</v>
      </c>
      <c r="C56" s="343" t="s">
        <v>278</v>
      </c>
      <c r="E56" s="344">
        <v>97000</v>
      </c>
      <c r="F56" s="344"/>
      <c r="G56" s="344">
        <f t="shared" si="0"/>
        <v>23136597</v>
      </c>
      <c r="H56" s="343" t="s">
        <v>207</v>
      </c>
      <c r="Q56" s="345"/>
      <c r="R56" s="345"/>
    </row>
    <row r="57" spans="1:18" s="343" customFormat="1" ht="16.5">
      <c r="A57" s="313">
        <v>44839</v>
      </c>
      <c r="B57" s="343" t="s">
        <v>288</v>
      </c>
      <c r="C57" s="343" t="s">
        <v>34</v>
      </c>
      <c r="D57" s="343" t="s">
        <v>163</v>
      </c>
      <c r="E57" s="344"/>
      <c r="F57" s="344">
        <v>10000</v>
      </c>
      <c r="G57" s="344">
        <f t="shared" si="0"/>
        <v>23126597</v>
      </c>
      <c r="H57" s="343" t="s">
        <v>207</v>
      </c>
      <c r="I57" s="343" t="s">
        <v>319</v>
      </c>
      <c r="J57" s="342" t="s">
        <v>165</v>
      </c>
      <c r="K57" s="345" t="s">
        <v>209</v>
      </c>
      <c r="L57" s="343" t="s">
        <v>260</v>
      </c>
      <c r="M57" s="378" t="s">
        <v>473</v>
      </c>
      <c r="N57" s="343" t="s">
        <v>268</v>
      </c>
      <c r="P57" s="350"/>
      <c r="Q57" s="345"/>
      <c r="R57" s="345"/>
    </row>
    <row r="58" spans="1:18" s="343" customFormat="1" ht="16.5">
      <c r="A58" s="313">
        <v>44840</v>
      </c>
      <c r="B58" s="343" t="s">
        <v>446</v>
      </c>
      <c r="C58" s="343" t="s">
        <v>256</v>
      </c>
      <c r="D58" s="343" t="s">
        <v>252</v>
      </c>
      <c r="F58" s="182">
        <v>23748</v>
      </c>
      <c r="G58" s="344">
        <f t="shared" si="0"/>
        <v>23102849</v>
      </c>
      <c r="H58" s="343" t="s">
        <v>24</v>
      </c>
      <c r="I58" s="347" t="s">
        <v>255</v>
      </c>
      <c r="J58" s="343" t="s">
        <v>165</v>
      </c>
      <c r="K58" s="343" t="s">
        <v>208</v>
      </c>
      <c r="L58" s="343" t="s">
        <v>260</v>
      </c>
      <c r="Q58" s="345"/>
      <c r="R58" s="345"/>
    </row>
    <row r="59" spans="1:18" s="343" customFormat="1" ht="16.5">
      <c r="A59" s="313">
        <v>44840</v>
      </c>
      <c r="B59" s="343" t="s">
        <v>417</v>
      </c>
      <c r="C59" s="343" t="s">
        <v>156</v>
      </c>
      <c r="D59" s="343" t="s">
        <v>163</v>
      </c>
      <c r="E59" s="344"/>
      <c r="F59" s="344">
        <v>20000</v>
      </c>
      <c r="G59" s="344">
        <f t="shared" si="0"/>
        <v>23082849</v>
      </c>
      <c r="H59" s="343" t="s">
        <v>207</v>
      </c>
      <c r="I59" s="343" t="s">
        <v>300</v>
      </c>
      <c r="J59" s="343" t="s">
        <v>165</v>
      </c>
      <c r="K59" s="343" t="s">
        <v>209</v>
      </c>
      <c r="L59" s="343" t="s">
        <v>260</v>
      </c>
      <c r="M59" s="378" t="s">
        <v>474</v>
      </c>
      <c r="N59" s="343" t="s">
        <v>269</v>
      </c>
      <c r="Q59" s="345"/>
      <c r="R59" s="345"/>
    </row>
    <row r="60" spans="1:18" s="343" customFormat="1" ht="16.5">
      <c r="A60" s="313">
        <v>44841</v>
      </c>
      <c r="B60" s="343" t="s">
        <v>322</v>
      </c>
      <c r="C60" s="343" t="s">
        <v>243</v>
      </c>
      <c r="D60" s="343" t="s">
        <v>164</v>
      </c>
      <c r="E60" s="344"/>
      <c r="F60" s="344">
        <v>35000</v>
      </c>
      <c r="G60" s="344">
        <f t="shared" si="0"/>
        <v>23047849</v>
      </c>
      <c r="H60" s="343" t="s">
        <v>25</v>
      </c>
      <c r="I60" s="343" t="s">
        <v>300</v>
      </c>
      <c r="J60" s="343" t="s">
        <v>165</v>
      </c>
      <c r="K60" s="343" t="s">
        <v>208</v>
      </c>
      <c r="L60" s="343" t="s">
        <v>260</v>
      </c>
      <c r="Q60" s="345"/>
      <c r="R60" s="345"/>
    </row>
    <row r="61" spans="1:18" s="343" customFormat="1" ht="16.5">
      <c r="A61" s="314">
        <v>44841</v>
      </c>
      <c r="B61" s="343" t="s">
        <v>323</v>
      </c>
      <c r="C61" s="343" t="s">
        <v>75</v>
      </c>
      <c r="E61" s="344"/>
      <c r="F61" s="344">
        <v>129500</v>
      </c>
      <c r="G61" s="344">
        <f t="shared" si="0"/>
        <v>22918349</v>
      </c>
      <c r="H61" s="343" t="s">
        <v>25</v>
      </c>
      <c r="M61" s="346"/>
      <c r="Q61" s="345"/>
      <c r="R61" s="345"/>
    </row>
    <row r="62" spans="1:18" s="343" customFormat="1" ht="16.5">
      <c r="A62" s="313">
        <v>44841</v>
      </c>
      <c r="B62" s="343" t="s">
        <v>317</v>
      </c>
      <c r="C62" s="343" t="s">
        <v>75</v>
      </c>
      <c r="E62" s="344"/>
      <c r="F62" s="344">
        <v>15000</v>
      </c>
      <c r="G62" s="344">
        <f t="shared" si="0"/>
        <v>22903349</v>
      </c>
      <c r="H62" s="343" t="s">
        <v>25</v>
      </c>
      <c r="Q62" s="345"/>
      <c r="R62" s="345"/>
    </row>
    <row r="63" spans="1:18" s="343" customFormat="1" ht="16.5">
      <c r="A63" s="313">
        <v>44841</v>
      </c>
      <c r="B63" s="352" t="s">
        <v>425</v>
      </c>
      <c r="C63" s="352" t="s">
        <v>75</v>
      </c>
      <c r="D63" s="352"/>
      <c r="E63" s="356">
        <v>15000</v>
      </c>
      <c r="F63" s="356"/>
      <c r="G63" s="344">
        <f t="shared" si="0"/>
        <v>22918349</v>
      </c>
      <c r="H63" s="357" t="s">
        <v>317</v>
      </c>
      <c r="I63" s="352"/>
      <c r="Q63" s="345"/>
      <c r="R63" s="345"/>
    </row>
    <row r="64" spans="1:18" s="343" customFormat="1" ht="16.5">
      <c r="A64" s="313">
        <v>44841</v>
      </c>
      <c r="B64" s="343" t="s">
        <v>408</v>
      </c>
      <c r="C64" s="343" t="s">
        <v>75</v>
      </c>
      <c r="E64" s="344">
        <v>129500</v>
      </c>
      <c r="F64" s="344"/>
      <c r="G64" s="344">
        <f t="shared" si="0"/>
        <v>23047849</v>
      </c>
      <c r="H64" s="343" t="s">
        <v>47</v>
      </c>
      <c r="Q64" s="344"/>
      <c r="R64" s="345"/>
    </row>
    <row r="65" spans="1:18" s="343" customFormat="1" ht="16.5">
      <c r="A65" s="313">
        <v>44842</v>
      </c>
      <c r="B65" s="343" t="s">
        <v>418</v>
      </c>
      <c r="C65" s="343" t="s">
        <v>156</v>
      </c>
      <c r="D65" s="343" t="s">
        <v>163</v>
      </c>
      <c r="E65" s="344"/>
      <c r="F65" s="344">
        <v>30000</v>
      </c>
      <c r="G65" s="344">
        <f t="shared" si="0"/>
        <v>23017849</v>
      </c>
      <c r="H65" s="343" t="s">
        <v>207</v>
      </c>
      <c r="I65" s="343" t="s">
        <v>319</v>
      </c>
      <c r="J65" s="343" t="s">
        <v>165</v>
      </c>
      <c r="K65" s="343" t="s">
        <v>209</v>
      </c>
      <c r="L65" s="343" t="s">
        <v>260</v>
      </c>
      <c r="M65" s="378" t="s">
        <v>475</v>
      </c>
      <c r="N65" s="343" t="s">
        <v>269</v>
      </c>
      <c r="Q65" s="344"/>
      <c r="R65" s="345"/>
    </row>
    <row r="66" spans="1:18" s="343" customFormat="1" ht="16.5">
      <c r="A66" s="313">
        <v>44842</v>
      </c>
      <c r="B66" s="343" t="s">
        <v>289</v>
      </c>
      <c r="C66" s="343" t="s">
        <v>34</v>
      </c>
      <c r="D66" s="343" t="s">
        <v>163</v>
      </c>
      <c r="E66" s="344"/>
      <c r="F66" s="344">
        <v>10000</v>
      </c>
      <c r="G66" s="344">
        <f t="shared" si="0"/>
        <v>23007849</v>
      </c>
      <c r="H66" s="343" t="s">
        <v>207</v>
      </c>
      <c r="I66" s="343" t="s">
        <v>319</v>
      </c>
      <c r="J66" s="342" t="s">
        <v>165</v>
      </c>
      <c r="K66" s="345" t="s">
        <v>209</v>
      </c>
      <c r="L66" s="343" t="s">
        <v>260</v>
      </c>
      <c r="M66" s="378" t="s">
        <v>476</v>
      </c>
      <c r="N66" s="343" t="s">
        <v>268</v>
      </c>
      <c r="Q66" s="345"/>
      <c r="R66" s="345"/>
    </row>
    <row r="67" spans="1:18" s="343" customFormat="1" ht="16.5">
      <c r="A67" s="313">
        <v>44842</v>
      </c>
      <c r="B67" s="343" t="s">
        <v>390</v>
      </c>
      <c r="C67" s="343" t="s">
        <v>34</v>
      </c>
      <c r="D67" s="182" t="s">
        <v>2</v>
      </c>
      <c r="E67" s="344"/>
      <c r="F67" s="344">
        <v>15000</v>
      </c>
      <c r="G67" s="344">
        <f t="shared" ref="G67:G98" si="1">+G66+E67-F67</f>
        <v>22992849</v>
      </c>
      <c r="H67" s="343" t="s">
        <v>47</v>
      </c>
      <c r="I67" s="343" t="s">
        <v>319</v>
      </c>
      <c r="J67" s="342" t="s">
        <v>165</v>
      </c>
      <c r="K67" s="345" t="s">
        <v>209</v>
      </c>
      <c r="L67" s="343" t="s">
        <v>260</v>
      </c>
      <c r="M67" s="378" t="s">
        <v>477</v>
      </c>
      <c r="N67" s="343" t="s">
        <v>268</v>
      </c>
      <c r="Q67" s="345"/>
      <c r="R67" s="345"/>
    </row>
    <row r="68" spans="1:18" s="343" customFormat="1" ht="16.5">
      <c r="A68" s="313">
        <v>44843</v>
      </c>
      <c r="B68" s="343" t="s">
        <v>391</v>
      </c>
      <c r="C68" s="343" t="s">
        <v>156</v>
      </c>
      <c r="D68" s="182" t="s">
        <v>2</v>
      </c>
      <c r="E68" s="344"/>
      <c r="F68" s="344">
        <v>30000</v>
      </c>
      <c r="G68" s="344">
        <f t="shared" si="1"/>
        <v>22962849</v>
      </c>
      <c r="H68" s="343" t="s">
        <v>47</v>
      </c>
      <c r="I68" s="343" t="s">
        <v>319</v>
      </c>
      <c r="J68" s="343" t="s">
        <v>165</v>
      </c>
      <c r="K68" s="343" t="s">
        <v>209</v>
      </c>
      <c r="L68" s="343" t="s">
        <v>260</v>
      </c>
      <c r="M68" s="378" t="s">
        <v>478</v>
      </c>
      <c r="N68" s="343" t="s">
        <v>269</v>
      </c>
      <c r="Q68" s="345"/>
      <c r="R68" s="345"/>
    </row>
    <row r="69" spans="1:18" s="343" customFormat="1" ht="16.5">
      <c r="A69" s="316">
        <v>44844</v>
      </c>
      <c r="B69" s="343" t="s">
        <v>358</v>
      </c>
      <c r="C69" s="356" t="s">
        <v>225</v>
      </c>
      <c r="D69" s="343" t="s">
        <v>163</v>
      </c>
      <c r="F69" s="182">
        <v>200000</v>
      </c>
      <c r="G69" s="344">
        <f t="shared" si="1"/>
        <v>22762849</v>
      </c>
      <c r="H69" s="343" t="s">
        <v>24</v>
      </c>
      <c r="I69" s="343">
        <v>3654508</v>
      </c>
      <c r="J69" s="343" t="s">
        <v>165</v>
      </c>
      <c r="K69" s="343" t="s">
        <v>208</v>
      </c>
      <c r="L69" s="343" t="s">
        <v>260</v>
      </c>
      <c r="Q69" s="345"/>
      <c r="R69" s="345"/>
    </row>
    <row r="70" spans="1:18" s="343" customFormat="1" ht="16.5">
      <c r="A70" s="313">
        <v>44845</v>
      </c>
      <c r="B70" s="343" t="s">
        <v>392</v>
      </c>
      <c r="C70" s="343" t="s">
        <v>34</v>
      </c>
      <c r="D70" s="182" t="s">
        <v>2</v>
      </c>
      <c r="E70" s="344"/>
      <c r="F70" s="344">
        <v>15000</v>
      </c>
      <c r="G70" s="344">
        <f t="shared" si="1"/>
        <v>22747849</v>
      </c>
      <c r="H70" s="343" t="s">
        <v>47</v>
      </c>
      <c r="I70" s="343" t="s">
        <v>281</v>
      </c>
      <c r="J70" s="342" t="s">
        <v>165</v>
      </c>
      <c r="K70" s="345" t="s">
        <v>209</v>
      </c>
      <c r="L70" s="343" t="s">
        <v>260</v>
      </c>
      <c r="M70" s="378" t="s">
        <v>479</v>
      </c>
      <c r="N70" s="343" t="s">
        <v>268</v>
      </c>
      <c r="Q70" s="345"/>
      <c r="R70" s="345"/>
    </row>
    <row r="71" spans="1:18" s="343" customFormat="1" ht="16.5">
      <c r="A71" s="313">
        <v>44846</v>
      </c>
      <c r="B71" s="343" t="s">
        <v>207</v>
      </c>
      <c r="C71" s="343" t="s">
        <v>75</v>
      </c>
      <c r="E71" s="344"/>
      <c r="F71" s="344">
        <v>6000</v>
      </c>
      <c r="G71" s="344">
        <f t="shared" si="1"/>
        <v>22741849</v>
      </c>
      <c r="H71" s="343" t="s">
        <v>25</v>
      </c>
      <c r="Q71" s="345"/>
      <c r="R71" s="345"/>
    </row>
    <row r="72" spans="1:18" s="343" customFormat="1" ht="16.5">
      <c r="A72" s="313">
        <v>44846</v>
      </c>
      <c r="B72" s="343" t="s">
        <v>254</v>
      </c>
      <c r="C72" s="343" t="s">
        <v>75</v>
      </c>
      <c r="E72" s="344"/>
      <c r="F72" s="344">
        <v>97000</v>
      </c>
      <c r="G72" s="344">
        <f t="shared" si="1"/>
        <v>22644849</v>
      </c>
      <c r="H72" s="343" t="s">
        <v>25</v>
      </c>
      <c r="Q72" s="345"/>
      <c r="R72" s="345"/>
    </row>
    <row r="73" spans="1:18" s="343" customFormat="1" ht="16.5">
      <c r="A73" s="313">
        <v>44846</v>
      </c>
      <c r="B73" s="343" t="s">
        <v>463</v>
      </c>
      <c r="C73" s="356" t="s">
        <v>225</v>
      </c>
      <c r="D73" s="343" t="s">
        <v>163</v>
      </c>
      <c r="E73" s="344"/>
      <c r="F73" s="344">
        <v>76000</v>
      </c>
      <c r="G73" s="344">
        <f t="shared" si="1"/>
        <v>22568849</v>
      </c>
      <c r="H73" s="343" t="s">
        <v>25</v>
      </c>
      <c r="I73" s="343" t="s">
        <v>319</v>
      </c>
      <c r="J73" s="342" t="s">
        <v>165</v>
      </c>
      <c r="K73" s="345" t="s">
        <v>209</v>
      </c>
      <c r="L73" s="343" t="s">
        <v>260</v>
      </c>
      <c r="M73" s="378" t="s">
        <v>480</v>
      </c>
      <c r="N73" s="343" t="s">
        <v>263</v>
      </c>
      <c r="Q73" s="345"/>
      <c r="R73" s="345"/>
    </row>
    <row r="74" spans="1:18" s="343" customFormat="1" ht="16.5">
      <c r="A74" s="313">
        <v>44846</v>
      </c>
      <c r="B74" s="343" t="s">
        <v>254</v>
      </c>
      <c r="C74" s="343" t="s">
        <v>75</v>
      </c>
      <c r="E74" s="344"/>
      <c r="F74" s="344">
        <v>206000</v>
      </c>
      <c r="G74" s="344">
        <f t="shared" si="1"/>
        <v>22362849</v>
      </c>
      <c r="H74" s="343" t="s">
        <v>25</v>
      </c>
      <c r="Q74" s="345"/>
      <c r="R74" s="345"/>
    </row>
    <row r="75" spans="1:18" s="343" customFormat="1" ht="16.5">
      <c r="A75" s="313">
        <v>44846</v>
      </c>
      <c r="B75" s="343" t="s">
        <v>287</v>
      </c>
      <c r="C75" s="343" t="s">
        <v>278</v>
      </c>
      <c r="E75" s="344">
        <v>6000</v>
      </c>
      <c r="F75" s="344"/>
      <c r="G75" s="344">
        <f t="shared" si="1"/>
        <v>22368849</v>
      </c>
      <c r="H75" s="343" t="s">
        <v>207</v>
      </c>
      <c r="Q75" s="345"/>
      <c r="R75" s="345"/>
    </row>
    <row r="76" spans="1:18" s="343" customFormat="1" ht="16.5">
      <c r="A76" s="313">
        <v>44846</v>
      </c>
      <c r="B76" s="343" t="s">
        <v>393</v>
      </c>
      <c r="C76" s="343" t="s">
        <v>156</v>
      </c>
      <c r="D76" s="182" t="s">
        <v>2</v>
      </c>
      <c r="E76" s="344"/>
      <c r="F76" s="344">
        <v>45000</v>
      </c>
      <c r="G76" s="344">
        <f t="shared" si="1"/>
        <v>22323849</v>
      </c>
      <c r="H76" s="343" t="s">
        <v>47</v>
      </c>
      <c r="I76" s="343" t="s">
        <v>319</v>
      </c>
      <c r="J76" s="343" t="s">
        <v>165</v>
      </c>
      <c r="K76" s="343" t="s">
        <v>209</v>
      </c>
      <c r="L76" s="343" t="s">
        <v>260</v>
      </c>
      <c r="M76" s="378" t="s">
        <v>481</v>
      </c>
      <c r="N76" s="343" t="s">
        <v>269</v>
      </c>
      <c r="Q76" s="345"/>
      <c r="R76" s="345"/>
    </row>
    <row r="77" spans="1:18" s="343" customFormat="1" ht="16.5">
      <c r="A77" s="313">
        <v>44846</v>
      </c>
      <c r="B77" s="343" t="s">
        <v>408</v>
      </c>
      <c r="C77" s="343" t="s">
        <v>75</v>
      </c>
      <c r="E77" s="344">
        <v>97000</v>
      </c>
      <c r="F77" s="344"/>
      <c r="G77" s="344">
        <f t="shared" si="1"/>
        <v>22420849</v>
      </c>
      <c r="H77" s="343" t="s">
        <v>47</v>
      </c>
      <c r="Q77" s="345"/>
      <c r="R77" s="345"/>
    </row>
    <row r="78" spans="1:18" s="343" customFormat="1" ht="16.5">
      <c r="A78" s="317">
        <v>44846</v>
      </c>
      <c r="B78" s="343" t="s">
        <v>408</v>
      </c>
      <c r="C78" s="343" t="s">
        <v>75</v>
      </c>
      <c r="E78" s="344">
        <v>206000</v>
      </c>
      <c r="F78" s="344"/>
      <c r="G78" s="344">
        <f t="shared" si="1"/>
        <v>22626849</v>
      </c>
      <c r="H78" s="343" t="s">
        <v>47</v>
      </c>
      <c r="P78" s="350"/>
      <c r="Q78" s="345"/>
      <c r="R78" s="345"/>
    </row>
    <row r="79" spans="1:18" s="343" customFormat="1" ht="16.5">
      <c r="A79" s="317">
        <v>44846</v>
      </c>
      <c r="B79" s="343" t="s">
        <v>394</v>
      </c>
      <c r="C79" s="343" t="s">
        <v>34</v>
      </c>
      <c r="D79" s="182" t="s">
        <v>2</v>
      </c>
      <c r="E79" s="344"/>
      <c r="F79" s="344">
        <v>10000</v>
      </c>
      <c r="G79" s="344">
        <f t="shared" si="1"/>
        <v>22616849</v>
      </c>
      <c r="H79" s="343" t="s">
        <v>47</v>
      </c>
      <c r="I79" s="343" t="s">
        <v>319</v>
      </c>
      <c r="J79" s="342" t="s">
        <v>165</v>
      </c>
      <c r="K79" s="345" t="s">
        <v>209</v>
      </c>
      <c r="L79" s="343" t="s">
        <v>260</v>
      </c>
      <c r="M79" s="378" t="s">
        <v>482</v>
      </c>
      <c r="N79" s="343" t="s">
        <v>268</v>
      </c>
      <c r="P79" s="350"/>
      <c r="Q79" s="345"/>
      <c r="R79" s="345"/>
    </row>
    <row r="80" spans="1:18" s="343" customFormat="1" ht="16.5">
      <c r="A80" s="313">
        <v>44847</v>
      </c>
      <c r="B80" s="182" t="s">
        <v>317</v>
      </c>
      <c r="C80" s="182" t="s">
        <v>75</v>
      </c>
      <c r="D80" s="354"/>
      <c r="E80" s="182"/>
      <c r="F80" s="182">
        <v>10000</v>
      </c>
      <c r="G80" s="344">
        <f t="shared" si="1"/>
        <v>22606849</v>
      </c>
      <c r="H80" s="182" t="s">
        <v>25</v>
      </c>
      <c r="I80" s="182"/>
      <c r="J80" s="182"/>
      <c r="K80" s="182"/>
      <c r="L80" s="182"/>
      <c r="M80" s="182"/>
      <c r="N80" s="182"/>
      <c r="O80" s="182"/>
      <c r="Q80" s="345"/>
      <c r="R80" s="345"/>
    </row>
    <row r="81" spans="1:18" s="343" customFormat="1" ht="16.5">
      <c r="A81" s="317">
        <v>44847</v>
      </c>
      <c r="B81" s="182" t="s">
        <v>324</v>
      </c>
      <c r="C81" s="343" t="s">
        <v>75</v>
      </c>
      <c r="E81" s="182">
        <v>2000000</v>
      </c>
      <c r="F81" s="182"/>
      <c r="G81" s="344">
        <f t="shared" si="1"/>
        <v>24606849</v>
      </c>
      <c r="H81" s="182" t="s">
        <v>25</v>
      </c>
      <c r="M81" s="182"/>
      <c r="N81" s="182"/>
      <c r="O81" s="182"/>
      <c r="Q81" s="345"/>
      <c r="R81" s="345"/>
    </row>
    <row r="82" spans="1:18" s="343" customFormat="1" ht="16.5">
      <c r="A82" s="316">
        <v>44847</v>
      </c>
      <c r="B82" s="343" t="s">
        <v>359</v>
      </c>
      <c r="C82" s="343" t="s">
        <v>75</v>
      </c>
      <c r="F82" s="182">
        <v>2000000</v>
      </c>
      <c r="G82" s="344">
        <f t="shared" si="1"/>
        <v>22606849</v>
      </c>
      <c r="H82" s="343" t="s">
        <v>24</v>
      </c>
      <c r="I82" s="343">
        <v>3654516</v>
      </c>
      <c r="Q82" s="345"/>
      <c r="R82" s="345"/>
    </row>
    <row r="83" spans="1:18" s="343" customFormat="1" ht="16.5">
      <c r="A83" s="313">
        <v>44847</v>
      </c>
      <c r="B83" s="343" t="s">
        <v>368</v>
      </c>
      <c r="C83" s="182" t="s">
        <v>180</v>
      </c>
      <c r="D83" s="182" t="s">
        <v>163</v>
      </c>
      <c r="E83" s="182"/>
      <c r="F83" s="343">
        <v>221501</v>
      </c>
      <c r="G83" s="344">
        <f t="shared" si="1"/>
        <v>22385348</v>
      </c>
      <c r="H83" s="343" t="s">
        <v>157</v>
      </c>
      <c r="I83" s="182">
        <v>3667260</v>
      </c>
      <c r="J83" s="343" t="s">
        <v>102</v>
      </c>
      <c r="K83" s="343" t="s">
        <v>209</v>
      </c>
      <c r="L83" s="343" t="s">
        <v>260</v>
      </c>
      <c r="M83" s="378" t="s">
        <v>483</v>
      </c>
      <c r="N83" s="182" t="s">
        <v>264</v>
      </c>
      <c r="O83" s="182"/>
      <c r="Q83" s="345"/>
      <c r="R83" s="345"/>
    </row>
    <row r="84" spans="1:18" s="343" customFormat="1" ht="16.5">
      <c r="A84" s="313">
        <v>44847</v>
      </c>
      <c r="B84" s="343" t="s">
        <v>369</v>
      </c>
      <c r="C84" s="182" t="s">
        <v>180</v>
      </c>
      <c r="D84" s="182" t="s">
        <v>2</v>
      </c>
      <c r="F84" s="343">
        <v>150728</v>
      </c>
      <c r="G84" s="344">
        <f t="shared" si="1"/>
        <v>22234620</v>
      </c>
      <c r="H84" s="343" t="s">
        <v>157</v>
      </c>
      <c r="I84" s="343">
        <v>3667260</v>
      </c>
      <c r="J84" s="343" t="s">
        <v>102</v>
      </c>
      <c r="K84" s="343" t="s">
        <v>209</v>
      </c>
      <c r="L84" s="343" t="s">
        <v>260</v>
      </c>
      <c r="M84" s="378" t="s">
        <v>484</v>
      </c>
      <c r="N84" s="182" t="s">
        <v>265</v>
      </c>
      <c r="Q84" s="345"/>
      <c r="R84" s="345"/>
    </row>
    <row r="85" spans="1:18" s="343" customFormat="1" ht="16.5">
      <c r="A85" s="313">
        <v>44847</v>
      </c>
      <c r="B85" s="343" t="s">
        <v>370</v>
      </c>
      <c r="C85" s="182" t="s">
        <v>180</v>
      </c>
      <c r="D85" s="182" t="s">
        <v>2</v>
      </c>
      <c r="E85" s="182"/>
      <c r="F85" s="343">
        <v>292170</v>
      </c>
      <c r="G85" s="344">
        <f t="shared" si="1"/>
        <v>21942450</v>
      </c>
      <c r="H85" s="343" t="s">
        <v>157</v>
      </c>
      <c r="I85" s="182">
        <v>3667260</v>
      </c>
      <c r="J85" s="343" t="s">
        <v>102</v>
      </c>
      <c r="K85" s="343" t="s">
        <v>209</v>
      </c>
      <c r="L85" s="343" t="s">
        <v>260</v>
      </c>
      <c r="M85" s="378" t="s">
        <v>485</v>
      </c>
      <c r="N85" s="182" t="s">
        <v>265</v>
      </c>
      <c r="Q85" s="345"/>
      <c r="R85" s="345"/>
    </row>
    <row r="86" spans="1:18" s="343" customFormat="1" ht="16.5">
      <c r="A86" s="313">
        <v>44847</v>
      </c>
      <c r="B86" s="343" t="s">
        <v>371</v>
      </c>
      <c r="C86" s="182" t="s">
        <v>180</v>
      </c>
      <c r="D86" s="343" t="s">
        <v>163</v>
      </c>
      <c r="E86" s="182"/>
      <c r="F86" s="343">
        <v>103494</v>
      </c>
      <c r="G86" s="344">
        <f t="shared" si="1"/>
        <v>21838956</v>
      </c>
      <c r="H86" s="343" t="s">
        <v>157</v>
      </c>
      <c r="I86" s="343">
        <v>3667260</v>
      </c>
      <c r="J86" s="343" t="s">
        <v>102</v>
      </c>
      <c r="K86" s="343" t="s">
        <v>209</v>
      </c>
      <c r="L86" s="343" t="s">
        <v>260</v>
      </c>
      <c r="M86" s="378" t="s">
        <v>550</v>
      </c>
      <c r="N86" s="182" t="s">
        <v>264</v>
      </c>
      <c r="Q86" s="345"/>
      <c r="R86" s="345"/>
    </row>
    <row r="87" spans="1:18" s="343" customFormat="1" ht="16.5">
      <c r="A87" s="317">
        <v>44847</v>
      </c>
      <c r="B87" s="352" t="s">
        <v>372</v>
      </c>
      <c r="C87" s="182" t="s">
        <v>180</v>
      </c>
      <c r="D87" s="356" t="s">
        <v>164</v>
      </c>
      <c r="E87" s="357"/>
      <c r="F87" s="343">
        <v>116297</v>
      </c>
      <c r="G87" s="344">
        <f t="shared" si="1"/>
        <v>21722659</v>
      </c>
      <c r="H87" s="343" t="s">
        <v>157</v>
      </c>
      <c r="I87" s="352">
        <v>3667260</v>
      </c>
      <c r="J87" s="343" t="s">
        <v>102</v>
      </c>
      <c r="K87" s="343" t="s">
        <v>209</v>
      </c>
      <c r="L87" s="343" t="s">
        <v>260</v>
      </c>
      <c r="M87" s="378" t="s">
        <v>486</v>
      </c>
      <c r="N87" s="182" t="s">
        <v>266</v>
      </c>
      <c r="Q87" s="345"/>
      <c r="R87" s="345"/>
    </row>
    <row r="88" spans="1:18" s="343" customFormat="1" ht="16.5">
      <c r="A88" s="313">
        <v>44847</v>
      </c>
      <c r="B88" s="343" t="s">
        <v>373</v>
      </c>
      <c r="C88" s="182" t="s">
        <v>180</v>
      </c>
      <c r="D88" s="343" t="s">
        <v>163</v>
      </c>
      <c r="F88" s="343">
        <v>28748</v>
      </c>
      <c r="G88" s="344">
        <f t="shared" si="1"/>
        <v>21693911</v>
      </c>
      <c r="H88" s="343" t="s">
        <v>157</v>
      </c>
      <c r="I88" s="343">
        <v>3667260</v>
      </c>
      <c r="J88" s="343" t="s">
        <v>102</v>
      </c>
      <c r="K88" s="343" t="s">
        <v>209</v>
      </c>
      <c r="L88" s="343" t="s">
        <v>260</v>
      </c>
      <c r="M88" s="378" t="s">
        <v>487</v>
      </c>
      <c r="N88" s="182" t="s">
        <v>264</v>
      </c>
      <c r="P88" s="350"/>
      <c r="Q88" s="345"/>
      <c r="R88" s="345"/>
    </row>
    <row r="89" spans="1:18" s="343" customFormat="1" ht="16.5">
      <c r="A89" s="313">
        <v>44847</v>
      </c>
      <c r="B89" s="343" t="s">
        <v>425</v>
      </c>
      <c r="C89" s="343" t="s">
        <v>75</v>
      </c>
      <c r="E89" s="344">
        <v>10000</v>
      </c>
      <c r="F89" s="344"/>
      <c r="G89" s="344">
        <f t="shared" si="1"/>
        <v>21703911</v>
      </c>
      <c r="H89" s="343" t="s">
        <v>317</v>
      </c>
      <c r="P89" s="345"/>
      <c r="Q89" s="345"/>
      <c r="R89" s="345"/>
    </row>
    <row r="90" spans="1:18" s="343" customFormat="1" ht="16.5">
      <c r="A90" s="317">
        <v>44847</v>
      </c>
      <c r="B90" s="182" t="s">
        <v>395</v>
      </c>
      <c r="C90" s="182" t="s">
        <v>156</v>
      </c>
      <c r="D90" s="182" t="s">
        <v>2</v>
      </c>
      <c r="E90" s="182"/>
      <c r="F90" s="182">
        <v>20000</v>
      </c>
      <c r="G90" s="344">
        <f t="shared" si="1"/>
        <v>21683911</v>
      </c>
      <c r="H90" s="182" t="s">
        <v>47</v>
      </c>
      <c r="I90" s="182" t="s">
        <v>319</v>
      </c>
      <c r="J90" s="343" t="s">
        <v>165</v>
      </c>
      <c r="K90" s="343" t="s">
        <v>209</v>
      </c>
      <c r="L90" s="343" t="s">
        <v>260</v>
      </c>
      <c r="M90" s="378" t="s">
        <v>488</v>
      </c>
      <c r="N90" s="343" t="s">
        <v>269</v>
      </c>
      <c r="O90" s="182"/>
      <c r="P90" s="345"/>
      <c r="Q90" s="345"/>
      <c r="R90" s="345"/>
    </row>
    <row r="91" spans="1:18" s="343" customFormat="1" ht="16.5">
      <c r="A91" s="317">
        <v>44848</v>
      </c>
      <c r="B91" s="182" t="s">
        <v>325</v>
      </c>
      <c r="C91" s="182" t="s">
        <v>184</v>
      </c>
      <c r="D91" s="182" t="s">
        <v>252</v>
      </c>
      <c r="E91" s="182"/>
      <c r="F91" s="182">
        <v>5000</v>
      </c>
      <c r="G91" s="344">
        <f t="shared" si="1"/>
        <v>21678911</v>
      </c>
      <c r="H91" s="182" t="s">
        <v>25</v>
      </c>
      <c r="I91" s="182" t="s">
        <v>319</v>
      </c>
      <c r="J91" s="182" t="s">
        <v>165</v>
      </c>
      <c r="K91" s="182" t="s">
        <v>208</v>
      </c>
      <c r="L91" s="182" t="s">
        <v>260</v>
      </c>
      <c r="M91" s="182"/>
      <c r="N91" s="182"/>
      <c r="O91" s="182"/>
      <c r="P91" s="345"/>
      <c r="Q91" s="345"/>
      <c r="R91" s="345"/>
    </row>
    <row r="92" spans="1:18" s="343" customFormat="1" ht="16.5">
      <c r="A92" s="317">
        <v>44848</v>
      </c>
      <c r="B92" s="182" t="s">
        <v>326</v>
      </c>
      <c r="C92" s="182" t="s">
        <v>243</v>
      </c>
      <c r="D92" s="343" t="s">
        <v>164</v>
      </c>
      <c r="E92" s="182"/>
      <c r="F92" s="355">
        <v>30000</v>
      </c>
      <c r="G92" s="344">
        <f t="shared" si="1"/>
        <v>21648911</v>
      </c>
      <c r="H92" s="182" t="s">
        <v>25</v>
      </c>
      <c r="I92" s="343" t="s">
        <v>300</v>
      </c>
      <c r="J92" s="343" t="s">
        <v>165</v>
      </c>
      <c r="K92" s="343" t="s">
        <v>208</v>
      </c>
      <c r="L92" s="343" t="s">
        <v>260</v>
      </c>
      <c r="M92" s="346"/>
      <c r="O92" s="182"/>
      <c r="P92" s="345"/>
      <c r="Q92" s="345"/>
      <c r="R92" s="345"/>
    </row>
    <row r="93" spans="1:18" s="343" customFormat="1" ht="16.5">
      <c r="A93" s="316">
        <v>44848</v>
      </c>
      <c r="B93" s="182" t="s">
        <v>327</v>
      </c>
      <c r="C93" s="182" t="s">
        <v>181</v>
      </c>
      <c r="D93" s="182" t="s">
        <v>2</v>
      </c>
      <c r="E93" s="182"/>
      <c r="F93" s="182">
        <v>15000</v>
      </c>
      <c r="G93" s="344">
        <f t="shared" si="1"/>
        <v>21633911</v>
      </c>
      <c r="H93" s="182" t="s">
        <v>25</v>
      </c>
      <c r="I93" s="343" t="s">
        <v>319</v>
      </c>
      <c r="J93" s="343" t="s">
        <v>165</v>
      </c>
      <c r="K93" s="343" t="s">
        <v>209</v>
      </c>
      <c r="L93" s="343" t="s">
        <v>260</v>
      </c>
      <c r="M93" s="378" t="s">
        <v>489</v>
      </c>
      <c r="N93" s="343" t="s">
        <v>267</v>
      </c>
      <c r="O93" s="182"/>
      <c r="P93" s="345"/>
      <c r="Q93" s="345"/>
      <c r="R93" s="345"/>
    </row>
    <row r="94" spans="1:18" s="343" customFormat="1" ht="16.5">
      <c r="A94" s="313">
        <v>44848</v>
      </c>
      <c r="B94" s="343" t="s">
        <v>328</v>
      </c>
      <c r="C94" s="343" t="s">
        <v>181</v>
      </c>
      <c r="D94" s="343" t="s">
        <v>163</v>
      </c>
      <c r="E94" s="344"/>
      <c r="F94" s="344">
        <v>10000</v>
      </c>
      <c r="G94" s="344">
        <f t="shared" si="1"/>
        <v>21623911</v>
      </c>
      <c r="H94" s="343" t="s">
        <v>25</v>
      </c>
      <c r="I94" s="343" t="s">
        <v>319</v>
      </c>
      <c r="J94" s="343" t="s">
        <v>165</v>
      </c>
      <c r="K94" s="343" t="s">
        <v>209</v>
      </c>
      <c r="L94" s="343" t="s">
        <v>260</v>
      </c>
      <c r="M94" s="378" t="s">
        <v>490</v>
      </c>
      <c r="N94" s="343" t="s">
        <v>267</v>
      </c>
      <c r="P94" s="350"/>
      <c r="Q94" s="345"/>
      <c r="R94" s="345"/>
    </row>
    <row r="95" spans="1:18" s="343" customFormat="1" ht="16.5">
      <c r="A95" s="317">
        <v>44848</v>
      </c>
      <c r="B95" s="182" t="s">
        <v>329</v>
      </c>
      <c r="C95" s="182" t="s">
        <v>181</v>
      </c>
      <c r="D95" s="343" t="s">
        <v>4</v>
      </c>
      <c r="E95" s="182"/>
      <c r="F95" s="355">
        <v>10000</v>
      </c>
      <c r="G95" s="344">
        <f t="shared" si="1"/>
        <v>21613911</v>
      </c>
      <c r="H95" s="182" t="s">
        <v>25</v>
      </c>
      <c r="I95" s="343" t="s">
        <v>319</v>
      </c>
      <c r="J95" s="343" t="s">
        <v>165</v>
      </c>
      <c r="K95" s="343" t="s">
        <v>209</v>
      </c>
      <c r="L95" s="343" t="s">
        <v>260</v>
      </c>
      <c r="M95" s="378" t="s">
        <v>491</v>
      </c>
      <c r="N95" s="343" t="s">
        <v>267</v>
      </c>
      <c r="O95" s="182"/>
      <c r="P95" s="350"/>
      <c r="Q95" s="345"/>
      <c r="R95" s="345"/>
    </row>
    <row r="96" spans="1:18" s="343" customFormat="1" ht="16.5">
      <c r="A96" s="313">
        <v>44848</v>
      </c>
      <c r="B96" s="343" t="s">
        <v>330</v>
      </c>
      <c r="C96" s="343" t="s">
        <v>181</v>
      </c>
      <c r="D96" s="343" t="s">
        <v>4</v>
      </c>
      <c r="E96" s="344"/>
      <c r="F96" s="344">
        <v>15000</v>
      </c>
      <c r="G96" s="344">
        <f t="shared" si="1"/>
        <v>21598911</v>
      </c>
      <c r="H96" s="343" t="s">
        <v>25</v>
      </c>
      <c r="I96" s="343" t="s">
        <v>319</v>
      </c>
      <c r="J96" s="343" t="s">
        <v>165</v>
      </c>
      <c r="K96" s="182" t="s">
        <v>208</v>
      </c>
      <c r="L96" s="182" t="s">
        <v>260</v>
      </c>
      <c r="P96" s="350"/>
      <c r="Q96" s="345"/>
      <c r="R96" s="345"/>
    </row>
    <row r="97" spans="1:18" s="343" customFormat="1" ht="16.5">
      <c r="A97" s="317">
        <v>44848</v>
      </c>
      <c r="B97" s="343" t="s">
        <v>331</v>
      </c>
      <c r="C97" s="343" t="s">
        <v>181</v>
      </c>
      <c r="D97" s="343" t="s">
        <v>164</v>
      </c>
      <c r="E97" s="344"/>
      <c r="F97" s="344">
        <v>10000</v>
      </c>
      <c r="G97" s="344">
        <f t="shared" si="1"/>
        <v>21588911</v>
      </c>
      <c r="H97" s="343" t="s">
        <v>25</v>
      </c>
      <c r="I97" s="343" t="s">
        <v>319</v>
      </c>
      <c r="J97" s="343" t="s">
        <v>165</v>
      </c>
      <c r="K97" s="343" t="s">
        <v>209</v>
      </c>
      <c r="L97" s="343" t="s">
        <v>260</v>
      </c>
      <c r="M97" s="378" t="s">
        <v>492</v>
      </c>
      <c r="N97" s="343" t="s">
        <v>267</v>
      </c>
      <c r="P97" s="350"/>
      <c r="Q97" s="345"/>
      <c r="R97" s="345"/>
    </row>
    <row r="98" spans="1:18" s="343" customFormat="1" ht="16.5">
      <c r="A98" s="313">
        <v>44848</v>
      </c>
      <c r="B98" s="343" t="s">
        <v>332</v>
      </c>
      <c r="C98" s="343" t="s">
        <v>181</v>
      </c>
      <c r="D98" s="182" t="s">
        <v>2</v>
      </c>
      <c r="E98" s="344"/>
      <c r="F98" s="344">
        <v>5000</v>
      </c>
      <c r="G98" s="344">
        <f t="shared" si="1"/>
        <v>21583911</v>
      </c>
      <c r="H98" s="343" t="s">
        <v>25</v>
      </c>
      <c r="I98" s="343" t="s">
        <v>319</v>
      </c>
      <c r="J98" s="343" t="s">
        <v>165</v>
      </c>
      <c r="K98" s="343" t="s">
        <v>209</v>
      </c>
      <c r="L98" s="343" t="s">
        <v>260</v>
      </c>
      <c r="M98" s="378" t="s">
        <v>493</v>
      </c>
      <c r="N98" s="343" t="s">
        <v>267</v>
      </c>
      <c r="P98" s="350"/>
      <c r="Q98" s="345"/>
      <c r="R98" s="345"/>
    </row>
    <row r="99" spans="1:18" s="343" customFormat="1" ht="16.5">
      <c r="A99" s="313">
        <v>44848</v>
      </c>
      <c r="B99" s="343" t="s">
        <v>333</v>
      </c>
      <c r="C99" s="343" t="s">
        <v>181</v>
      </c>
      <c r="D99" s="343" t="s">
        <v>163</v>
      </c>
      <c r="E99" s="344"/>
      <c r="F99" s="344">
        <v>10000</v>
      </c>
      <c r="G99" s="344">
        <f t="shared" ref="G99:G130" si="2">+G98+E99-F99</f>
        <v>21573911</v>
      </c>
      <c r="H99" s="343" t="s">
        <v>25</v>
      </c>
      <c r="I99" s="343" t="s">
        <v>319</v>
      </c>
      <c r="J99" s="343" t="s">
        <v>165</v>
      </c>
      <c r="K99" s="343" t="s">
        <v>209</v>
      </c>
      <c r="L99" s="343" t="s">
        <v>260</v>
      </c>
      <c r="M99" s="378" t="s">
        <v>494</v>
      </c>
      <c r="N99" s="343" t="s">
        <v>267</v>
      </c>
      <c r="Q99" s="345"/>
      <c r="R99" s="345"/>
    </row>
    <row r="100" spans="1:18" s="343" customFormat="1" ht="16.5">
      <c r="A100" s="313">
        <v>44848</v>
      </c>
      <c r="B100" s="343" t="s">
        <v>334</v>
      </c>
      <c r="C100" s="343" t="s">
        <v>181</v>
      </c>
      <c r="D100" s="343" t="s">
        <v>4</v>
      </c>
      <c r="E100" s="344"/>
      <c r="F100" s="344">
        <v>5000</v>
      </c>
      <c r="G100" s="344">
        <f t="shared" si="2"/>
        <v>21568911</v>
      </c>
      <c r="H100" s="343" t="s">
        <v>25</v>
      </c>
      <c r="I100" s="343" t="s">
        <v>319</v>
      </c>
      <c r="J100" s="343" t="s">
        <v>165</v>
      </c>
      <c r="K100" s="343" t="s">
        <v>209</v>
      </c>
      <c r="L100" s="343" t="s">
        <v>260</v>
      </c>
      <c r="M100" s="378" t="s">
        <v>495</v>
      </c>
      <c r="N100" s="343" t="s">
        <v>267</v>
      </c>
      <c r="P100" s="350"/>
      <c r="Q100" s="345"/>
      <c r="R100" s="345"/>
    </row>
    <row r="101" spans="1:18" s="343" customFormat="1" ht="16.5">
      <c r="A101" s="313">
        <v>44848</v>
      </c>
      <c r="B101" s="343" t="s">
        <v>113</v>
      </c>
      <c r="C101" s="343" t="s">
        <v>75</v>
      </c>
      <c r="D101" s="344"/>
      <c r="E101" s="344"/>
      <c r="F101" s="344">
        <v>150000</v>
      </c>
      <c r="G101" s="344">
        <f t="shared" si="2"/>
        <v>21418911</v>
      </c>
      <c r="H101" s="343" t="s">
        <v>25</v>
      </c>
    </row>
    <row r="102" spans="1:18" s="343" customFormat="1" ht="16.5">
      <c r="A102" s="313">
        <v>44848</v>
      </c>
      <c r="B102" s="343" t="s">
        <v>283</v>
      </c>
      <c r="C102" s="343" t="s">
        <v>75</v>
      </c>
      <c r="E102" s="344">
        <v>150000</v>
      </c>
      <c r="F102" s="344"/>
      <c r="G102" s="344">
        <f t="shared" si="2"/>
        <v>21568911</v>
      </c>
      <c r="H102" s="343" t="s">
        <v>113</v>
      </c>
      <c r="M102" s="346"/>
    </row>
    <row r="103" spans="1:18" s="343" customFormat="1" ht="16.5">
      <c r="A103" s="317">
        <v>44849</v>
      </c>
      <c r="B103" s="182" t="s">
        <v>396</v>
      </c>
      <c r="C103" s="182" t="s">
        <v>34</v>
      </c>
      <c r="D103" s="182" t="s">
        <v>2</v>
      </c>
      <c r="E103" s="182"/>
      <c r="F103" s="182">
        <v>10000</v>
      </c>
      <c r="G103" s="344">
        <f t="shared" si="2"/>
        <v>21558911</v>
      </c>
      <c r="H103" s="182" t="s">
        <v>47</v>
      </c>
      <c r="I103" s="343" t="s">
        <v>319</v>
      </c>
      <c r="J103" s="342" t="s">
        <v>165</v>
      </c>
      <c r="K103" s="345" t="s">
        <v>209</v>
      </c>
      <c r="L103" s="343" t="s">
        <v>260</v>
      </c>
      <c r="M103" s="378" t="s">
        <v>496</v>
      </c>
      <c r="N103" s="343" t="s">
        <v>268</v>
      </c>
      <c r="O103" s="182"/>
    </row>
    <row r="104" spans="1:18" s="343" customFormat="1" ht="16.5">
      <c r="A104" s="317">
        <v>44849</v>
      </c>
      <c r="B104" s="182" t="s">
        <v>397</v>
      </c>
      <c r="C104" s="182" t="s">
        <v>156</v>
      </c>
      <c r="D104" s="182" t="s">
        <v>2</v>
      </c>
      <c r="E104" s="182"/>
      <c r="F104" s="182">
        <v>30000</v>
      </c>
      <c r="G104" s="344">
        <f t="shared" si="2"/>
        <v>21528911</v>
      </c>
      <c r="H104" s="182" t="s">
        <v>47</v>
      </c>
      <c r="I104" s="343" t="s">
        <v>319</v>
      </c>
      <c r="J104" s="343" t="s">
        <v>165</v>
      </c>
      <c r="K104" s="343" t="s">
        <v>209</v>
      </c>
      <c r="L104" s="343" t="s">
        <v>260</v>
      </c>
      <c r="M104" s="378" t="s">
        <v>497</v>
      </c>
      <c r="N104" s="343" t="s">
        <v>269</v>
      </c>
      <c r="O104" s="182"/>
    </row>
    <row r="105" spans="1:18" s="343" customFormat="1" ht="16.5">
      <c r="A105" s="317">
        <v>44850</v>
      </c>
      <c r="B105" s="343" t="s">
        <v>380</v>
      </c>
      <c r="C105" s="343" t="s">
        <v>381</v>
      </c>
      <c r="D105" s="182" t="s">
        <v>2</v>
      </c>
      <c r="E105" s="344"/>
      <c r="F105" s="344">
        <v>30000</v>
      </c>
      <c r="G105" s="344">
        <f t="shared" si="2"/>
        <v>21498911</v>
      </c>
      <c r="H105" s="343" t="s">
        <v>113</v>
      </c>
      <c r="I105" s="343" t="s">
        <v>300</v>
      </c>
      <c r="J105" s="343" t="s">
        <v>165</v>
      </c>
      <c r="K105" s="343" t="s">
        <v>209</v>
      </c>
      <c r="L105" s="343" t="s">
        <v>260</v>
      </c>
      <c r="M105" s="378" t="s">
        <v>498</v>
      </c>
      <c r="N105" s="343" t="s">
        <v>269</v>
      </c>
    </row>
    <row r="106" spans="1:18" s="343" customFormat="1" ht="16.5">
      <c r="A106" s="316">
        <v>44850</v>
      </c>
      <c r="B106" s="343" t="s">
        <v>382</v>
      </c>
      <c r="C106" s="343" t="s">
        <v>34</v>
      </c>
      <c r="D106" s="182" t="s">
        <v>2</v>
      </c>
      <c r="E106" s="344"/>
      <c r="F106" s="344">
        <v>15000</v>
      </c>
      <c r="G106" s="344">
        <f t="shared" si="2"/>
        <v>21483911</v>
      </c>
      <c r="H106" s="343" t="s">
        <v>113</v>
      </c>
      <c r="I106" s="343" t="s">
        <v>319</v>
      </c>
      <c r="J106" s="342" t="s">
        <v>165</v>
      </c>
      <c r="K106" s="345" t="s">
        <v>209</v>
      </c>
      <c r="L106" s="343" t="s">
        <v>260</v>
      </c>
      <c r="M106" s="378" t="s">
        <v>499</v>
      </c>
      <c r="N106" s="343" t="s">
        <v>268</v>
      </c>
    </row>
    <row r="107" spans="1:18" s="343" customFormat="1" ht="16.5">
      <c r="A107" s="315">
        <v>44850</v>
      </c>
      <c r="B107" s="182" t="s">
        <v>390</v>
      </c>
      <c r="C107" s="182" t="s">
        <v>34</v>
      </c>
      <c r="D107" s="182" t="s">
        <v>2</v>
      </c>
      <c r="E107" s="182"/>
      <c r="F107" s="182">
        <v>15000</v>
      </c>
      <c r="G107" s="344">
        <f t="shared" si="2"/>
        <v>21468911</v>
      </c>
      <c r="H107" s="182" t="s">
        <v>47</v>
      </c>
      <c r="I107" s="182" t="s">
        <v>319</v>
      </c>
      <c r="J107" s="342" t="s">
        <v>165</v>
      </c>
      <c r="K107" s="345" t="s">
        <v>209</v>
      </c>
      <c r="L107" s="343" t="s">
        <v>260</v>
      </c>
      <c r="M107" s="378" t="s">
        <v>500</v>
      </c>
      <c r="N107" s="343" t="s">
        <v>268</v>
      </c>
      <c r="O107" s="182"/>
    </row>
    <row r="108" spans="1:18" s="343" customFormat="1" ht="16.5">
      <c r="A108" s="313">
        <v>44851</v>
      </c>
      <c r="B108" s="343" t="s">
        <v>464</v>
      </c>
      <c r="C108" s="343" t="s">
        <v>225</v>
      </c>
      <c r="D108" s="343" t="s">
        <v>163</v>
      </c>
      <c r="E108" s="344"/>
      <c r="F108" s="344">
        <v>169000</v>
      </c>
      <c r="G108" s="344">
        <f t="shared" si="2"/>
        <v>21299911</v>
      </c>
      <c r="H108" s="343" t="s">
        <v>25</v>
      </c>
      <c r="I108" s="343" t="s">
        <v>319</v>
      </c>
      <c r="J108" s="342" t="s">
        <v>102</v>
      </c>
      <c r="K108" s="345" t="s">
        <v>209</v>
      </c>
      <c r="L108" s="343" t="s">
        <v>260</v>
      </c>
      <c r="M108" s="378" t="s">
        <v>501</v>
      </c>
      <c r="N108" s="343" t="s">
        <v>263</v>
      </c>
    </row>
    <row r="109" spans="1:18" s="343" customFormat="1" ht="16.5">
      <c r="A109" s="315">
        <v>44851</v>
      </c>
      <c r="B109" s="182" t="s">
        <v>398</v>
      </c>
      <c r="C109" s="182" t="s">
        <v>156</v>
      </c>
      <c r="D109" s="182" t="s">
        <v>2</v>
      </c>
      <c r="E109" s="182"/>
      <c r="F109" s="182">
        <v>60000</v>
      </c>
      <c r="G109" s="344">
        <f t="shared" si="2"/>
        <v>21239911</v>
      </c>
      <c r="H109" s="182" t="s">
        <v>47</v>
      </c>
      <c r="I109" s="182" t="s">
        <v>281</v>
      </c>
      <c r="J109" s="343" t="s">
        <v>165</v>
      </c>
      <c r="K109" s="343" t="s">
        <v>209</v>
      </c>
      <c r="L109" s="343" t="s">
        <v>260</v>
      </c>
      <c r="M109" s="378" t="s">
        <v>502</v>
      </c>
      <c r="N109" s="343" t="s">
        <v>269</v>
      </c>
      <c r="O109" s="182"/>
    </row>
    <row r="110" spans="1:18" s="343" customFormat="1" ht="16.5">
      <c r="A110" s="314">
        <v>44851</v>
      </c>
      <c r="B110" s="351" t="s">
        <v>399</v>
      </c>
      <c r="C110" s="351" t="s">
        <v>156</v>
      </c>
      <c r="D110" s="182" t="s">
        <v>2</v>
      </c>
      <c r="F110" s="358">
        <v>15000</v>
      </c>
      <c r="G110" s="344">
        <f t="shared" si="2"/>
        <v>21224911</v>
      </c>
      <c r="H110" s="352" t="s">
        <v>47</v>
      </c>
      <c r="I110" s="343" t="s">
        <v>319</v>
      </c>
      <c r="J110" s="343" t="s">
        <v>165</v>
      </c>
      <c r="K110" s="343" t="s">
        <v>209</v>
      </c>
      <c r="L110" s="343" t="s">
        <v>260</v>
      </c>
      <c r="M110" s="378" t="s">
        <v>503</v>
      </c>
      <c r="N110" s="343" t="s">
        <v>269</v>
      </c>
    </row>
    <row r="111" spans="1:18" s="343" customFormat="1" ht="16.5">
      <c r="A111" s="313">
        <v>44852</v>
      </c>
      <c r="B111" s="343" t="s">
        <v>400</v>
      </c>
      <c r="C111" s="343" t="s">
        <v>34</v>
      </c>
      <c r="D111" s="182" t="s">
        <v>2</v>
      </c>
      <c r="E111" s="344"/>
      <c r="F111" s="344">
        <v>5000</v>
      </c>
      <c r="G111" s="344">
        <f t="shared" si="2"/>
        <v>21219911</v>
      </c>
      <c r="H111" s="343" t="s">
        <v>47</v>
      </c>
      <c r="I111" s="343" t="s">
        <v>319</v>
      </c>
      <c r="J111" s="342" t="s">
        <v>165</v>
      </c>
      <c r="K111" s="345" t="s">
        <v>209</v>
      </c>
      <c r="L111" s="343" t="s">
        <v>260</v>
      </c>
      <c r="M111" s="378" t="s">
        <v>504</v>
      </c>
      <c r="N111" s="343" t="s">
        <v>268</v>
      </c>
    </row>
    <row r="112" spans="1:18" s="343" customFormat="1" ht="16.5">
      <c r="A112" s="313">
        <v>44853</v>
      </c>
      <c r="B112" s="343" t="s">
        <v>335</v>
      </c>
      <c r="C112" s="343" t="s">
        <v>243</v>
      </c>
      <c r="D112" s="343" t="s">
        <v>164</v>
      </c>
      <c r="E112" s="344"/>
      <c r="F112" s="344">
        <v>35000</v>
      </c>
      <c r="G112" s="344">
        <f t="shared" si="2"/>
        <v>21184911</v>
      </c>
      <c r="H112" s="343" t="s">
        <v>25</v>
      </c>
      <c r="I112" s="343" t="s">
        <v>300</v>
      </c>
      <c r="J112" s="343" t="s">
        <v>165</v>
      </c>
      <c r="K112" s="343" t="s">
        <v>208</v>
      </c>
      <c r="L112" s="343" t="s">
        <v>260</v>
      </c>
    </row>
    <row r="113" spans="1:18" s="343" customFormat="1" ht="16.5">
      <c r="A113" s="313">
        <v>44853</v>
      </c>
      <c r="B113" s="343" t="s">
        <v>336</v>
      </c>
      <c r="C113" s="343" t="s">
        <v>243</v>
      </c>
      <c r="D113" s="343" t="s">
        <v>164</v>
      </c>
      <c r="E113" s="344"/>
      <c r="F113" s="344">
        <v>150000</v>
      </c>
      <c r="G113" s="344">
        <f t="shared" si="2"/>
        <v>21034911</v>
      </c>
      <c r="H113" s="343" t="s">
        <v>25</v>
      </c>
      <c r="I113" s="343" t="s">
        <v>300</v>
      </c>
      <c r="J113" s="343" t="s">
        <v>165</v>
      </c>
      <c r="K113" s="343" t="s">
        <v>208</v>
      </c>
      <c r="L113" s="343" t="s">
        <v>260</v>
      </c>
      <c r="P113" s="351"/>
      <c r="Q113" s="351"/>
      <c r="R113" s="351"/>
    </row>
    <row r="114" spans="1:18" s="343" customFormat="1" ht="16.5">
      <c r="A114" s="313">
        <v>44853</v>
      </c>
      <c r="B114" s="343" t="s">
        <v>317</v>
      </c>
      <c r="C114" s="343" t="s">
        <v>75</v>
      </c>
      <c r="E114" s="344"/>
      <c r="F114" s="344">
        <v>20000</v>
      </c>
      <c r="G114" s="344">
        <f t="shared" si="2"/>
        <v>21014911</v>
      </c>
      <c r="H114" s="343" t="s">
        <v>25</v>
      </c>
    </row>
    <row r="115" spans="1:18" s="343" customFormat="1" ht="16.5">
      <c r="A115" s="313">
        <v>44853</v>
      </c>
      <c r="B115" s="343" t="s">
        <v>383</v>
      </c>
      <c r="C115" s="343" t="s">
        <v>381</v>
      </c>
      <c r="D115" s="182" t="s">
        <v>2</v>
      </c>
      <c r="E115" s="344"/>
      <c r="F115" s="344">
        <v>45000</v>
      </c>
      <c r="G115" s="344">
        <f t="shared" si="2"/>
        <v>20969911</v>
      </c>
      <c r="H115" s="343" t="s">
        <v>113</v>
      </c>
      <c r="I115" s="343" t="s">
        <v>319</v>
      </c>
      <c r="J115" s="343" t="s">
        <v>165</v>
      </c>
      <c r="K115" s="343" t="s">
        <v>209</v>
      </c>
      <c r="L115" s="343" t="s">
        <v>260</v>
      </c>
      <c r="M115" s="378" t="s">
        <v>505</v>
      </c>
      <c r="N115" s="343" t="s">
        <v>269</v>
      </c>
    </row>
    <row r="116" spans="1:18" s="343" customFormat="1" ht="16.5">
      <c r="A116" s="313">
        <v>44853</v>
      </c>
      <c r="B116" s="343" t="s">
        <v>384</v>
      </c>
      <c r="C116" s="343" t="s">
        <v>385</v>
      </c>
      <c r="D116" s="182" t="s">
        <v>2</v>
      </c>
      <c r="E116" s="344"/>
      <c r="F116" s="344">
        <v>40000</v>
      </c>
      <c r="G116" s="344">
        <f t="shared" si="2"/>
        <v>20929911</v>
      </c>
      <c r="H116" s="343" t="s">
        <v>113</v>
      </c>
      <c r="I116" s="343" t="s">
        <v>319</v>
      </c>
      <c r="J116" s="343" t="s">
        <v>102</v>
      </c>
      <c r="K116" s="343" t="s">
        <v>209</v>
      </c>
      <c r="L116" s="343" t="s">
        <v>260</v>
      </c>
      <c r="M116" s="378" t="s">
        <v>506</v>
      </c>
      <c r="N116" s="343" t="s">
        <v>447</v>
      </c>
      <c r="O116" s="350"/>
    </row>
    <row r="117" spans="1:18" s="343" customFormat="1" ht="16.5">
      <c r="A117" s="317">
        <v>44853</v>
      </c>
      <c r="B117" s="343" t="s">
        <v>425</v>
      </c>
      <c r="C117" s="343" t="s">
        <v>75</v>
      </c>
      <c r="E117" s="344">
        <v>20000</v>
      </c>
      <c r="F117" s="344"/>
      <c r="G117" s="344">
        <f t="shared" si="2"/>
        <v>20949911</v>
      </c>
      <c r="H117" s="343" t="s">
        <v>317</v>
      </c>
    </row>
    <row r="118" spans="1:18" s="343" customFormat="1" ht="16.5">
      <c r="A118" s="317">
        <v>44853</v>
      </c>
      <c r="B118" s="343" t="s">
        <v>401</v>
      </c>
      <c r="C118" s="343" t="s">
        <v>156</v>
      </c>
      <c r="D118" s="182" t="s">
        <v>2</v>
      </c>
      <c r="E118" s="344"/>
      <c r="F118" s="344">
        <v>15000</v>
      </c>
      <c r="G118" s="344">
        <f t="shared" si="2"/>
        <v>20934911</v>
      </c>
      <c r="H118" s="343" t="s">
        <v>47</v>
      </c>
      <c r="I118" s="343" t="s">
        <v>319</v>
      </c>
      <c r="J118" s="343" t="s">
        <v>165</v>
      </c>
      <c r="K118" s="343" t="s">
        <v>209</v>
      </c>
      <c r="L118" s="343" t="s">
        <v>260</v>
      </c>
      <c r="M118" s="378" t="s">
        <v>507</v>
      </c>
      <c r="N118" s="343" t="s">
        <v>269</v>
      </c>
    </row>
    <row r="119" spans="1:18" s="343" customFormat="1" ht="16.5">
      <c r="A119" s="313">
        <v>44853</v>
      </c>
      <c r="B119" s="343" t="s">
        <v>402</v>
      </c>
      <c r="C119" s="343" t="s">
        <v>34</v>
      </c>
      <c r="D119" s="182" t="s">
        <v>2</v>
      </c>
      <c r="E119" s="344"/>
      <c r="F119" s="344">
        <v>7000</v>
      </c>
      <c r="G119" s="344">
        <f t="shared" si="2"/>
        <v>20927911</v>
      </c>
      <c r="H119" s="343" t="s">
        <v>47</v>
      </c>
      <c r="I119" s="344" t="s">
        <v>319</v>
      </c>
      <c r="J119" s="342" t="s">
        <v>165</v>
      </c>
      <c r="K119" s="345" t="s">
        <v>209</v>
      </c>
      <c r="L119" s="343" t="s">
        <v>260</v>
      </c>
      <c r="M119" s="378" t="s">
        <v>508</v>
      </c>
      <c r="N119" s="343" t="s">
        <v>268</v>
      </c>
    </row>
    <row r="120" spans="1:18" s="343" customFormat="1" ht="16.5">
      <c r="A120" s="317">
        <v>44853</v>
      </c>
      <c r="B120" s="182" t="s">
        <v>454</v>
      </c>
      <c r="C120" s="182" t="s">
        <v>34</v>
      </c>
      <c r="D120" s="182" t="s">
        <v>252</v>
      </c>
      <c r="E120" s="182"/>
      <c r="F120" s="355">
        <v>7000</v>
      </c>
      <c r="G120" s="344">
        <f t="shared" si="2"/>
        <v>20920911</v>
      </c>
      <c r="H120" s="182" t="s">
        <v>47</v>
      </c>
      <c r="I120" s="343" t="s">
        <v>319</v>
      </c>
      <c r="J120" s="343" t="s">
        <v>165</v>
      </c>
      <c r="K120" s="343" t="s">
        <v>208</v>
      </c>
      <c r="L120" s="343" t="s">
        <v>260</v>
      </c>
      <c r="M120" s="182"/>
      <c r="N120" s="182"/>
      <c r="O120" s="182"/>
    </row>
    <row r="121" spans="1:18" s="343" customFormat="1" ht="16.5">
      <c r="A121" s="313">
        <v>44853</v>
      </c>
      <c r="B121" s="343" t="s">
        <v>455</v>
      </c>
      <c r="C121" s="343" t="s">
        <v>156</v>
      </c>
      <c r="D121" s="182" t="s">
        <v>2</v>
      </c>
      <c r="E121" s="344"/>
      <c r="F121" s="344">
        <v>4000</v>
      </c>
      <c r="G121" s="344">
        <f t="shared" si="2"/>
        <v>20916911</v>
      </c>
      <c r="H121" s="343" t="s">
        <v>47</v>
      </c>
      <c r="I121" s="343" t="s">
        <v>319</v>
      </c>
      <c r="J121" s="343" t="s">
        <v>165</v>
      </c>
      <c r="K121" s="343" t="s">
        <v>208</v>
      </c>
      <c r="L121" s="343" t="s">
        <v>260</v>
      </c>
    </row>
    <row r="122" spans="1:18" s="343" customFormat="1" ht="16.5">
      <c r="A122" s="316">
        <v>44854</v>
      </c>
      <c r="B122" s="354" t="s">
        <v>360</v>
      </c>
      <c r="C122" s="182" t="s">
        <v>282</v>
      </c>
      <c r="D122" s="182" t="s">
        <v>163</v>
      </c>
      <c r="F122" s="182">
        <v>150000</v>
      </c>
      <c r="G122" s="344">
        <f t="shared" si="2"/>
        <v>20766911</v>
      </c>
      <c r="H122" s="343" t="s">
        <v>24</v>
      </c>
      <c r="I122" s="182">
        <v>3654518</v>
      </c>
      <c r="J122" s="343" t="s">
        <v>165</v>
      </c>
      <c r="K122" s="343" t="s">
        <v>208</v>
      </c>
      <c r="L122" s="343" t="s">
        <v>260</v>
      </c>
      <c r="M122" s="182"/>
      <c r="N122" s="182"/>
      <c r="O122" s="182"/>
    </row>
    <row r="123" spans="1:18" s="343" customFormat="1" ht="16.5">
      <c r="A123" s="313">
        <v>44854</v>
      </c>
      <c r="B123" s="343" t="s">
        <v>456</v>
      </c>
      <c r="C123" s="343" t="s">
        <v>156</v>
      </c>
      <c r="D123" s="182" t="s">
        <v>2</v>
      </c>
      <c r="E123" s="344"/>
      <c r="F123" s="344">
        <v>6200</v>
      </c>
      <c r="G123" s="344">
        <f t="shared" si="2"/>
        <v>20760711</v>
      </c>
      <c r="H123" s="343" t="s">
        <v>47</v>
      </c>
      <c r="I123" s="343" t="s">
        <v>319</v>
      </c>
      <c r="J123" s="343" t="s">
        <v>165</v>
      </c>
      <c r="K123" s="343" t="s">
        <v>208</v>
      </c>
      <c r="L123" s="343" t="s">
        <v>260</v>
      </c>
    </row>
    <row r="124" spans="1:18" s="343" customFormat="1" ht="16.5">
      <c r="A124" s="313">
        <v>44855</v>
      </c>
      <c r="B124" s="347" t="s">
        <v>254</v>
      </c>
      <c r="C124" s="343" t="s">
        <v>75</v>
      </c>
      <c r="F124" s="344">
        <v>120000</v>
      </c>
      <c r="G124" s="344">
        <f t="shared" si="2"/>
        <v>20640711</v>
      </c>
      <c r="H124" s="344" t="s">
        <v>25</v>
      </c>
      <c r="K124" s="345"/>
      <c r="L124" s="350"/>
    </row>
    <row r="125" spans="1:18" s="343" customFormat="1" ht="16.5">
      <c r="A125" s="313">
        <v>44855</v>
      </c>
      <c r="B125" s="347" t="s">
        <v>337</v>
      </c>
      <c r="C125" s="182" t="s">
        <v>224</v>
      </c>
      <c r="D125" s="349" t="s">
        <v>252</v>
      </c>
      <c r="F125" s="344">
        <v>6270</v>
      </c>
      <c r="G125" s="344">
        <f t="shared" si="2"/>
        <v>20634441</v>
      </c>
      <c r="H125" s="344" t="s">
        <v>25</v>
      </c>
      <c r="I125" s="343" t="s">
        <v>319</v>
      </c>
      <c r="J125" s="343" t="s">
        <v>102</v>
      </c>
      <c r="K125" s="343" t="s">
        <v>209</v>
      </c>
      <c r="L125" s="343" t="s">
        <v>260</v>
      </c>
      <c r="M125" s="378" t="s">
        <v>509</v>
      </c>
      <c r="N125" s="343" t="s">
        <v>261</v>
      </c>
    </row>
    <row r="126" spans="1:18" s="343" customFormat="1" ht="16.5">
      <c r="A126" s="314">
        <v>44855</v>
      </c>
      <c r="B126" s="343" t="s">
        <v>338</v>
      </c>
      <c r="C126" s="343" t="s">
        <v>243</v>
      </c>
      <c r="D126" s="343" t="s">
        <v>164</v>
      </c>
      <c r="F126" s="343">
        <v>150000</v>
      </c>
      <c r="G126" s="344">
        <f t="shared" si="2"/>
        <v>20484441</v>
      </c>
      <c r="H126" s="182" t="s">
        <v>25</v>
      </c>
      <c r="I126" s="343" t="s">
        <v>300</v>
      </c>
      <c r="J126" s="343" t="s">
        <v>165</v>
      </c>
      <c r="K126" s="343" t="s">
        <v>208</v>
      </c>
      <c r="L126" s="343" t="s">
        <v>260</v>
      </c>
    </row>
    <row r="127" spans="1:18" s="343" customFormat="1" ht="16.5">
      <c r="A127" s="316">
        <v>44855</v>
      </c>
      <c r="B127" s="352" t="s">
        <v>339</v>
      </c>
      <c r="C127" s="352" t="s">
        <v>243</v>
      </c>
      <c r="D127" s="352" t="s">
        <v>164</v>
      </c>
      <c r="E127" s="356"/>
      <c r="F127" s="356">
        <v>40000</v>
      </c>
      <c r="G127" s="344">
        <f t="shared" si="2"/>
        <v>20444441</v>
      </c>
      <c r="H127" s="357" t="s">
        <v>25</v>
      </c>
      <c r="I127" s="343" t="s">
        <v>300</v>
      </c>
      <c r="J127" s="343" t="s">
        <v>165</v>
      </c>
      <c r="K127" s="343" t="s">
        <v>208</v>
      </c>
      <c r="L127" s="343" t="s">
        <v>260</v>
      </c>
    </row>
    <row r="128" spans="1:18" s="343" customFormat="1" ht="16.5">
      <c r="A128" s="316">
        <v>44855</v>
      </c>
      <c r="B128" s="352" t="s">
        <v>340</v>
      </c>
      <c r="C128" s="352" t="s">
        <v>75</v>
      </c>
      <c r="D128" s="352"/>
      <c r="E128" s="356"/>
      <c r="F128" s="356">
        <v>120000</v>
      </c>
      <c r="G128" s="344">
        <f t="shared" si="2"/>
        <v>20324441</v>
      </c>
      <c r="H128" s="357" t="s">
        <v>25</v>
      </c>
      <c r="I128" s="352"/>
    </row>
    <row r="129" spans="1:18" s="343" customFormat="1" ht="16.5">
      <c r="A129" s="313">
        <v>44855</v>
      </c>
      <c r="B129" s="343" t="s">
        <v>29</v>
      </c>
      <c r="C129" s="343" t="s">
        <v>75</v>
      </c>
      <c r="E129" s="344"/>
      <c r="F129" s="344">
        <v>10000</v>
      </c>
      <c r="G129" s="344">
        <f t="shared" si="2"/>
        <v>20314441</v>
      </c>
      <c r="H129" s="343" t="s">
        <v>25</v>
      </c>
    </row>
    <row r="130" spans="1:18" s="343" customFormat="1" ht="16.5">
      <c r="A130" s="317">
        <v>44855</v>
      </c>
      <c r="B130" s="343" t="s">
        <v>431</v>
      </c>
      <c r="C130" s="343" t="s">
        <v>75</v>
      </c>
      <c r="E130" s="343">
        <v>120000</v>
      </c>
      <c r="F130" s="356"/>
      <c r="G130" s="344">
        <f t="shared" si="2"/>
        <v>20434441</v>
      </c>
      <c r="H130" s="343" t="s">
        <v>29</v>
      </c>
    </row>
    <row r="131" spans="1:18" s="343" customFormat="1" ht="16.5">
      <c r="A131" s="313">
        <v>44855</v>
      </c>
      <c r="B131" s="343" t="s">
        <v>431</v>
      </c>
      <c r="C131" s="343" t="s">
        <v>75</v>
      </c>
      <c r="E131" s="344">
        <v>10000</v>
      </c>
      <c r="F131" s="344"/>
      <c r="G131" s="344">
        <f t="shared" ref="G131:G162" si="3">+G130+E131-F131</f>
        <v>20444441</v>
      </c>
      <c r="H131" s="343" t="s">
        <v>29</v>
      </c>
    </row>
    <row r="132" spans="1:18" s="343" customFormat="1" ht="16.5">
      <c r="A132" s="317">
        <v>44855</v>
      </c>
      <c r="B132" s="182" t="s">
        <v>408</v>
      </c>
      <c r="C132" s="182" t="s">
        <v>75</v>
      </c>
      <c r="E132" s="182">
        <v>120000</v>
      </c>
      <c r="F132" s="182"/>
      <c r="G132" s="344">
        <f t="shared" si="3"/>
        <v>20564441</v>
      </c>
      <c r="H132" s="182" t="s">
        <v>47</v>
      </c>
      <c r="M132" s="182"/>
      <c r="N132" s="182"/>
      <c r="O132" s="182"/>
    </row>
    <row r="133" spans="1:18" s="343" customFormat="1" ht="16.5">
      <c r="A133" s="317">
        <v>44855</v>
      </c>
      <c r="B133" s="343" t="s">
        <v>457</v>
      </c>
      <c r="C133" s="343" t="s">
        <v>156</v>
      </c>
      <c r="D133" s="182" t="s">
        <v>2</v>
      </c>
      <c r="E133" s="344"/>
      <c r="F133" s="344">
        <v>4200</v>
      </c>
      <c r="G133" s="344">
        <f t="shared" si="3"/>
        <v>20560241</v>
      </c>
      <c r="H133" s="343" t="s">
        <v>47</v>
      </c>
      <c r="I133" s="343" t="s">
        <v>319</v>
      </c>
      <c r="J133" s="343" t="s">
        <v>165</v>
      </c>
      <c r="K133" s="343" t="s">
        <v>208</v>
      </c>
      <c r="L133" s="343" t="s">
        <v>260</v>
      </c>
      <c r="M133" s="346"/>
    </row>
    <row r="134" spans="1:18" s="343" customFormat="1" ht="16.5">
      <c r="A134" s="317">
        <v>44856</v>
      </c>
      <c r="B134" s="182" t="s">
        <v>432</v>
      </c>
      <c r="C134" s="343" t="s">
        <v>34</v>
      </c>
      <c r="D134" s="343" t="s">
        <v>4</v>
      </c>
      <c r="E134" s="182"/>
      <c r="F134" s="182">
        <v>15000</v>
      </c>
      <c r="G134" s="344">
        <f t="shared" si="3"/>
        <v>20545241</v>
      </c>
      <c r="H134" s="182" t="s">
        <v>29</v>
      </c>
      <c r="I134" s="343" t="s">
        <v>319</v>
      </c>
      <c r="J134" s="342" t="s">
        <v>165</v>
      </c>
      <c r="K134" s="345" t="s">
        <v>209</v>
      </c>
      <c r="L134" s="343" t="s">
        <v>260</v>
      </c>
      <c r="M134" s="378" t="s">
        <v>510</v>
      </c>
      <c r="N134" s="343" t="s">
        <v>268</v>
      </c>
      <c r="O134" s="182"/>
    </row>
    <row r="135" spans="1:18" s="343" customFormat="1" ht="16.5">
      <c r="A135" s="313">
        <v>44856</v>
      </c>
      <c r="B135" s="343" t="s">
        <v>403</v>
      </c>
      <c r="C135" s="343" t="s">
        <v>156</v>
      </c>
      <c r="D135" s="182" t="s">
        <v>2</v>
      </c>
      <c r="E135" s="344"/>
      <c r="F135" s="344">
        <v>45000</v>
      </c>
      <c r="G135" s="344">
        <f t="shared" si="3"/>
        <v>20500241</v>
      </c>
      <c r="H135" s="343" t="s">
        <v>47</v>
      </c>
      <c r="I135" s="343" t="s">
        <v>319</v>
      </c>
      <c r="J135" s="343" t="s">
        <v>165</v>
      </c>
      <c r="K135" s="343" t="s">
        <v>209</v>
      </c>
      <c r="L135" s="343" t="s">
        <v>260</v>
      </c>
      <c r="M135" s="378" t="s">
        <v>511</v>
      </c>
      <c r="N135" s="343" t="s">
        <v>269</v>
      </c>
    </row>
    <row r="136" spans="1:18" s="343" customFormat="1" ht="16.5">
      <c r="A136" s="313">
        <v>44856</v>
      </c>
      <c r="B136" s="343" t="s">
        <v>458</v>
      </c>
      <c r="C136" s="343" t="s">
        <v>156</v>
      </c>
      <c r="D136" s="182" t="s">
        <v>2</v>
      </c>
      <c r="E136" s="344"/>
      <c r="F136" s="344">
        <v>45000</v>
      </c>
      <c r="G136" s="344">
        <f t="shared" si="3"/>
        <v>20455241</v>
      </c>
      <c r="H136" s="343" t="s">
        <v>47</v>
      </c>
      <c r="I136" s="344" t="s">
        <v>319</v>
      </c>
      <c r="J136" s="343" t="s">
        <v>165</v>
      </c>
      <c r="K136" s="343" t="s">
        <v>208</v>
      </c>
      <c r="L136" s="343" t="s">
        <v>260</v>
      </c>
      <c r="O136" s="350"/>
    </row>
    <row r="137" spans="1:18" s="343" customFormat="1" ht="16.5">
      <c r="A137" s="313">
        <v>44856</v>
      </c>
      <c r="B137" s="343" t="s">
        <v>404</v>
      </c>
      <c r="C137" s="343" t="s">
        <v>34</v>
      </c>
      <c r="D137" s="182" t="s">
        <v>2</v>
      </c>
      <c r="E137" s="344"/>
      <c r="F137" s="344">
        <v>5000</v>
      </c>
      <c r="G137" s="344">
        <f t="shared" si="3"/>
        <v>20450241</v>
      </c>
      <c r="H137" s="343" t="s">
        <v>47</v>
      </c>
      <c r="I137" s="344" t="s">
        <v>319</v>
      </c>
      <c r="J137" s="342" t="s">
        <v>165</v>
      </c>
      <c r="K137" s="345" t="s">
        <v>209</v>
      </c>
      <c r="L137" s="343" t="s">
        <v>260</v>
      </c>
      <c r="M137" s="378" t="s">
        <v>512</v>
      </c>
      <c r="N137" s="343" t="s">
        <v>268</v>
      </c>
      <c r="O137" s="350"/>
    </row>
    <row r="138" spans="1:18" s="343" customFormat="1" ht="16.5">
      <c r="A138" s="313">
        <v>44856</v>
      </c>
      <c r="B138" s="343" t="s">
        <v>459</v>
      </c>
      <c r="C138" s="343" t="s">
        <v>34</v>
      </c>
      <c r="D138" s="182" t="s">
        <v>252</v>
      </c>
      <c r="E138" s="344"/>
      <c r="F138" s="344">
        <v>5000</v>
      </c>
      <c r="G138" s="344">
        <f t="shared" si="3"/>
        <v>20445241</v>
      </c>
      <c r="H138" s="343" t="s">
        <v>47</v>
      </c>
      <c r="I138" s="344" t="s">
        <v>319</v>
      </c>
      <c r="J138" s="343" t="s">
        <v>165</v>
      </c>
      <c r="K138" s="343" t="s">
        <v>208</v>
      </c>
      <c r="L138" s="343" t="s">
        <v>260</v>
      </c>
      <c r="O138" s="350"/>
    </row>
    <row r="139" spans="1:18" s="343" customFormat="1" ht="16.5">
      <c r="A139" s="313">
        <v>44856</v>
      </c>
      <c r="B139" s="343" t="s">
        <v>460</v>
      </c>
      <c r="C139" s="343" t="s">
        <v>34</v>
      </c>
      <c r="D139" s="182" t="s">
        <v>252</v>
      </c>
      <c r="E139" s="344"/>
      <c r="F139" s="344">
        <v>6000</v>
      </c>
      <c r="G139" s="344">
        <f t="shared" si="3"/>
        <v>20439241</v>
      </c>
      <c r="H139" s="343" t="s">
        <v>47</v>
      </c>
      <c r="I139" s="344" t="s">
        <v>281</v>
      </c>
      <c r="J139" s="343" t="s">
        <v>165</v>
      </c>
      <c r="K139" s="343" t="s">
        <v>208</v>
      </c>
      <c r="L139" s="343" t="s">
        <v>260</v>
      </c>
    </row>
    <row r="140" spans="1:18" s="343" customFormat="1" ht="16.5">
      <c r="A140" s="313">
        <v>44856</v>
      </c>
      <c r="B140" s="343" t="s">
        <v>405</v>
      </c>
      <c r="C140" s="343" t="s">
        <v>258</v>
      </c>
      <c r="D140" s="343" t="s">
        <v>163</v>
      </c>
      <c r="F140" s="356">
        <v>32000</v>
      </c>
      <c r="G140" s="344">
        <f t="shared" si="3"/>
        <v>20407241</v>
      </c>
      <c r="H140" s="343" t="s">
        <v>47</v>
      </c>
      <c r="I140" s="343" t="s">
        <v>281</v>
      </c>
      <c r="J140" s="343" t="s">
        <v>165</v>
      </c>
      <c r="K140" s="343" t="s">
        <v>208</v>
      </c>
      <c r="L140" s="343" t="s">
        <v>260</v>
      </c>
    </row>
    <row r="141" spans="1:18" s="343" customFormat="1" ht="16.5">
      <c r="A141" s="317">
        <v>44857</v>
      </c>
      <c r="B141" s="182" t="s">
        <v>396</v>
      </c>
      <c r="C141" s="182" t="s">
        <v>34</v>
      </c>
      <c r="D141" s="182" t="s">
        <v>2</v>
      </c>
      <c r="E141" s="182"/>
      <c r="F141" s="182">
        <v>10000</v>
      </c>
      <c r="G141" s="344">
        <f t="shared" si="3"/>
        <v>20397241</v>
      </c>
      <c r="H141" s="182" t="s">
        <v>47</v>
      </c>
      <c r="I141" s="182" t="s">
        <v>319</v>
      </c>
      <c r="J141" s="342" t="s">
        <v>165</v>
      </c>
      <c r="K141" s="345" t="s">
        <v>209</v>
      </c>
      <c r="L141" s="343" t="s">
        <v>260</v>
      </c>
      <c r="M141" s="378" t="s">
        <v>513</v>
      </c>
      <c r="N141" s="343" t="s">
        <v>268</v>
      </c>
      <c r="O141" s="182"/>
      <c r="P141" s="182"/>
      <c r="Q141" s="182"/>
      <c r="R141" s="182"/>
    </row>
    <row r="142" spans="1:18" s="343" customFormat="1" ht="16.5">
      <c r="A142" s="313">
        <v>44857</v>
      </c>
      <c r="B142" s="182" t="s">
        <v>433</v>
      </c>
      <c r="C142" s="182" t="s">
        <v>156</v>
      </c>
      <c r="D142" s="343" t="s">
        <v>4</v>
      </c>
      <c r="E142" s="182"/>
      <c r="F142" s="355">
        <v>70000</v>
      </c>
      <c r="G142" s="344">
        <f t="shared" si="3"/>
        <v>20327241</v>
      </c>
      <c r="H142" s="182" t="s">
        <v>29</v>
      </c>
      <c r="I142" s="343" t="s">
        <v>300</v>
      </c>
      <c r="J142" s="343" t="s">
        <v>165</v>
      </c>
      <c r="K142" s="343" t="s">
        <v>209</v>
      </c>
      <c r="L142" s="343" t="s">
        <v>260</v>
      </c>
      <c r="M142" s="378" t="s">
        <v>514</v>
      </c>
      <c r="N142" s="343" t="s">
        <v>269</v>
      </c>
      <c r="O142" s="182"/>
      <c r="P142" s="182"/>
      <c r="Q142" s="182"/>
      <c r="R142" s="182"/>
    </row>
    <row r="143" spans="1:18" s="343" customFormat="1" ht="16.5">
      <c r="A143" s="313">
        <v>44857</v>
      </c>
      <c r="B143" s="343" t="s">
        <v>406</v>
      </c>
      <c r="C143" s="343" t="s">
        <v>156</v>
      </c>
      <c r="D143" s="182" t="s">
        <v>2</v>
      </c>
      <c r="E143" s="344"/>
      <c r="F143" s="344">
        <v>15000</v>
      </c>
      <c r="G143" s="344">
        <f t="shared" si="3"/>
        <v>20312241</v>
      </c>
      <c r="H143" s="343" t="s">
        <v>47</v>
      </c>
      <c r="I143" s="343" t="s">
        <v>319</v>
      </c>
      <c r="J143" s="343" t="s">
        <v>165</v>
      </c>
      <c r="K143" s="343" t="s">
        <v>209</v>
      </c>
      <c r="L143" s="343" t="s">
        <v>260</v>
      </c>
      <c r="M143" s="378" t="s">
        <v>515</v>
      </c>
      <c r="N143" s="343" t="s">
        <v>269</v>
      </c>
      <c r="P143" s="182"/>
      <c r="Q143" s="182"/>
      <c r="R143" s="182"/>
    </row>
    <row r="144" spans="1:18" s="343" customFormat="1" ht="16.5">
      <c r="A144" s="313">
        <v>44858</v>
      </c>
      <c r="B144" s="343" t="s">
        <v>317</v>
      </c>
      <c r="C144" s="343" t="s">
        <v>75</v>
      </c>
      <c r="E144" s="344"/>
      <c r="F144" s="344">
        <v>15000</v>
      </c>
      <c r="G144" s="344">
        <f t="shared" si="3"/>
        <v>20297241</v>
      </c>
      <c r="H144" s="343" t="s">
        <v>25</v>
      </c>
      <c r="P144" s="182"/>
      <c r="Q144" s="182"/>
      <c r="R144" s="182"/>
    </row>
    <row r="145" spans="1:18" s="343" customFormat="1" ht="16.5">
      <c r="A145" s="317">
        <v>44858</v>
      </c>
      <c r="B145" s="182" t="s">
        <v>410</v>
      </c>
      <c r="C145" s="343" t="s">
        <v>253</v>
      </c>
      <c r="D145" s="343" t="s">
        <v>252</v>
      </c>
      <c r="E145" s="182"/>
      <c r="F145" s="355">
        <v>650</v>
      </c>
      <c r="G145" s="344">
        <f t="shared" si="3"/>
        <v>20296591</v>
      </c>
      <c r="H145" s="182" t="s">
        <v>31</v>
      </c>
      <c r="I145" s="343" t="s">
        <v>319</v>
      </c>
      <c r="J145" s="343" t="s">
        <v>165</v>
      </c>
      <c r="K145" s="343" t="s">
        <v>208</v>
      </c>
      <c r="L145" s="343" t="s">
        <v>260</v>
      </c>
      <c r="M145" s="182"/>
      <c r="N145" s="182"/>
      <c r="O145" s="182"/>
      <c r="P145" s="182"/>
      <c r="Q145" s="182"/>
      <c r="R145" s="182"/>
    </row>
    <row r="146" spans="1:18" s="343" customFormat="1" ht="16.5">
      <c r="A146" s="315">
        <v>44858</v>
      </c>
      <c r="B146" s="343" t="s">
        <v>425</v>
      </c>
      <c r="C146" s="343" t="s">
        <v>75</v>
      </c>
      <c r="E146" s="344">
        <v>15000</v>
      </c>
      <c r="F146" s="344"/>
      <c r="G146" s="344">
        <f t="shared" si="3"/>
        <v>20311591</v>
      </c>
      <c r="H146" s="343" t="s">
        <v>317</v>
      </c>
      <c r="P146" s="182"/>
      <c r="Q146" s="182"/>
      <c r="R146" s="182"/>
    </row>
    <row r="147" spans="1:18" s="343" customFormat="1" ht="16.5">
      <c r="A147" s="317">
        <v>44859</v>
      </c>
      <c r="B147" s="343" t="s">
        <v>29</v>
      </c>
      <c r="C147" s="343" t="s">
        <v>75</v>
      </c>
      <c r="E147" s="344"/>
      <c r="F147" s="344">
        <v>115000</v>
      </c>
      <c r="G147" s="344">
        <f t="shared" si="3"/>
        <v>20196591</v>
      </c>
      <c r="H147" s="343" t="s">
        <v>25</v>
      </c>
      <c r="P147" s="182"/>
      <c r="Q147" s="182"/>
      <c r="R147" s="182"/>
    </row>
    <row r="148" spans="1:18" s="343" customFormat="1" ht="16.5">
      <c r="A148" s="316">
        <v>44859</v>
      </c>
      <c r="B148" s="182" t="s">
        <v>341</v>
      </c>
      <c r="C148" s="182" t="s">
        <v>224</v>
      </c>
      <c r="D148" s="343" t="s">
        <v>252</v>
      </c>
      <c r="E148" s="182"/>
      <c r="F148" s="182">
        <v>3450</v>
      </c>
      <c r="G148" s="344">
        <f t="shared" si="3"/>
        <v>20193141</v>
      </c>
      <c r="H148" s="182" t="s">
        <v>25</v>
      </c>
      <c r="I148" s="343" t="s">
        <v>319</v>
      </c>
      <c r="J148" s="343" t="s">
        <v>102</v>
      </c>
      <c r="K148" s="343" t="s">
        <v>209</v>
      </c>
      <c r="L148" s="343" t="s">
        <v>260</v>
      </c>
      <c r="M148" s="378" t="s">
        <v>516</v>
      </c>
      <c r="N148" s="343" t="s">
        <v>261</v>
      </c>
      <c r="O148" s="182"/>
      <c r="P148" s="182"/>
      <c r="Q148" s="182"/>
      <c r="R148" s="182"/>
    </row>
    <row r="149" spans="1:18" s="343" customFormat="1" ht="16.5">
      <c r="A149" s="313">
        <v>44859</v>
      </c>
      <c r="B149" s="343" t="s">
        <v>431</v>
      </c>
      <c r="C149" s="343" t="s">
        <v>75</v>
      </c>
      <c r="E149" s="343">
        <v>115000</v>
      </c>
      <c r="F149" s="356"/>
      <c r="G149" s="344">
        <f t="shared" si="3"/>
        <v>20308141</v>
      </c>
      <c r="H149" s="343" t="s">
        <v>29</v>
      </c>
      <c r="K149" s="182"/>
      <c r="L149" s="182"/>
      <c r="M149" s="346"/>
      <c r="N149" s="182"/>
      <c r="P149" s="182"/>
      <c r="Q149" s="182"/>
      <c r="R149" s="182"/>
    </row>
    <row r="150" spans="1:18" s="343" customFormat="1" ht="16.5">
      <c r="A150" s="313">
        <v>44860</v>
      </c>
      <c r="B150" s="182" t="s">
        <v>342</v>
      </c>
      <c r="C150" s="182" t="s">
        <v>225</v>
      </c>
      <c r="D150" s="343" t="s">
        <v>163</v>
      </c>
      <c r="E150" s="182"/>
      <c r="F150" s="182">
        <v>76000</v>
      </c>
      <c r="G150" s="344">
        <f t="shared" si="3"/>
        <v>20232141</v>
      </c>
      <c r="H150" s="182" t="s">
        <v>25</v>
      </c>
      <c r="I150" s="343" t="s">
        <v>319</v>
      </c>
      <c r="J150" s="342" t="s">
        <v>165</v>
      </c>
      <c r="K150" s="345" t="s">
        <v>209</v>
      </c>
      <c r="L150" s="343" t="s">
        <v>260</v>
      </c>
      <c r="M150" s="378" t="s">
        <v>517</v>
      </c>
      <c r="N150" s="343" t="s">
        <v>263</v>
      </c>
      <c r="O150" s="182"/>
      <c r="P150" s="182"/>
      <c r="Q150" s="182"/>
      <c r="R150" s="182"/>
    </row>
    <row r="151" spans="1:18" s="343" customFormat="1" ht="16.5">
      <c r="A151" s="317">
        <v>44860</v>
      </c>
      <c r="B151" s="343" t="s">
        <v>207</v>
      </c>
      <c r="C151" s="343" t="s">
        <v>75</v>
      </c>
      <c r="F151" s="343">
        <v>91000</v>
      </c>
      <c r="G151" s="344">
        <f t="shared" si="3"/>
        <v>20141141</v>
      </c>
      <c r="H151" s="182" t="s">
        <v>25</v>
      </c>
      <c r="M151" s="346"/>
      <c r="P151" s="182"/>
      <c r="Q151" s="182"/>
      <c r="R151" s="182"/>
    </row>
    <row r="152" spans="1:18" s="343" customFormat="1" ht="16.5">
      <c r="A152" s="317">
        <v>44860</v>
      </c>
      <c r="B152" s="343" t="s">
        <v>343</v>
      </c>
      <c r="C152" s="343" t="s">
        <v>75</v>
      </c>
      <c r="E152" s="344"/>
      <c r="F152" s="344">
        <v>15000</v>
      </c>
      <c r="G152" s="344">
        <f t="shared" si="3"/>
        <v>20126141</v>
      </c>
      <c r="H152" s="343" t="s">
        <v>25</v>
      </c>
      <c r="M152" s="346"/>
      <c r="P152" s="182"/>
      <c r="Q152" s="182"/>
      <c r="R152" s="182"/>
    </row>
    <row r="153" spans="1:18" s="343" customFormat="1" ht="16.5">
      <c r="A153" s="316">
        <v>44860</v>
      </c>
      <c r="B153" s="343" t="s">
        <v>338</v>
      </c>
      <c r="C153" s="343" t="s">
        <v>243</v>
      </c>
      <c r="D153" s="343" t="s">
        <v>164</v>
      </c>
      <c r="E153" s="344"/>
      <c r="F153" s="344">
        <v>35000</v>
      </c>
      <c r="G153" s="344">
        <f t="shared" si="3"/>
        <v>20091141</v>
      </c>
      <c r="H153" s="343" t="s">
        <v>25</v>
      </c>
      <c r="I153" s="343" t="s">
        <v>300</v>
      </c>
      <c r="J153" s="343" t="s">
        <v>165</v>
      </c>
      <c r="K153" s="343" t="s">
        <v>208</v>
      </c>
      <c r="L153" s="343" t="s">
        <v>260</v>
      </c>
      <c r="M153" s="346"/>
      <c r="P153" s="182"/>
      <c r="Q153" s="182"/>
      <c r="R153" s="182"/>
    </row>
    <row r="154" spans="1:18" s="343" customFormat="1" ht="16.5">
      <c r="A154" s="313">
        <v>44860</v>
      </c>
      <c r="B154" s="343" t="s">
        <v>336</v>
      </c>
      <c r="C154" s="343" t="s">
        <v>243</v>
      </c>
      <c r="D154" s="343" t="s">
        <v>164</v>
      </c>
      <c r="E154" s="344"/>
      <c r="F154" s="344">
        <v>35000</v>
      </c>
      <c r="G154" s="344">
        <f t="shared" si="3"/>
        <v>20056141</v>
      </c>
      <c r="H154" s="343" t="s">
        <v>25</v>
      </c>
      <c r="I154" s="343" t="s">
        <v>300</v>
      </c>
      <c r="J154" s="343" t="s">
        <v>165</v>
      </c>
      <c r="K154" s="343" t="s">
        <v>208</v>
      </c>
      <c r="L154" s="343" t="s">
        <v>260</v>
      </c>
      <c r="M154" s="346"/>
      <c r="P154" s="182"/>
      <c r="Q154" s="182"/>
      <c r="R154" s="182"/>
    </row>
    <row r="155" spans="1:18" s="343" customFormat="1" ht="16.5">
      <c r="A155" s="317">
        <v>44860</v>
      </c>
      <c r="B155" s="182" t="s">
        <v>451</v>
      </c>
      <c r="C155" s="182" t="s">
        <v>3</v>
      </c>
      <c r="D155" s="343" t="s">
        <v>252</v>
      </c>
      <c r="F155" s="343">
        <v>75625</v>
      </c>
      <c r="G155" s="344">
        <f t="shared" si="3"/>
        <v>19980516</v>
      </c>
      <c r="H155" s="182" t="s">
        <v>25</v>
      </c>
      <c r="I155" s="343" t="s">
        <v>319</v>
      </c>
      <c r="J155" s="343" t="s">
        <v>165</v>
      </c>
      <c r="K155" s="182" t="s">
        <v>208</v>
      </c>
      <c r="L155" s="182" t="s">
        <v>260</v>
      </c>
      <c r="M155" s="346"/>
      <c r="N155" s="182"/>
      <c r="P155" s="182"/>
      <c r="Q155" s="182"/>
      <c r="R155" s="182"/>
    </row>
    <row r="156" spans="1:18" s="343" customFormat="1" ht="16.5">
      <c r="A156" s="313">
        <v>44860</v>
      </c>
      <c r="B156" s="343" t="s">
        <v>379</v>
      </c>
      <c r="C156" s="344" t="s">
        <v>443</v>
      </c>
      <c r="D156" s="344"/>
      <c r="E156" s="343">
        <v>5426732</v>
      </c>
      <c r="G156" s="344">
        <f t="shared" si="3"/>
        <v>25407248</v>
      </c>
      <c r="H156" s="343" t="s">
        <v>157</v>
      </c>
      <c r="I156" s="347" t="s">
        <v>255</v>
      </c>
      <c r="J156" s="343" t="s">
        <v>102</v>
      </c>
      <c r="L156" s="343" t="s">
        <v>260</v>
      </c>
      <c r="M156" s="378"/>
      <c r="N156" s="182"/>
      <c r="P156" s="182"/>
      <c r="Q156" s="182"/>
      <c r="R156" s="182"/>
    </row>
    <row r="157" spans="1:18" s="343" customFormat="1" ht="16.5">
      <c r="A157" s="313">
        <v>44860</v>
      </c>
      <c r="B157" s="182" t="s">
        <v>411</v>
      </c>
      <c r="C157" s="182" t="s">
        <v>34</v>
      </c>
      <c r="D157" s="182" t="s">
        <v>164</v>
      </c>
      <c r="E157" s="182"/>
      <c r="F157" s="182">
        <v>34000</v>
      </c>
      <c r="G157" s="344">
        <f t="shared" si="3"/>
        <v>25373248</v>
      </c>
      <c r="H157" s="182" t="s">
        <v>31</v>
      </c>
      <c r="I157" s="343" t="s">
        <v>300</v>
      </c>
      <c r="J157" s="342" t="s">
        <v>165</v>
      </c>
      <c r="K157" s="345" t="s">
        <v>209</v>
      </c>
      <c r="L157" s="343" t="s">
        <v>260</v>
      </c>
      <c r="M157" s="378" t="s">
        <v>518</v>
      </c>
      <c r="N157" s="343" t="s">
        <v>268</v>
      </c>
      <c r="O157" s="182"/>
      <c r="P157" s="182"/>
      <c r="Q157" s="182"/>
      <c r="R157" s="182"/>
    </row>
    <row r="158" spans="1:18" s="343" customFormat="1" ht="16.5">
      <c r="A158" s="313">
        <v>44860</v>
      </c>
      <c r="B158" s="343" t="s">
        <v>412</v>
      </c>
      <c r="C158" s="343" t="s">
        <v>75</v>
      </c>
      <c r="E158" s="343">
        <v>15000</v>
      </c>
      <c r="G158" s="344">
        <f t="shared" si="3"/>
        <v>25388248</v>
      </c>
      <c r="H158" s="182" t="s">
        <v>31</v>
      </c>
      <c r="M158" s="346"/>
      <c r="P158" s="182"/>
      <c r="Q158" s="182"/>
      <c r="R158" s="182"/>
    </row>
    <row r="159" spans="1:18" s="343" customFormat="1" ht="16.5">
      <c r="A159" s="313">
        <v>44860</v>
      </c>
      <c r="B159" s="343" t="s">
        <v>287</v>
      </c>
      <c r="C159" s="343" t="s">
        <v>278</v>
      </c>
      <c r="E159" s="344">
        <v>91000</v>
      </c>
      <c r="F159" s="344"/>
      <c r="G159" s="344">
        <f t="shared" si="3"/>
        <v>25479248</v>
      </c>
      <c r="H159" s="343" t="s">
        <v>207</v>
      </c>
      <c r="P159" s="182"/>
      <c r="Q159" s="182"/>
      <c r="R159" s="182"/>
    </row>
    <row r="160" spans="1:18" s="343" customFormat="1" ht="16.5">
      <c r="A160" s="313">
        <v>44860</v>
      </c>
      <c r="B160" s="343" t="s">
        <v>288</v>
      </c>
      <c r="C160" s="343" t="s">
        <v>34</v>
      </c>
      <c r="D160" s="343" t="s">
        <v>163</v>
      </c>
      <c r="E160" s="344"/>
      <c r="F160" s="344">
        <v>10000</v>
      </c>
      <c r="G160" s="344">
        <f t="shared" si="3"/>
        <v>25469248</v>
      </c>
      <c r="H160" s="343" t="s">
        <v>207</v>
      </c>
      <c r="I160" s="343" t="s">
        <v>319</v>
      </c>
      <c r="J160" s="342" t="s">
        <v>165</v>
      </c>
      <c r="K160" s="345" t="s">
        <v>209</v>
      </c>
      <c r="L160" s="343" t="s">
        <v>260</v>
      </c>
      <c r="M160" s="378" t="s">
        <v>519</v>
      </c>
      <c r="N160" s="343" t="s">
        <v>268</v>
      </c>
      <c r="P160" s="182"/>
      <c r="Q160" s="182"/>
      <c r="R160" s="182"/>
    </row>
    <row r="161" spans="1:18" s="343" customFormat="1" ht="16.5">
      <c r="A161" s="314">
        <v>44861</v>
      </c>
      <c r="B161" s="352" t="s">
        <v>317</v>
      </c>
      <c r="C161" s="352" t="s">
        <v>75</v>
      </c>
      <c r="D161" s="352"/>
      <c r="E161" s="356"/>
      <c r="F161" s="356">
        <v>20000</v>
      </c>
      <c r="G161" s="344">
        <f t="shared" si="3"/>
        <v>25449248</v>
      </c>
      <c r="H161" s="357" t="s">
        <v>25</v>
      </c>
      <c r="K161" s="182"/>
      <c r="L161" s="182"/>
      <c r="M161" s="346"/>
      <c r="N161" s="182"/>
      <c r="P161" s="182"/>
      <c r="Q161" s="182"/>
      <c r="R161" s="182"/>
    </row>
    <row r="162" spans="1:18" s="343" customFormat="1" ht="16.5">
      <c r="A162" s="316">
        <v>44861</v>
      </c>
      <c r="B162" s="343" t="s">
        <v>29</v>
      </c>
      <c r="C162" s="342" t="s">
        <v>75</v>
      </c>
      <c r="E162" s="344"/>
      <c r="F162" s="344">
        <v>60000</v>
      </c>
      <c r="G162" s="344">
        <f t="shared" si="3"/>
        <v>25389248</v>
      </c>
      <c r="H162" s="343" t="s">
        <v>25</v>
      </c>
      <c r="K162" s="182"/>
      <c r="L162" s="182"/>
      <c r="M162" s="346"/>
      <c r="N162" s="182"/>
      <c r="P162" s="182"/>
      <c r="Q162" s="182"/>
      <c r="R162" s="182"/>
    </row>
    <row r="163" spans="1:18" s="343" customFormat="1" ht="16.5">
      <c r="A163" s="313">
        <v>44861</v>
      </c>
      <c r="B163" s="343" t="s">
        <v>344</v>
      </c>
      <c r="C163" s="343" t="s">
        <v>75</v>
      </c>
      <c r="E163" s="344">
        <v>2000000</v>
      </c>
      <c r="F163" s="344"/>
      <c r="G163" s="344">
        <f t="shared" ref="G163:G194" si="4">+G162+E163-F163</f>
        <v>27389248</v>
      </c>
      <c r="H163" s="343" t="s">
        <v>25</v>
      </c>
      <c r="M163" s="346"/>
      <c r="P163" s="182"/>
      <c r="Q163" s="182"/>
      <c r="R163" s="182"/>
    </row>
    <row r="164" spans="1:18" s="343" customFormat="1" ht="16.5">
      <c r="A164" s="313">
        <v>44861</v>
      </c>
      <c r="B164" s="343" t="s">
        <v>345</v>
      </c>
      <c r="C164" s="343" t="s">
        <v>139</v>
      </c>
      <c r="D164" s="343" t="s">
        <v>252</v>
      </c>
      <c r="E164" s="344"/>
      <c r="F164" s="344">
        <v>45050</v>
      </c>
      <c r="G164" s="344">
        <f t="shared" si="4"/>
        <v>27344198</v>
      </c>
      <c r="H164" s="343" t="s">
        <v>25</v>
      </c>
      <c r="I164" s="343" t="s">
        <v>319</v>
      </c>
      <c r="J164" s="343" t="s">
        <v>165</v>
      </c>
      <c r="K164" s="343" t="s">
        <v>209</v>
      </c>
      <c r="L164" s="343" t="s">
        <v>260</v>
      </c>
      <c r="M164" s="378" t="s">
        <v>520</v>
      </c>
      <c r="N164" s="343" t="s">
        <v>262</v>
      </c>
      <c r="P164" s="182"/>
      <c r="Q164" s="182"/>
      <c r="R164" s="182"/>
    </row>
    <row r="165" spans="1:18" s="343" customFormat="1" ht="16.5">
      <c r="A165" s="317">
        <v>44861</v>
      </c>
      <c r="B165" s="343" t="s">
        <v>361</v>
      </c>
      <c r="C165" s="344" t="s">
        <v>75</v>
      </c>
      <c r="D165" s="344"/>
      <c r="F165" s="343">
        <v>2000000</v>
      </c>
      <c r="G165" s="344">
        <f t="shared" si="4"/>
        <v>25344198</v>
      </c>
      <c r="H165" s="343" t="s">
        <v>24</v>
      </c>
      <c r="I165" s="343">
        <v>3654517</v>
      </c>
      <c r="P165" s="182"/>
      <c r="Q165" s="182"/>
      <c r="R165" s="182"/>
    </row>
    <row r="166" spans="1:18" s="343" customFormat="1" ht="16.5">
      <c r="A166" s="317">
        <v>44861</v>
      </c>
      <c r="B166" s="343" t="s">
        <v>374</v>
      </c>
      <c r="C166" s="182" t="s">
        <v>180</v>
      </c>
      <c r="D166" s="343" t="s">
        <v>163</v>
      </c>
      <c r="F166" s="343">
        <v>357982</v>
      </c>
      <c r="G166" s="344">
        <f t="shared" si="4"/>
        <v>24986216</v>
      </c>
      <c r="H166" s="343" t="s">
        <v>157</v>
      </c>
      <c r="I166" s="343">
        <v>366762</v>
      </c>
      <c r="J166" s="343" t="s">
        <v>102</v>
      </c>
      <c r="K166" s="343" t="s">
        <v>209</v>
      </c>
      <c r="L166" s="343" t="s">
        <v>260</v>
      </c>
      <c r="M166" s="378" t="s">
        <v>521</v>
      </c>
      <c r="N166" s="182" t="s">
        <v>264</v>
      </c>
      <c r="O166" s="350"/>
      <c r="P166" s="182"/>
      <c r="Q166" s="182"/>
      <c r="R166" s="182"/>
    </row>
    <row r="167" spans="1:18" s="343" customFormat="1" ht="16.5">
      <c r="A167" s="313">
        <v>44861</v>
      </c>
      <c r="B167" s="343" t="s">
        <v>375</v>
      </c>
      <c r="C167" s="182" t="s">
        <v>180</v>
      </c>
      <c r="D167" s="343" t="s">
        <v>163</v>
      </c>
      <c r="F167" s="343">
        <v>200000</v>
      </c>
      <c r="G167" s="344">
        <f t="shared" si="4"/>
        <v>24786216</v>
      </c>
      <c r="H167" s="343" t="s">
        <v>157</v>
      </c>
      <c r="I167" s="343">
        <v>366763</v>
      </c>
      <c r="J167" s="343" t="s">
        <v>102</v>
      </c>
      <c r="K167" s="343" t="s">
        <v>209</v>
      </c>
      <c r="L167" s="343" t="s">
        <v>260</v>
      </c>
      <c r="M167" s="378" t="s">
        <v>522</v>
      </c>
      <c r="N167" s="182" t="s">
        <v>264</v>
      </c>
      <c r="P167" s="182"/>
      <c r="Q167" s="182"/>
      <c r="R167" s="182"/>
    </row>
    <row r="168" spans="1:18" s="343" customFormat="1" ht="16.5">
      <c r="A168" s="316">
        <v>44861</v>
      </c>
      <c r="B168" s="343" t="s">
        <v>376</v>
      </c>
      <c r="C168" s="182" t="s">
        <v>180</v>
      </c>
      <c r="D168" s="182" t="s">
        <v>2</v>
      </c>
      <c r="F168" s="343">
        <v>300000</v>
      </c>
      <c r="G168" s="344">
        <f t="shared" si="4"/>
        <v>24486216</v>
      </c>
      <c r="H168" s="343" t="s">
        <v>157</v>
      </c>
      <c r="I168" s="343">
        <v>366764</v>
      </c>
      <c r="J168" s="343" t="s">
        <v>102</v>
      </c>
      <c r="K168" s="343" t="s">
        <v>209</v>
      </c>
      <c r="L168" s="343" t="s">
        <v>260</v>
      </c>
      <c r="M168" s="378" t="s">
        <v>523</v>
      </c>
      <c r="N168" s="182" t="s">
        <v>265</v>
      </c>
      <c r="P168" s="182"/>
      <c r="Q168" s="182"/>
      <c r="R168" s="182"/>
    </row>
    <row r="169" spans="1:18" s="343" customFormat="1" ht="16.5">
      <c r="A169" s="313">
        <v>44861</v>
      </c>
      <c r="B169" s="343" t="s">
        <v>377</v>
      </c>
      <c r="C169" s="182" t="s">
        <v>180</v>
      </c>
      <c r="D169" s="344" t="s">
        <v>164</v>
      </c>
      <c r="F169" s="343">
        <v>234309</v>
      </c>
      <c r="G169" s="344">
        <f t="shared" si="4"/>
        <v>24251907</v>
      </c>
      <c r="H169" s="343" t="s">
        <v>157</v>
      </c>
      <c r="I169" s="343">
        <v>366765</v>
      </c>
      <c r="J169" s="343" t="s">
        <v>102</v>
      </c>
      <c r="K169" s="343" t="s">
        <v>209</v>
      </c>
      <c r="L169" s="343" t="s">
        <v>260</v>
      </c>
      <c r="M169" s="378" t="s">
        <v>524</v>
      </c>
      <c r="N169" s="182" t="s">
        <v>266</v>
      </c>
      <c r="O169" s="350"/>
    </row>
    <row r="170" spans="1:18" s="343" customFormat="1" ht="16.5">
      <c r="A170" s="313">
        <v>44861</v>
      </c>
      <c r="B170" s="343" t="s">
        <v>378</v>
      </c>
      <c r="C170" s="182" t="s">
        <v>180</v>
      </c>
      <c r="D170" s="182" t="s">
        <v>2</v>
      </c>
      <c r="F170" s="343">
        <v>1311914</v>
      </c>
      <c r="G170" s="344">
        <f t="shared" si="4"/>
        <v>22939993</v>
      </c>
      <c r="H170" s="343" t="s">
        <v>157</v>
      </c>
      <c r="I170" s="343">
        <v>366766</v>
      </c>
      <c r="J170" s="343" t="s">
        <v>102</v>
      </c>
      <c r="K170" s="343" t="s">
        <v>209</v>
      </c>
      <c r="L170" s="343" t="s">
        <v>260</v>
      </c>
      <c r="M170" s="378" t="s">
        <v>525</v>
      </c>
      <c r="N170" s="182" t="s">
        <v>290</v>
      </c>
    </row>
    <row r="171" spans="1:18" s="343" customFormat="1" ht="16.5">
      <c r="A171" s="313">
        <v>44861</v>
      </c>
      <c r="B171" s="343" t="s">
        <v>386</v>
      </c>
      <c r="C171" s="343" t="s">
        <v>34</v>
      </c>
      <c r="D171" s="182" t="s">
        <v>2</v>
      </c>
      <c r="E171" s="344"/>
      <c r="F171" s="344">
        <v>28000</v>
      </c>
      <c r="G171" s="344">
        <f t="shared" si="4"/>
        <v>22911993</v>
      </c>
      <c r="H171" s="343" t="s">
        <v>113</v>
      </c>
      <c r="I171" s="343" t="s">
        <v>300</v>
      </c>
      <c r="J171" s="342" t="s">
        <v>165</v>
      </c>
      <c r="K171" s="345" t="s">
        <v>209</v>
      </c>
      <c r="L171" s="343" t="s">
        <v>260</v>
      </c>
      <c r="M171" s="378" t="s">
        <v>526</v>
      </c>
      <c r="N171" s="343" t="s">
        <v>268</v>
      </c>
      <c r="O171" s="350"/>
    </row>
    <row r="172" spans="1:18" s="343" customFormat="1" ht="16.5">
      <c r="A172" s="313">
        <v>44861</v>
      </c>
      <c r="B172" s="343" t="s">
        <v>419</v>
      </c>
      <c r="C172" s="343" t="s">
        <v>156</v>
      </c>
      <c r="D172" s="343" t="s">
        <v>163</v>
      </c>
      <c r="E172" s="344"/>
      <c r="F172" s="344">
        <v>20000</v>
      </c>
      <c r="G172" s="344">
        <f t="shared" si="4"/>
        <v>22891993</v>
      </c>
      <c r="H172" s="343" t="s">
        <v>207</v>
      </c>
      <c r="I172" s="343" t="s">
        <v>300</v>
      </c>
      <c r="J172" s="343" t="s">
        <v>165</v>
      </c>
      <c r="K172" s="343" t="s">
        <v>209</v>
      </c>
      <c r="L172" s="343" t="s">
        <v>260</v>
      </c>
      <c r="M172" s="378" t="s">
        <v>527</v>
      </c>
      <c r="N172" s="343" t="s">
        <v>269</v>
      </c>
    </row>
    <row r="173" spans="1:18" s="343" customFormat="1" ht="16.5">
      <c r="A173" s="313">
        <v>44861</v>
      </c>
      <c r="B173" s="182" t="s">
        <v>425</v>
      </c>
      <c r="C173" s="182" t="s">
        <v>75</v>
      </c>
      <c r="D173" s="182"/>
      <c r="E173" s="182">
        <v>20000</v>
      </c>
      <c r="F173" s="182"/>
      <c r="G173" s="344">
        <f t="shared" si="4"/>
        <v>22911993</v>
      </c>
      <c r="H173" s="182" t="s">
        <v>317</v>
      </c>
      <c r="I173" s="182"/>
      <c r="J173" s="182"/>
      <c r="K173" s="182"/>
      <c r="L173" s="182"/>
      <c r="M173" s="182"/>
      <c r="N173" s="182"/>
      <c r="O173" s="182"/>
    </row>
    <row r="174" spans="1:18" s="343" customFormat="1" ht="16.5">
      <c r="A174" s="313">
        <v>44861</v>
      </c>
      <c r="B174" s="343" t="s">
        <v>434</v>
      </c>
      <c r="C174" s="342" t="s">
        <v>156</v>
      </c>
      <c r="D174" s="343" t="s">
        <v>4</v>
      </c>
      <c r="E174" s="344"/>
      <c r="F174" s="344">
        <v>60000</v>
      </c>
      <c r="G174" s="344">
        <f t="shared" si="4"/>
        <v>22851993</v>
      </c>
      <c r="H174" s="343" t="s">
        <v>29</v>
      </c>
      <c r="I174" s="343" t="s">
        <v>319</v>
      </c>
      <c r="J174" s="343" t="s">
        <v>165</v>
      </c>
      <c r="K174" s="343" t="s">
        <v>209</v>
      </c>
      <c r="L174" s="343" t="s">
        <v>260</v>
      </c>
      <c r="M174" s="378" t="s">
        <v>528</v>
      </c>
      <c r="N174" s="343" t="s">
        <v>269</v>
      </c>
    </row>
    <row r="175" spans="1:18" s="343" customFormat="1" ht="16.5">
      <c r="A175" s="313">
        <v>44861</v>
      </c>
      <c r="B175" s="343" t="s">
        <v>435</v>
      </c>
      <c r="C175" s="343" t="s">
        <v>34</v>
      </c>
      <c r="D175" s="343" t="s">
        <v>4</v>
      </c>
      <c r="E175" s="344"/>
      <c r="F175" s="344">
        <v>8000</v>
      </c>
      <c r="G175" s="344">
        <f t="shared" si="4"/>
        <v>22843993</v>
      </c>
      <c r="H175" s="343" t="s">
        <v>29</v>
      </c>
      <c r="I175" s="343" t="s">
        <v>319</v>
      </c>
      <c r="J175" s="342" t="s">
        <v>165</v>
      </c>
      <c r="K175" s="345" t="s">
        <v>209</v>
      </c>
      <c r="L175" s="343" t="s">
        <v>260</v>
      </c>
      <c r="M175" s="378" t="s">
        <v>529</v>
      </c>
      <c r="N175" s="343" t="s">
        <v>268</v>
      </c>
    </row>
    <row r="176" spans="1:18" s="343" customFormat="1" ht="16.5">
      <c r="A176" s="314">
        <v>44861</v>
      </c>
      <c r="B176" s="182" t="s">
        <v>436</v>
      </c>
      <c r="C176" s="182" t="s">
        <v>75</v>
      </c>
      <c r="D176" s="182"/>
      <c r="E176" s="182">
        <v>60000</v>
      </c>
      <c r="F176" s="182"/>
      <c r="G176" s="344">
        <f t="shared" si="4"/>
        <v>22903993</v>
      </c>
      <c r="H176" s="182" t="s">
        <v>29</v>
      </c>
      <c r="M176" s="346"/>
      <c r="O176" s="182"/>
    </row>
    <row r="177" spans="1:15" s="343" customFormat="1" ht="16.5">
      <c r="A177" s="316">
        <v>44862</v>
      </c>
      <c r="B177" s="182" t="s">
        <v>346</v>
      </c>
      <c r="C177" s="182" t="s">
        <v>181</v>
      </c>
      <c r="D177" s="182" t="s">
        <v>2</v>
      </c>
      <c r="E177" s="182"/>
      <c r="F177" s="182">
        <f>11000+11000+16000</f>
        <v>38000</v>
      </c>
      <c r="G177" s="344">
        <f t="shared" si="4"/>
        <v>22865993</v>
      </c>
      <c r="H177" s="182" t="s">
        <v>25</v>
      </c>
      <c r="I177" s="343" t="s">
        <v>319</v>
      </c>
      <c r="J177" s="343" t="s">
        <v>165</v>
      </c>
      <c r="K177" s="343" t="s">
        <v>209</v>
      </c>
      <c r="L177" s="343" t="s">
        <v>260</v>
      </c>
      <c r="M177" s="378" t="s">
        <v>530</v>
      </c>
      <c r="N177" s="343" t="s">
        <v>267</v>
      </c>
      <c r="O177" s="182"/>
    </row>
    <row r="178" spans="1:15" s="343" customFormat="1" ht="16.5">
      <c r="A178" s="317">
        <v>44862</v>
      </c>
      <c r="B178" s="182" t="s">
        <v>347</v>
      </c>
      <c r="C178" s="182" t="s">
        <v>181</v>
      </c>
      <c r="D178" s="182" t="s">
        <v>163</v>
      </c>
      <c r="E178" s="182"/>
      <c r="F178" s="182">
        <v>32000</v>
      </c>
      <c r="G178" s="344">
        <f t="shared" si="4"/>
        <v>22833993</v>
      </c>
      <c r="H178" s="182" t="s">
        <v>25</v>
      </c>
      <c r="I178" s="343" t="s">
        <v>319</v>
      </c>
      <c r="J178" s="343" t="s">
        <v>165</v>
      </c>
      <c r="K178" s="343" t="s">
        <v>209</v>
      </c>
      <c r="L178" s="343" t="s">
        <v>260</v>
      </c>
      <c r="M178" s="378" t="s">
        <v>531</v>
      </c>
      <c r="N178" s="343" t="s">
        <v>267</v>
      </c>
      <c r="O178" s="182"/>
    </row>
    <row r="179" spans="1:15" s="343" customFormat="1" ht="16.5">
      <c r="A179" s="313">
        <v>44862</v>
      </c>
      <c r="B179" s="352" t="s">
        <v>348</v>
      </c>
      <c r="C179" s="352" t="s">
        <v>181</v>
      </c>
      <c r="D179" s="352" t="s">
        <v>163</v>
      </c>
      <c r="E179" s="356"/>
      <c r="F179" s="356">
        <v>21000</v>
      </c>
      <c r="G179" s="344">
        <f t="shared" si="4"/>
        <v>22812993</v>
      </c>
      <c r="H179" s="357" t="s">
        <v>25</v>
      </c>
      <c r="I179" s="343" t="s">
        <v>319</v>
      </c>
      <c r="J179" s="343" t="s">
        <v>165</v>
      </c>
      <c r="K179" s="182" t="s">
        <v>208</v>
      </c>
      <c r="L179" s="182" t="s">
        <v>260</v>
      </c>
      <c r="M179" s="346"/>
    </row>
    <row r="180" spans="1:15" s="343" customFormat="1" ht="16.5">
      <c r="A180" s="313">
        <v>44862</v>
      </c>
      <c r="B180" s="343" t="s">
        <v>349</v>
      </c>
      <c r="C180" s="343" t="s">
        <v>181</v>
      </c>
      <c r="D180" s="343" t="s">
        <v>4</v>
      </c>
      <c r="E180" s="344"/>
      <c r="F180" s="344">
        <v>10000</v>
      </c>
      <c r="G180" s="344">
        <f t="shared" si="4"/>
        <v>22802993</v>
      </c>
      <c r="H180" s="343" t="s">
        <v>25</v>
      </c>
      <c r="I180" s="343" t="s">
        <v>319</v>
      </c>
      <c r="J180" s="343" t="s">
        <v>165</v>
      </c>
      <c r="K180" s="343" t="s">
        <v>209</v>
      </c>
      <c r="L180" s="343" t="s">
        <v>260</v>
      </c>
      <c r="M180" s="378" t="s">
        <v>532</v>
      </c>
      <c r="N180" s="343" t="s">
        <v>267</v>
      </c>
    </row>
    <row r="181" spans="1:15" s="343" customFormat="1" ht="16.5">
      <c r="A181" s="313">
        <v>44862</v>
      </c>
      <c r="B181" s="182" t="s">
        <v>350</v>
      </c>
      <c r="C181" s="182" t="s">
        <v>181</v>
      </c>
      <c r="D181" s="343" t="s">
        <v>4</v>
      </c>
      <c r="E181" s="182"/>
      <c r="F181" s="182">
        <v>21000</v>
      </c>
      <c r="G181" s="344">
        <f t="shared" si="4"/>
        <v>22781993</v>
      </c>
      <c r="H181" s="182" t="s">
        <v>25</v>
      </c>
      <c r="I181" s="343" t="s">
        <v>319</v>
      </c>
      <c r="J181" s="343" t="s">
        <v>165</v>
      </c>
      <c r="K181" s="182" t="s">
        <v>208</v>
      </c>
      <c r="L181" s="182" t="s">
        <v>260</v>
      </c>
      <c r="M181" s="346"/>
      <c r="O181" s="182"/>
    </row>
    <row r="182" spans="1:15" s="343" customFormat="1" ht="16.5">
      <c r="A182" s="317">
        <v>44862</v>
      </c>
      <c r="B182" s="343" t="s">
        <v>351</v>
      </c>
      <c r="C182" s="343" t="s">
        <v>181</v>
      </c>
      <c r="D182" s="343" t="s">
        <v>164</v>
      </c>
      <c r="F182" s="343">
        <v>5000</v>
      </c>
      <c r="G182" s="344">
        <f t="shared" si="4"/>
        <v>22776993</v>
      </c>
      <c r="H182" s="182" t="s">
        <v>25</v>
      </c>
      <c r="I182" s="343" t="s">
        <v>319</v>
      </c>
      <c r="J182" s="343" t="s">
        <v>165</v>
      </c>
      <c r="K182" s="343" t="s">
        <v>209</v>
      </c>
      <c r="L182" s="343" t="s">
        <v>260</v>
      </c>
      <c r="M182" s="378" t="s">
        <v>533</v>
      </c>
      <c r="N182" s="343" t="s">
        <v>267</v>
      </c>
    </row>
    <row r="183" spans="1:15" s="343" customFormat="1" ht="16.5">
      <c r="A183" s="316">
        <v>44862</v>
      </c>
      <c r="B183" s="343" t="s">
        <v>352</v>
      </c>
      <c r="C183" s="343" t="s">
        <v>181</v>
      </c>
      <c r="D183" s="182" t="s">
        <v>2</v>
      </c>
      <c r="E183" s="344"/>
      <c r="F183" s="344">
        <v>15000</v>
      </c>
      <c r="G183" s="344">
        <f t="shared" si="4"/>
        <v>22761993</v>
      </c>
      <c r="H183" s="343" t="s">
        <v>25</v>
      </c>
      <c r="I183" s="343" t="s">
        <v>319</v>
      </c>
      <c r="J183" s="343" t="s">
        <v>165</v>
      </c>
      <c r="K183" s="343" t="s">
        <v>209</v>
      </c>
      <c r="L183" s="343" t="s">
        <v>260</v>
      </c>
      <c r="M183" s="378" t="s">
        <v>534</v>
      </c>
      <c r="N183" s="343" t="s">
        <v>267</v>
      </c>
    </row>
    <row r="184" spans="1:15" s="343" customFormat="1" ht="16.5">
      <c r="A184" s="316">
        <v>44862</v>
      </c>
      <c r="B184" s="343" t="s">
        <v>353</v>
      </c>
      <c r="C184" s="343" t="s">
        <v>181</v>
      </c>
      <c r="D184" s="343" t="s">
        <v>163</v>
      </c>
      <c r="F184" s="343">
        <v>10000</v>
      </c>
      <c r="G184" s="344">
        <f t="shared" si="4"/>
        <v>22751993</v>
      </c>
      <c r="H184" s="182" t="s">
        <v>25</v>
      </c>
      <c r="I184" s="343" t="s">
        <v>319</v>
      </c>
      <c r="J184" s="343" t="s">
        <v>165</v>
      </c>
      <c r="K184" s="343" t="s">
        <v>209</v>
      </c>
      <c r="L184" s="343" t="s">
        <v>260</v>
      </c>
      <c r="M184" s="378" t="s">
        <v>535</v>
      </c>
      <c r="N184" s="343" t="s">
        <v>267</v>
      </c>
    </row>
    <row r="185" spans="1:15" s="343" customFormat="1" ht="16.5">
      <c r="A185" s="313">
        <v>44862</v>
      </c>
      <c r="B185" s="182" t="s">
        <v>354</v>
      </c>
      <c r="C185" s="182" t="s">
        <v>181</v>
      </c>
      <c r="D185" s="343" t="s">
        <v>4</v>
      </c>
      <c r="E185" s="182"/>
      <c r="F185" s="355">
        <v>16000</v>
      </c>
      <c r="G185" s="344">
        <f t="shared" si="4"/>
        <v>22735993</v>
      </c>
      <c r="H185" s="182" t="s">
        <v>25</v>
      </c>
      <c r="I185" s="343" t="s">
        <v>319</v>
      </c>
      <c r="J185" s="343" t="s">
        <v>165</v>
      </c>
      <c r="K185" s="343" t="s">
        <v>209</v>
      </c>
      <c r="L185" s="343" t="s">
        <v>260</v>
      </c>
      <c r="M185" s="378" t="s">
        <v>536</v>
      </c>
      <c r="N185" s="343" t="s">
        <v>267</v>
      </c>
      <c r="O185" s="182"/>
    </row>
    <row r="186" spans="1:15" s="343" customFormat="1" ht="16.5">
      <c r="A186" s="313">
        <v>44862</v>
      </c>
      <c r="B186" s="182" t="s">
        <v>355</v>
      </c>
      <c r="C186" s="182" t="s">
        <v>181</v>
      </c>
      <c r="D186" s="343" t="s">
        <v>164</v>
      </c>
      <c r="E186" s="182"/>
      <c r="F186" s="355">
        <v>11000</v>
      </c>
      <c r="G186" s="344">
        <f t="shared" si="4"/>
        <v>22724993</v>
      </c>
      <c r="H186" s="182" t="s">
        <v>25</v>
      </c>
      <c r="I186" s="343" t="s">
        <v>319</v>
      </c>
      <c r="J186" s="343" t="s">
        <v>165</v>
      </c>
      <c r="K186" s="343" t="s">
        <v>209</v>
      </c>
      <c r="L186" s="343" t="s">
        <v>260</v>
      </c>
      <c r="M186" s="378" t="s">
        <v>537</v>
      </c>
      <c r="N186" s="343" t="s">
        <v>267</v>
      </c>
      <c r="O186" s="182"/>
    </row>
    <row r="187" spans="1:15" s="343" customFormat="1" ht="16.5">
      <c r="A187" s="316">
        <v>44862</v>
      </c>
      <c r="B187" s="352" t="s">
        <v>356</v>
      </c>
      <c r="C187" s="182" t="s">
        <v>3</v>
      </c>
      <c r="D187" s="352" t="s">
        <v>252</v>
      </c>
      <c r="E187" s="356"/>
      <c r="F187" s="356">
        <v>20000</v>
      </c>
      <c r="G187" s="344">
        <f t="shared" si="4"/>
        <v>22704993</v>
      </c>
      <c r="H187" s="357" t="s">
        <v>25</v>
      </c>
      <c r="I187" s="343" t="s">
        <v>319</v>
      </c>
      <c r="J187" s="343" t="s">
        <v>165</v>
      </c>
      <c r="K187" s="182" t="s">
        <v>208</v>
      </c>
      <c r="L187" s="182" t="s">
        <v>260</v>
      </c>
      <c r="M187" s="346"/>
      <c r="N187" s="182"/>
    </row>
    <row r="188" spans="1:15" s="343" customFormat="1" ht="16.5">
      <c r="A188" s="313">
        <v>44862</v>
      </c>
      <c r="B188" s="352" t="s">
        <v>448</v>
      </c>
      <c r="C188" s="343" t="s">
        <v>253</v>
      </c>
      <c r="D188" s="352" t="s">
        <v>252</v>
      </c>
      <c r="E188" s="356"/>
      <c r="F188" s="356">
        <v>4000</v>
      </c>
      <c r="G188" s="344">
        <f t="shared" si="4"/>
        <v>22700993</v>
      </c>
      <c r="H188" s="357" t="s">
        <v>25</v>
      </c>
      <c r="I188" s="343" t="s">
        <v>319</v>
      </c>
      <c r="J188" s="343" t="s">
        <v>165</v>
      </c>
      <c r="K188" s="343" t="s">
        <v>208</v>
      </c>
      <c r="L188" s="343" t="s">
        <v>260</v>
      </c>
      <c r="M188" s="346"/>
    </row>
    <row r="189" spans="1:15" s="343" customFormat="1" ht="16.5">
      <c r="A189" s="316">
        <v>44862</v>
      </c>
      <c r="B189" s="343" t="s">
        <v>357</v>
      </c>
      <c r="C189" s="343" t="s">
        <v>75</v>
      </c>
      <c r="E189" s="344"/>
      <c r="F189" s="344">
        <v>20000</v>
      </c>
      <c r="G189" s="344">
        <f t="shared" si="4"/>
        <v>22680993</v>
      </c>
      <c r="H189" s="343" t="s">
        <v>25</v>
      </c>
    </row>
    <row r="190" spans="1:15" s="343" customFormat="1" ht="16.5">
      <c r="A190" s="313">
        <v>44862</v>
      </c>
      <c r="B190" s="343" t="s">
        <v>317</v>
      </c>
      <c r="C190" s="343" t="s">
        <v>75</v>
      </c>
      <c r="E190" s="344"/>
      <c r="F190" s="344">
        <v>10000</v>
      </c>
      <c r="G190" s="344">
        <f t="shared" si="4"/>
        <v>22670993</v>
      </c>
      <c r="H190" s="343" t="s">
        <v>25</v>
      </c>
    </row>
    <row r="191" spans="1:15" s="343" customFormat="1" ht="16.5">
      <c r="A191" s="313">
        <v>44862</v>
      </c>
      <c r="B191" s="343" t="s">
        <v>207</v>
      </c>
      <c r="C191" s="343" t="s">
        <v>75</v>
      </c>
      <c r="E191" s="344"/>
      <c r="F191" s="344">
        <v>100000</v>
      </c>
      <c r="G191" s="344">
        <f t="shared" si="4"/>
        <v>22570993</v>
      </c>
      <c r="H191" s="343" t="s">
        <v>25</v>
      </c>
    </row>
    <row r="192" spans="1:15" s="343" customFormat="1" ht="16.5">
      <c r="A192" s="313">
        <v>44862</v>
      </c>
      <c r="B192" s="182" t="s">
        <v>362</v>
      </c>
      <c r="C192" s="182" t="s">
        <v>3</v>
      </c>
      <c r="D192" s="182" t="s">
        <v>252</v>
      </c>
      <c r="F192" s="182">
        <v>260000</v>
      </c>
      <c r="G192" s="344">
        <f t="shared" si="4"/>
        <v>22310993</v>
      </c>
      <c r="H192" s="343" t="s">
        <v>24</v>
      </c>
      <c r="I192" s="182">
        <v>3654520</v>
      </c>
      <c r="J192" s="343" t="s">
        <v>165</v>
      </c>
      <c r="K192" s="182" t="s">
        <v>208</v>
      </c>
      <c r="L192" s="182" t="s">
        <v>260</v>
      </c>
      <c r="M192" s="182"/>
      <c r="N192" s="182"/>
      <c r="O192" s="182"/>
    </row>
    <row r="193" spans="1:15" s="343" customFormat="1" ht="16.5">
      <c r="A193" s="317">
        <v>44862</v>
      </c>
      <c r="B193" s="343" t="s">
        <v>413</v>
      </c>
      <c r="C193" s="343" t="s">
        <v>278</v>
      </c>
      <c r="E193" s="344">
        <v>20000</v>
      </c>
      <c r="F193" s="344"/>
      <c r="G193" s="344">
        <f t="shared" si="4"/>
        <v>22330993</v>
      </c>
      <c r="H193" s="343" t="s">
        <v>414</v>
      </c>
      <c r="M193" s="346"/>
    </row>
    <row r="194" spans="1:15" s="343" customFormat="1" ht="16.5">
      <c r="A194" s="313">
        <v>44862</v>
      </c>
      <c r="B194" s="343" t="s">
        <v>287</v>
      </c>
      <c r="C194" s="343" t="s">
        <v>278</v>
      </c>
      <c r="E194" s="344">
        <v>100000</v>
      </c>
      <c r="F194" s="344"/>
      <c r="G194" s="344">
        <f t="shared" si="4"/>
        <v>22430993</v>
      </c>
      <c r="H194" s="343" t="s">
        <v>207</v>
      </c>
    </row>
    <row r="195" spans="1:15" s="343" customFormat="1" ht="16.5">
      <c r="A195" s="313">
        <v>44862</v>
      </c>
      <c r="B195" s="343" t="s">
        <v>426</v>
      </c>
      <c r="C195" s="343" t="s">
        <v>285</v>
      </c>
      <c r="D195" s="343" t="s">
        <v>4</v>
      </c>
      <c r="E195" s="344"/>
      <c r="F195" s="344">
        <v>2000</v>
      </c>
      <c r="G195" s="344">
        <f t="shared" ref="G195:G216" si="5">+G194+E195-F195</f>
        <v>22428993</v>
      </c>
      <c r="H195" s="343" t="s">
        <v>317</v>
      </c>
      <c r="I195" s="343" t="s">
        <v>300</v>
      </c>
      <c r="J195" s="343" t="s">
        <v>165</v>
      </c>
      <c r="K195" s="343" t="s">
        <v>208</v>
      </c>
      <c r="L195" s="343" t="s">
        <v>260</v>
      </c>
      <c r="M195" s="346"/>
    </row>
    <row r="196" spans="1:15" s="343" customFormat="1" ht="16.5">
      <c r="A196" s="313">
        <v>44862</v>
      </c>
      <c r="B196" s="351" t="s">
        <v>425</v>
      </c>
      <c r="C196" s="351" t="s">
        <v>75</v>
      </c>
      <c r="D196" s="351"/>
      <c r="E196" s="351">
        <v>10000</v>
      </c>
      <c r="F196" s="358"/>
      <c r="G196" s="344">
        <f t="shared" si="5"/>
        <v>22438993</v>
      </c>
      <c r="H196" s="352" t="s">
        <v>317</v>
      </c>
      <c r="M196" s="346"/>
    </row>
    <row r="197" spans="1:15" s="343" customFormat="1" ht="16.5">
      <c r="A197" s="313">
        <v>44863</v>
      </c>
      <c r="B197" s="343" t="s">
        <v>420</v>
      </c>
      <c r="C197" s="343" t="s">
        <v>156</v>
      </c>
      <c r="D197" s="343" t="s">
        <v>163</v>
      </c>
      <c r="E197" s="344"/>
      <c r="F197" s="344">
        <v>30000</v>
      </c>
      <c r="G197" s="344">
        <f t="shared" si="5"/>
        <v>22408993</v>
      </c>
      <c r="H197" s="343" t="s">
        <v>207</v>
      </c>
      <c r="I197" s="343" t="s">
        <v>319</v>
      </c>
      <c r="J197" s="343" t="s">
        <v>165</v>
      </c>
      <c r="K197" s="343" t="s">
        <v>209</v>
      </c>
      <c r="L197" s="343" t="s">
        <v>260</v>
      </c>
      <c r="M197" s="378" t="s">
        <v>538</v>
      </c>
      <c r="N197" s="343" t="s">
        <v>269</v>
      </c>
    </row>
    <row r="198" spans="1:15" s="343" customFormat="1" ht="16.5">
      <c r="A198" s="313">
        <v>44863</v>
      </c>
      <c r="B198" s="343" t="s">
        <v>289</v>
      </c>
      <c r="C198" s="343" t="s">
        <v>34</v>
      </c>
      <c r="D198" s="343" t="s">
        <v>163</v>
      </c>
      <c r="E198" s="344"/>
      <c r="F198" s="344">
        <v>10000</v>
      </c>
      <c r="G198" s="344">
        <f t="shared" si="5"/>
        <v>22398993</v>
      </c>
      <c r="H198" s="343" t="s">
        <v>207</v>
      </c>
      <c r="I198" s="343" t="s">
        <v>319</v>
      </c>
      <c r="J198" s="342" t="s">
        <v>165</v>
      </c>
      <c r="K198" s="345" t="s">
        <v>209</v>
      </c>
      <c r="L198" s="343" t="s">
        <v>260</v>
      </c>
      <c r="M198" s="378" t="s">
        <v>539</v>
      </c>
      <c r="N198" s="343" t="s">
        <v>268</v>
      </c>
      <c r="O198" s="350"/>
    </row>
    <row r="199" spans="1:15" s="343" customFormat="1" ht="16.5">
      <c r="A199" s="314">
        <v>44863</v>
      </c>
      <c r="B199" s="351" t="s">
        <v>437</v>
      </c>
      <c r="C199" s="182" t="s">
        <v>156</v>
      </c>
      <c r="D199" s="343" t="s">
        <v>4</v>
      </c>
      <c r="F199" s="358">
        <v>30000</v>
      </c>
      <c r="G199" s="344">
        <f t="shared" si="5"/>
        <v>22368993</v>
      </c>
      <c r="H199" s="352" t="s">
        <v>29</v>
      </c>
      <c r="I199" s="343" t="s">
        <v>319</v>
      </c>
      <c r="J199" s="343" t="s">
        <v>165</v>
      </c>
      <c r="K199" s="343" t="s">
        <v>209</v>
      </c>
      <c r="L199" s="343" t="s">
        <v>260</v>
      </c>
      <c r="M199" s="378" t="s">
        <v>540</v>
      </c>
      <c r="N199" s="343" t="s">
        <v>269</v>
      </c>
    </row>
    <row r="200" spans="1:15" s="343" customFormat="1" ht="16.5">
      <c r="A200" s="317">
        <v>44863</v>
      </c>
      <c r="B200" s="343" t="s">
        <v>438</v>
      </c>
      <c r="C200" s="343" t="s">
        <v>34</v>
      </c>
      <c r="D200" s="343" t="s">
        <v>4</v>
      </c>
      <c r="E200" s="344"/>
      <c r="F200" s="344">
        <v>3000</v>
      </c>
      <c r="G200" s="344">
        <f t="shared" si="5"/>
        <v>22365993</v>
      </c>
      <c r="H200" s="343" t="s">
        <v>29</v>
      </c>
      <c r="I200" s="343" t="s">
        <v>319</v>
      </c>
      <c r="J200" s="342" t="s">
        <v>165</v>
      </c>
      <c r="K200" s="345" t="s">
        <v>209</v>
      </c>
      <c r="L200" s="343" t="s">
        <v>260</v>
      </c>
      <c r="M200" s="378" t="s">
        <v>541</v>
      </c>
      <c r="N200" s="343" t="s">
        <v>268</v>
      </c>
    </row>
    <row r="201" spans="1:15" s="343" customFormat="1" ht="16.5">
      <c r="A201" s="313">
        <v>44864</v>
      </c>
      <c r="B201" s="343" t="s">
        <v>421</v>
      </c>
      <c r="C201" s="343" t="s">
        <v>34</v>
      </c>
      <c r="D201" s="343" t="s">
        <v>163</v>
      </c>
      <c r="E201" s="344"/>
      <c r="F201" s="344">
        <v>10000</v>
      </c>
      <c r="G201" s="344">
        <f t="shared" si="5"/>
        <v>22355993</v>
      </c>
      <c r="H201" s="343" t="s">
        <v>207</v>
      </c>
      <c r="I201" s="343" t="s">
        <v>319</v>
      </c>
      <c r="J201" s="342" t="s">
        <v>165</v>
      </c>
      <c r="K201" s="345" t="s">
        <v>209</v>
      </c>
      <c r="L201" s="343" t="s">
        <v>260</v>
      </c>
      <c r="M201" s="378" t="s">
        <v>542</v>
      </c>
      <c r="N201" s="343" t="s">
        <v>268</v>
      </c>
      <c r="O201" s="350"/>
    </row>
    <row r="202" spans="1:15" s="343" customFormat="1" ht="16.5">
      <c r="A202" s="313">
        <v>44864</v>
      </c>
      <c r="B202" s="347" t="s">
        <v>439</v>
      </c>
      <c r="C202" s="343" t="s">
        <v>156</v>
      </c>
      <c r="D202" s="343" t="s">
        <v>4</v>
      </c>
      <c r="F202" s="344">
        <v>10000</v>
      </c>
      <c r="G202" s="344">
        <f t="shared" si="5"/>
        <v>22345993</v>
      </c>
      <c r="H202" s="343" t="s">
        <v>29</v>
      </c>
      <c r="I202" s="343" t="s">
        <v>319</v>
      </c>
      <c r="J202" s="343" t="s">
        <v>165</v>
      </c>
      <c r="K202" s="343" t="s">
        <v>209</v>
      </c>
      <c r="L202" s="343" t="s">
        <v>260</v>
      </c>
      <c r="M202" s="378" t="s">
        <v>543</v>
      </c>
      <c r="N202" s="343" t="s">
        <v>269</v>
      </c>
    </row>
    <row r="203" spans="1:15" s="343" customFormat="1" ht="16.5">
      <c r="A203" s="316">
        <v>44864</v>
      </c>
      <c r="B203" s="347" t="s">
        <v>440</v>
      </c>
      <c r="C203" s="343" t="s">
        <v>34</v>
      </c>
      <c r="D203" s="343" t="s">
        <v>4</v>
      </c>
      <c r="F203" s="344">
        <v>5000</v>
      </c>
      <c r="G203" s="344">
        <f t="shared" si="5"/>
        <v>22340993</v>
      </c>
      <c r="H203" s="343" t="s">
        <v>29</v>
      </c>
      <c r="I203" s="343" t="s">
        <v>319</v>
      </c>
      <c r="J203" s="342" t="s">
        <v>165</v>
      </c>
      <c r="K203" s="345" t="s">
        <v>209</v>
      </c>
      <c r="L203" s="343" t="s">
        <v>260</v>
      </c>
      <c r="M203" s="378" t="s">
        <v>544</v>
      </c>
      <c r="N203" s="343" t="s">
        <v>268</v>
      </c>
    </row>
    <row r="204" spans="1:15" s="343" customFormat="1" ht="16.5">
      <c r="A204" s="313">
        <v>44865</v>
      </c>
      <c r="B204" s="343" t="s">
        <v>387</v>
      </c>
      <c r="C204" s="343" t="s">
        <v>34</v>
      </c>
      <c r="D204" s="182" t="s">
        <v>2</v>
      </c>
      <c r="E204" s="344"/>
      <c r="F204" s="344">
        <v>24000</v>
      </c>
      <c r="G204" s="344">
        <f t="shared" si="5"/>
        <v>22316993</v>
      </c>
      <c r="H204" s="343" t="s">
        <v>93</v>
      </c>
      <c r="I204" s="343" t="s">
        <v>300</v>
      </c>
      <c r="J204" s="342" t="s">
        <v>165</v>
      </c>
      <c r="K204" s="345" t="s">
        <v>209</v>
      </c>
      <c r="L204" s="343" t="s">
        <v>260</v>
      </c>
      <c r="M204" s="378" t="s">
        <v>545</v>
      </c>
      <c r="N204" s="343" t="s">
        <v>268</v>
      </c>
      <c r="O204" s="350"/>
    </row>
    <row r="205" spans="1:15" s="343" customFormat="1" ht="16.5">
      <c r="A205" s="313">
        <v>44865</v>
      </c>
      <c r="B205" s="343" t="s">
        <v>415</v>
      </c>
      <c r="C205" s="343" t="s">
        <v>156</v>
      </c>
      <c r="D205" s="343" t="s">
        <v>163</v>
      </c>
      <c r="E205" s="344"/>
      <c r="F205" s="344">
        <v>2000</v>
      </c>
      <c r="G205" s="344">
        <f t="shared" si="5"/>
        <v>22314993</v>
      </c>
      <c r="H205" s="343" t="s">
        <v>414</v>
      </c>
      <c r="I205" s="343" t="s">
        <v>281</v>
      </c>
      <c r="J205" s="343" t="s">
        <v>165</v>
      </c>
      <c r="K205" s="343" t="s">
        <v>208</v>
      </c>
      <c r="L205" s="343" t="s">
        <v>260</v>
      </c>
      <c r="M205" s="346"/>
    </row>
    <row r="206" spans="1:15" s="343" customFormat="1" ht="16.5">
      <c r="A206" s="313">
        <v>44865</v>
      </c>
      <c r="B206" s="343" t="s">
        <v>416</v>
      </c>
      <c r="C206" s="343" t="s">
        <v>34</v>
      </c>
      <c r="D206" s="343" t="s">
        <v>163</v>
      </c>
      <c r="E206" s="344"/>
      <c r="F206" s="344">
        <v>5000</v>
      </c>
      <c r="G206" s="344">
        <f t="shared" si="5"/>
        <v>22309993</v>
      </c>
      <c r="H206" s="343" t="s">
        <v>414</v>
      </c>
      <c r="I206" s="343" t="s">
        <v>281</v>
      </c>
      <c r="J206" s="343" t="s">
        <v>165</v>
      </c>
      <c r="K206" s="343" t="s">
        <v>208</v>
      </c>
      <c r="L206" s="343" t="s">
        <v>260</v>
      </c>
      <c r="M206" s="346"/>
    </row>
    <row r="207" spans="1:15" s="343" customFormat="1" ht="16.5">
      <c r="A207" s="314">
        <v>44865</v>
      </c>
      <c r="B207" s="347" t="s">
        <v>422</v>
      </c>
      <c r="C207" s="343" t="s">
        <v>156</v>
      </c>
      <c r="D207" s="349" t="s">
        <v>163</v>
      </c>
      <c r="E207" s="353"/>
      <c r="F207" s="344">
        <v>50000</v>
      </c>
      <c r="G207" s="344">
        <f t="shared" si="5"/>
        <v>22259993</v>
      </c>
      <c r="H207" s="343" t="s">
        <v>207</v>
      </c>
      <c r="I207" s="343" t="s">
        <v>300</v>
      </c>
      <c r="J207" s="343" t="s">
        <v>165</v>
      </c>
      <c r="K207" s="343" t="s">
        <v>209</v>
      </c>
      <c r="L207" s="343" t="s">
        <v>260</v>
      </c>
      <c r="M207" s="378" t="s">
        <v>546</v>
      </c>
      <c r="N207" s="343" t="s">
        <v>269</v>
      </c>
    </row>
    <row r="208" spans="1:15" s="343" customFormat="1" ht="16.5">
      <c r="A208" s="315">
        <v>44865</v>
      </c>
      <c r="B208" s="351" t="s">
        <v>423</v>
      </c>
      <c r="C208" s="182" t="s">
        <v>258</v>
      </c>
      <c r="D208" s="351" t="s">
        <v>163</v>
      </c>
      <c r="E208" s="351"/>
      <c r="F208" s="343">
        <v>22000</v>
      </c>
      <c r="G208" s="344">
        <f t="shared" si="5"/>
        <v>22237993</v>
      </c>
      <c r="H208" s="352" t="s">
        <v>207</v>
      </c>
      <c r="I208" s="343" t="s">
        <v>300</v>
      </c>
      <c r="J208" s="343" t="s">
        <v>165</v>
      </c>
      <c r="K208" s="343" t="s">
        <v>208</v>
      </c>
      <c r="L208" s="343" t="s">
        <v>260</v>
      </c>
    </row>
    <row r="209" spans="1:15" s="343" customFormat="1" ht="16.5">
      <c r="A209" s="316">
        <v>44865</v>
      </c>
      <c r="B209" s="343" t="s">
        <v>424</v>
      </c>
      <c r="C209" s="343" t="s">
        <v>34</v>
      </c>
      <c r="D209" s="343" t="s">
        <v>163</v>
      </c>
      <c r="F209" s="343">
        <v>36300</v>
      </c>
      <c r="G209" s="344">
        <f t="shared" si="5"/>
        <v>22201693</v>
      </c>
      <c r="H209" s="182" t="s">
        <v>207</v>
      </c>
      <c r="I209" s="343" t="s">
        <v>300</v>
      </c>
      <c r="J209" s="342" t="s">
        <v>165</v>
      </c>
      <c r="K209" s="345" t="s">
        <v>209</v>
      </c>
      <c r="L209" s="343" t="s">
        <v>260</v>
      </c>
      <c r="M209" s="378" t="s">
        <v>547</v>
      </c>
      <c r="N209" s="343" t="s">
        <v>268</v>
      </c>
    </row>
    <row r="210" spans="1:15" s="343" customFormat="1" ht="16.5">
      <c r="A210" s="313">
        <v>44865</v>
      </c>
      <c r="B210" s="352" t="s">
        <v>427</v>
      </c>
      <c r="C210" s="352" t="s">
        <v>75</v>
      </c>
      <c r="D210" s="352"/>
      <c r="E210" s="356"/>
      <c r="F210" s="356">
        <v>10000</v>
      </c>
      <c r="G210" s="344">
        <f t="shared" si="5"/>
        <v>22191693</v>
      </c>
      <c r="H210" s="357" t="s">
        <v>317</v>
      </c>
      <c r="M210" s="346"/>
    </row>
    <row r="211" spans="1:15" s="343" customFormat="1" ht="16.5">
      <c r="A211" s="313">
        <v>44865</v>
      </c>
      <c r="B211" s="343" t="s">
        <v>428</v>
      </c>
      <c r="C211" s="343" t="s">
        <v>156</v>
      </c>
      <c r="D211" s="343" t="s">
        <v>4</v>
      </c>
      <c r="E211" s="344"/>
      <c r="F211" s="344">
        <v>21000</v>
      </c>
      <c r="G211" s="344">
        <f t="shared" si="5"/>
        <v>22170693</v>
      </c>
      <c r="H211" s="343" t="s">
        <v>317</v>
      </c>
      <c r="I211" s="343" t="s">
        <v>300</v>
      </c>
      <c r="J211" s="343" t="s">
        <v>165</v>
      </c>
      <c r="K211" s="343" t="s">
        <v>208</v>
      </c>
      <c r="L211" s="343" t="s">
        <v>260</v>
      </c>
      <c r="M211" s="346"/>
    </row>
    <row r="212" spans="1:15" s="343" customFormat="1" ht="16.5">
      <c r="A212" s="313">
        <v>44865</v>
      </c>
      <c r="B212" s="343" t="s">
        <v>429</v>
      </c>
      <c r="C212" s="343" t="s">
        <v>34</v>
      </c>
      <c r="D212" s="343" t="s">
        <v>4</v>
      </c>
      <c r="E212" s="344"/>
      <c r="F212" s="344">
        <v>75000</v>
      </c>
      <c r="G212" s="344">
        <f t="shared" si="5"/>
        <v>22095693</v>
      </c>
      <c r="H212" s="343" t="s">
        <v>317</v>
      </c>
      <c r="I212" s="343" t="s">
        <v>300</v>
      </c>
      <c r="J212" s="343" t="s">
        <v>165</v>
      </c>
      <c r="K212" s="343" t="s">
        <v>208</v>
      </c>
      <c r="L212" s="343" t="s">
        <v>260</v>
      </c>
      <c r="M212" s="346"/>
    </row>
    <row r="213" spans="1:15" s="343" customFormat="1" ht="16.5">
      <c r="A213" s="313">
        <v>44865</v>
      </c>
      <c r="B213" s="182" t="s">
        <v>441</v>
      </c>
      <c r="C213" s="182" t="s">
        <v>75</v>
      </c>
      <c r="D213" s="354"/>
      <c r="E213" s="182">
        <v>10000</v>
      </c>
      <c r="F213" s="182"/>
      <c r="G213" s="344">
        <f t="shared" si="5"/>
        <v>22105693</v>
      </c>
      <c r="H213" s="182" t="s">
        <v>29</v>
      </c>
      <c r="I213" s="182"/>
      <c r="J213" s="182"/>
      <c r="K213" s="182"/>
      <c r="L213" s="182"/>
      <c r="M213" s="182"/>
      <c r="N213" s="182"/>
      <c r="O213" s="182"/>
    </row>
    <row r="214" spans="1:15" s="343" customFormat="1" ht="16.5">
      <c r="A214" s="313">
        <v>44865</v>
      </c>
      <c r="B214" s="182" t="s">
        <v>442</v>
      </c>
      <c r="C214" s="182" t="s">
        <v>226</v>
      </c>
      <c r="D214" s="343" t="s">
        <v>4</v>
      </c>
      <c r="E214" s="182"/>
      <c r="F214" s="355">
        <v>26000</v>
      </c>
      <c r="G214" s="344">
        <f t="shared" si="5"/>
        <v>22079693</v>
      </c>
      <c r="H214" s="182" t="s">
        <v>29</v>
      </c>
      <c r="I214" s="343" t="s">
        <v>300</v>
      </c>
      <c r="J214" s="343" t="s">
        <v>165</v>
      </c>
      <c r="K214" s="343" t="s">
        <v>208</v>
      </c>
      <c r="L214" s="343" t="s">
        <v>260</v>
      </c>
      <c r="M214" s="182"/>
      <c r="N214" s="182"/>
      <c r="O214" s="182"/>
    </row>
    <row r="215" spans="1:15" s="343" customFormat="1" ht="16.5">
      <c r="A215" s="313">
        <v>44865</v>
      </c>
      <c r="B215" s="343" t="s">
        <v>284</v>
      </c>
      <c r="C215" s="343" t="s">
        <v>34</v>
      </c>
      <c r="D215" s="343" t="s">
        <v>4</v>
      </c>
      <c r="F215" s="356">
        <v>32000</v>
      </c>
      <c r="G215" s="344">
        <f t="shared" si="5"/>
        <v>22047693</v>
      </c>
      <c r="H215" s="343" t="s">
        <v>29</v>
      </c>
      <c r="I215" s="343" t="s">
        <v>300</v>
      </c>
      <c r="J215" s="342" t="s">
        <v>165</v>
      </c>
      <c r="K215" s="345" t="s">
        <v>209</v>
      </c>
      <c r="L215" s="343" t="s">
        <v>260</v>
      </c>
      <c r="M215" s="378" t="s">
        <v>548</v>
      </c>
      <c r="N215" s="343" t="s">
        <v>268</v>
      </c>
    </row>
    <row r="216" spans="1:15" s="343" customFormat="1" ht="16.5">
      <c r="A216" s="313">
        <v>44865</v>
      </c>
      <c r="B216" s="182" t="s">
        <v>407</v>
      </c>
      <c r="C216" s="182" t="s">
        <v>34</v>
      </c>
      <c r="D216" s="182" t="s">
        <v>2</v>
      </c>
      <c r="E216" s="182"/>
      <c r="F216" s="182">
        <v>45500</v>
      </c>
      <c r="G216" s="344">
        <f t="shared" si="5"/>
        <v>22002193</v>
      </c>
      <c r="H216" s="182" t="s">
        <v>47</v>
      </c>
      <c r="I216" s="182" t="s">
        <v>281</v>
      </c>
      <c r="J216" s="342" t="s">
        <v>165</v>
      </c>
      <c r="K216" s="345" t="s">
        <v>209</v>
      </c>
      <c r="L216" s="343" t="s">
        <v>260</v>
      </c>
      <c r="M216" s="378" t="s">
        <v>549</v>
      </c>
      <c r="N216" s="343" t="s">
        <v>268</v>
      </c>
      <c r="O216" s="182"/>
    </row>
    <row r="217" spans="1:15" s="343" customFormat="1" ht="16.5">
      <c r="A217" s="313"/>
      <c r="E217" s="344"/>
      <c r="F217" s="344"/>
      <c r="G217" s="344"/>
      <c r="M217" s="346"/>
    </row>
    <row r="218" spans="1:15" s="343" customFormat="1" ht="16.5">
      <c r="A218" s="313"/>
      <c r="B218" s="182"/>
      <c r="C218" s="182"/>
      <c r="E218" s="182"/>
      <c r="F218" s="355"/>
      <c r="G218" s="344"/>
      <c r="H218" s="182"/>
      <c r="M218" s="346"/>
      <c r="O218" s="182"/>
    </row>
    <row r="219" spans="1:15" s="343" customFormat="1" ht="16.5">
      <c r="A219" s="313"/>
      <c r="E219" s="344"/>
      <c r="F219" s="344"/>
      <c r="G219" s="344"/>
      <c r="M219" s="346"/>
    </row>
    <row r="220" spans="1:15" s="343" customFormat="1" ht="16.5">
      <c r="A220" s="313"/>
      <c r="B220" s="182"/>
      <c r="C220" s="182"/>
      <c r="E220" s="182"/>
      <c r="F220" s="355"/>
      <c r="G220" s="344"/>
      <c r="H220" s="182"/>
      <c r="K220" s="182"/>
      <c r="L220" s="182"/>
      <c r="M220" s="346"/>
      <c r="N220" s="182"/>
      <c r="O220" s="182"/>
    </row>
    <row r="221" spans="1:15" s="343" customFormat="1" ht="16.5">
      <c r="A221" s="313"/>
      <c r="E221" s="344"/>
      <c r="F221" s="344"/>
      <c r="G221" s="344"/>
      <c r="M221" s="346"/>
    </row>
    <row r="222" spans="1:15" s="343" customFormat="1" ht="16.5">
      <c r="A222" s="313"/>
      <c r="E222" s="344"/>
      <c r="F222" s="344"/>
      <c r="G222" s="344"/>
      <c r="M222" s="346"/>
    </row>
    <row r="223" spans="1:15" s="343" customFormat="1" ht="16.5">
      <c r="A223" s="313"/>
      <c r="E223" s="344"/>
      <c r="F223" s="344"/>
      <c r="G223" s="344"/>
      <c r="M223" s="346"/>
    </row>
    <row r="224" spans="1:15" s="343" customFormat="1" ht="16.5">
      <c r="A224" s="313"/>
      <c r="E224" s="344"/>
      <c r="F224" s="344"/>
      <c r="G224" s="344"/>
      <c r="M224" s="346"/>
    </row>
    <row r="225" spans="1:13" s="343" customFormat="1" ht="16.5">
      <c r="A225" s="316"/>
      <c r="E225" s="344"/>
      <c r="F225" s="344"/>
      <c r="G225" s="344"/>
      <c r="M225" s="346"/>
    </row>
    <row r="226" spans="1:13" s="343" customFormat="1" ht="16.5">
      <c r="A226" s="313"/>
      <c r="B226" s="347"/>
      <c r="D226" s="349"/>
      <c r="F226" s="344"/>
      <c r="G226" s="344"/>
      <c r="I226" s="348"/>
      <c r="K226" s="345"/>
      <c r="L226" s="350"/>
      <c r="M226" s="346"/>
    </row>
    <row r="227" spans="1:13" s="343" customFormat="1" ht="16.5">
      <c r="A227" s="313"/>
      <c r="E227" s="344"/>
      <c r="F227" s="344"/>
      <c r="G227" s="344"/>
    </row>
    <row r="228" spans="1:13" s="343" customFormat="1" ht="16.5">
      <c r="A228" s="313"/>
      <c r="E228" s="344"/>
      <c r="F228" s="344"/>
      <c r="G228" s="344"/>
      <c r="I228" s="344"/>
    </row>
    <row r="229" spans="1:13" s="343" customFormat="1" ht="16.5">
      <c r="A229" s="313"/>
      <c r="E229" s="344"/>
      <c r="F229" s="344"/>
      <c r="G229" s="344"/>
      <c r="I229" s="344"/>
    </row>
    <row r="230" spans="1:13" s="343" customFormat="1" ht="16.5">
      <c r="A230" s="313"/>
      <c r="E230" s="344"/>
      <c r="F230" s="344"/>
      <c r="G230" s="344"/>
      <c r="I230" s="344"/>
    </row>
    <row r="231" spans="1:13" s="343" customFormat="1" ht="16.5">
      <c r="A231" s="313"/>
      <c r="E231" s="344"/>
      <c r="F231" s="344"/>
      <c r="G231" s="344"/>
      <c r="I231" s="344"/>
    </row>
    <row r="232" spans="1:13" s="343" customFormat="1" ht="16.5">
      <c r="A232" s="317"/>
      <c r="E232" s="344"/>
      <c r="F232" s="344"/>
      <c r="G232" s="344"/>
      <c r="M232" s="346"/>
    </row>
    <row r="233" spans="1:13" s="343" customFormat="1" ht="16.5">
      <c r="A233" s="317"/>
      <c r="E233" s="344"/>
      <c r="F233" s="344"/>
      <c r="G233" s="344"/>
      <c r="M233" s="346"/>
    </row>
    <row r="234" spans="1:13" s="343" customFormat="1" ht="16.5">
      <c r="A234" s="316"/>
      <c r="B234" s="347"/>
      <c r="D234" s="349"/>
      <c r="F234" s="344"/>
      <c r="G234" s="344"/>
      <c r="I234" s="348"/>
      <c r="K234" s="345"/>
      <c r="M234" s="346"/>
    </row>
    <row r="235" spans="1:13" s="343" customFormat="1" ht="16.5">
      <c r="A235" s="316"/>
      <c r="B235" s="347"/>
      <c r="D235" s="349"/>
      <c r="F235" s="344"/>
      <c r="G235" s="344"/>
      <c r="I235" s="348"/>
      <c r="K235" s="345"/>
      <c r="M235" s="346"/>
    </row>
    <row r="236" spans="1:13" s="343" customFormat="1" ht="16.5">
      <c r="A236" s="313"/>
      <c r="B236" s="347"/>
      <c r="D236" s="349"/>
      <c r="F236" s="355"/>
      <c r="G236" s="344"/>
      <c r="I236" s="348"/>
      <c r="K236" s="345"/>
      <c r="M236" s="346"/>
    </row>
    <row r="237" spans="1:13" s="343" customFormat="1" ht="16.5">
      <c r="A237" s="313"/>
      <c r="B237" s="347"/>
      <c r="D237" s="349"/>
      <c r="F237" s="344"/>
      <c r="G237" s="344"/>
      <c r="I237" s="348"/>
      <c r="K237" s="345"/>
      <c r="M237" s="346"/>
    </row>
    <row r="238" spans="1:13" s="343" customFormat="1" ht="16.5">
      <c r="A238" s="313"/>
      <c r="B238" s="347"/>
      <c r="D238" s="349"/>
      <c r="F238" s="355"/>
      <c r="G238" s="344"/>
      <c r="I238" s="348"/>
      <c r="K238" s="345"/>
      <c r="M238" s="346"/>
    </row>
    <row r="239" spans="1:13" s="343" customFormat="1" ht="16.5">
      <c r="A239" s="313"/>
      <c r="B239" s="347"/>
      <c r="D239" s="349"/>
      <c r="F239" s="355"/>
      <c r="G239" s="344"/>
      <c r="I239" s="348"/>
      <c r="K239" s="345"/>
      <c r="M239" s="346"/>
    </row>
    <row r="240" spans="1:13" s="343" customFormat="1" ht="16.5">
      <c r="A240" s="313"/>
      <c r="B240" s="347"/>
      <c r="D240" s="349"/>
      <c r="F240" s="344"/>
      <c r="G240" s="344"/>
      <c r="I240" s="348"/>
      <c r="K240" s="345"/>
      <c r="M240" s="346"/>
    </row>
    <row r="241" spans="1:15" s="343" customFormat="1" ht="16.5">
      <c r="A241" s="313"/>
      <c r="E241" s="344"/>
      <c r="F241" s="344"/>
      <c r="G241" s="344"/>
      <c r="I241" s="344"/>
      <c r="O241" s="350"/>
    </row>
    <row r="242" spans="1:15" s="343" customFormat="1" ht="16.5">
      <c r="A242" s="314"/>
      <c r="E242" s="344"/>
      <c r="F242" s="344"/>
      <c r="G242" s="344"/>
      <c r="I242" s="344"/>
    </row>
    <row r="243" spans="1:15" s="343" customFormat="1" ht="16.5">
      <c r="A243" s="314"/>
      <c r="E243" s="344"/>
      <c r="F243" s="344"/>
      <c r="G243" s="344"/>
    </row>
    <row r="244" spans="1:15" s="343" customFormat="1" ht="16.5">
      <c r="A244" s="314"/>
      <c r="E244" s="344"/>
      <c r="F244" s="344"/>
      <c r="G244" s="344"/>
    </row>
    <row r="245" spans="1:15" s="343" customFormat="1" ht="16.5">
      <c r="A245" s="314"/>
      <c r="E245" s="344"/>
      <c r="F245" s="344"/>
      <c r="G245" s="344"/>
      <c r="O245" s="350"/>
    </row>
    <row r="246" spans="1:15" s="343" customFormat="1" ht="16.5">
      <c r="A246" s="314"/>
      <c r="E246" s="344"/>
      <c r="F246" s="344"/>
      <c r="G246" s="344"/>
      <c r="O246" s="350"/>
    </row>
    <row r="247" spans="1:15" s="343" customFormat="1" ht="16.5">
      <c r="A247" s="314"/>
      <c r="E247" s="344"/>
      <c r="F247" s="344"/>
      <c r="G247" s="344"/>
      <c r="O247" s="350"/>
    </row>
    <row r="248" spans="1:15" s="343" customFormat="1" ht="16.5">
      <c r="A248" s="314"/>
      <c r="D248" s="344"/>
      <c r="E248" s="344"/>
      <c r="F248" s="344"/>
      <c r="G248" s="344"/>
      <c r="O248" s="350"/>
    </row>
    <row r="249" spans="1:15" s="343" customFormat="1" ht="16.5">
      <c r="A249" s="314"/>
      <c r="E249" s="344"/>
      <c r="F249" s="344"/>
      <c r="G249" s="344"/>
      <c r="O249" s="350"/>
    </row>
    <row r="250" spans="1:15" s="343" customFormat="1" ht="16.5">
      <c r="A250" s="313"/>
      <c r="B250" s="347"/>
      <c r="E250" s="353"/>
      <c r="F250" s="344"/>
      <c r="G250" s="344"/>
      <c r="H250" s="344"/>
      <c r="I250" s="348"/>
      <c r="J250" s="342"/>
      <c r="K250" s="345"/>
    </row>
    <row r="251" spans="1:15" s="343" customFormat="1" ht="16.5">
      <c r="A251" s="313"/>
      <c r="B251" s="347"/>
      <c r="D251" s="361"/>
      <c r="E251" s="353"/>
      <c r="F251" s="344"/>
      <c r="G251" s="344"/>
      <c r="H251" s="344"/>
      <c r="I251" s="348"/>
      <c r="J251" s="342"/>
      <c r="K251" s="345"/>
    </row>
    <row r="252" spans="1:15" s="343" customFormat="1" ht="16.5">
      <c r="A252" s="313"/>
      <c r="B252" s="347"/>
      <c r="D252" s="361"/>
      <c r="E252" s="353"/>
      <c r="F252" s="344"/>
      <c r="G252" s="344"/>
      <c r="H252" s="344"/>
      <c r="I252" s="348"/>
      <c r="J252" s="342"/>
      <c r="K252" s="345"/>
    </row>
    <row r="253" spans="1:15" s="343" customFormat="1" ht="16.5">
      <c r="A253" s="317"/>
      <c r="B253" s="182"/>
      <c r="C253" s="182"/>
      <c r="D253" s="354"/>
      <c r="E253" s="182"/>
      <c r="F253" s="355"/>
      <c r="G253" s="344"/>
      <c r="H253" s="182"/>
      <c r="I253" s="182"/>
      <c r="J253" s="182"/>
      <c r="K253" s="182"/>
      <c r="L253" s="182"/>
      <c r="M253" s="182"/>
      <c r="N253" s="182"/>
      <c r="O253" s="182"/>
    </row>
    <row r="254" spans="1:15" s="343" customFormat="1" ht="16.5">
      <c r="A254" s="317"/>
      <c r="B254" s="182"/>
      <c r="C254" s="182"/>
      <c r="D254" s="354"/>
      <c r="E254" s="182"/>
      <c r="F254" s="355"/>
      <c r="G254" s="344"/>
      <c r="H254" s="182"/>
      <c r="I254" s="182"/>
      <c r="J254" s="182"/>
      <c r="K254" s="182"/>
      <c r="L254" s="182"/>
      <c r="M254" s="182"/>
      <c r="N254" s="182"/>
      <c r="O254" s="182"/>
    </row>
    <row r="255" spans="1:15" s="343" customFormat="1" ht="16.5">
      <c r="A255" s="313"/>
      <c r="F255" s="356"/>
      <c r="G255" s="344"/>
    </row>
    <row r="256" spans="1:15" s="343" customFormat="1" ht="16.5">
      <c r="A256" s="313"/>
      <c r="F256" s="356"/>
      <c r="G256" s="344"/>
    </row>
    <row r="257" spans="1:18" s="343" customFormat="1" ht="16.5">
      <c r="A257" s="313"/>
      <c r="E257" s="344"/>
      <c r="F257" s="344"/>
      <c r="G257" s="344"/>
    </row>
    <row r="258" spans="1:18" s="343" customFormat="1" ht="16.5">
      <c r="A258" s="313"/>
      <c r="E258" s="344"/>
      <c r="F258" s="344"/>
      <c r="G258" s="344"/>
    </row>
    <row r="259" spans="1:18" s="343" customFormat="1" ht="16.5">
      <c r="A259" s="313"/>
      <c r="E259" s="344"/>
      <c r="F259" s="344"/>
      <c r="G259" s="344"/>
    </row>
    <row r="260" spans="1:18" s="343" customFormat="1" ht="16.5">
      <c r="A260" s="317"/>
      <c r="B260" s="182"/>
      <c r="E260" s="182"/>
      <c r="F260" s="182"/>
      <c r="G260" s="344"/>
      <c r="H260" s="182"/>
      <c r="M260" s="182"/>
      <c r="N260" s="182"/>
      <c r="O260" s="182"/>
    </row>
    <row r="261" spans="1:18" s="343" customFormat="1" ht="16.5">
      <c r="A261" s="313"/>
      <c r="B261" s="182"/>
      <c r="C261" s="182"/>
      <c r="D261" s="182"/>
      <c r="E261" s="182"/>
      <c r="F261" s="182"/>
      <c r="G261" s="344"/>
      <c r="H261" s="182"/>
      <c r="I261" s="182"/>
      <c r="J261" s="182"/>
      <c r="K261" s="182"/>
      <c r="L261" s="182"/>
      <c r="M261" s="182"/>
      <c r="N261" s="182"/>
      <c r="O261" s="182"/>
    </row>
    <row r="262" spans="1:18" s="343" customFormat="1" ht="16.5">
      <c r="A262" s="313"/>
      <c r="E262" s="344"/>
      <c r="F262" s="344"/>
      <c r="G262" s="344"/>
      <c r="M262" s="346"/>
    </row>
    <row r="263" spans="1:18" s="343" customFormat="1" ht="16.5">
      <c r="A263" s="313"/>
      <c r="E263" s="344"/>
      <c r="F263" s="344"/>
      <c r="G263" s="344"/>
      <c r="M263" s="346"/>
    </row>
    <row r="264" spans="1:18" s="343" customFormat="1" ht="16.5">
      <c r="A264" s="313"/>
      <c r="E264" s="344"/>
      <c r="F264" s="344"/>
      <c r="G264" s="344"/>
      <c r="M264" s="346"/>
    </row>
    <row r="265" spans="1:18" s="343" customFormat="1" ht="16.5">
      <c r="A265" s="317"/>
      <c r="E265" s="344"/>
      <c r="F265" s="344"/>
      <c r="G265" s="344"/>
      <c r="M265" s="346"/>
    </row>
    <row r="266" spans="1:18" s="343" customFormat="1" ht="16.5">
      <c r="A266" s="313"/>
      <c r="E266" s="344"/>
      <c r="F266" s="344"/>
      <c r="G266" s="344"/>
      <c r="M266" s="346"/>
    </row>
    <row r="267" spans="1:18" s="343" customFormat="1" ht="16.5">
      <c r="A267" s="313"/>
      <c r="E267" s="344"/>
      <c r="F267" s="344"/>
      <c r="G267" s="344"/>
      <c r="M267" s="346"/>
    </row>
    <row r="268" spans="1:18" s="343" customFormat="1" ht="16.5">
      <c r="A268" s="316"/>
      <c r="E268" s="344"/>
      <c r="F268" s="344"/>
      <c r="G268" s="344"/>
      <c r="M268" s="346"/>
      <c r="P268" s="182"/>
      <c r="Q268" s="182"/>
      <c r="R268" s="182"/>
    </row>
    <row r="269" spans="1:18" s="343" customFormat="1" ht="16.5">
      <c r="A269" s="316"/>
      <c r="E269" s="344"/>
      <c r="F269" s="344"/>
      <c r="G269" s="344"/>
      <c r="M269" s="346"/>
      <c r="P269" s="182"/>
      <c r="Q269" s="182"/>
      <c r="R269" s="182"/>
    </row>
    <row r="270" spans="1:18" s="343" customFormat="1" ht="16.5">
      <c r="A270" s="313"/>
      <c r="E270" s="344"/>
      <c r="F270" s="344"/>
      <c r="G270" s="344"/>
      <c r="P270" s="182"/>
      <c r="Q270" s="182"/>
      <c r="R270" s="182"/>
    </row>
    <row r="271" spans="1:18" s="343" customFormat="1" ht="16.5">
      <c r="A271" s="313"/>
      <c r="E271" s="344"/>
      <c r="F271" s="344"/>
      <c r="G271" s="344"/>
      <c r="P271" s="182"/>
      <c r="Q271" s="182"/>
      <c r="R271" s="182"/>
    </row>
    <row r="272" spans="1:18" s="343" customFormat="1" ht="16.5">
      <c r="A272" s="317"/>
      <c r="B272" s="182"/>
      <c r="C272" s="182"/>
      <c r="E272" s="182"/>
      <c r="F272" s="355"/>
      <c r="G272" s="344"/>
      <c r="H272" s="182"/>
      <c r="J272" s="182"/>
      <c r="K272" s="182"/>
      <c r="L272" s="182"/>
      <c r="M272" s="182"/>
      <c r="N272" s="182"/>
      <c r="O272" s="182"/>
      <c r="P272" s="182"/>
      <c r="Q272" s="182"/>
      <c r="R272" s="182"/>
    </row>
    <row r="273" spans="1:18" s="343" customFormat="1" ht="16.5">
      <c r="A273" s="313"/>
      <c r="B273" s="182"/>
      <c r="C273" s="182"/>
      <c r="E273" s="182"/>
      <c r="F273" s="355"/>
      <c r="G273" s="344"/>
      <c r="H273" s="182"/>
      <c r="K273" s="182"/>
      <c r="L273" s="182"/>
      <c r="M273" s="346"/>
      <c r="N273" s="182"/>
      <c r="O273" s="182"/>
      <c r="P273" s="182"/>
      <c r="Q273" s="182"/>
      <c r="R273" s="182"/>
    </row>
    <row r="274" spans="1:18" s="343" customFormat="1" ht="16.5">
      <c r="A274" s="313"/>
      <c r="F274" s="356"/>
      <c r="G274" s="344"/>
      <c r="K274" s="182"/>
      <c r="L274" s="182"/>
      <c r="M274" s="346"/>
      <c r="N274" s="182"/>
      <c r="P274" s="182"/>
      <c r="Q274" s="182"/>
      <c r="R274" s="182"/>
    </row>
    <row r="275" spans="1:18" s="343" customFormat="1" ht="16.5">
      <c r="A275" s="313"/>
      <c r="E275" s="344"/>
      <c r="F275" s="344"/>
      <c r="G275" s="344"/>
      <c r="M275" s="346"/>
      <c r="P275" s="182"/>
      <c r="Q275" s="182"/>
      <c r="R275" s="182"/>
    </row>
    <row r="276" spans="1:18" s="343" customFormat="1" ht="16.5">
      <c r="A276" s="317"/>
      <c r="C276" s="342"/>
      <c r="E276" s="344"/>
      <c r="F276" s="344"/>
      <c r="G276" s="344"/>
      <c r="M276" s="346"/>
      <c r="P276" s="182"/>
      <c r="Q276" s="182"/>
      <c r="R276" s="182"/>
    </row>
    <row r="277" spans="1:18" s="343" customFormat="1" ht="16.5">
      <c r="A277" s="313"/>
      <c r="E277" s="344"/>
      <c r="F277" s="344"/>
      <c r="G277" s="344"/>
      <c r="M277" s="346"/>
      <c r="P277" s="182"/>
      <c r="Q277" s="182"/>
      <c r="R277" s="182"/>
    </row>
    <row r="278" spans="1:18" s="343" customFormat="1" ht="16.5">
      <c r="A278" s="317"/>
      <c r="B278" s="182"/>
      <c r="C278" s="182"/>
      <c r="D278" s="182"/>
      <c r="E278" s="182"/>
      <c r="F278" s="182"/>
      <c r="G278" s="344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</row>
    <row r="279" spans="1:18" s="343" customFormat="1" ht="16.5">
      <c r="A279" s="314"/>
      <c r="E279" s="344"/>
      <c r="F279" s="344"/>
      <c r="G279" s="344"/>
      <c r="M279" s="346"/>
      <c r="P279" s="182"/>
      <c r="Q279" s="182"/>
      <c r="R279" s="182"/>
    </row>
    <row r="280" spans="1:18" s="343" customFormat="1" ht="16.5">
      <c r="A280" s="315"/>
      <c r="B280" s="182"/>
      <c r="C280" s="182"/>
      <c r="D280" s="182"/>
      <c r="E280" s="182"/>
      <c r="F280" s="182"/>
      <c r="G280" s="344"/>
      <c r="H280" s="182"/>
      <c r="M280" s="346"/>
      <c r="O280" s="182"/>
      <c r="P280" s="182"/>
      <c r="Q280" s="182"/>
      <c r="R280" s="182"/>
    </row>
    <row r="281" spans="1:18" s="343" customFormat="1" ht="16.5">
      <c r="A281" s="317"/>
      <c r="B281" s="182"/>
      <c r="C281" s="182"/>
      <c r="E281" s="182"/>
      <c r="F281" s="355"/>
      <c r="G281" s="344"/>
      <c r="H281" s="182"/>
      <c r="M281" s="346"/>
      <c r="O281" s="182"/>
      <c r="P281" s="182"/>
      <c r="Q281" s="182"/>
      <c r="R281" s="182"/>
    </row>
    <row r="282" spans="1:18" s="343" customFormat="1" ht="16.5">
      <c r="A282" s="317"/>
      <c r="E282" s="353"/>
      <c r="F282" s="344"/>
      <c r="G282" s="344"/>
      <c r="H282" s="344"/>
      <c r="I282" s="348"/>
      <c r="J282" s="342"/>
      <c r="P282" s="182"/>
      <c r="Q282" s="182"/>
      <c r="R282" s="182"/>
    </row>
    <row r="283" spans="1:18" s="343" customFormat="1" ht="16.5">
      <c r="A283" s="316"/>
      <c r="C283" s="351"/>
      <c r="D283" s="351"/>
      <c r="F283" s="358"/>
      <c r="G283" s="344"/>
      <c r="H283" s="352"/>
      <c r="M283" s="346"/>
      <c r="P283" s="182"/>
      <c r="Q283" s="182"/>
      <c r="R283" s="182"/>
    </row>
    <row r="284" spans="1:18" s="343" customFormat="1" ht="16.5">
      <c r="A284" s="317"/>
      <c r="G284" s="344"/>
      <c r="H284" s="182"/>
      <c r="M284" s="346"/>
      <c r="P284" s="182"/>
      <c r="Q284" s="182"/>
      <c r="R284" s="182"/>
    </row>
    <row r="285" spans="1:18" s="343" customFormat="1" ht="16.5">
      <c r="A285" s="313"/>
      <c r="B285" s="182"/>
      <c r="C285" s="182"/>
      <c r="E285" s="182"/>
      <c r="F285" s="355"/>
      <c r="G285" s="344"/>
      <c r="H285" s="182"/>
      <c r="M285" s="346"/>
      <c r="O285" s="182"/>
      <c r="P285" s="182"/>
      <c r="Q285" s="182"/>
      <c r="R285" s="182"/>
    </row>
    <row r="286" spans="1:18" s="343" customFormat="1" ht="16.5">
      <c r="A286" s="313"/>
      <c r="F286" s="356"/>
      <c r="G286" s="344"/>
      <c r="M286" s="346"/>
      <c r="P286" s="182"/>
      <c r="Q286" s="182"/>
      <c r="R286" s="182"/>
    </row>
    <row r="287" spans="1:18" s="343" customFormat="1" ht="16.5">
      <c r="A287" s="313"/>
      <c r="E287" s="344"/>
      <c r="F287" s="344"/>
      <c r="G287" s="344"/>
      <c r="M287" s="346"/>
      <c r="P287" s="182"/>
      <c r="Q287" s="182"/>
      <c r="R287" s="182"/>
    </row>
    <row r="288" spans="1:18" s="343" customFormat="1" ht="16.5">
      <c r="A288" s="313"/>
      <c r="E288" s="344"/>
      <c r="F288" s="344"/>
      <c r="G288" s="344"/>
      <c r="P288" s="182"/>
      <c r="Q288" s="182"/>
      <c r="R288" s="182"/>
    </row>
    <row r="289" spans="1:18" s="343" customFormat="1" ht="16.5">
      <c r="A289" s="317"/>
      <c r="E289" s="344"/>
      <c r="F289" s="344"/>
      <c r="G289" s="344"/>
      <c r="M289" s="346"/>
      <c r="P289" s="182"/>
      <c r="Q289" s="182"/>
      <c r="R289" s="182"/>
    </row>
    <row r="290" spans="1:18" s="343" customFormat="1" ht="16.5">
      <c r="A290" s="313"/>
      <c r="B290" s="182"/>
      <c r="C290" s="182"/>
      <c r="D290" s="182"/>
      <c r="E290" s="182"/>
      <c r="F290" s="182"/>
      <c r="G290" s="344"/>
      <c r="H290" s="182"/>
      <c r="M290" s="346"/>
      <c r="O290" s="182"/>
      <c r="P290" s="182"/>
      <c r="Q290" s="182"/>
      <c r="R290" s="182"/>
    </row>
    <row r="291" spans="1:18" s="343" customFormat="1" ht="16.5">
      <c r="A291" s="313"/>
      <c r="B291" s="347"/>
      <c r="F291" s="344"/>
      <c r="G291" s="344"/>
      <c r="I291" s="348"/>
      <c r="K291" s="345"/>
      <c r="M291" s="346"/>
      <c r="P291" s="182"/>
      <c r="Q291" s="182"/>
      <c r="R291" s="182"/>
    </row>
    <row r="292" spans="1:18" s="343" customFormat="1" ht="16.5">
      <c r="A292" s="313"/>
      <c r="E292" s="344"/>
      <c r="F292" s="344"/>
      <c r="G292" s="344"/>
      <c r="M292" s="346"/>
      <c r="P292" s="182"/>
      <c r="Q292" s="182"/>
      <c r="R292" s="182"/>
    </row>
    <row r="293" spans="1:18" s="343" customFormat="1" ht="16.5">
      <c r="A293" s="314"/>
      <c r="E293" s="344"/>
      <c r="F293" s="344"/>
      <c r="G293" s="344"/>
      <c r="P293" s="182"/>
      <c r="Q293" s="182"/>
      <c r="R293" s="182"/>
    </row>
    <row r="294" spans="1:18" s="343" customFormat="1" ht="16.5">
      <c r="A294" s="313"/>
      <c r="E294" s="344"/>
      <c r="F294" s="344"/>
      <c r="G294" s="344"/>
      <c r="I294" s="344"/>
      <c r="P294" s="182"/>
      <c r="Q294" s="182"/>
      <c r="R294" s="182"/>
    </row>
    <row r="295" spans="1:18" s="343" customFormat="1" ht="16.5">
      <c r="A295" s="313"/>
      <c r="E295" s="344"/>
      <c r="F295" s="344"/>
      <c r="G295" s="344"/>
      <c r="P295" s="182"/>
      <c r="Q295" s="182"/>
      <c r="R295" s="182"/>
    </row>
    <row r="296" spans="1:18" s="343" customFormat="1" ht="16.5">
      <c r="A296" s="316"/>
      <c r="G296" s="344"/>
      <c r="H296" s="182"/>
      <c r="P296" s="182"/>
      <c r="Q296" s="182"/>
      <c r="R296" s="182"/>
    </row>
    <row r="297" spans="1:18" s="343" customFormat="1" ht="16.5">
      <c r="A297" s="317"/>
      <c r="B297" s="182"/>
      <c r="C297" s="182"/>
      <c r="E297" s="182"/>
      <c r="F297" s="355"/>
      <c r="G297" s="344"/>
      <c r="H297" s="182"/>
      <c r="M297" s="182"/>
      <c r="N297" s="182"/>
      <c r="O297" s="182"/>
      <c r="P297" s="182"/>
      <c r="Q297" s="182"/>
      <c r="R297" s="182"/>
    </row>
    <row r="298" spans="1:18" s="343" customFormat="1" ht="16.5">
      <c r="A298" s="317"/>
      <c r="B298" s="182"/>
      <c r="C298" s="182"/>
      <c r="E298" s="182"/>
      <c r="F298" s="355"/>
      <c r="G298" s="344"/>
      <c r="H298" s="182"/>
      <c r="M298" s="346"/>
      <c r="O298" s="182"/>
      <c r="P298" s="182"/>
      <c r="Q298" s="182"/>
      <c r="R298" s="182"/>
    </row>
    <row r="299" spans="1:18" s="343" customFormat="1" ht="16.5">
      <c r="A299" s="313"/>
      <c r="F299" s="356"/>
      <c r="G299" s="344"/>
      <c r="M299" s="346"/>
      <c r="P299" s="182"/>
      <c r="Q299" s="182"/>
      <c r="R299" s="182"/>
    </row>
    <row r="300" spans="1:18" s="341" customFormat="1" ht="16.5">
      <c r="A300" s="313"/>
      <c r="B300" s="343"/>
      <c r="C300" s="343"/>
      <c r="D300" s="343"/>
      <c r="E300" s="344"/>
      <c r="F300" s="360"/>
      <c r="G300" s="344"/>
      <c r="H300" s="343"/>
      <c r="I300" s="343"/>
      <c r="J300" s="343"/>
      <c r="K300" s="343"/>
      <c r="L300" s="343"/>
      <c r="M300" s="346"/>
      <c r="N300" s="343"/>
      <c r="O300" s="343"/>
      <c r="P300" s="182"/>
      <c r="Q300" s="182"/>
      <c r="R300" s="182"/>
    </row>
    <row r="301" spans="1:18" s="341" customFormat="1" ht="16.5">
      <c r="A301" s="313"/>
      <c r="B301" s="343"/>
      <c r="C301" s="343"/>
      <c r="D301" s="343"/>
      <c r="E301" s="344"/>
      <c r="F301" s="344"/>
      <c r="G301" s="344"/>
      <c r="H301" s="343"/>
      <c r="I301" s="343"/>
      <c r="J301" s="343"/>
      <c r="K301" s="343"/>
      <c r="L301" s="343"/>
      <c r="M301" s="346"/>
      <c r="N301" s="343"/>
      <c r="O301" s="343"/>
      <c r="P301" s="182"/>
      <c r="Q301" s="182"/>
      <c r="R301" s="182"/>
    </row>
    <row r="302" spans="1:18" s="341" customFormat="1" ht="16.5">
      <c r="A302" s="313"/>
      <c r="B302" s="343"/>
      <c r="C302" s="343"/>
      <c r="D302" s="343"/>
      <c r="E302" s="344"/>
      <c r="F302" s="344"/>
      <c r="G302" s="344"/>
      <c r="H302" s="343"/>
      <c r="I302" s="343"/>
      <c r="J302" s="343"/>
      <c r="K302" s="343"/>
      <c r="L302" s="343"/>
      <c r="M302" s="346"/>
      <c r="N302" s="343"/>
      <c r="O302" s="343"/>
      <c r="P302" s="182"/>
      <c r="Q302" s="182"/>
      <c r="R302" s="182"/>
    </row>
    <row r="303" spans="1:18" s="341" customFormat="1" ht="16.5">
      <c r="A303" s="317"/>
      <c r="B303" s="182"/>
      <c r="C303" s="182"/>
      <c r="D303" s="182"/>
      <c r="E303" s="182"/>
      <c r="F303" s="182"/>
      <c r="G303" s="344"/>
      <c r="H303" s="182"/>
      <c r="I303" s="343"/>
      <c r="J303" s="182"/>
      <c r="K303" s="182"/>
      <c r="L303" s="182"/>
      <c r="M303" s="182"/>
      <c r="N303" s="182"/>
      <c r="O303" s="182"/>
      <c r="P303" s="182"/>
      <c r="Q303" s="182"/>
      <c r="R303" s="182"/>
    </row>
    <row r="304" spans="1:18" s="341" customFormat="1" ht="16.5">
      <c r="A304" s="317"/>
      <c r="B304" s="182"/>
      <c r="C304" s="182"/>
      <c r="D304" s="182"/>
      <c r="E304" s="182"/>
      <c r="F304" s="182"/>
      <c r="G304" s="344"/>
      <c r="H304" s="182"/>
      <c r="I304" s="343"/>
      <c r="J304" s="343"/>
      <c r="K304" s="343"/>
      <c r="L304" s="343"/>
      <c r="M304" s="346"/>
      <c r="N304" s="343"/>
      <c r="O304" s="182"/>
      <c r="P304" s="182"/>
      <c r="Q304" s="182"/>
      <c r="R304" s="182"/>
    </row>
    <row r="305" s="341" customFormat="1" ht="16.5"/>
    <row r="306" s="341" customFormat="1" ht="16.5"/>
    <row r="307" s="341" customFormat="1" ht="16.5"/>
    <row r="308" s="341" customFormat="1" ht="16.5"/>
    <row r="309" s="341" customFormat="1" ht="16.5"/>
    <row r="310" s="341" customFormat="1" ht="16.5"/>
    <row r="311" s="341" customFormat="1" ht="16.5"/>
    <row r="312" s="341" customFormat="1" ht="16.5"/>
    <row r="313" s="341" customFormat="1" ht="16.5"/>
    <row r="314" s="341" customFormat="1" ht="16.5"/>
    <row r="315" s="341" customFormat="1" ht="16.5"/>
    <row r="316" s="341" customFormat="1" ht="16.5"/>
    <row r="317" s="341" customFormat="1" ht="16.5"/>
  </sheetData>
  <autoFilter ref="A12:O304">
    <filterColumn colId="2"/>
    <filterColumn colId="10"/>
    <sortState ref="A67:O216">
      <sortCondition ref="A12:A304"/>
    </sortState>
  </autoFilter>
  <sortState ref="A13:A334">
    <sortCondition ref="A13:A334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Récapitulatif</vt:lpstr>
      <vt:lpstr>Donateurs</vt:lpstr>
      <vt:lpstr>Feuil1</vt:lpstr>
      <vt:lpstr>DATA OCTOBRE 22</vt:lpstr>
      <vt:lpstr>'DATA OCTOBRE 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2022-11-22T12:08:42Z</cp:lastPrinted>
  <dcterms:created xsi:type="dcterms:W3CDTF">2020-09-02T13:35:58Z</dcterms:created>
  <dcterms:modified xsi:type="dcterms:W3CDTF">2022-12-21T10:01:23Z</dcterms:modified>
</cp:coreProperties>
</file>