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8145" tabRatio="553" activeTab="3"/>
  </bookViews>
  <sheets>
    <sheet name="Récapitulatif" sheetId="16" r:id="rId1"/>
    <sheet name="Donateurs" sheetId="170" r:id="rId2"/>
    <sheet name="Feuil3" sheetId="171" r:id="rId3"/>
    <sheet name="DATA MARS 2023" sheetId="1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MARS 2023'!$A$12:$O$301</definedName>
    <definedName name="_xlnm.Print_Area" localSheetId="3">'DATA MARS 2023'!$A$1:$N$213</definedName>
  </definedNames>
  <calcPr calcId="124519"/>
  <pivotCaches>
    <pivotCache cacheId="6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6"/>
  <c r="AS7" i="171"/>
  <c r="AS6"/>
  <c r="AR7"/>
  <c r="AR8"/>
  <c r="AR9"/>
  <c r="AR10"/>
  <c r="AR11"/>
  <c r="AR12"/>
  <c r="AR13"/>
  <c r="AR14"/>
  <c r="AR15"/>
  <c r="AR16"/>
  <c r="AR17"/>
  <c r="AR18"/>
  <c r="AR6"/>
  <c r="AS19" l="1"/>
  <c r="AR19" l="1"/>
  <c r="AQ7"/>
  <c r="AQ8"/>
  <c r="AQ9"/>
  <c r="AQ10"/>
  <c r="AQ11"/>
  <c r="AQ12"/>
  <c r="AQ13"/>
  <c r="AQ14"/>
  <c r="AQ15"/>
  <c r="AQ16"/>
  <c r="AQ17"/>
  <c r="AQ18"/>
  <c r="AQ6"/>
  <c r="AP7"/>
  <c r="AP8"/>
  <c r="AP9"/>
  <c r="AP10"/>
  <c r="AP11"/>
  <c r="AP12"/>
  <c r="AP13"/>
  <c r="AP14"/>
  <c r="AP15"/>
  <c r="AP16"/>
  <c r="AP17"/>
  <c r="AP18"/>
  <c r="AP6"/>
  <c r="AO19"/>
  <c r="AO7"/>
  <c r="AO8"/>
  <c r="AO9"/>
  <c r="AO10"/>
  <c r="AO11"/>
  <c r="AO12"/>
  <c r="AO13"/>
  <c r="AO14"/>
  <c r="AO15"/>
  <c r="AO16"/>
  <c r="AO17"/>
  <c r="AO18"/>
  <c r="AO6"/>
  <c r="C21" i="170"/>
  <c r="C20"/>
  <c r="AQ21" i="171"/>
  <c r="AP19" l="1"/>
  <c r="AQ19"/>
  <c r="AP21" l="1"/>
  <c r="F198" i="153" l="1"/>
  <c r="F171"/>
  <c r="F72"/>
  <c r="F46"/>
  <c r="F42"/>
  <c r="F49" l="1"/>
  <c r="C45" i="16"/>
  <c r="C44"/>
  <c r="C42"/>
  <c r="C40"/>
  <c r="C39"/>
  <c r="C38"/>
  <c r="C37"/>
  <c r="C36"/>
  <c r="C35"/>
  <c r="C34"/>
  <c r="C33"/>
  <c r="C32"/>
  <c r="C31"/>
  <c r="C30"/>
  <c r="A30"/>
  <c r="A31" s="1"/>
  <c r="A32" s="1"/>
  <c r="A33" s="1"/>
  <c r="A34" s="1"/>
  <c r="A35" s="1"/>
  <c r="A36" s="1"/>
  <c r="A37" s="1"/>
  <c r="A38" s="1"/>
  <c r="A39" s="1"/>
  <c r="A40" s="1"/>
  <c r="A42" s="1"/>
  <c r="A44" s="1"/>
  <c r="A45" s="1"/>
  <c r="C29"/>
  <c r="O18"/>
  <c r="N18"/>
  <c r="L18"/>
  <c r="H18"/>
  <c r="C18"/>
  <c r="A21" s="1"/>
  <c r="G17"/>
  <c r="F17"/>
  <c r="H40" s="1"/>
  <c r="E17"/>
  <c r="I40" s="1"/>
  <c r="D17"/>
  <c r="E40" s="1"/>
  <c r="A17"/>
  <c r="G16"/>
  <c r="F16"/>
  <c r="H39" s="1"/>
  <c r="E16"/>
  <c r="I39" s="1"/>
  <c r="D16"/>
  <c r="E39" s="1"/>
  <c r="A16"/>
  <c r="G15"/>
  <c r="F15"/>
  <c r="H38" s="1"/>
  <c r="E15"/>
  <c r="I38" s="1"/>
  <c r="D15"/>
  <c r="E38" s="1"/>
  <c r="A15"/>
  <c r="G14"/>
  <c r="F14"/>
  <c r="H37" s="1"/>
  <c r="E14"/>
  <c r="I37" s="1"/>
  <c r="D14"/>
  <c r="E37" s="1"/>
  <c r="A14"/>
  <c r="G13"/>
  <c r="F13"/>
  <c r="H36" s="1"/>
  <c r="E13"/>
  <c r="I36" s="1"/>
  <c r="D13"/>
  <c r="E36" s="1"/>
  <c r="A13"/>
  <c r="G12"/>
  <c r="F12"/>
  <c r="H35" s="1"/>
  <c r="E12"/>
  <c r="I35" s="1"/>
  <c r="D12"/>
  <c r="E35" s="1"/>
  <c r="A12"/>
  <c r="G11"/>
  <c r="F11"/>
  <c r="H34" s="1"/>
  <c r="E11"/>
  <c r="I34" s="1"/>
  <c r="D11"/>
  <c r="E34" s="1"/>
  <c r="A11"/>
  <c r="G10"/>
  <c r="F10"/>
  <c r="H33" s="1"/>
  <c r="E10"/>
  <c r="I33" s="1"/>
  <c r="D10"/>
  <c r="E33" s="1"/>
  <c r="A10"/>
  <c r="G9"/>
  <c r="F9"/>
  <c r="H32" s="1"/>
  <c r="E9"/>
  <c r="I32" s="1"/>
  <c r="D9"/>
  <c r="E32" s="1"/>
  <c r="A9"/>
  <c r="G8"/>
  <c r="F8"/>
  <c r="H31" s="1"/>
  <c r="E8"/>
  <c r="I31" s="1"/>
  <c r="D8"/>
  <c r="E31" s="1"/>
  <c r="A8"/>
  <c r="G7"/>
  <c r="F7"/>
  <c r="H30" s="1"/>
  <c r="E7"/>
  <c r="I30" s="1"/>
  <c r="D7"/>
  <c r="E30" s="1"/>
  <c r="A7"/>
  <c r="G6"/>
  <c r="F6"/>
  <c r="E6"/>
  <c r="I29" s="1"/>
  <c r="D6"/>
  <c r="E29" s="1"/>
  <c r="A6"/>
  <c r="G5"/>
  <c r="F5"/>
  <c r="H42" s="1"/>
  <c r="E5"/>
  <c r="I42" s="1"/>
  <c r="D5"/>
  <c r="E42" s="1"/>
  <c r="A5"/>
  <c r="G4"/>
  <c r="D45" s="1"/>
  <c r="F4"/>
  <c r="H45" s="1"/>
  <c r="E4"/>
  <c r="I45" s="1"/>
  <c r="D4"/>
  <c r="A4"/>
  <c r="G3"/>
  <c r="D44" s="1"/>
  <c r="F3"/>
  <c r="H44" s="1"/>
  <c r="E3"/>
  <c r="I44" s="1"/>
  <c r="D3"/>
  <c r="A3"/>
  <c r="A51"/>
  <c r="D51"/>
  <c r="E51"/>
  <c r="F51"/>
  <c r="G51"/>
  <c r="A52"/>
  <c r="D52"/>
  <c r="E52"/>
  <c r="F52"/>
  <c r="G52"/>
  <c r="A53"/>
  <c r="D53"/>
  <c r="E53"/>
  <c r="F53"/>
  <c r="G53"/>
  <c r="A54"/>
  <c r="D54"/>
  <c r="E54"/>
  <c r="F54"/>
  <c r="G54"/>
  <c r="A55"/>
  <c r="D55"/>
  <c r="E55"/>
  <c r="F55"/>
  <c r="G55"/>
  <c r="A56"/>
  <c r="D56"/>
  <c r="E56"/>
  <c r="I56" s="1"/>
  <c r="J56" s="1"/>
  <c r="F56"/>
  <c r="G56"/>
  <c r="A57"/>
  <c r="D57"/>
  <c r="E57"/>
  <c r="F57"/>
  <c r="G57"/>
  <c r="A58"/>
  <c r="D58"/>
  <c r="E58"/>
  <c r="F58"/>
  <c r="I58" s="1"/>
  <c r="J58" s="1"/>
  <c r="G58"/>
  <c r="A59"/>
  <c r="D59"/>
  <c r="E59"/>
  <c r="F59"/>
  <c r="G59"/>
  <c r="A60"/>
  <c r="D60"/>
  <c r="I60" s="1"/>
  <c r="J60" s="1"/>
  <c r="E60"/>
  <c r="F60"/>
  <c r="G60"/>
  <c r="A61"/>
  <c r="D61"/>
  <c r="E61"/>
  <c r="F61"/>
  <c r="G61"/>
  <c r="J39" l="1"/>
  <c r="I55"/>
  <c r="J55" s="1"/>
  <c r="I53"/>
  <c r="J53" s="1"/>
  <c r="I59"/>
  <c r="J59" s="1"/>
  <c r="I57"/>
  <c r="J57" s="1"/>
  <c r="I4"/>
  <c r="J4" s="1"/>
  <c r="F18"/>
  <c r="C46"/>
  <c r="I61"/>
  <c r="J61" s="1"/>
  <c r="I54"/>
  <c r="J54" s="1"/>
  <c r="I52"/>
  <c r="J52" s="1"/>
  <c r="I51"/>
  <c r="J51" s="1"/>
  <c r="I3"/>
  <c r="J3" s="1"/>
  <c r="J35"/>
  <c r="J40"/>
  <c r="J38"/>
  <c r="I46"/>
  <c r="J32"/>
  <c r="J34"/>
  <c r="J45"/>
  <c r="J37"/>
  <c r="J31"/>
  <c r="J44"/>
  <c r="J30"/>
  <c r="J33"/>
  <c r="J36"/>
  <c r="J42"/>
  <c r="I8"/>
  <c r="J8" s="1"/>
  <c r="I12"/>
  <c r="J12" s="1"/>
  <c r="I5"/>
  <c r="J5" s="1"/>
  <c r="I9"/>
  <c r="J9" s="1"/>
  <c r="I13"/>
  <c r="J13" s="1"/>
  <c r="I17"/>
  <c r="J17" s="1"/>
  <c r="E18"/>
  <c r="C21" s="1"/>
  <c r="H29"/>
  <c r="J29" s="1"/>
  <c r="I16"/>
  <c r="J16" s="1"/>
  <c r="I6"/>
  <c r="J6" s="1"/>
  <c r="I10"/>
  <c r="J10" s="1"/>
  <c r="I14"/>
  <c r="J14" s="1"/>
  <c r="D18"/>
  <c r="G20" s="1"/>
  <c r="I7"/>
  <c r="J7" s="1"/>
  <c r="I11"/>
  <c r="J11" s="1"/>
  <c r="I15"/>
  <c r="J15" s="1"/>
  <c r="G18"/>
  <c r="B21" s="1"/>
  <c r="D21" l="1"/>
  <c r="K44"/>
  <c r="K45"/>
  <c r="K33"/>
  <c r="K42"/>
  <c r="K29"/>
  <c r="J46"/>
  <c r="I18"/>
  <c r="K37"/>
  <c r="K32"/>
  <c r="K35"/>
  <c r="K36"/>
  <c r="K31"/>
  <c r="K34"/>
  <c r="K40"/>
  <c r="K38"/>
  <c r="K30"/>
  <c r="K39"/>
  <c r="I19" l="1"/>
  <c r="E21"/>
  <c r="J18"/>
  <c r="J19"/>
  <c r="K46"/>
  <c r="A85" l="1"/>
  <c r="C93"/>
  <c r="C92"/>
  <c r="C90"/>
  <c r="C88"/>
  <c r="C87"/>
  <c r="C86"/>
  <c r="C85"/>
  <c r="C84"/>
  <c r="C83"/>
  <c r="C82"/>
  <c r="C81"/>
  <c r="C80"/>
  <c r="C79"/>
  <c r="C78"/>
  <c r="A78"/>
  <c r="A79" s="1"/>
  <c r="A80" s="1"/>
  <c r="A81" s="1"/>
  <c r="A82" s="1"/>
  <c r="A83" s="1"/>
  <c r="A84" s="1"/>
  <c r="C77"/>
  <c r="O66"/>
  <c r="N66"/>
  <c r="M66"/>
  <c r="L66"/>
  <c r="H66"/>
  <c r="C66"/>
  <c r="A69" s="1"/>
  <c r="G65"/>
  <c r="F65"/>
  <c r="H88" s="1"/>
  <c r="E65"/>
  <c r="I88" s="1"/>
  <c r="D65"/>
  <c r="E88" s="1"/>
  <c r="A65"/>
  <c r="G64"/>
  <c r="F64"/>
  <c r="H87" s="1"/>
  <c r="E64"/>
  <c r="I87" s="1"/>
  <c r="D64"/>
  <c r="E87" s="1"/>
  <c r="A64"/>
  <c r="G63"/>
  <c r="F63"/>
  <c r="H86" s="1"/>
  <c r="E63"/>
  <c r="I86" s="1"/>
  <c r="D63"/>
  <c r="A63"/>
  <c r="G62"/>
  <c r="F62"/>
  <c r="H85" s="1"/>
  <c r="E62"/>
  <c r="I85" s="1"/>
  <c r="D62"/>
  <c r="E85" s="1"/>
  <c r="A62"/>
  <c r="H84"/>
  <c r="I84"/>
  <c r="E84"/>
  <c r="H83"/>
  <c r="I83"/>
  <c r="E83"/>
  <c r="H82"/>
  <c r="I82"/>
  <c r="E82"/>
  <c r="H81"/>
  <c r="I81"/>
  <c r="E81"/>
  <c r="H80"/>
  <c r="I80"/>
  <c r="E80"/>
  <c r="H79"/>
  <c r="I79"/>
  <c r="E79"/>
  <c r="H78"/>
  <c r="I78"/>
  <c r="E78"/>
  <c r="H77"/>
  <c r="I77"/>
  <c r="H90"/>
  <c r="E90"/>
  <c r="D93"/>
  <c r="H93"/>
  <c r="I93"/>
  <c r="D92"/>
  <c r="I92"/>
  <c r="I90" l="1"/>
  <c r="J90" s="1"/>
  <c r="A86"/>
  <c r="A87" s="1"/>
  <c r="A88" s="1"/>
  <c r="A90" s="1"/>
  <c r="A92" s="1"/>
  <c r="A93" s="1"/>
  <c r="C94"/>
  <c r="J82"/>
  <c r="F66"/>
  <c r="J78"/>
  <c r="I63"/>
  <c r="J63" s="1"/>
  <c r="I64"/>
  <c r="J64" s="1"/>
  <c r="E86"/>
  <c r="J86" s="1"/>
  <c r="K86" s="1"/>
  <c r="J80"/>
  <c r="J84"/>
  <c r="J93"/>
  <c r="J79"/>
  <c r="J83"/>
  <c r="J87"/>
  <c r="J81"/>
  <c r="J85"/>
  <c r="J88"/>
  <c r="I65"/>
  <c r="J65" s="1"/>
  <c r="E66"/>
  <c r="C69" s="1"/>
  <c r="D66"/>
  <c r="E77"/>
  <c r="J77" s="1"/>
  <c r="I62"/>
  <c r="J62" s="1"/>
  <c r="G66"/>
  <c r="B69" s="1"/>
  <c r="H92"/>
  <c r="J92" s="1"/>
  <c r="C273"/>
  <c r="C274"/>
  <c r="C275"/>
  <c r="C276"/>
  <c r="C277"/>
  <c r="C272"/>
  <c r="C271"/>
  <c r="C267"/>
  <c r="C318"/>
  <c r="C319"/>
  <c r="C320"/>
  <c r="C321"/>
  <c r="C322"/>
  <c r="C314"/>
  <c r="C133"/>
  <c r="C134"/>
  <c r="C135"/>
  <c r="C136"/>
  <c r="C137"/>
  <c r="C138"/>
  <c r="C127"/>
  <c r="C128"/>
  <c r="C129"/>
  <c r="E110"/>
  <c r="I134" s="1"/>
  <c r="E103"/>
  <c r="I127" s="1"/>
  <c r="G103"/>
  <c r="F110"/>
  <c r="H134" s="1"/>
  <c r="F103"/>
  <c r="H127" s="1"/>
  <c r="D110"/>
  <c r="E134" s="1"/>
  <c r="A110"/>
  <c r="D103"/>
  <c r="E127" s="1"/>
  <c r="A103"/>
  <c r="I94" l="1"/>
  <c r="G68"/>
  <c r="K93"/>
  <c r="K92"/>
  <c r="J127"/>
  <c r="K127" s="1"/>
  <c r="I103"/>
  <c r="J103" s="1"/>
  <c r="K79"/>
  <c r="K85"/>
  <c r="D69"/>
  <c r="K87"/>
  <c r="J94"/>
  <c r="K77"/>
  <c r="K82"/>
  <c r="I66"/>
  <c r="K88"/>
  <c r="K83"/>
  <c r="K80"/>
  <c r="K81"/>
  <c r="K84"/>
  <c r="K78"/>
  <c r="K90"/>
  <c r="E69" l="1"/>
  <c r="K94"/>
  <c r="J66"/>
  <c r="I67"/>
  <c r="J67"/>
  <c r="C143" l="1"/>
  <c r="C142"/>
  <c r="C140"/>
  <c r="C132"/>
  <c r="C131"/>
  <c r="C130"/>
  <c r="A127"/>
  <c r="C126"/>
  <c r="O115"/>
  <c r="N115"/>
  <c r="M115"/>
  <c r="L115"/>
  <c r="H115"/>
  <c r="C115"/>
  <c r="A118" s="1"/>
  <c r="G114"/>
  <c r="F114"/>
  <c r="H138" s="1"/>
  <c r="E114"/>
  <c r="I138" s="1"/>
  <c r="D114"/>
  <c r="E138" s="1"/>
  <c r="A114"/>
  <c r="G113"/>
  <c r="F113"/>
  <c r="H137" s="1"/>
  <c r="E113"/>
  <c r="I137" s="1"/>
  <c r="D113"/>
  <c r="E137" s="1"/>
  <c r="A113"/>
  <c r="G112"/>
  <c r="F112"/>
  <c r="H136" s="1"/>
  <c r="E112"/>
  <c r="I136" s="1"/>
  <c r="D112"/>
  <c r="E136" s="1"/>
  <c r="A112"/>
  <c r="G111"/>
  <c r="F111"/>
  <c r="H135" s="1"/>
  <c r="E111"/>
  <c r="I135" s="1"/>
  <c r="D111"/>
  <c r="E135" s="1"/>
  <c r="A111"/>
  <c r="G109"/>
  <c r="F109"/>
  <c r="H133" s="1"/>
  <c r="E109"/>
  <c r="I133" s="1"/>
  <c r="D109"/>
  <c r="E133" s="1"/>
  <c r="A109"/>
  <c r="G108"/>
  <c r="F108"/>
  <c r="H132" s="1"/>
  <c r="E108"/>
  <c r="I132" s="1"/>
  <c r="D108"/>
  <c r="E132" s="1"/>
  <c r="A108"/>
  <c r="G107"/>
  <c r="F107"/>
  <c r="H131" s="1"/>
  <c r="E107"/>
  <c r="I131" s="1"/>
  <c r="D107"/>
  <c r="E131" s="1"/>
  <c r="A107"/>
  <c r="G106"/>
  <c r="F106"/>
  <c r="H130" s="1"/>
  <c r="E106"/>
  <c r="I130" s="1"/>
  <c r="D106"/>
  <c r="A106"/>
  <c r="G105"/>
  <c r="F105"/>
  <c r="H129" s="1"/>
  <c r="E105"/>
  <c r="I129" s="1"/>
  <c r="D105"/>
  <c r="E129" s="1"/>
  <c r="A105"/>
  <c r="G104"/>
  <c r="F104"/>
  <c r="H128" s="1"/>
  <c r="E104"/>
  <c r="I128" s="1"/>
  <c r="D104"/>
  <c r="E128" s="1"/>
  <c r="A104"/>
  <c r="G102"/>
  <c r="F102"/>
  <c r="H126" s="1"/>
  <c r="E102"/>
  <c r="I126" s="1"/>
  <c r="D102"/>
  <c r="E126" s="1"/>
  <c r="A102"/>
  <c r="G101"/>
  <c r="F101"/>
  <c r="H140" s="1"/>
  <c r="E101"/>
  <c r="I140" s="1"/>
  <c r="D101"/>
  <c r="A101"/>
  <c r="G100"/>
  <c r="D143" s="1"/>
  <c r="F100"/>
  <c r="H143" s="1"/>
  <c r="E100"/>
  <c r="I143" s="1"/>
  <c r="D100"/>
  <c r="A100"/>
  <c r="G99"/>
  <c r="D142" s="1"/>
  <c r="F99"/>
  <c r="H142" s="1"/>
  <c r="E99"/>
  <c r="D99"/>
  <c r="A99"/>
  <c r="J128" l="1"/>
  <c r="J129"/>
  <c r="J137"/>
  <c r="A128"/>
  <c r="A129" s="1"/>
  <c r="A130" s="1"/>
  <c r="A131" s="1"/>
  <c r="A132" s="1"/>
  <c r="A133" s="1"/>
  <c r="A134" s="1"/>
  <c r="A135" s="1"/>
  <c r="A136" s="1"/>
  <c r="A137" s="1"/>
  <c r="A138" s="1"/>
  <c r="A140" s="1"/>
  <c r="A142" s="1"/>
  <c r="A143" s="1"/>
  <c r="C144"/>
  <c r="I112"/>
  <c r="J112" s="1"/>
  <c r="I101"/>
  <c r="J101" s="1"/>
  <c r="I111"/>
  <c r="J111" s="1"/>
  <c r="E115"/>
  <c r="C118" s="1"/>
  <c r="I100"/>
  <c r="J100" s="1"/>
  <c r="J126"/>
  <c r="I105"/>
  <c r="J105" s="1"/>
  <c r="I109"/>
  <c r="J109" s="1"/>
  <c r="I114"/>
  <c r="J114" s="1"/>
  <c r="J135"/>
  <c r="I106"/>
  <c r="J106" s="1"/>
  <c r="D115"/>
  <c r="I113"/>
  <c r="J113" s="1"/>
  <c r="J143"/>
  <c r="J132"/>
  <c r="J131"/>
  <c r="K131" s="1"/>
  <c r="I99"/>
  <c r="I104"/>
  <c r="J104" s="1"/>
  <c r="I108"/>
  <c r="J108" s="1"/>
  <c r="I102"/>
  <c r="J102" s="1"/>
  <c r="I107"/>
  <c r="J107" s="1"/>
  <c r="G115"/>
  <c r="B118" s="1"/>
  <c r="J136"/>
  <c r="K136" s="1"/>
  <c r="F115"/>
  <c r="J133"/>
  <c r="J138"/>
  <c r="K138" s="1"/>
  <c r="I142"/>
  <c r="J142" s="1"/>
  <c r="K142" s="1"/>
  <c r="E130"/>
  <c r="J130" s="1"/>
  <c r="J134"/>
  <c r="K134" s="1"/>
  <c r="E140"/>
  <c r="J140" s="1"/>
  <c r="K132" l="1"/>
  <c r="K128"/>
  <c r="I144"/>
  <c r="K137"/>
  <c r="K130"/>
  <c r="K135"/>
  <c r="K129"/>
  <c r="K133"/>
  <c r="K143"/>
  <c r="K140"/>
  <c r="G117"/>
  <c r="D118"/>
  <c r="J144"/>
  <c r="I115"/>
  <c r="J99"/>
  <c r="K126"/>
  <c r="E118" l="1"/>
  <c r="J115"/>
  <c r="I116"/>
  <c r="J116"/>
  <c r="K144"/>
  <c r="C189" l="1"/>
  <c r="C188"/>
  <c r="C186"/>
  <c r="C184"/>
  <c r="C183"/>
  <c r="C182"/>
  <c r="C181"/>
  <c r="C180"/>
  <c r="C179"/>
  <c r="C178"/>
  <c r="C177"/>
  <c r="C176"/>
  <c r="C175"/>
  <c r="A175"/>
  <c r="A176" s="1"/>
  <c r="A177" s="1"/>
  <c r="A178" s="1"/>
  <c r="A179" s="1"/>
  <c r="A180" s="1"/>
  <c r="A181" s="1"/>
  <c r="A182" s="1"/>
  <c r="A183" s="1"/>
  <c r="A184" s="1"/>
  <c r="A186" s="1"/>
  <c r="A188" s="1"/>
  <c r="A189" s="1"/>
  <c r="C174"/>
  <c r="O163"/>
  <c r="N163"/>
  <c r="M163"/>
  <c r="L163"/>
  <c r="H163"/>
  <c r="C163"/>
  <c r="A166" s="1"/>
  <c r="G162"/>
  <c r="F162"/>
  <c r="H184" s="1"/>
  <c r="E162"/>
  <c r="I184" s="1"/>
  <c r="D162"/>
  <c r="A162"/>
  <c r="G161"/>
  <c r="F161"/>
  <c r="H183" s="1"/>
  <c r="E161"/>
  <c r="I183" s="1"/>
  <c r="D161"/>
  <c r="A161"/>
  <c r="G160"/>
  <c r="F160"/>
  <c r="H182" s="1"/>
  <c r="E160"/>
  <c r="I182" s="1"/>
  <c r="D160"/>
  <c r="E182" s="1"/>
  <c r="A160"/>
  <c r="G159"/>
  <c r="F159"/>
  <c r="H181" s="1"/>
  <c r="E159"/>
  <c r="I181" s="1"/>
  <c r="D159"/>
  <c r="A159"/>
  <c r="G158"/>
  <c r="F158"/>
  <c r="H180" s="1"/>
  <c r="E158"/>
  <c r="I180" s="1"/>
  <c r="D158"/>
  <c r="A158"/>
  <c r="G157"/>
  <c r="F157"/>
  <c r="H179" s="1"/>
  <c r="E157"/>
  <c r="I179" s="1"/>
  <c r="D157"/>
  <c r="A157"/>
  <c r="G156"/>
  <c r="F156"/>
  <c r="H178" s="1"/>
  <c r="E156"/>
  <c r="I178" s="1"/>
  <c r="D156"/>
  <c r="E178" s="1"/>
  <c r="A156"/>
  <c r="G155"/>
  <c r="F155"/>
  <c r="H177" s="1"/>
  <c r="E155"/>
  <c r="I177" s="1"/>
  <c r="D155"/>
  <c r="A155"/>
  <c r="G154"/>
  <c r="F154"/>
  <c r="H176" s="1"/>
  <c r="E154"/>
  <c r="I176" s="1"/>
  <c r="D154"/>
  <c r="A154"/>
  <c r="G153"/>
  <c r="F153"/>
  <c r="H175" s="1"/>
  <c r="E153"/>
  <c r="I175" s="1"/>
  <c r="D153"/>
  <c r="A153"/>
  <c r="G152"/>
  <c r="F152"/>
  <c r="H174" s="1"/>
  <c r="E152"/>
  <c r="I174" s="1"/>
  <c r="D152"/>
  <c r="E174" s="1"/>
  <c r="A152"/>
  <c r="G151"/>
  <c r="F151"/>
  <c r="H186" s="1"/>
  <c r="E151"/>
  <c r="I186" s="1"/>
  <c r="D151"/>
  <c r="A151"/>
  <c r="G150"/>
  <c r="D189" s="1"/>
  <c r="F150"/>
  <c r="H189" s="1"/>
  <c r="E150"/>
  <c r="I189" s="1"/>
  <c r="D150"/>
  <c r="A150"/>
  <c r="G149"/>
  <c r="D188" s="1"/>
  <c r="F149"/>
  <c r="H188" s="1"/>
  <c r="E149"/>
  <c r="D149"/>
  <c r="A149"/>
  <c r="A195"/>
  <c r="D195"/>
  <c r="E195"/>
  <c r="F195"/>
  <c r="G195"/>
  <c r="A196"/>
  <c r="D196"/>
  <c r="E196"/>
  <c r="F196"/>
  <c r="G196"/>
  <c r="A197"/>
  <c r="D197"/>
  <c r="E197"/>
  <c r="F197"/>
  <c r="H232" s="1"/>
  <c r="G197"/>
  <c r="A198"/>
  <c r="D198"/>
  <c r="E198"/>
  <c r="I220" s="1"/>
  <c r="F198"/>
  <c r="G198"/>
  <c r="A199"/>
  <c r="D199"/>
  <c r="E221" s="1"/>
  <c r="E199"/>
  <c r="F199"/>
  <c r="H221" s="1"/>
  <c r="G199"/>
  <c r="A200"/>
  <c r="D200"/>
  <c r="E222" s="1"/>
  <c r="E200"/>
  <c r="I222" s="1"/>
  <c r="F200"/>
  <c r="G200"/>
  <c r="A201"/>
  <c r="D201"/>
  <c r="E223" s="1"/>
  <c r="E201"/>
  <c r="F201"/>
  <c r="H223" s="1"/>
  <c r="G201"/>
  <c r="A202"/>
  <c r="D202"/>
  <c r="E224" s="1"/>
  <c r="E202"/>
  <c r="I224" s="1"/>
  <c r="F202"/>
  <c r="G202"/>
  <c r="A203"/>
  <c r="D203"/>
  <c r="E225" s="1"/>
  <c r="E203"/>
  <c r="F203"/>
  <c r="H225" s="1"/>
  <c r="G203"/>
  <c r="A204"/>
  <c r="D204"/>
  <c r="E226" s="1"/>
  <c r="E204"/>
  <c r="I226" s="1"/>
  <c r="F204"/>
  <c r="G204"/>
  <c r="A205"/>
  <c r="D205"/>
  <c r="E205"/>
  <c r="F205"/>
  <c r="H227" s="1"/>
  <c r="G205"/>
  <c r="A206"/>
  <c r="D206"/>
  <c r="E228" s="1"/>
  <c r="E206"/>
  <c r="I228" s="1"/>
  <c r="F206"/>
  <c r="H228" s="1"/>
  <c r="G206"/>
  <c r="A207"/>
  <c r="D207"/>
  <c r="E229" s="1"/>
  <c r="E207"/>
  <c r="F207"/>
  <c r="G207"/>
  <c r="A208"/>
  <c r="D208"/>
  <c r="E230" s="1"/>
  <c r="E208"/>
  <c r="F208"/>
  <c r="G208"/>
  <c r="C209"/>
  <c r="A212" s="1"/>
  <c r="H209"/>
  <c r="L209"/>
  <c r="M209"/>
  <c r="N209"/>
  <c r="O209"/>
  <c r="C220"/>
  <c r="H220"/>
  <c r="A221"/>
  <c r="A222" s="1"/>
  <c r="A223" s="1"/>
  <c r="A224" s="1"/>
  <c r="A225" s="1"/>
  <c r="A226" s="1"/>
  <c r="A227" s="1"/>
  <c r="A228" s="1"/>
  <c r="A229" s="1"/>
  <c r="A230" s="1"/>
  <c r="A232" s="1"/>
  <c r="A234" s="1"/>
  <c r="A235" s="1"/>
  <c r="C221"/>
  <c r="C222"/>
  <c r="H222"/>
  <c r="C223"/>
  <c r="I223"/>
  <c r="C224"/>
  <c r="H224"/>
  <c r="C225"/>
  <c r="C226"/>
  <c r="H226"/>
  <c r="C227"/>
  <c r="E227"/>
  <c r="I227"/>
  <c r="C228"/>
  <c r="C229"/>
  <c r="H229"/>
  <c r="C230"/>
  <c r="H230"/>
  <c r="I230"/>
  <c r="C232"/>
  <c r="E232"/>
  <c r="C234"/>
  <c r="D234"/>
  <c r="H234"/>
  <c r="I234"/>
  <c r="C235"/>
  <c r="H235"/>
  <c r="I235"/>
  <c r="I196" l="1"/>
  <c r="J196" s="1"/>
  <c r="I162"/>
  <c r="J162" s="1"/>
  <c r="I207"/>
  <c r="J207" s="1"/>
  <c r="I202"/>
  <c r="J202" s="1"/>
  <c r="I203"/>
  <c r="J203" s="1"/>
  <c r="D235"/>
  <c r="J234"/>
  <c r="I198"/>
  <c r="J198" s="1"/>
  <c r="I197"/>
  <c r="J197" s="1"/>
  <c r="I158"/>
  <c r="J158" s="1"/>
  <c r="E163"/>
  <c r="C166" s="1"/>
  <c r="I150"/>
  <c r="J150" s="1"/>
  <c r="J189"/>
  <c r="K189" s="1"/>
  <c r="I154"/>
  <c r="J154" s="1"/>
  <c r="I232"/>
  <c r="J232" s="1"/>
  <c r="J223"/>
  <c r="G209"/>
  <c r="B212" s="1"/>
  <c r="J224"/>
  <c r="I201"/>
  <c r="J201" s="1"/>
  <c r="F209"/>
  <c r="I195"/>
  <c r="K234" s="1"/>
  <c r="D163"/>
  <c r="I153"/>
  <c r="J153" s="1"/>
  <c r="I157"/>
  <c r="J157" s="1"/>
  <c r="I161"/>
  <c r="J161" s="1"/>
  <c r="J230"/>
  <c r="I208"/>
  <c r="J208" s="1"/>
  <c r="J228"/>
  <c r="I205"/>
  <c r="J205" s="1"/>
  <c r="I204"/>
  <c r="J204" s="1"/>
  <c r="C190"/>
  <c r="J222"/>
  <c r="D209"/>
  <c r="G211" s="1"/>
  <c r="J235"/>
  <c r="J227"/>
  <c r="J226"/>
  <c r="I199"/>
  <c r="J199" s="1"/>
  <c r="I151"/>
  <c r="J151" s="1"/>
  <c r="I155"/>
  <c r="J155" s="1"/>
  <c r="I159"/>
  <c r="J159" s="1"/>
  <c r="J178"/>
  <c r="J182"/>
  <c r="I152"/>
  <c r="J152" s="1"/>
  <c r="I156"/>
  <c r="J156" s="1"/>
  <c r="I160"/>
  <c r="J160" s="1"/>
  <c r="G163"/>
  <c r="B166" s="1"/>
  <c r="J174"/>
  <c r="E175"/>
  <c r="J175" s="1"/>
  <c r="E179"/>
  <c r="J179" s="1"/>
  <c r="E183"/>
  <c r="J183" s="1"/>
  <c r="I149"/>
  <c r="F163"/>
  <c r="E176"/>
  <c r="J176" s="1"/>
  <c r="E180"/>
  <c r="J180" s="1"/>
  <c r="K180" s="1"/>
  <c r="E184"/>
  <c r="J184" s="1"/>
  <c r="K184" s="1"/>
  <c r="I188"/>
  <c r="J188" s="1"/>
  <c r="E177"/>
  <c r="J177" s="1"/>
  <c r="E181"/>
  <c r="J181" s="1"/>
  <c r="K181" s="1"/>
  <c r="E186"/>
  <c r="J186" s="1"/>
  <c r="I229"/>
  <c r="J229" s="1"/>
  <c r="K229" s="1"/>
  <c r="I225"/>
  <c r="J225" s="1"/>
  <c r="I221"/>
  <c r="J221" s="1"/>
  <c r="E209"/>
  <c r="C212" s="1"/>
  <c r="I200"/>
  <c r="J200" s="1"/>
  <c r="I206"/>
  <c r="J206" s="1"/>
  <c r="E220"/>
  <c r="J220" s="1"/>
  <c r="K220" s="1"/>
  <c r="D212" l="1"/>
  <c r="J195"/>
  <c r="K235"/>
  <c r="K183"/>
  <c r="K232"/>
  <c r="K225"/>
  <c r="K221"/>
  <c r="K177"/>
  <c r="K230"/>
  <c r="K224"/>
  <c r="K223"/>
  <c r="K176"/>
  <c r="D166"/>
  <c r="G165"/>
  <c r="K175"/>
  <c r="K186"/>
  <c r="K188"/>
  <c r="K179"/>
  <c r="K227"/>
  <c r="K226"/>
  <c r="I163"/>
  <c r="J149"/>
  <c r="I190"/>
  <c r="K174"/>
  <c r="J190"/>
  <c r="K178"/>
  <c r="K182"/>
  <c r="K228"/>
  <c r="I209"/>
  <c r="K222"/>
  <c r="C327"/>
  <c r="C326"/>
  <c r="C324"/>
  <c r="C317"/>
  <c r="C316"/>
  <c r="C315"/>
  <c r="A314"/>
  <c r="A315" s="1"/>
  <c r="A316" s="1"/>
  <c r="A317" s="1"/>
  <c r="A318" s="1"/>
  <c r="C313"/>
  <c r="O302"/>
  <c r="M302"/>
  <c r="L302"/>
  <c r="C302"/>
  <c r="A305" s="1"/>
  <c r="G301"/>
  <c r="F301"/>
  <c r="H322" s="1"/>
  <c r="E301"/>
  <c r="I322" s="1"/>
  <c r="D301"/>
  <c r="E322" s="1"/>
  <c r="A301"/>
  <c r="G300"/>
  <c r="F300"/>
  <c r="H321" s="1"/>
  <c r="E300"/>
  <c r="I321" s="1"/>
  <c r="D300"/>
  <c r="E321" s="1"/>
  <c r="A300"/>
  <c r="G299"/>
  <c r="F299"/>
  <c r="H320" s="1"/>
  <c r="E299"/>
  <c r="I320" s="1"/>
  <c r="D299"/>
  <c r="E320" s="1"/>
  <c r="A299"/>
  <c r="N298"/>
  <c r="N302" s="1"/>
  <c r="H298"/>
  <c r="G298"/>
  <c r="F298"/>
  <c r="H319" s="1"/>
  <c r="D298"/>
  <c r="E319" s="1"/>
  <c r="A298"/>
  <c r="H297"/>
  <c r="G297"/>
  <c r="F297"/>
  <c r="H318" s="1"/>
  <c r="E297"/>
  <c r="I318" s="1"/>
  <c r="D297"/>
  <c r="E318" s="1"/>
  <c r="A297"/>
  <c r="G296"/>
  <c r="F296"/>
  <c r="H317" s="1"/>
  <c r="E296"/>
  <c r="I317" s="1"/>
  <c r="D296"/>
  <c r="A296"/>
  <c r="G295"/>
  <c r="F295"/>
  <c r="H316" s="1"/>
  <c r="E295"/>
  <c r="I316" s="1"/>
  <c r="D295"/>
  <c r="E316" s="1"/>
  <c r="A295"/>
  <c r="G294"/>
  <c r="F294"/>
  <c r="H315" s="1"/>
  <c r="E294"/>
  <c r="I315" s="1"/>
  <c r="D294"/>
  <c r="A294"/>
  <c r="G293"/>
  <c r="F293"/>
  <c r="H314" s="1"/>
  <c r="E293"/>
  <c r="I314" s="1"/>
  <c r="D293"/>
  <c r="A293"/>
  <c r="G292"/>
  <c r="F292"/>
  <c r="H313" s="1"/>
  <c r="E292"/>
  <c r="I313" s="1"/>
  <c r="D292"/>
  <c r="A292"/>
  <c r="G291"/>
  <c r="F291"/>
  <c r="H324" s="1"/>
  <c r="E291"/>
  <c r="I324" s="1"/>
  <c r="D291"/>
  <c r="E324" s="1"/>
  <c r="A291"/>
  <c r="G290"/>
  <c r="D327" s="1"/>
  <c r="F290"/>
  <c r="H327" s="1"/>
  <c r="E290"/>
  <c r="I327" s="1"/>
  <c r="D290"/>
  <c r="A290"/>
  <c r="G289"/>
  <c r="D326" s="1"/>
  <c r="F289"/>
  <c r="H326" s="1"/>
  <c r="E289"/>
  <c r="D289"/>
  <c r="A289"/>
  <c r="C282"/>
  <c r="C281"/>
  <c r="C279"/>
  <c r="C270"/>
  <c r="C269"/>
  <c r="C268"/>
  <c r="A268"/>
  <c r="A269" s="1"/>
  <c r="A270" s="1"/>
  <c r="A271" s="1"/>
  <c r="A272" s="1"/>
  <c r="O256"/>
  <c r="N256"/>
  <c r="M256"/>
  <c r="L256"/>
  <c r="H256"/>
  <c r="C256"/>
  <c r="A259" s="1"/>
  <c r="G255"/>
  <c r="F255"/>
  <c r="H277" s="1"/>
  <c r="E255"/>
  <c r="I277" s="1"/>
  <c r="D255"/>
  <c r="A255"/>
  <c r="G254"/>
  <c r="F254"/>
  <c r="H276" s="1"/>
  <c r="E254"/>
  <c r="I276" s="1"/>
  <c r="D254"/>
  <c r="E276" s="1"/>
  <c r="A254"/>
  <c r="G253"/>
  <c r="F253"/>
  <c r="H275" s="1"/>
  <c r="E253"/>
  <c r="I275" s="1"/>
  <c r="D253"/>
  <c r="E275" s="1"/>
  <c r="A253"/>
  <c r="G252"/>
  <c r="F252"/>
  <c r="H274" s="1"/>
  <c r="E252"/>
  <c r="I274" s="1"/>
  <c r="D252"/>
  <c r="A252"/>
  <c r="G251"/>
  <c r="F251"/>
  <c r="H273" s="1"/>
  <c r="E251"/>
  <c r="I273" s="1"/>
  <c r="D251"/>
  <c r="A251"/>
  <c r="G250"/>
  <c r="F250"/>
  <c r="H272" s="1"/>
  <c r="E250"/>
  <c r="I272" s="1"/>
  <c r="D250"/>
  <c r="A250"/>
  <c r="G249"/>
  <c r="F249"/>
  <c r="H270" s="1"/>
  <c r="E249"/>
  <c r="I270" s="1"/>
  <c r="D249"/>
  <c r="E270" s="1"/>
  <c r="A249"/>
  <c r="G248"/>
  <c r="F248"/>
  <c r="H269" s="1"/>
  <c r="E248"/>
  <c r="I269" s="1"/>
  <c r="D248"/>
  <c r="A248"/>
  <c r="G247"/>
  <c r="F247"/>
  <c r="H271" s="1"/>
  <c r="E247"/>
  <c r="I271" s="1"/>
  <c r="D247"/>
  <c r="E271" s="1"/>
  <c r="A247"/>
  <c r="G246"/>
  <c r="F246"/>
  <c r="H268" s="1"/>
  <c r="E246"/>
  <c r="I268" s="1"/>
  <c r="D246"/>
  <c r="A246"/>
  <c r="G245"/>
  <c r="F245"/>
  <c r="H267" s="1"/>
  <c r="E245"/>
  <c r="I267" s="1"/>
  <c r="D245"/>
  <c r="E267" s="1"/>
  <c r="A245"/>
  <c r="G244"/>
  <c r="F244"/>
  <c r="H279" s="1"/>
  <c r="E244"/>
  <c r="I279" s="1"/>
  <c r="D244"/>
  <c r="A244"/>
  <c r="G243"/>
  <c r="D282" s="1"/>
  <c r="F243"/>
  <c r="H282" s="1"/>
  <c r="E243"/>
  <c r="I282" s="1"/>
  <c r="D243"/>
  <c r="A243"/>
  <c r="G242"/>
  <c r="D281" s="1"/>
  <c r="F242"/>
  <c r="H281" s="1"/>
  <c r="E242"/>
  <c r="D242"/>
  <c r="A242"/>
  <c r="K190" l="1"/>
  <c r="E166"/>
  <c r="J163"/>
  <c r="I164"/>
  <c r="J164"/>
  <c r="J210"/>
  <c r="I210"/>
  <c r="J209"/>
  <c r="E212"/>
  <c r="E256"/>
  <c r="C259" s="1"/>
  <c r="I243"/>
  <c r="J243" s="1"/>
  <c r="G256"/>
  <c r="B259" s="1"/>
  <c r="I251"/>
  <c r="J251" s="1"/>
  <c r="I255"/>
  <c r="J255" s="1"/>
  <c r="J318"/>
  <c r="J320"/>
  <c r="I301"/>
  <c r="J301" s="1"/>
  <c r="C328"/>
  <c r="I292"/>
  <c r="J292" s="1"/>
  <c r="I296"/>
  <c r="J296" s="1"/>
  <c r="I290"/>
  <c r="J290" s="1"/>
  <c r="I294"/>
  <c r="J294" s="1"/>
  <c r="I300"/>
  <c r="J300" s="1"/>
  <c r="C283"/>
  <c r="I289"/>
  <c r="J289" s="1"/>
  <c r="I293"/>
  <c r="J293" s="1"/>
  <c r="H302"/>
  <c r="A320"/>
  <c r="A322" s="1"/>
  <c r="A324" s="1"/>
  <c r="A326" s="1"/>
  <c r="A327" s="1"/>
  <c r="A319"/>
  <c r="A321" s="1"/>
  <c r="J327"/>
  <c r="J324"/>
  <c r="J316"/>
  <c r="I291"/>
  <c r="J291" s="1"/>
  <c r="I295"/>
  <c r="J295" s="1"/>
  <c r="D302"/>
  <c r="E313"/>
  <c r="J313" s="1"/>
  <c r="E317"/>
  <c r="J317" s="1"/>
  <c r="J321"/>
  <c r="I297"/>
  <c r="J297" s="1"/>
  <c r="E298"/>
  <c r="I299"/>
  <c r="J299" s="1"/>
  <c r="G302"/>
  <c r="B305" s="1"/>
  <c r="E314"/>
  <c r="J314" s="1"/>
  <c r="J322"/>
  <c r="I326"/>
  <c r="J326" s="1"/>
  <c r="F302"/>
  <c r="E315"/>
  <c r="J315" s="1"/>
  <c r="K315" s="1"/>
  <c r="I244"/>
  <c r="J244" s="1"/>
  <c r="I248"/>
  <c r="J248" s="1"/>
  <c r="I252"/>
  <c r="J252" s="1"/>
  <c r="J276"/>
  <c r="E273"/>
  <c r="J273" s="1"/>
  <c r="E269"/>
  <c r="J269" s="1"/>
  <c r="K269" s="1"/>
  <c r="E279"/>
  <c r="J279" s="1"/>
  <c r="D256"/>
  <c r="I246"/>
  <c r="J246" s="1"/>
  <c r="I250"/>
  <c r="J250" s="1"/>
  <c r="I254"/>
  <c r="J254" s="1"/>
  <c r="E272"/>
  <c r="J272" s="1"/>
  <c r="E274"/>
  <c r="J274" s="1"/>
  <c r="K274" s="1"/>
  <c r="E268"/>
  <c r="J268" s="1"/>
  <c r="E277"/>
  <c r="A273"/>
  <c r="A275" s="1"/>
  <c r="A277" s="1"/>
  <c r="A279" s="1"/>
  <c r="A281" s="1"/>
  <c r="A282" s="1"/>
  <c r="A274"/>
  <c r="A276" s="1"/>
  <c r="J267"/>
  <c r="J275"/>
  <c r="D259"/>
  <c r="J270"/>
  <c r="J282"/>
  <c r="K282" s="1"/>
  <c r="J271"/>
  <c r="J277"/>
  <c r="K277" s="1"/>
  <c r="I245"/>
  <c r="J245" s="1"/>
  <c r="I249"/>
  <c r="J249" s="1"/>
  <c r="I253"/>
  <c r="J253" s="1"/>
  <c r="I242"/>
  <c r="F256"/>
  <c r="G258" s="1"/>
  <c r="I281"/>
  <c r="J281" s="1"/>
  <c r="I247"/>
  <c r="J247" s="1"/>
  <c r="K314" l="1"/>
  <c r="K273"/>
  <c r="K322"/>
  <c r="I319"/>
  <c r="I328" s="1"/>
  <c r="K326"/>
  <c r="K317"/>
  <c r="K327"/>
  <c r="K318"/>
  <c r="K268"/>
  <c r="K279"/>
  <c r="K321"/>
  <c r="K324"/>
  <c r="K272"/>
  <c r="K276"/>
  <c r="K313"/>
  <c r="I298"/>
  <c r="J298" s="1"/>
  <c r="K320"/>
  <c r="K316"/>
  <c r="G304"/>
  <c r="E302"/>
  <c r="C305" s="1"/>
  <c r="D305" s="1"/>
  <c r="K270"/>
  <c r="K275"/>
  <c r="K281"/>
  <c r="K271"/>
  <c r="I283"/>
  <c r="I256"/>
  <c r="J242"/>
  <c r="K267"/>
  <c r="J283"/>
  <c r="I302" l="1"/>
  <c r="J302" s="1"/>
  <c r="J319"/>
  <c r="J328" s="1"/>
  <c r="K283"/>
  <c r="E259"/>
  <c r="J256"/>
  <c r="I257"/>
  <c r="J257"/>
  <c r="K328" l="1"/>
  <c r="I303"/>
  <c r="J303"/>
  <c r="E305"/>
  <c r="K319"/>
  <c r="G13" i="153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C236" i="16" l="1"/>
  <c r="I236"/>
  <c r="J236" l="1"/>
  <c r="K236" s="1"/>
  <c r="C6" i="153" l="1"/>
  <c r="C5"/>
  <c r="C7" l="1"/>
  <c r="D7" l="1"/>
  <c r="E6"/>
  <c r="N346" i="16"/>
  <c r="M346"/>
  <c r="C371" l="1"/>
  <c r="C370"/>
  <c r="C368"/>
  <c r="C366"/>
  <c r="C365"/>
  <c r="C364"/>
  <c r="C363"/>
  <c r="C362"/>
  <c r="C361"/>
  <c r="C360"/>
  <c r="C359"/>
  <c r="C358"/>
  <c r="A358"/>
  <c r="A359" s="1"/>
  <c r="A360" s="1"/>
  <c r="A361" s="1"/>
  <c r="A362" s="1"/>
  <c r="C357"/>
  <c r="O346"/>
  <c r="L346"/>
  <c r="H346"/>
  <c r="C346"/>
  <c r="A349" s="1"/>
  <c r="G345"/>
  <c r="F345"/>
  <c r="H366" s="1"/>
  <c r="E345"/>
  <c r="I366" s="1"/>
  <c r="D345"/>
  <c r="E366" s="1"/>
  <c r="A345"/>
  <c r="G344"/>
  <c r="F344"/>
  <c r="H365" s="1"/>
  <c r="E344"/>
  <c r="I365" s="1"/>
  <c r="D344"/>
  <c r="E365" s="1"/>
  <c r="A344"/>
  <c r="G343"/>
  <c r="F343"/>
  <c r="H364" s="1"/>
  <c r="E343"/>
  <c r="I364" s="1"/>
  <c r="D343"/>
  <c r="E364" s="1"/>
  <c r="A343"/>
  <c r="G342"/>
  <c r="F342"/>
  <c r="H363" s="1"/>
  <c r="E342"/>
  <c r="I363" s="1"/>
  <c r="D342"/>
  <c r="E363" s="1"/>
  <c r="A342"/>
  <c r="G341"/>
  <c r="F341"/>
  <c r="H362" s="1"/>
  <c r="E341"/>
  <c r="I362" s="1"/>
  <c r="D341"/>
  <c r="E362" s="1"/>
  <c r="A341"/>
  <c r="G340"/>
  <c r="F340"/>
  <c r="H361" s="1"/>
  <c r="E340"/>
  <c r="I361" s="1"/>
  <c r="D340"/>
  <c r="E361" s="1"/>
  <c r="A340"/>
  <c r="G339"/>
  <c r="F339"/>
  <c r="H360" s="1"/>
  <c r="E339"/>
  <c r="I360" s="1"/>
  <c r="D339"/>
  <c r="E360" s="1"/>
  <c r="A339"/>
  <c r="G338"/>
  <c r="F338"/>
  <c r="H359" s="1"/>
  <c r="E338"/>
  <c r="I359" s="1"/>
  <c r="D338"/>
  <c r="E359" s="1"/>
  <c r="A338"/>
  <c r="G337"/>
  <c r="F337"/>
  <c r="H358" s="1"/>
  <c r="E337"/>
  <c r="I358" s="1"/>
  <c r="D337"/>
  <c r="E358" s="1"/>
  <c r="A337"/>
  <c r="G336"/>
  <c r="F336"/>
  <c r="H357" s="1"/>
  <c r="E336"/>
  <c r="I357" s="1"/>
  <c r="D336"/>
  <c r="E357" s="1"/>
  <c r="A336"/>
  <c r="G335"/>
  <c r="F335"/>
  <c r="H368" s="1"/>
  <c r="E335"/>
  <c r="I368" s="1"/>
  <c r="D335"/>
  <c r="E368" s="1"/>
  <c r="A335"/>
  <c r="G334"/>
  <c r="D371" s="1"/>
  <c r="F334"/>
  <c r="H371" s="1"/>
  <c r="E334"/>
  <c r="I371" s="1"/>
  <c r="D334"/>
  <c r="A334"/>
  <c r="G333"/>
  <c r="D370" s="1"/>
  <c r="F333"/>
  <c r="H370" s="1"/>
  <c r="E333"/>
  <c r="I370" s="1"/>
  <c r="D333"/>
  <c r="A333"/>
  <c r="E376"/>
  <c r="D384"/>
  <c r="D385"/>
  <c r="D386"/>
  <c r="D387"/>
  <c r="D388"/>
  <c r="D389"/>
  <c r="D377"/>
  <c r="D378"/>
  <c r="D379"/>
  <c r="D380"/>
  <c r="D376"/>
  <c r="L390"/>
  <c r="I334" l="1"/>
  <c r="J334" s="1"/>
  <c r="C372"/>
  <c r="D346"/>
  <c r="J371"/>
  <c r="J359"/>
  <c r="J363"/>
  <c r="J358"/>
  <c r="J362"/>
  <c r="J366"/>
  <c r="A363"/>
  <c r="A365" s="1"/>
  <c r="A364"/>
  <c r="A366" s="1"/>
  <c r="A368" s="1"/>
  <c r="J370"/>
  <c r="J357"/>
  <c r="J365"/>
  <c r="J361"/>
  <c r="J368"/>
  <c r="I372"/>
  <c r="J360"/>
  <c r="J364"/>
  <c r="I333"/>
  <c r="I337"/>
  <c r="J337" s="1"/>
  <c r="I341"/>
  <c r="J341" s="1"/>
  <c r="I345"/>
  <c r="J345" s="1"/>
  <c r="F346"/>
  <c r="I338"/>
  <c r="J338" s="1"/>
  <c r="I342"/>
  <c r="J342" s="1"/>
  <c r="E346"/>
  <c r="C349" s="1"/>
  <c r="I335"/>
  <c r="J335" s="1"/>
  <c r="I339"/>
  <c r="J339" s="1"/>
  <c r="I343"/>
  <c r="J343" s="1"/>
  <c r="I336"/>
  <c r="J336" s="1"/>
  <c r="I340"/>
  <c r="J340" s="1"/>
  <c r="I344"/>
  <c r="J344" s="1"/>
  <c r="G346"/>
  <c r="B349" s="1"/>
  <c r="A370" l="1"/>
  <c r="A371" s="1"/>
  <c r="K371"/>
  <c r="D349"/>
  <c r="G348"/>
  <c r="K368"/>
  <c r="K358"/>
  <c r="K366"/>
  <c r="J333"/>
  <c r="I346"/>
  <c r="K357"/>
  <c r="J372"/>
  <c r="K362"/>
  <c r="K360"/>
  <c r="K361"/>
  <c r="K365"/>
  <c r="K359"/>
  <c r="K364"/>
  <c r="K363"/>
  <c r="K370"/>
  <c r="K372" l="1"/>
  <c r="I347"/>
  <c r="E349"/>
  <c r="J346"/>
  <c r="C416" l="1"/>
  <c r="C415"/>
  <c r="C413"/>
  <c r="C411"/>
  <c r="C410"/>
  <c r="C409"/>
  <c r="C408"/>
  <c r="C407"/>
  <c r="C406"/>
  <c r="C405"/>
  <c r="C404"/>
  <c r="C403"/>
  <c r="C402"/>
  <c r="A402"/>
  <c r="A403" s="1"/>
  <c r="A404" s="1"/>
  <c r="A405" s="1"/>
  <c r="A406" s="1"/>
  <c r="C401"/>
  <c r="O390"/>
  <c r="N390"/>
  <c r="M390"/>
  <c r="H390"/>
  <c r="C390"/>
  <c r="A393" s="1"/>
  <c r="G389"/>
  <c r="F389"/>
  <c r="H411" s="1"/>
  <c r="E389"/>
  <c r="I411" s="1"/>
  <c r="E411"/>
  <c r="A389"/>
  <c r="G388"/>
  <c r="F388"/>
  <c r="H410" s="1"/>
  <c r="E388"/>
  <c r="I410" s="1"/>
  <c r="E410"/>
  <c r="A388"/>
  <c r="G387"/>
  <c r="F387"/>
  <c r="H409" s="1"/>
  <c r="E387"/>
  <c r="I409" s="1"/>
  <c r="E409"/>
  <c r="A387"/>
  <c r="G386"/>
  <c r="F386"/>
  <c r="H408" s="1"/>
  <c r="E386"/>
  <c r="I408" s="1"/>
  <c r="E408"/>
  <c r="A386"/>
  <c r="G385"/>
  <c r="F385"/>
  <c r="H407" s="1"/>
  <c r="E385"/>
  <c r="I407" s="1"/>
  <c r="E407"/>
  <c r="A385"/>
  <c r="G384"/>
  <c r="F384"/>
  <c r="H406" s="1"/>
  <c r="E384"/>
  <c r="I406" s="1"/>
  <c r="E406"/>
  <c r="A384"/>
  <c r="G383"/>
  <c r="F383"/>
  <c r="H405" s="1"/>
  <c r="E383"/>
  <c r="I405" s="1"/>
  <c r="D383"/>
  <c r="E405" s="1"/>
  <c r="A383"/>
  <c r="G382"/>
  <c r="F382"/>
  <c r="H404" s="1"/>
  <c r="E382"/>
  <c r="I404" s="1"/>
  <c r="D382"/>
  <c r="E404" s="1"/>
  <c r="A382"/>
  <c r="G381"/>
  <c r="F381"/>
  <c r="H403" s="1"/>
  <c r="E381"/>
  <c r="I403" s="1"/>
  <c r="D381"/>
  <c r="E403" s="1"/>
  <c r="A381"/>
  <c r="G380"/>
  <c r="F380"/>
  <c r="H402" s="1"/>
  <c r="E380"/>
  <c r="I402" s="1"/>
  <c r="E402"/>
  <c r="A380"/>
  <c r="G379"/>
  <c r="F379"/>
  <c r="H401" s="1"/>
  <c r="E379"/>
  <c r="I401" s="1"/>
  <c r="E401"/>
  <c r="A379"/>
  <c r="G378"/>
  <c r="F378"/>
  <c r="H413" s="1"/>
  <c r="E378"/>
  <c r="I413" s="1"/>
  <c r="E413"/>
  <c r="A378"/>
  <c r="G377"/>
  <c r="D416" s="1"/>
  <c r="F377"/>
  <c r="H416" s="1"/>
  <c r="E377"/>
  <c r="I416" s="1"/>
  <c r="A377"/>
  <c r="G376"/>
  <c r="D415" s="1"/>
  <c r="F376"/>
  <c r="H415" s="1"/>
  <c r="I415"/>
  <c r="A376"/>
  <c r="J403" l="1"/>
  <c r="J407"/>
  <c r="D390"/>
  <c r="J413"/>
  <c r="I417"/>
  <c r="J404"/>
  <c r="J408"/>
  <c r="C417"/>
  <c r="I377"/>
  <c r="J377" s="1"/>
  <c r="A407"/>
  <c r="A409" s="1"/>
  <c r="A411" s="1"/>
  <c r="A413" s="1"/>
  <c r="A415" s="1"/>
  <c r="A416" s="1"/>
  <c r="A408"/>
  <c r="A410" s="1"/>
  <c r="J416"/>
  <c r="J415"/>
  <c r="J402"/>
  <c r="J406"/>
  <c r="J410"/>
  <c r="J401"/>
  <c r="J405"/>
  <c r="J409"/>
  <c r="J411"/>
  <c r="I379"/>
  <c r="J379" s="1"/>
  <c r="I383"/>
  <c r="J383" s="1"/>
  <c r="I376"/>
  <c r="I380"/>
  <c r="J380" s="1"/>
  <c r="I384"/>
  <c r="J384" s="1"/>
  <c r="I388"/>
  <c r="J388" s="1"/>
  <c r="F390"/>
  <c r="G392" s="1"/>
  <c r="I381"/>
  <c r="J381" s="1"/>
  <c r="I385"/>
  <c r="J385" s="1"/>
  <c r="I389"/>
  <c r="J389" s="1"/>
  <c r="E390"/>
  <c r="C393" s="1"/>
  <c r="I378"/>
  <c r="J378" s="1"/>
  <c r="I382"/>
  <c r="J382" s="1"/>
  <c r="I386"/>
  <c r="J386" s="1"/>
  <c r="I387"/>
  <c r="J387" s="1"/>
  <c r="G390"/>
  <c r="B393" s="1"/>
  <c r="K416" l="1"/>
  <c r="K404"/>
  <c r="D393"/>
  <c r="K411"/>
  <c r="K410"/>
  <c r="K407"/>
  <c r="K401"/>
  <c r="J417"/>
  <c r="K415"/>
  <c r="K408"/>
  <c r="K405"/>
  <c r="K402"/>
  <c r="I390"/>
  <c r="J376"/>
  <c r="K409"/>
  <c r="K406"/>
  <c r="K403"/>
  <c r="K413"/>
  <c r="K417" l="1"/>
  <c r="I391"/>
  <c r="E393"/>
  <c r="J390"/>
  <c r="C462" l="1"/>
  <c r="C461"/>
  <c r="C459"/>
  <c r="C457"/>
  <c r="C456"/>
  <c r="C455"/>
  <c r="C454"/>
  <c r="C453"/>
  <c r="C452"/>
  <c r="C451"/>
  <c r="C450"/>
  <c r="C449"/>
  <c r="C448"/>
  <c r="A448"/>
  <c r="C447"/>
  <c r="O436"/>
  <c r="N436"/>
  <c r="M436"/>
  <c r="L436"/>
  <c r="H436"/>
  <c r="C436"/>
  <c r="A439" s="1"/>
  <c r="G435"/>
  <c r="F435"/>
  <c r="H457" s="1"/>
  <c r="E435"/>
  <c r="I457" s="1"/>
  <c r="D435"/>
  <c r="A435"/>
  <c r="G434"/>
  <c r="F434"/>
  <c r="H456" s="1"/>
  <c r="E434"/>
  <c r="I456" s="1"/>
  <c r="D434"/>
  <c r="A434"/>
  <c r="G433"/>
  <c r="F433"/>
  <c r="H455" s="1"/>
  <c r="E433"/>
  <c r="I455" s="1"/>
  <c r="D433"/>
  <c r="E455" s="1"/>
  <c r="A433"/>
  <c r="G432"/>
  <c r="F432"/>
  <c r="H454" s="1"/>
  <c r="E432"/>
  <c r="I454" s="1"/>
  <c r="D432"/>
  <c r="A432"/>
  <c r="G431"/>
  <c r="F431"/>
  <c r="H453" s="1"/>
  <c r="E431"/>
  <c r="I453" s="1"/>
  <c r="D431"/>
  <c r="A431"/>
  <c r="G430"/>
  <c r="F430"/>
  <c r="H452" s="1"/>
  <c r="E430"/>
  <c r="I452" s="1"/>
  <c r="D430"/>
  <c r="E452" s="1"/>
  <c r="A430"/>
  <c r="G429"/>
  <c r="F429"/>
  <c r="H451" s="1"/>
  <c r="E429"/>
  <c r="I451" s="1"/>
  <c r="D429"/>
  <c r="E451" s="1"/>
  <c r="A429"/>
  <c r="G428"/>
  <c r="F428"/>
  <c r="H450" s="1"/>
  <c r="E428"/>
  <c r="I450" s="1"/>
  <c r="D428"/>
  <c r="A428"/>
  <c r="G427"/>
  <c r="F427"/>
  <c r="H449" s="1"/>
  <c r="E427"/>
  <c r="I449" s="1"/>
  <c r="D427"/>
  <c r="A427"/>
  <c r="G426"/>
  <c r="F426"/>
  <c r="H448" s="1"/>
  <c r="E426"/>
  <c r="I448" s="1"/>
  <c r="D426"/>
  <c r="E448" s="1"/>
  <c r="A426"/>
  <c r="G425"/>
  <c r="F425"/>
  <c r="H447" s="1"/>
  <c r="E425"/>
  <c r="I447" s="1"/>
  <c r="D425"/>
  <c r="A425"/>
  <c r="G424"/>
  <c r="F424"/>
  <c r="H459" s="1"/>
  <c r="E424"/>
  <c r="I459" s="1"/>
  <c r="D424"/>
  <c r="E459" s="1"/>
  <c r="A424"/>
  <c r="G423"/>
  <c r="D462" s="1"/>
  <c r="F423"/>
  <c r="H462" s="1"/>
  <c r="E423"/>
  <c r="I462" s="1"/>
  <c r="D423"/>
  <c r="A423"/>
  <c r="G422"/>
  <c r="D461" s="1"/>
  <c r="F422"/>
  <c r="H461" s="1"/>
  <c r="E422"/>
  <c r="I461" s="1"/>
  <c r="D422"/>
  <c r="A422"/>
  <c r="A449" l="1"/>
  <c r="A450" s="1"/>
  <c r="A451" s="1"/>
  <c r="A452" s="1"/>
  <c r="I422"/>
  <c r="J422" s="1"/>
  <c r="I428"/>
  <c r="J428" s="1"/>
  <c r="I432"/>
  <c r="J432" s="1"/>
  <c r="C463"/>
  <c r="I435"/>
  <c r="J435" s="1"/>
  <c r="I425"/>
  <c r="J425" s="1"/>
  <c r="I427"/>
  <c r="J427" s="1"/>
  <c r="J452"/>
  <c r="I431"/>
  <c r="J431" s="1"/>
  <c r="I434"/>
  <c r="J434" s="1"/>
  <c r="E447"/>
  <c r="J447" s="1"/>
  <c r="E449"/>
  <c r="J449" s="1"/>
  <c r="E457"/>
  <c r="J457" s="1"/>
  <c r="J462"/>
  <c r="E454"/>
  <c r="J454" s="1"/>
  <c r="K454" s="1"/>
  <c r="E436"/>
  <c r="C439" s="1"/>
  <c r="I423"/>
  <c r="J423" s="1"/>
  <c r="E450"/>
  <c r="J450" s="1"/>
  <c r="E456"/>
  <c r="J456" s="1"/>
  <c r="I426"/>
  <c r="J426" s="1"/>
  <c r="E453"/>
  <c r="J453" s="1"/>
  <c r="J451"/>
  <c r="J461"/>
  <c r="J448"/>
  <c r="J459"/>
  <c r="I463"/>
  <c r="J455"/>
  <c r="I433"/>
  <c r="J433" s="1"/>
  <c r="D436"/>
  <c r="I429"/>
  <c r="J429" s="1"/>
  <c r="I430"/>
  <c r="J430" s="1"/>
  <c r="G436"/>
  <c r="B439" s="1"/>
  <c r="I424"/>
  <c r="J424" s="1"/>
  <c r="F436"/>
  <c r="C505"/>
  <c r="C506"/>
  <c r="C483"/>
  <c r="A486" s="1"/>
  <c r="H483"/>
  <c r="A454" l="1"/>
  <c r="A456" s="1"/>
  <c r="A453"/>
  <c r="A455" s="1"/>
  <c r="A457" s="1"/>
  <c r="A459" s="1"/>
  <c r="A461" s="1"/>
  <c r="A462" s="1"/>
  <c r="K457"/>
  <c r="K461"/>
  <c r="K456"/>
  <c r="K453"/>
  <c r="K449"/>
  <c r="K448"/>
  <c r="D439"/>
  <c r="K447"/>
  <c r="K450"/>
  <c r="K459"/>
  <c r="K462"/>
  <c r="K455"/>
  <c r="K452"/>
  <c r="I436"/>
  <c r="J463"/>
  <c r="G438"/>
  <c r="K451"/>
  <c r="N483"/>
  <c r="M483"/>
  <c r="L483"/>
  <c r="G482"/>
  <c r="F482"/>
  <c r="H506" s="1"/>
  <c r="E482"/>
  <c r="I506" s="1"/>
  <c r="D482"/>
  <c r="A482"/>
  <c r="E506" l="1"/>
  <c r="J506" s="1"/>
  <c r="I482"/>
  <c r="J482" s="1"/>
  <c r="K463"/>
  <c r="E439"/>
  <c r="J436"/>
  <c r="I437"/>
  <c r="K506" l="1"/>
  <c r="C511"/>
  <c r="C510"/>
  <c r="C508"/>
  <c r="C504"/>
  <c r="C503"/>
  <c r="C502"/>
  <c r="C501"/>
  <c r="C500"/>
  <c r="C499"/>
  <c r="C498"/>
  <c r="C497"/>
  <c r="C496"/>
  <c r="C495"/>
  <c r="A495"/>
  <c r="A496" s="1"/>
  <c r="A497" s="1"/>
  <c r="A498" s="1"/>
  <c r="A499" s="1"/>
  <c r="A500" s="1"/>
  <c r="C494"/>
  <c r="O483"/>
  <c r="G481"/>
  <c r="F481"/>
  <c r="H505" s="1"/>
  <c r="E481"/>
  <c r="I505" s="1"/>
  <c r="D481"/>
  <c r="A481"/>
  <c r="G480"/>
  <c r="F480"/>
  <c r="E480"/>
  <c r="D480"/>
  <c r="A480"/>
  <c r="G479"/>
  <c r="F479"/>
  <c r="H503" s="1"/>
  <c r="E479"/>
  <c r="I503" s="1"/>
  <c r="D479"/>
  <c r="E503" s="1"/>
  <c r="A479"/>
  <c r="G478"/>
  <c r="F478"/>
  <c r="H502" s="1"/>
  <c r="E478"/>
  <c r="I502" s="1"/>
  <c r="D478"/>
  <c r="E502" s="1"/>
  <c r="A478"/>
  <c r="G477"/>
  <c r="F477"/>
  <c r="H501" s="1"/>
  <c r="E477"/>
  <c r="I501" s="1"/>
  <c r="D477"/>
  <c r="E501" s="1"/>
  <c r="A477"/>
  <c r="G476"/>
  <c r="F476"/>
  <c r="H500" s="1"/>
  <c r="E476"/>
  <c r="I500" s="1"/>
  <c r="D476"/>
  <c r="E500" s="1"/>
  <c r="A476"/>
  <c r="G475"/>
  <c r="F475"/>
  <c r="H499" s="1"/>
  <c r="E475"/>
  <c r="I499" s="1"/>
  <c r="D475"/>
  <c r="E499" s="1"/>
  <c r="A475"/>
  <c r="G474"/>
  <c r="F474"/>
  <c r="H498" s="1"/>
  <c r="E474"/>
  <c r="I498" s="1"/>
  <c r="D474"/>
  <c r="E498" s="1"/>
  <c r="A474"/>
  <c r="G473"/>
  <c r="F473"/>
  <c r="H497" s="1"/>
  <c r="E473"/>
  <c r="I497" s="1"/>
  <c r="D473"/>
  <c r="E497" s="1"/>
  <c r="A473"/>
  <c r="G472"/>
  <c r="F472"/>
  <c r="H496" s="1"/>
  <c r="E472"/>
  <c r="I496" s="1"/>
  <c r="D472"/>
  <c r="A472"/>
  <c r="G471"/>
  <c r="F471"/>
  <c r="H495" s="1"/>
  <c r="E471"/>
  <c r="I495" s="1"/>
  <c r="D471"/>
  <c r="E495" s="1"/>
  <c r="A471"/>
  <c r="G470"/>
  <c r="F470"/>
  <c r="H494" s="1"/>
  <c r="E470"/>
  <c r="D470"/>
  <c r="E494" s="1"/>
  <c r="A470"/>
  <c r="G469"/>
  <c r="F469"/>
  <c r="H508" s="1"/>
  <c r="E469"/>
  <c r="I508" s="1"/>
  <c r="D469"/>
  <c r="E508" s="1"/>
  <c r="A469"/>
  <c r="G468"/>
  <c r="D511" s="1"/>
  <c r="F468"/>
  <c r="H511" s="1"/>
  <c r="E468"/>
  <c r="I511" s="1"/>
  <c r="D468"/>
  <c r="A468"/>
  <c r="G467"/>
  <c r="F467"/>
  <c r="E467"/>
  <c r="I510" s="1"/>
  <c r="D467"/>
  <c r="A467"/>
  <c r="A516"/>
  <c r="D516"/>
  <c r="E516"/>
  <c r="F516"/>
  <c r="G516"/>
  <c r="A517"/>
  <c r="D517"/>
  <c r="E517"/>
  <c r="F517"/>
  <c r="G517"/>
  <c r="A518"/>
  <c r="D518"/>
  <c r="E518"/>
  <c r="F518"/>
  <c r="G518"/>
  <c r="D483" l="1"/>
  <c r="C512"/>
  <c r="D510"/>
  <c r="G483"/>
  <c r="J511"/>
  <c r="I481"/>
  <c r="J481" s="1"/>
  <c r="E505"/>
  <c r="J505" s="1"/>
  <c r="I517"/>
  <c r="J517" s="1"/>
  <c r="F483"/>
  <c r="I494"/>
  <c r="J494" s="1"/>
  <c r="E483"/>
  <c r="C486" s="1"/>
  <c r="I504"/>
  <c r="H504"/>
  <c r="J499"/>
  <c r="J495"/>
  <c r="J500"/>
  <c r="I518"/>
  <c r="J518" s="1"/>
  <c r="I516"/>
  <c r="J516" s="1"/>
  <c r="I468"/>
  <c r="J468" s="1"/>
  <c r="I472"/>
  <c r="J472" s="1"/>
  <c r="I476"/>
  <c r="J476" s="1"/>
  <c r="I480"/>
  <c r="J480" s="1"/>
  <c r="E496"/>
  <c r="J496" s="1"/>
  <c r="E504"/>
  <c r="I467"/>
  <c r="J467" s="1"/>
  <c r="A501"/>
  <c r="A503" s="1"/>
  <c r="A506" s="1"/>
  <c r="A508" s="1"/>
  <c r="A510" s="1"/>
  <c r="A511" s="1"/>
  <c r="A502"/>
  <c r="J503"/>
  <c r="J498"/>
  <c r="J502"/>
  <c r="J501"/>
  <c r="J497"/>
  <c r="J508"/>
  <c r="I469"/>
  <c r="J469" s="1"/>
  <c r="I473"/>
  <c r="J473" s="1"/>
  <c r="I477"/>
  <c r="J477" s="1"/>
  <c r="I470"/>
  <c r="I474"/>
  <c r="J474" s="1"/>
  <c r="I478"/>
  <c r="J478" s="1"/>
  <c r="I471"/>
  <c r="J471" s="1"/>
  <c r="I475"/>
  <c r="J475" s="1"/>
  <c r="I479"/>
  <c r="J479" s="1"/>
  <c r="B486"/>
  <c r="H510"/>
  <c r="J510" s="1"/>
  <c r="K511" l="1"/>
  <c r="K505"/>
  <c r="I512"/>
  <c r="A504"/>
  <c r="A505"/>
  <c r="D486"/>
  <c r="J470"/>
  <c r="I483"/>
  <c r="J504"/>
  <c r="J512" s="1"/>
  <c r="G485"/>
  <c r="K510"/>
  <c r="K500"/>
  <c r="K498"/>
  <c r="K496"/>
  <c r="K503"/>
  <c r="K508"/>
  <c r="K497"/>
  <c r="K502"/>
  <c r="K501"/>
  <c r="K495"/>
  <c r="K494"/>
  <c r="K499"/>
  <c r="K504" l="1"/>
  <c r="I484"/>
  <c r="K512"/>
  <c r="J483"/>
  <c r="E486"/>
  <c r="C558" l="1"/>
  <c r="C557"/>
  <c r="C555"/>
  <c r="C553"/>
  <c r="C552"/>
  <c r="C551"/>
  <c r="C550"/>
  <c r="C549"/>
  <c r="C548"/>
  <c r="C547"/>
  <c r="C546"/>
  <c r="C545"/>
  <c r="C544"/>
  <c r="C543"/>
  <c r="A543"/>
  <c r="A544" s="1"/>
  <c r="A545" s="1"/>
  <c r="A546" s="1"/>
  <c r="A547" s="1"/>
  <c r="A548" s="1"/>
  <c r="C542"/>
  <c r="O531"/>
  <c r="N531"/>
  <c r="M531"/>
  <c r="L531"/>
  <c r="H531"/>
  <c r="C531"/>
  <c r="A534" s="1"/>
  <c r="G530"/>
  <c r="F530"/>
  <c r="H553" s="1"/>
  <c r="E530"/>
  <c r="I553" s="1"/>
  <c r="D530"/>
  <c r="A530"/>
  <c r="G529"/>
  <c r="F529"/>
  <c r="H552" s="1"/>
  <c r="E529"/>
  <c r="I552" s="1"/>
  <c r="D529"/>
  <c r="A529"/>
  <c r="G528"/>
  <c r="F528"/>
  <c r="H551" s="1"/>
  <c r="E528"/>
  <c r="I551" s="1"/>
  <c r="D528"/>
  <c r="E551" s="1"/>
  <c r="A528"/>
  <c r="G527"/>
  <c r="F527"/>
  <c r="H550" s="1"/>
  <c r="E527"/>
  <c r="I550" s="1"/>
  <c r="D527"/>
  <c r="E550" s="1"/>
  <c r="A527"/>
  <c r="G526"/>
  <c r="F526"/>
  <c r="H549" s="1"/>
  <c r="E526"/>
  <c r="I549" s="1"/>
  <c r="D526"/>
  <c r="A526"/>
  <c r="G525"/>
  <c r="F525"/>
  <c r="H548" s="1"/>
  <c r="E525"/>
  <c r="I548" s="1"/>
  <c r="D525"/>
  <c r="A525"/>
  <c r="G524"/>
  <c r="F524"/>
  <c r="H547" s="1"/>
  <c r="E524"/>
  <c r="I547" s="1"/>
  <c r="D524"/>
  <c r="E547" s="1"/>
  <c r="A524"/>
  <c r="G523"/>
  <c r="F523"/>
  <c r="H546" s="1"/>
  <c r="E523"/>
  <c r="I546" s="1"/>
  <c r="D523"/>
  <c r="E546" s="1"/>
  <c r="A523"/>
  <c r="G522"/>
  <c r="F522"/>
  <c r="H545" s="1"/>
  <c r="E522"/>
  <c r="I545" s="1"/>
  <c r="D522"/>
  <c r="A522"/>
  <c r="G521"/>
  <c r="F521"/>
  <c r="H544" s="1"/>
  <c r="E521"/>
  <c r="I544" s="1"/>
  <c r="D521"/>
  <c r="A521"/>
  <c r="G520"/>
  <c r="F520"/>
  <c r="H543" s="1"/>
  <c r="E520"/>
  <c r="I543" s="1"/>
  <c r="D520"/>
  <c r="E543" s="1"/>
  <c r="A520"/>
  <c r="G519"/>
  <c r="F519"/>
  <c r="H542" s="1"/>
  <c r="E519"/>
  <c r="I542" s="1"/>
  <c r="D519"/>
  <c r="A519"/>
  <c r="H555"/>
  <c r="I555"/>
  <c r="E555"/>
  <c r="D558"/>
  <c r="H558"/>
  <c r="I558"/>
  <c r="D557"/>
  <c r="I557"/>
  <c r="E553" l="1"/>
  <c r="J553" s="1"/>
  <c r="I530"/>
  <c r="C559"/>
  <c r="I519"/>
  <c r="J519" s="1"/>
  <c r="J543"/>
  <c r="I522"/>
  <c r="J522" s="1"/>
  <c r="J547"/>
  <c r="I526"/>
  <c r="J526" s="1"/>
  <c r="J551"/>
  <c r="J530"/>
  <c r="E545"/>
  <c r="J545" s="1"/>
  <c r="F531"/>
  <c r="I521"/>
  <c r="J521" s="1"/>
  <c r="I525"/>
  <c r="J525" s="1"/>
  <c r="I529"/>
  <c r="J529" s="1"/>
  <c r="E552"/>
  <c r="J552" s="1"/>
  <c r="E549"/>
  <c r="J549" s="1"/>
  <c r="J558"/>
  <c r="A549"/>
  <c r="A551" s="1"/>
  <c r="A553" s="1"/>
  <c r="A555" s="1"/>
  <c r="A557" s="1"/>
  <c r="A558" s="1"/>
  <c r="A550"/>
  <c r="A552" s="1"/>
  <c r="J550"/>
  <c r="J555"/>
  <c r="I559"/>
  <c r="J546"/>
  <c r="I527"/>
  <c r="J527" s="1"/>
  <c r="E531"/>
  <c r="C534" s="1"/>
  <c r="E544"/>
  <c r="J544" s="1"/>
  <c r="E548"/>
  <c r="J548" s="1"/>
  <c r="I523"/>
  <c r="J523" s="1"/>
  <c r="D531"/>
  <c r="I528"/>
  <c r="J528" s="1"/>
  <c r="G531"/>
  <c r="B534" s="1"/>
  <c r="E542"/>
  <c r="J542" s="1"/>
  <c r="H557"/>
  <c r="J557" s="1"/>
  <c r="I520"/>
  <c r="J520" s="1"/>
  <c r="I524"/>
  <c r="J524" s="1"/>
  <c r="C606"/>
  <c r="C605"/>
  <c r="C603"/>
  <c r="C596"/>
  <c r="C597"/>
  <c r="C598"/>
  <c r="C599"/>
  <c r="C595"/>
  <c r="C600"/>
  <c r="C601"/>
  <c r="C591"/>
  <c r="C592"/>
  <c r="C590"/>
  <c r="G565"/>
  <c r="D606" s="1"/>
  <c r="G566"/>
  <c r="G567"/>
  <c r="G568"/>
  <c r="F565"/>
  <c r="H606" s="1"/>
  <c r="F566"/>
  <c r="H603" s="1"/>
  <c r="F567"/>
  <c r="H590" s="1"/>
  <c r="F568"/>
  <c r="F569"/>
  <c r="F570"/>
  <c r="F571"/>
  <c r="F572"/>
  <c r="F573"/>
  <c r="F574"/>
  <c r="F575"/>
  <c r="F576"/>
  <c r="F577"/>
  <c r="H600" s="1"/>
  <c r="F578"/>
  <c r="F564"/>
  <c r="H605" s="1"/>
  <c r="E565"/>
  <c r="I606" s="1"/>
  <c r="E566"/>
  <c r="I603" s="1"/>
  <c r="E567"/>
  <c r="I590" s="1"/>
  <c r="E568"/>
  <c r="E569"/>
  <c r="E570"/>
  <c r="E571"/>
  <c r="E572"/>
  <c r="E573"/>
  <c r="E574"/>
  <c r="E575"/>
  <c r="E576"/>
  <c r="E577"/>
  <c r="I600" s="1"/>
  <c r="E578"/>
  <c r="E564"/>
  <c r="I605" s="1"/>
  <c r="D570"/>
  <c r="D571"/>
  <c r="D572"/>
  <c r="E595" s="1"/>
  <c r="D573"/>
  <c r="E596" s="1"/>
  <c r="D574"/>
  <c r="E597" s="1"/>
  <c r="D575"/>
  <c r="E598" s="1"/>
  <c r="D576"/>
  <c r="E599" s="1"/>
  <c r="D577"/>
  <c r="E600" s="1"/>
  <c r="D578"/>
  <c r="E601" s="1"/>
  <c r="D565"/>
  <c r="D566"/>
  <c r="E603" s="1"/>
  <c r="D567"/>
  <c r="E590" s="1"/>
  <c r="D568"/>
  <c r="E591" s="1"/>
  <c r="D569"/>
  <c r="E592" s="1"/>
  <c r="D564"/>
  <c r="A565"/>
  <c r="A566"/>
  <c r="A567"/>
  <c r="A568"/>
  <c r="A569"/>
  <c r="A570"/>
  <c r="A571"/>
  <c r="A572"/>
  <c r="A573"/>
  <c r="A574"/>
  <c r="A575"/>
  <c r="A576"/>
  <c r="A577"/>
  <c r="A578"/>
  <c r="A564"/>
  <c r="G577"/>
  <c r="K549" l="1"/>
  <c r="K553"/>
  <c r="K552"/>
  <c r="D534"/>
  <c r="K551"/>
  <c r="K557"/>
  <c r="G533"/>
  <c r="K548"/>
  <c r="K545"/>
  <c r="K544"/>
  <c r="K546"/>
  <c r="K558"/>
  <c r="K555"/>
  <c r="K542"/>
  <c r="J559"/>
  <c r="K550"/>
  <c r="K547"/>
  <c r="K543"/>
  <c r="I531"/>
  <c r="J600"/>
  <c r="I577"/>
  <c r="J577" s="1"/>
  <c r="J531" l="1"/>
  <c r="I532"/>
  <c r="E534"/>
  <c r="K559"/>
  <c r="K600"/>
  <c r="C594" l="1"/>
  <c r="C593"/>
  <c r="A591"/>
  <c r="A592" s="1"/>
  <c r="A593" s="1"/>
  <c r="A594" s="1"/>
  <c r="A595" s="1"/>
  <c r="A596" s="1"/>
  <c r="O579"/>
  <c r="N579"/>
  <c r="M579"/>
  <c r="L579"/>
  <c r="H579"/>
  <c r="C579"/>
  <c r="A582" s="1"/>
  <c r="G578"/>
  <c r="H601"/>
  <c r="I601"/>
  <c r="G576"/>
  <c r="H599"/>
  <c r="I599"/>
  <c r="G575"/>
  <c r="H598"/>
  <c r="I598"/>
  <c r="G574"/>
  <c r="H597"/>
  <c r="I597"/>
  <c r="G573"/>
  <c r="H596"/>
  <c r="I596"/>
  <c r="G572"/>
  <c r="H595"/>
  <c r="I595"/>
  <c r="G571"/>
  <c r="H594"/>
  <c r="I594"/>
  <c r="E594"/>
  <c r="G570"/>
  <c r="H593"/>
  <c r="I593"/>
  <c r="E593"/>
  <c r="G569"/>
  <c r="H592"/>
  <c r="I592"/>
  <c r="H591"/>
  <c r="I591"/>
  <c r="G564"/>
  <c r="D605" s="1"/>
  <c r="A613"/>
  <c r="D613"/>
  <c r="E613"/>
  <c r="F613"/>
  <c r="H638" s="1"/>
  <c r="G613"/>
  <c r="A614"/>
  <c r="D614"/>
  <c r="E614"/>
  <c r="I652" s="1"/>
  <c r="F614"/>
  <c r="G614"/>
  <c r="D652" s="1"/>
  <c r="A615"/>
  <c r="D615"/>
  <c r="E615"/>
  <c r="F615"/>
  <c r="H653" s="1"/>
  <c r="G615"/>
  <c r="D653" s="1"/>
  <c r="A616"/>
  <c r="D616"/>
  <c r="E650" s="1"/>
  <c r="E616"/>
  <c r="I650" s="1"/>
  <c r="F616"/>
  <c r="H650" s="1"/>
  <c r="G616"/>
  <c r="A617"/>
  <c r="D617"/>
  <c r="E617"/>
  <c r="F617"/>
  <c r="H639" s="1"/>
  <c r="G617"/>
  <c r="A618"/>
  <c r="D618"/>
  <c r="E640" s="1"/>
  <c r="E618"/>
  <c r="F618"/>
  <c r="H640" s="1"/>
  <c r="G618"/>
  <c r="A619"/>
  <c r="D619"/>
  <c r="E641" s="1"/>
  <c r="E619"/>
  <c r="F619"/>
  <c r="H641" s="1"/>
  <c r="G619"/>
  <c r="A620"/>
  <c r="D620"/>
  <c r="E642" s="1"/>
  <c r="E620"/>
  <c r="I642" s="1"/>
  <c r="F620"/>
  <c r="H642" s="1"/>
  <c r="G620"/>
  <c r="A621"/>
  <c r="D621"/>
  <c r="E643" s="1"/>
  <c r="E621"/>
  <c r="I643" s="1"/>
  <c r="F621"/>
  <c r="H643" s="1"/>
  <c r="G621"/>
  <c r="A622"/>
  <c r="D622"/>
  <c r="E622"/>
  <c r="I644" s="1"/>
  <c r="F622"/>
  <c r="H644" s="1"/>
  <c r="G622"/>
  <c r="A623"/>
  <c r="D623"/>
  <c r="E645" s="1"/>
  <c r="E623"/>
  <c r="F623"/>
  <c r="H645" s="1"/>
  <c r="G623"/>
  <c r="A624"/>
  <c r="D624"/>
  <c r="E646" s="1"/>
  <c r="E624"/>
  <c r="I646" s="1"/>
  <c r="F624"/>
  <c r="H646" s="1"/>
  <c r="G624"/>
  <c r="A625"/>
  <c r="D625"/>
  <c r="E647" s="1"/>
  <c r="E625"/>
  <c r="I647" s="1"/>
  <c r="F625"/>
  <c r="H647" s="1"/>
  <c r="G625"/>
  <c r="A626"/>
  <c r="D626"/>
  <c r="E648" s="1"/>
  <c r="E626"/>
  <c r="F626"/>
  <c r="H648" s="1"/>
  <c r="G626"/>
  <c r="C627"/>
  <c r="A630" s="1"/>
  <c r="H627"/>
  <c r="L627"/>
  <c r="M627"/>
  <c r="N627"/>
  <c r="O627"/>
  <c r="C638"/>
  <c r="E638"/>
  <c r="I638"/>
  <c r="A639"/>
  <c r="A640" s="1"/>
  <c r="A641" s="1"/>
  <c r="A642" s="1"/>
  <c r="A643" s="1"/>
  <c r="A644" s="1"/>
  <c r="C639"/>
  <c r="E639"/>
  <c r="I639"/>
  <c r="C640"/>
  <c r="C641"/>
  <c r="C642"/>
  <c r="C643"/>
  <c r="C644"/>
  <c r="C645"/>
  <c r="C646"/>
  <c r="C647"/>
  <c r="C648"/>
  <c r="C650"/>
  <c r="C652"/>
  <c r="C653"/>
  <c r="I626" l="1"/>
  <c r="J626" s="1"/>
  <c r="I618"/>
  <c r="J618" s="1"/>
  <c r="J639"/>
  <c r="I614"/>
  <c r="J614" s="1"/>
  <c r="I648"/>
  <c r="J647"/>
  <c r="I622"/>
  <c r="J622" s="1"/>
  <c r="I621"/>
  <c r="J621" s="1"/>
  <c r="G579"/>
  <c r="B582" s="1"/>
  <c r="I567"/>
  <c r="J567" s="1"/>
  <c r="I565"/>
  <c r="J565" s="1"/>
  <c r="I566"/>
  <c r="J566" s="1"/>
  <c r="C607"/>
  <c r="I607"/>
  <c r="J591"/>
  <c r="J595"/>
  <c r="J599"/>
  <c r="J606"/>
  <c r="A598"/>
  <c r="A600" s="1"/>
  <c r="A597"/>
  <c r="A599" s="1"/>
  <c r="A601" s="1"/>
  <c r="A603" s="1"/>
  <c r="A605" s="1"/>
  <c r="A606" s="1"/>
  <c r="J594"/>
  <c r="J598"/>
  <c r="J605"/>
  <c r="J593"/>
  <c r="J597"/>
  <c r="J592"/>
  <c r="J596"/>
  <c r="J601"/>
  <c r="I564"/>
  <c r="I568"/>
  <c r="J568" s="1"/>
  <c r="I572"/>
  <c r="J572" s="1"/>
  <c r="I576"/>
  <c r="J576" s="1"/>
  <c r="F579"/>
  <c r="J590"/>
  <c r="K590" s="1"/>
  <c r="I569"/>
  <c r="J569" s="1"/>
  <c r="I573"/>
  <c r="J573" s="1"/>
  <c r="I578"/>
  <c r="J578" s="1"/>
  <c r="E579"/>
  <c r="C582" s="1"/>
  <c r="I570"/>
  <c r="J570" s="1"/>
  <c r="I574"/>
  <c r="J574" s="1"/>
  <c r="D579"/>
  <c r="J603"/>
  <c r="I571"/>
  <c r="J571" s="1"/>
  <c r="I575"/>
  <c r="J575" s="1"/>
  <c r="J648"/>
  <c r="K648" s="1"/>
  <c r="J646"/>
  <c r="J643"/>
  <c r="I615"/>
  <c r="J615" s="1"/>
  <c r="H652"/>
  <c r="J652" s="1"/>
  <c r="J650"/>
  <c r="E644"/>
  <c r="J644" s="1"/>
  <c r="I640"/>
  <c r="C654"/>
  <c r="E627"/>
  <c r="C630" s="1"/>
  <c r="I625"/>
  <c r="J625" s="1"/>
  <c r="I623"/>
  <c r="J623" s="1"/>
  <c r="I619"/>
  <c r="J619" s="1"/>
  <c r="D627"/>
  <c r="I613"/>
  <c r="J613" s="1"/>
  <c r="J640"/>
  <c r="J642"/>
  <c r="G627"/>
  <c r="B630" s="1"/>
  <c r="I617"/>
  <c r="J617" s="1"/>
  <c r="I616"/>
  <c r="J616" s="1"/>
  <c r="A646"/>
  <c r="A645"/>
  <c r="A647" s="1"/>
  <c r="A648" s="1"/>
  <c r="A650" s="1"/>
  <c r="A652" s="1"/>
  <c r="A653" s="1"/>
  <c r="I645"/>
  <c r="J645" s="1"/>
  <c r="I641"/>
  <c r="J641" s="1"/>
  <c r="J638"/>
  <c r="F627"/>
  <c r="I624"/>
  <c r="J624" s="1"/>
  <c r="I620"/>
  <c r="J620" s="1"/>
  <c r="I653"/>
  <c r="J653" s="1"/>
  <c r="K644" l="1"/>
  <c r="D630"/>
  <c r="K647"/>
  <c r="K640"/>
  <c r="K643"/>
  <c r="K645"/>
  <c r="G629"/>
  <c r="K603"/>
  <c r="K606"/>
  <c r="K653"/>
  <c r="K652"/>
  <c r="K641"/>
  <c r="K605"/>
  <c r="D582"/>
  <c r="G581"/>
  <c r="K596"/>
  <c r="K601"/>
  <c r="K597"/>
  <c r="K594"/>
  <c r="K599"/>
  <c r="J564"/>
  <c r="I579"/>
  <c r="K598"/>
  <c r="J607"/>
  <c r="K592"/>
  <c r="K591"/>
  <c r="K593"/>
  <c r="K595"/>
  <c r="K650"/>
  <c r="K639"/>
  <c r="I654"/>
  <c r="K638"/>
  <c r="J654"/>
  <c r="K646"/>
  <c r="I627"/>
  <c r="K642"/>
  <c r="K607" l="1"/>
  <c r="I580"/>
  <c r="E582"/>
  <c r="J579"/>
  <c r="K654"/>
  <c r="I628"/>
  <c r="E630"/>
  <c r="J627"/>
  <c r="C699"/>
  <c r="C698"/>
  <c r="C696"/>
  <c r="C694"/>
  <c r="C693"/>
  <c r="C692"/>
  <c r="C691"/>
  <c r="C690"/>
  <c r="C689"/>
  <c r="C688"/>
  <c r="C687"/>
  <c r="C686"/>
  <c r="C685"/>
  <c r="C684"/>
  <c r="A685"/>
  <c r="A686" s="1"/>
  <c r="A687" s="1"/>
  <c r="A688" s="1"/>
  <c r="A689" s="1"/>
  <c r="A690" s="1"/>
  <c r="O673"/>
  <c r="N673"/>
  <c r="M673"/>
  <c r="L673"/>
  <c r="H673"/>
  <c r="C673"/>
  <c r="A676" s="1"/>
  <c r="G672"/>
  <c r="F672"/>
  <c r="H694" s="1"/>
  <c r="E672"/>
  <c r="I694" s="1"/>
  <c r="D672"/>
  <c r="E694" s="1"/>
  <c r="A672"/>
  <c r="G671"/>
  <c r="F671"/>
  <c r="H693" s="1"/>
  <c r="E671"/>
  <c r="I693" s="1"/>
  <c r="D671"/>
  <c r="A671"/>
  <c r="G670"/>
  <c r="F670"/>
  <c r="H692" s="1"/>
  <c r="E670"/>
  <c r="I692" s="1"/>
  <c r="D670"/>
  <c r="E692" s="1"/>
  <c r="A670"/>
  <c r="G669"/>
  <c r="F669"/>
  <c r="H691" s="1"/>
  <c r="E669"/>
  <c r="I691" s="1"/>
  <c r="D669"/>
  <c r="E691" s="1"/>
  <c r="A669"/>
  <c r="G668"/>
  <c r="F668"/>
  <c r="H690" s="1"/>
  <c r="E668"/>
  <c r="I690" s="1"/>
  <c r="D668"/>
  <c r="E690" s="1"/>
  <c r="A668"/>
  <c r="G667"/>
  <c r="F667"/>
  <c r="H689" s="1"/>
  <c r="E667"/>
  <c r="I689" s="1"/>
  <c r="D667"/>
  <c r="A667"/>
  <c r="G666"/>
  <c r="F666"/>
  <c r="H688" s="1"/>
  <c r="E666"/>
  <c r="I688" s="1"/>
  <c r="D666"/>
  <c r="E688" s="1"/>
  <c r="A666"/>
  <c r="G665"/>
  <c r="F665"/>
  <c r="H687" s="1"/>
  <c r="E665"/>
  <c r="I687" s="1"/>
  <c r="D665"/>
  <c r="E687" s="1"/>
  <c r="A665"/>
  <c r="G664"/>
  <c r="F664"/>
  <c r="H686" s="1"/>
  <c r="E664"/>
  <c r="I686" s="1"/>
  <c r="D664"/>
  <c r="E686" s="1"/>
  <c r="A664"/>
  <c r="G663"/>
  <c r="F663"/>
  <c r="H685" s="1"/>
  <c r="E663"/>
  <c r="I685" s="1"/>
  <c r="D663"/>
  <c r="A663"/>
  <c r="G662"/>
  <c r="F662"/>
  <c r="H696" s="1"/>
  <c r="E662"/>
  <c r="I696" s="1"/>
  <c r="D662"/>
  <c r="E696" s="1"/>
  <c r="A662"/>
  <c r="G661"/>
  <c r="D699" s="1"/>
  <c r="F661"/>
  <c r="H699" s="1"/>
  <c r="E661"/>
  <c r="I699" s="1"/>
  <c r="D661"/>
  <c r="A661"/>
  <c r="G660"/>
  <c r="D698" s="1"/>
  <c r="F660"/>
  <c r="H698" s="1"/>
  <c r="E660"/>
  <c r="I698" s="1"/>
  <c r="D660"/>
  <c r="A660"/>
  <c r="G659"/>
  <c r="F659"/>
  <c r="H684" s="1"/>
  <c r="E659"/>
  <c r="I684" s="1"/>
  <c r="D659"/>
  <c r="E684" s="1"/>
  <c r="A659"/>
  <c r="E715"/>
  <c r="G673" l="1"/>
  <c r="B676" s="1"/>
  <c r="I661"/>
  <c r="J661" s="1"/>
  <c r="I660"/>
  <c r="J660" s="1"/>
  <c r="C700"/>
  <c r="J699"/>
  <c r="I663"/>
  <c r="J663" s="1"/>
  <c r="J687"/>
  <c r="I667"/>
  <c r="J667" s="1"/>
  <c r="J691"/>
  <c r="I671"/>
  <c r="J671" s="1"/>
  <c r="F673"/>
  <c r="J684"/>
  <c r="I700"/>
  <c r="J696"/>
  <c r="J688"/>
  <c r="J692"/>
  <c r="A692"/>
  <c r="A691"/>
  <c r="A693" s="1"/>
  <c r="A694" s="1"/>
  <c r="A696" s="1"/>
  <c r="A698" s="1"/>
  <c r="A699" s="1"/>
  <c r="J698"/>
  <c r="K698" s="1"/>
  <c r="J686"/>
  <c r="J690"/>
  <c r="J694"/>
  <c r="I664"/>
  <c r="J664" s="1"/>
  <c r="I668"/>
  <c r="J668" s="1"/>
  <c r="I672"/>
  <c r="J672" s="1"/>
  <c r="E673"/>
  <c r="C676" s="1"/>
  <c r="E685"/>
  <c r="J685" s="1"/>
  <c r="E689"/>
  <c r="J689" s="1"/>
  <c r="E693"/>
  <c r="J693" s="1"/>
  <c r="I665"/>
  <c r="J665" s="1"/>
  <c r="I669"/>
  <c r="J669" s="1"/>
  <c r="D673"/>
  <c r="I662"/>
  <c r="J662" s="1"/>
  <c r="I666"/>
  <c r="J666" s="1"/>
  <c r="I670"/>
  <c r="J670" s="1"/>
  <c r="I659"/>
  <c r="J659" s="1"/>
  <c r="N720"/>
  <c r="M720"/>
  <c r="O720"/>
  <c r="L720"/>
  <c r="D717"/>
  <c r="K689" l="1"/>
  <c r="D676"/>
  <c r="K685"/>
  <c r="K699"/>
  <c r="K694"/>
  <c r="G675"/>
  <c r="K693"/>
  <c r="I673"/>
  <c r="K691"/>
  <c r="K684"/>
  <c r="K696"/>
  <c r="K688"/>
  <c r="J700"/>
  <c r="K686"/>
  <c r="K690"/>
  <c r="K687"/>
  <c r="K692"/>
  <c r="J673" l="1"/>
  <c r="I674"/>
  <c r="E676"/>
  <c r="K700"/>
  <c r="C747" l="1"/>
  <c r="C746"/>
  <c r="C744"/>
  <c r="C742"/>
  <c r="C741"/>
  <c r="C740"/>
  <c r="C739"/>
  <c r="C738"/>
  <c r="C737"/>
  <c r="C736"/>
  <c r="C735"/>
  <c r="C734"/>
  <c r="C733"/>
  <c r="C732"/>
  <c r="A732"/>
  <c r="A733" s="1"/>
  <c r="A734" s="1"/>
  <c r="A735" s="1"/>
  <c r="A736" s="1"/>
  <c r="A737" s="1"/>
  <c r="A738" s="1"/>
  <c r="C731"/>
  <c r="H720"/>
  <c r="C720"/>
  <c r="A723" s="1"/>
  <c r="G719"/>
  <c r="F719"/>
  <c r="H742" s="1"/>
  <c r="E719"/>
  <c r="I742" s="1"/>
  <c r="D719"/>
  <c r="E742" s="1"/>
  <c r="A719"/>
  <c r="G718"/>
  <c r="F718"/>
  <c r="H741" s="1"/>
  <c r="E718"/>
  <c r="I741" s="1"/>
  <c r="D718"/>
  <c r="A718"/>
  <c r="G717"/>
  <c r="F717"/>
  <c r="H740" s="1"/>
  <c r="E717"/>
  <c r="A717"/>
  <c r="G716"/>
  <c r="F716"/>
  <c r="H739" s="1"/>
  <c r="E716"/>
  <c r="I739" s="1"/>
  <c r="D716"/>
  <c r="E739" s="1"/>
  <c r="A716"/>
  <c r="G715"/>
  <c r="F715"/>
  <c r="H738" s="1"/>
  <c r="I738"/>
  <c r="D715"/>
  <c r="E738" s="1"/>
  <c r="A715"/>
  <c r="G714"/>
  <c r="F714"/>
  <c r="H737" s="1"/>
  <c r="E714"/>
  <c r="I737" s="1"/>
  <c r="D714"/>
  <c r="A714"/>
  <c r="G713"/>
  <c r="F713"/>
  <c r="H736" s="1"/>
  <c r="E713"/>
  <c r="I736" s="1"/>
  <c r="D713"/>
  <c r="E736" s="1"/>
  <c r="A713"/>
  <c r="G712"/>
  <c r="F712"/>
  <c r="H735" s="1"/>
  <c r="E712"/>
  <c r="I735" s="1"/>
  <c r="D712"/>
  <c r="E735" s="1"/>
  <c r="A712"/>
  <c r="G711"/>
  <c r="F711"/>
  <c r="H734" s="1"/>
  <c r="E711"/>
  <c r="I734" s="1"/>
  <c r="D711"/>
  <c r="E734" s="1"/>
  <c r="A711"/>
  <c r="G710"/>
  <c r="F710"/>
  <c r="H733" s="1"/>
  <c r="E710"/>
  <c r="I733" s="1"/>
  <c r="D710"/>
  <c r="A710"/>
  <c r="G709"/>
  <c r="F709"/>
  <c r="H744" s="1"/>
  <c r="E709"/>
  <c r="I744" s="1"/>
  <c r="D709"/>
  <c r="E744" s="1"/>
  <c r="A709"/>
  <c r="G708"/>
  <c r="D747" s="1"/>
  <c r="F708"/>
  <c r="H747" s="1"/>
  <c r="E708"/>
  <c r="I747" s="1"/>
  <c r="D708"/>
  <c r="A708"/>
  <c r="G707"/>
  <c r="D746" s="1"/>
  <c r="F707"/>
  <c r="H746" s="1"/>
  <c r="E707"/>
  <c r="I746" s="1"/>
  <c r="D707"/>
  <c r="A707"/>
  <c r="G706"/>
  <c r="F706"/>
  <c r="H732" s="1"/>
  <c r="E706"/>
  <c r="I732" s="1"/>
  <c r="D706"/>
  <c r="E732" s="1"/>
  <c r="A706"/>
  <c r="G705"/>
  <c r="F705"/>
  <c r="E705"/>
  <c r="I731" s="1"/>
  <c r="D705"/>
  <c r="E731" s="1"/>
  <c r="A705"/>
  <c r="I740" l="1"/>
  <c r="I748" s="1"/>
  <c r="I717"/>
  <c r="J717" s="1"/>
  <c r="I710"/>
  <c r="J710" s="1"/>
  <c r="J736"/>
  <c r="G720"/>
  <c r="B723" s="1"/>
  <c r="C748"/>
  <c r="I718"/>
  <c r="J718" s="1"/>
  <c r="J744"/>
  <c r="I714"/>
  <c r="J714" s="1"/>
  <c r="I708"/>
  <c r="J708" s="1"/>
  <c r="F720"/>
  <c r="I707"/>
  <c r="J707" s="1"/>
  <c r="E740"/>
  <c r="H731"/>
  <c r="J747"/>
  <c r="J735"/>
  <c r="J739"/>
  <c r="J731"/>
  <c r="J746"/>
  <c r="J734"/>
  <c r="J738"/>
  <c r="J742"/>
  <c r="J732"/>
  <c r="A740"/>
  <c r="A739"/>
  <c r="A741" s="1"/>
  <c r="A742" s="1"/>
  <c r="A744" s="1"/>
  <c r="A746" s="1"/>
  <c r="A747" s="1"/>
  <c r="I712"/>
  <c r="J712" s="1"/>
  <c r="D720"/>
  <c r="I711"/>
  <c r="J711" s="1"/>
  <c r="I715"/>
  <c r="J715" s="1"/>
  <c r="I719"/>
  <c r="J719" s="1"/>
  <c r="E720"/>
  <c r="C723" s="1"/>
  <c r="E733"/>
  <c r="J733" s="1"/>
  <c r="E737"/>
  <c r="J737" s="1"/>
  <c r="E741"/>
  <c r="J741" s="1"/>
  <c r="I716"/>
  <c r="J716" s="1"/>
  <c r="I705"/>
  <c r="I709"/>
  <c r="J709" s="1"/>
  <c r="I713"/>
  <c r="J713" s="1"/>
  <c r="I706"/>
  <c r="J706" s="1"/>
  <c r="C795"/>
  <c r="C794"/>
  <c r="C792"/>
  <c r="C786"/>
  <c r="C787"/>
  <c r="C788"/>
  <c r="C789"/>
  <c r="C790"/>
  <c r="C785"/>
  <c r="C784"/>
  <c r="C783"/>
  <c r="C782"/>
  <c r="C781"/>
  <c r="C780"/>
  <c r="C779"/>
  <c r="C768"/>
  <c r="K746" l="1"/>
  <c r="D723"/>
  <c r="J740"/>
  <c r="K740" s="1"/>
  <c r="K733"/>
  <c r="K741"/>
  <c r="K747"/>
  <c r="K737"/>
  <c r="G722"/>
  <c r="K731"/>
  <c r="K738"/>
  <c r="K739"/>
  <c r="K744"/>
  <c r="K742"/>
  <c r="K736"/>
  <c r="K732"/>
  <c r="I720"/>
  <c r="J705"/>
  <c r="K734"/>
  <c r="K735"/>
  <c r="C796"/>
  <c r="A766"/>
  <c r="A767"/>
  <c r="J748" l="1"/>
  <c r="K748" s="1"/>
  <c r="J720"/>
  <c r="I721"/>
  <c r="E723"/>
  <c r="A780" l="1"/>
  <c r="A781" s="1"/>
  <c r="A782" s="1"/>
  <c r="A783" s="1"/>
  <c r="A784" s="1"/>
  <c r="A785" s="1"/>
  <c r="A786" s="1"/>
  <c r="C804"/>
  <c r="E840"/>
  <c r="H768"/>
  <c r="D753"/>
  <c r="E779" s="1"/>
  <c r="D754"/>
  <c r="E780" s="1"/>
  <c r="D755"/>
  <c r="D756"/>
  <c r="D757"/>
  <c r="D758"/>
  <c r="E781" s="1"/>
  <c r="D759"/>
  <c r="E782" s="1"/>
  <c r="D760"/>
  <c r="E783" s="1"/>
  <c r="D761"/>
  <c r="E784" s="1"/>
  <c r="D762"/>
  <c r="E785" s="1"/>
  <c r="D763"/>
  <c r="E786" s="1"/>
  <c r="D764"/>
  <c r="E787" s="1"/>
  <c r="D765"/>
  <c r="E788" s="1"/>
  <c r="D766"/>
  <c r="E789" s="1"/>
  <c r="E792" l="1"/>
  <c r="A788"/>
  <c r="A787"/>
  <c r="A789" s="1"/>
  <c r="A790" s="1"/>
  <c r="A792" s="1"/>
  <c r="A794" s="1"/>
  <c r="A795" s="1"/>
  <c r="E804"/>
  <c r="G766" l="1"/>
  <c r="G765"/>
  <c r="F765"/>
  <c r="H788" s="1"/>
  <c r="E753" l="1"/>
  <c r="I779" s="1"/>
  <c r="F753"/>
  <c r="H779" s="1"/>
  <c r="G753"/>
  <c r="G754"/>
  <c r="D819" s="1"/>
  <c r="G755"/>
  <c r="A764"/>
  <c r="A765"/>
  <c r="A753"/>
  <c r="E765"/>
  <c r="I788" s="1"/>
  <c r="J788" s="1"/>
  <c r="E813"/>
  <c r="H813"/>
  <c r="C813"/>
  <c r="J779" l="1"/>
  <c r="D820"/>
  <c r="D794"/>
  <c r="I813"/>
  <c r="J813" s="1"/>
  <c r="I765"/>
  <c r="J765" s="1"/>
  <c r="I804"/>
  <c r="I753"/>
  <c r="H804"/>
  <c r="J804" l="1"/>
  <c r="K804" s="1"/>
  <c r="K779"/>
  <c r="K788"/>
  <c r="K813"/>
  <c r="J753"/>
  <c r="C820" l="1"/>
  <c r="C819"/>
  <c r="C817"/>
  <c r="C815"/>
  <c r="C814"/>
  <c r="C812"/>
  <c r="C811"/>
  <c r="C810"/>
  <c r="C809"/>
  <c r="C808"/>
  <c r="C807"/>
  <c r="C806"/>
  <c r="A806"/>
  <c r="A807" s="1"/>
  <c r="A808" s="1"/>
  <c r="A809" s="1"/>
  <c r="A810" s="1"/>
  <c r="A811" s="1"/>
  <c r="C805"/>
  <c r="A771"/>
  <c r="G767"/>
  <c r="F767"/>
  <c r="E767"/>
  <c r="D767"/>
  <c r="E790" s="1"/>
  <c r="F766"/>
  <c r="E766"/>
  <c r="E814"/>
  <c r="G764"/>
  <c r="F764"/>
  <c r="E764"/>
  <c r="G763"/>
  <c r="F763"/>
  <c r="E763"/>
  <c r="A763"/>
  <c r="G762"/>
  <c r="F762"/>
  <c r="E762"/>
  <c r="E810"/>
  <c r="A762"/>
  <c r="G761"/>
  <c r="F761"/>
  <c r="E761"/>
  <c r="E809"/>
  <c r="A761"/>
  <c r="G760"/>
  <c r="F760"/>
  <c r="E760"/>
  <c r="E808"/>
  <c r="A760"/>
  <c r="G759"/>
  <c r="F759"/>
  <c r="E759"/>
  <c r="A759"/>
  <c r="G758"/>
  <c r="F758"/>
  <c r="E758"/>
  <c r="E806"/>
  <c r="A758"/>
  <c r="G757"/>
  <c r="F757"/>
  <c r="E757"/>
  <c r="E805"/>
  <c r="A757"/>
  <c r="G756"/>
  <c r="D795" s="1"/>
  <c r="F756"/>
  <c r="E756"/>
  <c r="I795" s="1"/>
  <c r="A756"/>
  <c r="F755"/>
  <c r="E755"/>
  <c r="A755"/>
  <c r="F754"/>
  <c r="H780" s="1"/>
  <c r="E754"/>
  <c r="I780" s="1"/>
  <c r="A754"/>
  <c r="H820" l="1"/>
  <c r="H794"/>
  <c r="H805"/>
  <c r="H792"/>
  <c r="I806"/>
  <c r="I781"/>
  <c r="I807"/>
  <c r="I782"/>
  <c r="J780"/>
  <c r="I820"/>
  <c r="I794"/>
  <c r="H817"/>
  <c r="H795"/>
  <c r="J795" s="1"/>
  <c r="I805"/>
  <c r="I792"/>
  <c r="I757"/>
  <c r="J757" s="1"/>
  <c r="H806"/>
  <c r="J806" s="1"/>
  <c r="H781"/>
  <c r="J781" s="1"/>
  <c r="H807"/>
  <c r="H782"/>
  <c r="J782" s="1"/>
  <c r="I808"/>
  <c r="I783"/>
  <c r="H809"/>
  <c r="H784"/>
  <c r="I810"/>
  <c r="I785"/>
  <c r="I811"/>
  <c r="I786"/>
  <c r="H812"/>
  <c r="H787"/>
  <c r="H814"/>
  <c r="H789"/>
  <c r="I815"/>
  <c r="I790"/>
  <c r="H808"/>
  <c r="H783"/>
  <c r="I809"/>
  <c r="I784"/>
  <c r="H810"/>
  <c r="H785"/>
  <c r="H811"/>
  <c r="H786"/>
  <c r="I812"/>
  <c r="I787"/>
  <c r="I814"/>
  <c r="I789"/>
  <c r="H815"/>
  <c r="H790"/>
  <c r="A812"/>
  <c r="A814" s="1"/>
  <c r="A815" s="1"/>
  <c r="A817" s="1"/>
  <c r="A819" s="1"/>
  <c r="A820" s="1"/>
  <c r="A813"/>
  <c r="I817"/>
  <c r="I756"/>
  <c r="J756" s="1"/>
  <c r="E815"/>
  <c r="D768"/>
  <c r="F768"/>
  <c r="I819"/>
  <c r="E768"/>
  <c r="C771" s="1"/>
  <c r="G768"/>
  <c r="B771" s="1"/>
  <c r="E817"/>
  <c r="C821"/>
  <c r="I754"/>
  <c r="I755"/>
  <c r="J755" s="1"/>
  <c r="I759"/>
  <c r="J759" s="1"/>
  <c r="I763"/>
  <c r="J763" s="1"/>
  <c r="I764"/>
  <c r="J764" s="1"/>
  <c r="I766"/>
  <c r="J766" s="1"/>
  <c r="I761"/>
  <c r="J761" s="1"/>
  <c r="I760"/>
  <c r="J760" s="1"/>
  <c r="I767"/>
  <c r="J767" s="1"/>
  <c r="E807"/>
  <c r="E811"/>
  <c r="E812"/>
  <c r="H819"/>
  <c r="I762"/>
  <c r="J762" s="1"/>
  <c r="I758"/>
  <c r="J758" s="1"/>
  <c r="C840"/>
  <c r="J807" l="1"/>
  <c r="K807" s="1"/>
  <c r="J814"/>
  <c r="K814" s="1"/>
  <c r="J810"/>
  <c r="K810" s="1"/>
  <c r="J808"/>
  <c r="K808" s="1"/>
  <c r="J790"/>
  <c r="J785"/>
  <c r="K785" s="1"/>
  <c r="J783"/>
  <c r="K783" s="1"/>
  <c r="J815"/>
  <c r="K815" s="1"/>
  <c r="J820"/>
  <c r="K820" s="1"/>
  <c r="J811"/>
  <c r="K811" s="1"/>
  <c r="J819"/>
  <c r="K819" s="1"/>
  <c r="J809"/>
  <c r="K809" s="1"/>
  <c r="J805"/>
  <c r="K805" s="1"/>
  <c r="J786"/>
  <c r="J812"/>
  <c r="K812" s="1"/>
  <c r="I796"/>
  <c r="D771"/>
  <c r="I821"/>
  <c r="K795"/>
  <c r="K780"/>
  <c r="K790"/>
  <c r="K786"/>
  <c r="J789"/>
  <c r="K789" s="1"/>
  <c r="J787"/>
  <c r="K787" s="1"/>
  <c r="J784"/>
  <c r="K784" s="1"/>
  <c r="K782"/>
  <c r="K781"/>
  <c r="J792"/>
  <c r="K792" s="1"/>
  <c r="J794"/>
  <c r="K794" s="1"/>
  <c r="G770"/>
  <c r="J817"/>
  <c r="K817" s="1"/>
  <c r="J754"/>
  <c r="I768"/>
  <c r="K806"/>
  <c r="E831"/>
  <c r="E830"/>
  <c r="E829"/>
  <c r="J821" l="1"/>
  <c r="K821" s="1"/>
  <c r="I769"/>
  <c r="J796"/>
  <c r="K796" s="1"/>
  <c r="E771"/>
  <c r="J768"/>
  <c r="A830" l="1"/>
  <c r="A831" s="1"/>
  <c r="A832" s="1"/>
  <c r="A833" s="1"/>
  <c r="A834" s="1"/>
  <c r="A835" s="1"/>
  <c r="A836" s="1"/>
  <c r="A837" s="1"/>
  <c r="C843"/>
  <c r="C842"/>
  <c r="C838"/>
  <c r="C837"/>
  <c r="C836"/>
  <c r="C835"/>
  <c r="C834"/>
  <c r="C833"/>
  <c r="C832"/>
  <c r="C831"/>
  <c r="C830"/>
  <c r="C829"/>
  <c r="H838"/>
  <c r="I838"/>
  <c r="E838"/>
  <c r="H837"/>
  <c r="I837"/>
  <c r="H836"/>
  <c r="I836"/>
  <c r="E836"/>
  <c r="H835"/>
  <c r="I835"/>
  <c r="E835"/>
  <c r="H834"/>
  <c r="I834"/>
  <c r="H833"/>
  <c r="I833"/>
  <c r="E833"/>
  <c r="H832"/>
  <c r="I832"/>
  <c r="E832"/>
  <c r="H831"/>
  <c r="I831"/>
  <c r="H830"/>
  <c r="I830"/>
  <c r="H829"/>
  <c r="I829"/>
  <c r="H840"/>
  <c r="I840"/>
  <c r="H843"/>
  <c r="I843"/>
  <c r="I842"/>
  <c r="A838" l="1"/>
  <c r="A840" s="1"/>
  <c r="A842" s="1"/>
  <c r="A843" s="1"/>
  <c r="J843"/>
  <c r="J835"/>
  <c r="J838"/>
  <c r="C844"/>
  <c r="J831"/>
  <c r="J829"/>
  <c r="J844" s="1"/>
  <c r="K844" s="1"/>
  <c r="J840"/>
  <c r="I844"/>
  <c r="J832"/>
  <c r="J836"/>
  <c r="J833"/>
  <c r="J830"/>
  <c r="E837"/>
  <c r="J837" s="1"/>
  <c r="E834"/>
  <c r="J834" s="1"/>
  <c r="H842"/>
  <c r="J842" s="1"/>
  <c r="K834" l="1"/>
  <c r="K837"/>
  <c r="K842"/>
  <c r="K838"/>
  <c r="K830"/>
  <c r="K840"/>
  <c r="K836"/>
  <c r="K831"/>
  <c r="K843"/>
  <c r="K833"/>
  <c r="K835"/>
  <c r="K829"/>
  <c r="K832"/>
  <c r="C866" l="1"/>
  <c r="C852"/>
  <c r="C861"/>
  <c r="I857" l="1"/>
  <c r="I858"/>
  <c r="I859"/>
  <c r="I860"/>
  <c r="I861"/>
  <c r="I862"/>
  <c r="I856"/>
  <c r="I855"/>
  <c r="I866"/>
  <c r="H861"/>
  <c r="E861"/>
  <c r="J861" l="1"/>
  <c r="K861" l="1"/>
  <c r="C867" l="1"/>
  <c r="C864"/>
  <c r="C862"/>
  <c r="C860"/>
  <c r="C859"/>
  <c r="C858"/>
  <c r="C857"/>
  <c r="C856"/>
  <c r="C855"/>
  <c r="C854"/>
  <c r="C853"/>
  <c r="H866"/>
  <c r="J866" s="1"/>
  <c r="C887"/>
  <c r="K866" l="1"/>
  <c r="C868"/>
  <c r="C890"/>
  <c r="J890" s="1"/>
  <c r="K890" s="1"/>
  <c r="C889"/>
  <c r="J889" s="1"/>
  <c r="K889" s="1"/>
  <c r="J887"/>
  <c r="C877"/>
  <c r="J877" s="1"/>
  <c r="C878"/>
  <c r="J878" s="1"/>
  <c r="C879"/>
  <c r="J879" s="1"/>
  <c r="C880"/>
  <c r="J880" s="1"/>
  <c r="C881"/>
  <c r="J881" s="1"/>
  <c r="C882"/>
  <c r="J882" s="1"/>
  <c r="C883"/>
  <c r="J883" s="1"/>
  <c r="C884"/>
  <c r="C885"/>
  <c r="J885" s="1"/>
  <c r="C876"/>
  <c r="J876" s="1"/>
  <c r="I891"/>
  <c r="J884"/>
  <c r="C891" l="1"/>
  <c r="J891"/>
  <c r="G892" s="1"/>
  <c r="K882" l="1"/>
  <c r="K878"/>
  <c r="K887"/>
  <c r="K885" l="1"/>
  <c r="K877"/>
  <c r="K876"/>
  <c r="K883"/>
  <c r="K879"/>
  <c r="K880"/>
  <c r="K881"/>
  <c r="K884"/>
  <c r="K891" l="1"/>
  <c r="F903" l="1"/>
  <c r="H902"/>
  <c r="F901"/>
  <c r="C911" l="1"/>
  <c r="J911" s="1"/>
  <c r="C910"/>
  <c r="J910" s="1"/>
  <c r="C909"/>
  <c r="J909" s="1"/>
  <c r="C908"/>
  <c r="J908" s="1"/>
  <c r="C907"/>
  <c r="J907" s="1"/>
  <c r="C906"/>
  <c r="J906" s="1"/>
  <c r="C905"/>
  <c r="J905" s="1"/>
  <c r="C904"/>
  <c r="J904" s="1"/>
  <c r="C903"/>
  <c r="J903" s="1"/>
  <c r="C902"/>
  <c r="J902" s="1"/>
  <c r="C901"/>
  <c r="J901" s="1"/>
  <c r="C900"/>
  <c r="J900" s="1"/>
  <c r="C913"/>
  <c r="J913" s="1"/>
  <c r="C916"/>
  <c r="J916" s="1"/>
  <c r="I917"/>
  <c r="C943"/>
  <c r="C915" l="1"/>
  <c r="J915" s="1"/>
  <c r="J917" s="1"/>
  <c r="C917" l="1"/>
  <c r="I943" l="1"/>
  <c r="J942" l="1"/>
  <c r="J941"/>
  <c r="J939"/>
  <c r="J937"/>
  <c r="J936"/>
  <c r="J935"/>
  <c r="J934"/>
  <c r="J933"/>
  <c r="J932"/>
  <c r="J931"/>
  <c r="J930"/>
  <c r="J929"/>
  <c r="J928"/>
  <c r="J927"/>
  <c r="J926"/>
  <c r="J925"/>
  <c r="J943" l="1"/>
  <c r="J962" l="1"/>
  <c r="J961"/>
  <c r="J960"/>
  <c r="J959"/>
  <c r="J958"/>
  <c r="J957"/>
  <c r="J956"/>
  <c r="J954"/>
  <c r="J951"/>
  <c r="J965"/>
  <c r="J968"/>
  <c r="J967"/>
  <c r="I969"/>
  <c r="J955"/>
  <c r="C969" l="1"/>
  <c r="J953"/>
  <c r="J952"/>
  <c r="J963"/>
  <c r="J969" l="1"/>
  <c r="F989" l="1"/>
  <c r="H989"/>
  <c r="F980"/>
  <c r="H979"/>
  <c r="F978"/>
  <c r="I995"/>
  <c r="J989" l="1"/>
  <c r="J988"/>
  <c r="J987"/>
  <c r="J986"/>
  <c r="J985"/>
  <c r="J984"/>
  <c r="J983"/>
  <c r="J982"/>
  <c r="J981"/>
  <c r="J980"/>
  <c r="J979"/>
  <c r="J978"/>
  <c r="J991"/>
  <c r="J994"/>
  <c r="J993"/>
  <c r="J977" l="1"/>
  <c r="J995" s="1"/>
  <c r="C995"/>
  <c r="I1024" l="1"/>
  <c r="J1018"/>
  <c r="J1004" l="1"/>
  <c r="J1017" l="1"/>
  <c r="J1016"/>
  <c r="J1015"/>
  <c r="J1014"/>
  <c r="J1013"/>
  <c r="J1012"/>
  <c r="J1011"/>
  <c r="J1010"/>
  <c r="J1009"/>
  <c r="J1008"/>
  <c r="J1007"/>
  <c r="J1006"/>
  <c r="C1020"/>
  <c r="J1020" s="1"/>
  <c r="C1023"/>
  <c r="J1023" s="1"/>
  <c r="C1022"/>
  <c r="J1022" s="1"/>
  <c r="C1051"/>
  <c r="J1005" l="1"/>
  <c r="J1024" s="1"/>
  <c r="C1024"/>
  <c r="J1064" l="1"/>
  <c r="J1045" l="1"/>
  <c r="J1044"/>
  <c r="J1043"/>
  <c r="J1042"/>
  <c r="J1041"/>
  <c r="J1040"/>
  <c r="J1039"/>
  <c r="J1038"/>
  <c r="J1037"/>
  <c r="J1036"/>
  <c r="J1035"/>
  <c r="J1034"/>
  <c r="J1033"/>
  <c r="J1047"/>
  <c r="J1050"/>
  <c r="J1049"/>
  <c r="I1051"/>
  <c r="J1032" l="1"/>
  <c r="J1051" s="1"/>
  <c r="I1079" l="1"/>
  <c r="J1072" l="1"/>
  <c r="J1069" l="1"/>
  <c r="J1065"/>
  <c r="J1061"/>
  <c r="J1075"/>
  <c r="J1077"/>
  <c r="J1078"/>
  <c r="J1071"/>
  <c r="J1070"/>
  <c r="J1068"/>
  <c r="J1067"/>
  <c r="J1066"/>
  <c r="J1063"/>
  <c r="J1062"/>
  <c r="J1060"/>
  <c r="J1073" l="1"/>
  <c r="J1079" s="1"/>
  <c r="K1079" s="1"/>
  <c r="C996" l="1"/>
  <c r="C970"/>
  <c r="J1096"/>
  <c r="J1097" l="1"/>
  <c r="J1095"/>
  <c r="J1094"/>
  <c r="J1093"/>
  <c r="J1092"/>
  <c r="J1091"/>
  <c r="J1090"/>
  <c r="J1089"/>
  <c r="J1088"/>
  <c r="J1087"/>
  <c r="J1101"/>
  <c r="J1104"/>
  <c r="J1103"/>
  <c r="J1099" l="1"/>
  <c r="J1098"/>
  <c r="J1105" l="1"/>
  <c r="J1123" l="1"/>
  <c r="F1113" l="1"/>
  <c r="J1147"/>
  <c r="J1150"/>
  <c r="J1131"/>
  <c r="J1130"/>
  <c r="J1129"/>
  <c r="C1122" l="1"/>
  <c r="J1122" s="1"/>
  <c r="C1121"/>
  <c r="J1121" s="1"/>
  <c r="C1120"/>
  <c r="J1120" s="1"/>
  <c r="C1119"/>
  <c r="J1119" s="1"/>
  <c r="C1118"/>
  <c r="J1118" s="1"/>
  <c r="J1117"/>
  <c r="C1116"/>
  <c r="J1116" s="1"/>
  <c r="C1115"/>
  <c r="J1115" s="1"/>
  <c r="C1114"/>
  <c r="J1114" s="1"/>
  <c r="C1113"/>
  <c r="J1113" s="1"/>
  <c r="C1125"/>
  <c r="J1125" s="1"/>
  <c r="C1128"/>
  <c r="J1128" s="1"/>
  <c r="C1127" l="1"/>
  <c r="J1127" s="1"/>
  <c r="J1132" s="1"/>
  <c r="J1158" l="1"/>
  <c r="J1157"/>
  <c r="J1156"/>
  <c r="J1209"/>
  <c r="J1182"/>
  <c r="J1181"/>
  <c r="J1179"/>
  <c r="E1177"/>
  <c r="J1177" s="1"/>
  <c r="E1176"/>
  <c r="J1176" s="1"/>
  <c r="E1174"/>
  <c r="J1174" s="1"/>
  <c r="H1173"/>
  <c r="E1173"/>
  <c r="F1172"/>
  <c r="E1172"/>
  <c r="E1171"/>
  <c r="J1171" s="1"/>
  <c r="I1170"/>
  <c r="H1170"/>
  <c r="E1170"/>
  <c r="I1169"/>
  <c r="E1169"/>
  <c r="H1168"/>
  <c r="E1168"/>
  <c r="I1167"/>
  <c r="J1159"/>
  <c r="J1143"/>
  <c r="J1155"/>
  <c r="B1143" l="1"/>
  <c r="B1147"/>
  <c r="B1148"/>
  <c r="B1141"/>
  <c r="B1144"/>
  <c r="B1145"/>
  <c r="B1142"/>
  <c r="B1146"/>
  <c r="J1142"/>
  <c r="I1184"/>
  <c r="J1169"/>
  <c r="J1152"/>
  <c r="J1168"/>
  <c r="J1140"/>
  <c r="J1146"/>
  <c r="J1141"/>
  <c r="J1154"/>
  <c r="J1149"/>
  <c r="J1172"/>
  <c r="J1170"/>
  <c r="J1173"/>
  <c r="J1167"/>
  <c r="J1145" l="1"/>
  <c r="J1144"/>
  <c r="J1148"/>
  <c r="C1175"/>
  <c r="J1160" l="1"/>
  <c r="C1184"/>
  <c r="J1175"/>
  <c r="J1184" s="1"/>
  <c r="K913" l="1"/>
  <c r="K900"/>
  <c r="K916"/>
  <c r="K906"/>
  <c r="K911"/>
  <c r="K910"/>
  <c r="K982" l="1"/>
  <c r="K904"/>
  <c r="K933"/>
  <c r="K907"/>
  <c r="K902"/>
  <c r="K934"/>
  <c r="K908"/>
  <c r="K903"/>
  <c r="K901"/>
  <c r="K931"/>
  <c r="K905"/>
  <c r="K935"/>
  <c r="K930"/>
  <c r="K983"/>
  <c r="K979"/>
  <c r="K994"/>
  <c r="K942"/>
  <c r="K929"/>
  <c r="K981"/>
  <c r="K936"/>
  <c r="K988"/>
  <c r="K937"/>
  <c r="K989"/>
  <c r="K984"/>
  <c r="K932"/>
  <c r="K991"/>
  <c r="K939"/>
  <c r="K915"/>
  <c r="K978"/>
  <c r="K986"/>
  <c r="K977"/>
  <c r="K985"/>
  <c r="K928"/>
  <c r="K926"/>
  <c r="K927"/>
  <c r="K980"/>
  <c r="K925"/>
  <c r="K987" l="1"/>
  <c r="K909"/>
  <c r="K993"/>
  <c r="K941"/>
  <c r="K917" l="1"/>
  <c r="K995"/>
  <c r="K1132"/>
  <c r="K943"/>
  <c r="H852" l="1"/>
  <c r="H853"/>
  <c r="H864"/>
  <c r="H854"/>
  <c r="I864"/>
  <c r="H867"/>
  <c r="H858"/>
  <c r="H857"/>
  <c r="H855"/>
  <c r="H859"/>
  <c r="J859" s="1"/>
  <c r="I852"/>
  <c r="H856"/>
  <c r="I867"/>
  <c r="H860"/>
  <c r="H862"/>
  <c r="I854"/>
  <c r="E858"/>
  <c r="E857"/>
  <c r="E856"/>
  <c r="I853"/>
  <c r="E860"/>
  <c r="K859" l="1"/>
  <c r="J867"/>
  <c r="K867" s="1"/>
  <c r="J854"/>
  <c r="K854" s="1"/>
  <c r="E855"/>
  <c r="J855" s="1"/>
  <c r="K855" s="1"/>
  <c r="E853"/>
  <c r="J853" s="1"/>
  <c r="E862"/>
  <c r="J862" s="1"/>
  <c r="K862" s="1"/>
  <c r="I868"/>
  <c r="J857"/>
  <c r="J860"/>
  <c r="J856"/>
  <c r="E852"/>
  <c r="J852" s="1"/>
  <c r="J858"/>
  <c r="J864"/>
  <c r="K857" l="1"/>
  <c r="K864"/>
  <c r="K853"/>
  <c r="K852"/>
  <c r="J868"/>
  <c r="K856"/>
  <c r="K858"/>
  <c r="K860"/>
  <c r="G869" l="1"/>
  <c r="K868"/>
</calcChain>
</file>

<file path=xl/sharedStrings.xml><?xml version="1.0" encoding="utf-8"?>
<sst xmlns="http://schemas.openxmlformats.org/spreadsheetml/2006/main" count="4187" uniqueCount="647">
  <si>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</si>
  <si>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</si>
  <si>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</si>
  <si>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</si>
  <si>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</si>
  <si>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</si>
  <si>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</si>
  <si>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</si>
  <si>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</si>
  <si>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</si>
  <si>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</si>
  <si>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</si>
  <si>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</si>
  <si>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</si>
  <si>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</si>
  <si>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</si>
  <si>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</si>
  <si>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</si>
  <si>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</si>
  <si>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</si>
  <si>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</si>
  <si>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</si>
  <si>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</si>
  <si>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</si>
  <si>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</si>
  <si>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</si>
  <si>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</si>
  <si>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</si>
  <si>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</si>
  <si>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</si>
  <si>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</si>
  <si>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</si>
  <si>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</si>
  <si>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</si>
  <si>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</si>
  <si>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</si>
  <si>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</si>
  <si>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</si>
  <si>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</si>
  <si>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</si>
  <si>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</si>
  <si>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</si>
  <si>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</si>
  <si>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</si>
  <si>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</si>
  <si>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</si>
  <si>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</si>
  <si>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</si>
  <si>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</si>
  <si>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</si>
  <si>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</si>
  <si>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</si>
  <si>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</si>
  <si>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</si>
  <si>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</si>
  <si>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</si>
  <si>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</si>
  <si>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</si>
  <si>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</si>
  <si>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</si>
  <si>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</si>
  <si>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</si>
  <si>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</si>
  <si>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</si>
  <si>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</si>
  <si>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</si>
  <si>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</si>
  <si>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</si>
  <si>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</si>
  <si>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</si>
  <si>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</si>
  <si>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</si>
  <si>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</si>
  <si>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</si>
  <si>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</si>
  <si>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</si>
  <si>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</si>
  <si>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</si>
  <si>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</si>
  <si>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</si>
  <si>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</si>
  <si>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</si>
  <si>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</si>
  <si>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</si>
  <si>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</si>
  <si>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</si>
  <si>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</si>
  <si>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</si>
  <si>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</si>
  <si>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</si>
  <si>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</si>
  <si>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</si>
  <si>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</si>
  <si>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</si>
  <si>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</si>
  <si>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</si>
  <si>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</si>
  <si>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</si>
  <si>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</si>
  <si>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</si>
  <si>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</si>
  <si>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</si>
  <si>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</si>
  <si>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</si>
  <si>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</si>
  <si>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</si>
  <si>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</si>
  <si>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</si>
  <si>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</si>
  <si>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</si>
  <si>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</si>
  <si>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</si>
  <si>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</si>
  <si>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</si>
  <si>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</si>
  <si>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</si>
  <si>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</si>
  <si>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</si>
  <si>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</si>
  <si>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</si>
  <si>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</si>
  <si>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</si>
  <si>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</si>
  <si>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</si>
  <si>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</si>
  <si>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</si>
  <si>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</si>
  <si>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</si>
  <si>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</si>
  <si>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</si>
  <si>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</si>
  <si>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</si>
  <si>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</si>
  <si>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</si>
  <si>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</si>
  <si>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</si>
  <si>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</si>
  <si>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</si>
  <si>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</si>
  <si>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</si>
  <si>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</si>
  <si>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</si>
  <si>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</si>
  <si>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</si>
  <si>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</si>
  <si>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</si>
  <si>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</si>
  <si>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</si>
  <si>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</si>
  <si>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</si>
  <si>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</si>
  <si>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</si>
  <si>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</si>
  <si>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</si>
  <si>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</si>
  <si>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</si>
  <si>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</si>
  <si>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</si>
  <si>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</si>
  <si>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</si>
  <si>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</si>
  <si>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</si>
  <si>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</si>
  <si>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</si>
  <si>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</si>
  <si>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</si>
  <si>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</si>
  <si>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</si>
  <si>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</si>
  <si>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</si>
  <si>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</si>
  <si>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</si>
  <si>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</si>
  <si>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</si>
  <si>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</si>
  <si>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</si>
  <si>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</si>
  <si>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</si>
  <si>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</si>
  <si>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</si>
  <si>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</si>
  <si>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</si>
  <si>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</si>
  <si>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</si>
  <si>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</si>
  <si>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</si>
  <si>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</si>
  <si>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</si>
  <si>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</si>
  <si>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</si>
  <si>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</si>
  <si>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</si>
  <si>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</si>
  <si>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</si>
  <si>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</si>
  <si>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</si>
  <si>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</si>
  <si>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</si>
  <si>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</si>
  <si>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</si>
  <si>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</si>
  <si>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</si>
  <si>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</si>
  <si>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</si>
  <si>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</si>
  <si>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</si>
  <si>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</si>
  <si>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</si>
  <si>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</si>
  <si>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</si>
  <si>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</si>
  <si>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</si>
  <si>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</si>
  <si>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</si>
  <si>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</si>
  <si>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</si>
  <si>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</si>
  <si>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</si>
  <si>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</si>
  <si>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</si>
  <si>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</si>
  <si>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</si>
  <si>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</si>
  <si>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</si>
  <si>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</si>
  <si>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</si>
  <si>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</si>
  <si>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</si>
  <si>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</si>
  <si>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</si>
  <si>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</si>
  <si>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</si>
  <si>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</si>
  <si>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</si>
  <si>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</si>
  <si>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</si>
  <si>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</si>
  <si>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</si>
  <si>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</si>
  <si>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</si>
  <si>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</si>
  <si>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</si>
  <si>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</si>
  <si>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</si>
  <si>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</si>
  <si>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</si>
  <si>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</si>
  <si>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</si>
  <si>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</si>
  <si>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</si>
  <si>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</si>
  <si>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</si>
  <si>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</si>
  <si>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</si>
  <si>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</si>
  <si>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</si>
  <si>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</si>
  <si>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</si>
  <si>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</si>
  <si>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</si>
  <si>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</si>
  <si>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</si>
  <si>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</si>
  <si>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</si>
  <si>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</si>
  <si>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</si>
  <si>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</si>
  <si>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</si>
  <si>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</si>
  <si>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</si>
  <si>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</si>
  <si>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</si>
  <si>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</si>
  <si>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</si>
  <si>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</si>
  <si>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Internet</t>
  </si>
  <si>
    <t>T73</t>
  </si>
  <si>
    <t>D58</t>
  </si>
  <si>
    <t>Travel Subsistence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</si>
  <si>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</si>
  <si>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</si>
  <si>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</si>
  <si>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</si>
  <si>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</si>
  <si>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</si>
  <si>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Solde au 01/02/2023</t>
  </si>
  <si>
    <t>BALANCE 01 FEVRIER 2023</t>
  </si>
  <si>
    <t>BALANCE 28 FEVRIER 2023</t>
  </si>
  <si>
    <t>Balance au 28 FEVRIER 2023</t>
  </si>
  <si>
    <t>BALANCE AU  01 FEVRIER 2023</t>
  </si>
  <si>
    <t>Achat 04 maxi d'eau minerale/Bureau PALF</t>
  </si>
  <si>
    <t>Office</t>
  </si>
  <si>
    <t>Donald-Roméo</t>
  </si>
  <si>
    <t>Lawyer fees</t>
  </si>
  <si>
    <t>Hurielle/retour caisse</t>
  </si>
  <si>
    <t>Crepin</t>
  </si>
  <si>
    <t>Frais de transfert charden farell à Crépin</t>
  </si>
  <si>
    <t>Frais de transfert charden farell à T73</t>
  </si>
  <si>
    <t>Achat credit  teléphonique MTN/PALF/Prémière partie Mars 2023/Media</t>
  </si>
  <si>
    <t>Achat credit  teléphonique Airtel/PALF/Deuxième partie Mars 2023/Management</t>
  </si>
  <si>
    <t>Achat credit  teléphonique Airtel/PALF/Deuxième partie Mars 2023/Legal</t>
  </si>
  <si>
    <t>Achat credit  teléphonique Airtel/PALF/Deuxième partie Mars 2023/Investigation</t>
  </si>
  <si>
    <t>Oui</t>
  </si>
  <si>
    <t>Relevé</t>
  </si>
  <si>
    <t>Billet: Brazzaville-Dolisie/Crépin</t>
  </si>
  <si>
    <t>Reçu de caisse/Crépin</t>
  </si>
  <si>
    <t>Billet: Dolisie-Brazzaville/Crépin</t>
  </si>
  <si>
    <t>Reçu de la caisse/Evariste</t>
  </si>
  <si>
    <t>Recu de caisse/P29</t>
  </si>
  <si>
    <t>Decharge</t>
  </si>
  <si>
    <t>Trust building</t>
  </si>
  <si>
    <t>versement</t>
  </si>
  <si>
    <t>Retour caisse/Hurielle</t>
  </si>
  <si>
    <t>Achat billet aller Brazzaville-Dolisie/Hurielle</t>
  </si>
  <si>
    <t>Achat billet de retour Dolisie-Brazzaville/Hurielle</t>
  </si>
  <si>
    <t>Reçu caisse/Donald</t>
  </si>
  <si>
    <t>Reçu caisse/T73</t>
  </si>
  <si>
    <t>Recu caisse/D58</t>
  </si>
  <si>
    <t>CONGO</t>
  </si>
  <si>
    <t>5.6</t>
  </si>
  <si>
    <t>4.5</t>
  </si>
  <si>
    <t>5.2.2</t>
  </si>
  <si>
    <t>4.3</t>
  </si>
  <si>
    <t>1.1.1.7</t>
  </si>
  <si>
    <t>1.1.1.4</t>
  </si>
  <si>
    <t>1.1.2.1</t>
  </si>
  <si>
    <t>4.4</t>
  </si>
  <si>
    <t>4.2</t>
  </si>
  <si>
    <t>4.6</t>
  </si>
  <si>
    <t>2.2</t>
  </si>
  <si>
    <t>1.3.2</t>
  </si>
  <si>
    <t>Solde au 28/02/2023</t>
  </si>
  <si>
    <t>RAPPORT FINANCIER MARS 2023</t>
  </si>
  <si>
    <t>Bonus mois de Janvier 2023/Hurielle</t>
  </si>
  <si>
    <t>Frais de mission maitre Marie Hélène à Dolisie du 02 au 05 Mars 2023</t>
  </si>
  <si>
    <t>BCI-3654537-34</t>
  </si>
  <si>
    <t>Frais de transfert charden farell à D58</t>
  </si>
  <si>
    <t>Frais de transfert charden farell à Crepin et Hurielle</t>
  </si>
  <si>
    <t>Reglement facture E²C electricité/ période Janvier - Février 2023/bureau PALF</t>
  </si>
  <si>
    <t>Taxe/Reglement facture E²C electricité/ période Janvier - Février 2023/bureau PALF</t>
  </si>
  <si>
    <t>Frais de transfert maouené à P29</t>
  </si>
  <si>
    <t>Achat 12 Pagnes pour la celebration de la journée international de la femme</t>
  </si>
  <si>
    <t>Team Building</t>
  </si>
  <si>
    <t>Bonus media portant sur les audiences du 06 et 10 Mars 2023 au TGI de Brazzaville</t>
  </si>
  <si>
    <t>BCI-3654541-34</t>
  </si>
  <si>
    <t>Bonus média portant sur la condamnation ferme de 2 trafiquants d'ivoire le O6 Mars au TGI de Brazzaville</t>
  </si>
  <si>
    <t>Equipements</t>
  </si>
  <si>
    <t>Frais de mission maitre Marie Hélène à Dolisie du 15 au 17 Mars 2023</t>
  </si>
  <si>
    <t>Achat credit  teléphonique MTN/PALF/Deuxième partie Mars 2023/Management</t>
  </si>
  <si>
    <t>Achat credit  teléphonique MTN/PALF/Deuxième partie Mars 2023/Legal</t>
  </si>
  <si>
    <t>Achat credit  teléphonique MTN/PALF/Deuxième partie Mars 2023/Investigation</t>
  </si>
  <si>
    <t>Achat credit  teléphonique MTN/PALF/Deuxième partie Mars 2023/Investigation Volontaire</t>
  </si>
  <si>
    <t>Achat credit  teléphonique Airtel/PALF/Deuxième partie Mars 2023/Investigation Volontaire</t>
  </si>
  <si>
    <t>BCI-3667312-56</t>
  </si>
  <si>
    <t>Bonus media portant sur la condamnation ferme de deux trafiquants d'ivoire au TGI de Brazzaville</t>
  </si>
  <si>
    <t>Bonus media portant sur l'arrestation d'un condamné par contumace le 12/03/2023 à Nianga</t>
  </si>
  <si>
    <t>Remboursement frais d'assurance TIFFANY deuxième partie</t>
  </si>
  <si>
    <t>Frais de transfert charden farell à D58 et T73</t>
  </si>
  <si>
    <t>Bonus média portant sur l'arrestation d'un condamné par contumace le 12/03/2023 à Nyanga</t>
  </si>
  <si>
    <t>Operation</t>
  </si>
  <si>
    <t>Frais de transfert charden farell à Grace</t>
  </si>
  <si>
    <t>Achat credit  teléphonique MTN/PALF/Prémière partie Avril 2023/Management</t>
  </si>
  <si>
    <t>Achat credit  teléphonique MTN/PALF/Prémière partie Avril 2023/Legal</t>
  </si>
  <si>
    <t>Achat credit  teléphonique MTN/PALF/Prémière partie Avril 2023/Investigation</t>
  </si>
  <si>
    <t>Achat credit  teléphonique MTN/PALF/Prémière partie Avril 2023/Investigation Volontaire</t>
  </si>
  <si>
    <t>Achat credit  teléphonique MTN/PALF/Prémière partie Avril 2023/Media</t>
  </si>
  <si>
    <t>Achat credit  teléphonique Airtel/PALF/Prémière partie Avril 2023/Management</t>
  </si>
  <si>
    <t>Achat credit  teléphonique Airtel/PALF/Prémière partie Avril 2023/Legal</t>
  </si>
  <si>
    <t>Achat credit  teléphonique Airtel/PALF/Prémière partie Avril 2023/Investigation</t>
  </si>
  <si>
    <t>Achat credit  teléphonique Airtel/PALF/Prémière partie Avril 2023/Media</t>
  </si>
  <si>
    <t>Frais de transfert charden farell à P29</t>
  </si>
  <si>
    <t>Frais bancaire:Cmpt 34</t>
  </si>
  <si>
    <t>bank fees</t>
  </si>
  <si>
    <t>Reglement Facture Gardiennage Mois de Février 2023/3654539</t>
  </si>
  <si>
    <t>Paiement Honoraire Me LOCKO/Mois de Février 2023/3654540</t>
  </si>
  <si>
    <t>Lawyer Fees</t>
  </si>
  <si>
    <t>Retrait especes/appro caisse/bord n°3654541</t>
  </si>
  <si>
    <t>RAPARATRIEMENT FONDS EAGLE</t>
  </si>
  <si>
    <t>Grant</t>
  </si>
  <si>
    <t>Reglement Facture Gardiennage Mois de Mars 2023/3654543</t>
  </si>
  <si>
    <t>Frais bancaire:Cmpt 56</t>
  </si>
  <si>
    <t>Reglement Honoraire du mois de Février 2023/P29/ch:3667311</t>
  </si>
  <si>
    <t>Retrait espèces chèque N°3654537</t>
  </si>
  <si>
    <t>FONDS UE/Rapatrie01100 RTC00020354</t>
  </si>
  <si>
    <t>Retrait espèces chèque N°3667312</t>
  </si>
  <si>
    <t>Paiement salaire mois de Mars 2023/IBOUILI IBOUILI Crépin/ CH N°3667314</t>
  </si>
  <si>
    <t>Paiement salaire mois de Mars 2023/Hurielle MFOULOU/ CH N°3667315</t>
  </si>
  <si>
    <t>Paiement salaire mois de Mars 2023/Merveille MAHANGA/ CH N°3667316</t>
  </si>
  <si>
    <t>Paiement salaire mois de Mars 2023/PINDI BINGA Donald-Roméo/ CH N°3667317</t>
  </si>
  <si>
    <t>Paiement salaire mois de Mars 2023/MOLENDE Grâce/ CH N°3667318</t>
  </si>
  <si>
    <t>Paiement salaire mois de Mars 2023/Evariste LELOUSSI/ CH N°3667319</t>
  </si>
  <si>
    <t>Reglement Honoraire du mois de Mars 2023/P29/ch:3667323</t>
  </si>
  <si>
    <t>Reglement loyer mois de Mars 2023/Pluriel solution ch N°3667320</t>
  </si>
  <si>
    <t>Cumul frais de transport local du mois Mars 2023/Tiffany</t>
  </si>
  <si>
    <t>CREPIN IBOUILI - CONGO Food-Allowance du 02 au 27/03/2023 à Dolisie, Pointe-Noire et SIBITI (25 NUITEES)</t>
  </si>
  <si>
    <t>CREPIN IBOUILI - CONGO  Frais d'hotel 03 Nuitées du 02 au 05/03/2023 à Dolisie</t>
  </si>
  <si>
    <t>Billet: Dolisie-Pointe-Noire/Crépin</t>
  </si>
  <si>
    <t>CREPIN IBOUILI - CONGO  Frais d'hotel 01 Nuitée du 05 au 06/03/2023 à Pointe-Noire</t>
  </si>
  <si>
    <t>Billet: Pointe-Noie-Dolisie/Crépin</t>
  </si>
  <si>
    <t>Reçu de caisse via Hurielle/Crépin</t>
  </si>
  <si>
    <t>Billet: Dolisie-Loudima/Crépin</t>
  </si>
  <si>
    <t>Billet: Loudima-Dolisie/Crépin</t>
  </si>
  <si>
    <t>Frais de réparation de deux roues de la BJ</t>
  </si>
  <si>
    <t>Achat des raffraîchissements pour la mission de Nyanga</t>
  </si>
  <si>
    <t>Achat caburant bj gendarmerie pour la mission de Dolisie à Nyanga</t>
  </si>
  <si>
    <t>Ration alimentaire de 10 gendarmes pendant la mission de Nyanga</t>
  </si>
  <si>
    <t>Bonus de 10 gendarmes pour la mission de Nyanga</t>
  </si>
  <si>
    <t>CREPIN IBOUILI - CONGO  Frais d'hotel 07 Nuitées à Dolisie du 06 au 13/03/2023</t>
  </si>
  <si>
    <t>CREPIN IBOUILI - CONGO  Frais d'hotel 07 Nuitées à Pointe-Noire du 13 au 20/03/2023</t>
  </si>
  <si>
    <t>Billet: Pointe-Noire-Dolisie/Crépin</t>
  </si>
  <si>
    <t>CREPIN IBOUILI - CONGO  Frais d'hotel 03 Nuitées à Dolisie du 20 au 23/03/2023</t>
  </si>
  <si>
    <t>Billet: Dolisie-Sibiti/Crépin</t>
  </si>
  <si>
    <t>Cumul frais de jail visit mois de Mars  2023/Crépin</t>
  </si>
  <si>
    <t>CREPIN IBOUILI - CONGO  Frais d'hotel 02 Nuitées à Sibiti du 23 au 25/03/2023</t>
  </si>
  <si>
    <t>Billet: Sibiti-Dolisie/Crépin</t>
  </si>
  <si>
    <t>Reçu de Grace/Crépin</t>
  </si>
  <si>
    <t>Achat produits KONDO MABIALA Christian</t>
  </si>
  <si>
    <t>CREPIN IBOUILI - CONGO  Frais d'hotel 03 Nuitées du 25 au 28/03/2023 à Dolisie</t>
  </si>
  <si>
    <t>Cumul frais de transport local du mois de Mars 2023/Crépin</t>
  </si>
  <si>
    <t>Achat raffraichissement pour l'équipe pendant l'attente de l'opération/B/ville</t>
  </si>
  <si>
    <t>operation</t>
  </si>
  <si>
    <t>Recu caisse/Grace Molende</t>
  </si>
  <si>
    <t>Achat billet Brazzaville-Dolisie/Grace MOLENDE</t>
  </si>
  <si>
    <t>GRACE MOLENDE - CONGO Food Allowance du 25 au 30/03/23... (05 Nuitées)</t>
  </si>
  <si>
    <t>Transfert à Crépin /Grace Molende</t>
  </si>
  <si>
    <t>Achat Billet Dolisie-Brazzaville /GRACE MOLENDE</t>
  </si>
  <si>
    <t>GRACE MOLENDE - CONGO Frais d'hotel Dolisie du 25 au 30/03/23... (05 Nuitées)</t>
  </si>
  <si>
    <t>Cumul Frais de transport local Mois de Mars 2023/Grace MOLENDE</t>
  </si>
  <si>
    <t>Reçu caisse</t>
  </si>
  <si>
    <t>Cumul frais de transport local Mois de Mars 2023/Merveille</t>
  </si>
  <si>
    <t>Achat billet Brazzaville-Dolisie/Evariste</t>
  </si>
  <si>
    <t>EVARISTE LELOUSSI-CONGO Food Allowance du 14 au 16 mars 2023 (02 Nuitées)</t>
  </si>
  <si>
    <t>EVARISTE LELOUSSI-CONGO Frais de l'hôtel du 14 au 16 mars 2023 (2 nuitées)_Dolisie</t>
  </si>
  <si>
    <t>Achat billet Dolisie-Brazzaville/Evariste</t>
  </si>
  <si>
    <t>Cumul frais de Transport local mois de Mars 2023/EVARISTE LELOUSSI</t>
  </si>
  <si>
    <t>Recu caisse/Hurielle</t>
  </si>
  <si>
    <t>HURIELLE MFOULOU - CONGO FoodAllowance 02 Nuitées du 06 au 08/03/2023 à Dolisie</t>
  </si>
  <si>
    <t>Achat du billet de retour Dolisie-Brazzaville/Hurielle</t>
  </si>
  <si>
    <t>HURIELLE MFOULOU - CONGO Frais d'Hôtel du 06 au 08/03/2023 à Dolisie_ 02 Nuitées</t>
  </si>
  <si>
    <t>HURIELLE MFOULOU - CONGO Foodallowance du 15 au 17/03/2023 à Dolisie_ 02 Nuitées</t>
  </si>
  <si>
    <t>Cumul Frais de Jail visit mois de Mars 2023/Hurielle</t>
  </si>
  <si>
    <t>Jail Visits</t>
  </si>
  <si>
    <t>HURIELLE MFOULOU - CONGO Frais d'hôtel du 15 au 17/03/2023 à Dolisie_ 02 Nuitées</t>
  </si>
  <si>
    <t>Taxi:Kintélé-Pont du Djoué(opération)/Hurielle</t>
  </si>
  <si>
    <t>Cumul Frais de transport local mois de Mars 2023/Hurielle</t>
  </si>
  <si>
    <t>Frais d'expedition, cas MPEMBELE et LAMINE</t>
  </si>
  <si>
    <t>Court Fees</t>
  </si>
  <si>
    <t>Achat billet Brazzaville-Loudima/Donald</t>
  </si>
  <si>
    <t>Achat billet Loudima-Sibiti/Donald</t>
  </si>
  <si>
    <t xml:space="preserve">DONALD-CONGO Food Allowance Mission du 09 au 11/03/2023 _02 Nuitées </t>
  </si>
  <si>
    <t>Cumul Frais de Jail Visit mois de Mars 2023/Donald</t>
  </si>
  <si>
    <t>DONALD-CONGO Frais d'hôtel/ 02 Nuitées du 09 au 11/03/2023 _Sibiti</t>
  </si>
  <si>
    <t>Achat Sibiti- Loudima/Donald</t>
  </si>
  <si>
    <t>Achat Loudima-Brazzaville/Donald</t>
  </si>
  <si>
    <t>Cumul Frais de Transport Local mois de Mars 2023/Donald</t>
  </si>
  <si>
    <t>Achat billet Pointe Noire - Brazzaville//D58</t>
  </si>
  <si>
    <t>Cumul ration journalière mois de Mars 2023/D58</t>
  </si>
  <si>
    <t>Achat billet Brazzaville - Dolisie/D58</t>
  </si>
  <si>
    <t>Cumul Trust Building mois de Mars 2023/D58</t>
  </si>
  <si>
    <t>Trust Building</t>
  </si>
  <si>
    <t>Achat billet Brazzaville - Pointe-Noire/T73</t>
  </si>
  <si>
    <t>Achat billet: pointe noire - madingo kayes (prospection)</t>
  </si>
  <si>
    <t>Achat billet: madingo kayes - pointe noire /T73</t>
  </si>
  <si>
    <t>Achat billet: Pointe Noire - Hinda (prospection)/T73</t>
  </si>
  <si>
    <t>Achat billet: Hinda - Pointe Noire/T73</t>
  </si>
  <si>
    <t>Achat billet: Pointe Noire - Dolisie/T73</t>
  </si>
  <si>
    <t>Achat billet Dolisie - Mindouli/T73</t>
  </si>
  <si>
    <t>Achat billet  Mindouli - Dolisie/T73</t>
  </si>
  <si>
    <t>Achat billet Dolisie-Brazzaville/T73</t>
  </si>
  <si>
    <t xml:space="preserve">Reçu caisse/T73 </t>
  </si>
  <si>
    <t>Cumul frais de ration mois de mars 2023/T73</t>
  </si>
  <si>
    <t>Achat billet: Brazzaville - Dolisie /T73</t>
  </si>
  <si>
    <t>Achat billet : Dolisie - pointe noire/T73</t>
  </si>
  <si>
    <t>Cumul frais de trust building mois de Mars 2023/T73</t>
  </si>
  <si>
    <t>Cumul frais de transport local mois de mars 2023/T73</t>
  </si>
  <si>
    <t>T73 - CONGO Frais d'Hotel du 28 au 31/03/2023 (02nuitées) à Pointe-Noire</t>
  </si>
  <si>
    <t>D58 - CONGO Food Allowance du 01 au 07/03/2023 (06 nuitées)</t>
  </si>
  <si>
    <t>D58 - CONGO Frais d'Hotel du 01 Au 07/03/2023 à Pointe Noire (06 nuitées)</t>
  </si>
  <si>
    <t>D58 - CONGO Frais d'hotel du 12/03/2023 Au 18/02/2023 à Pointe Noire (06 nuitées)</t>
  </si>
  <si>
    <t>D58 - CONGO Food allowance du 25/03 au 06/04/2023 ( 12 nuitées)</t>
  </si>
  <si>
    <t>D58 - CONGO Frais d'Hotel à Dolisie (04 Nuitées) du 25 au 29/03/2023 à Dolisie</t>
  </si>
  <si>
    <t>D58 - CONGO Frais d'Hotel à Dolisie (02 Nuitées) du 29 au 31/03/2023 à Dolisie</t>
  </si>
  <si>
    <t>Achat billet brazzaville-dolisie/P29</t>
  </si>
  <si>
    <t>P29 - CONGO Food allowance mission du 03 au 13-03-2023 (10 Nuitées)</t>
  </si>
  <si>
    <t>P29 - CONGO Frais d'hotel 2 nuitées du 03 au 05/03/2023  à Dolisie</t>
  </si>
  <si>
    <t>Achat billet dolisie-nianga/P29</t>
  </si>
  <si>
    <t>P29 - CONGO Frais d'hotel 2 nuitées du 05 au 07/03/2023  à Nianga</t>
  </si>
  <si>
    <t>Achat billet nianga-divinié/P29</t>
  </si>
  <si>
    <t>P29 - CONGO Frais d'hotel 4 nuitées du 07 au 11/03/2023  à Divinié</t>
  </si>
  <si>
    <t>P29 - CONGO Frais d'hotel 1 nuitée du 11 au 12/03/2023  à Nianga</t>
  </si>
  <si>
    <t>Achat billet kinbangou-dolisie/P29</t>
  </si>
  <si>
    <t>Achat billet dolisie-brazzaville/P29</t>
  </si>
  <si>
    <t>P29 - CONGO Frais d'hotel 1 nuitée du 12 au 13/03/2023  à Dolisie</t>
  </si>
  <si>
    <t>Achat billet Brazzaville-Pointe Noire/ P29</t>
  </si>
  <si>
    <t>P29 - CONGO Food allowance mission du 28-03 au 01-04-2023</t>
  </si>
  <si>
    <t>Paiement démarcheur/P29</t>
  </si>
  <si>
    <t>Cumul frais de Transport Local mois de Mars 2023/P29</t>
  </si>
  <si>
    <t>Cumul frais de Trust Bulding mois de Mars 2023/P29</t>
  </si>
  <si>
    <t>P29 - CONGO Frais d'hotel 3 nuitées du 28  au 31/03/2023  à pointe noire</t>
  </si>
  <si>
    <t>Achat eau,jus et biscuits avant éventuel OP avec OPJ</t>
  </si>
  <si>
    <t>OAT</t>
  </si>
  <si>
    <t>Bonus Media portant sur diffusion à la téléCongo</t>
  </si>
  <si>
    <t>Achat Médicaments détetus KONDO MABIALA Christian</t>
  </si>
  <si>
    <t>3.2</t>
  </si>
  <si>
    <t>Achat bouilloire et torchons/Bureau PALF</t>
  </si>
  <si>
    <t>Achat 05 Paquets RAMES et Paquet papier transparent/Bureau PALF</t>
  </si>
  <si>
    <t>Achat carte mémoire pour camera GoPro/Bureau PALF</t>
  </si>
  <si>
    <t>Achat Carte sim Airtel/D58</t>
  </si>
  <si>
    <t>1.1.1.9</t>
  </si>
  <si>
    <t>Entretretien général Jardin, Bureau PALF Mois de Mars 2023/Mr Alain</t>
  </si>
  <si>
    <t>Règlement prestation technicienne de surface (mois de Mars  2023)/Mme Odile</t>
  </si>
  <si>
    <t>RALFF/wildcat+OAT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</si>
  <si>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</si>
  <si>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</si>
  <si>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</si>
  <si>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</si>
  <si>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</si>
  <si>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</si>
  <si>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</si>
  <si>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Frais de démarcheur/Recherche Appart. OP à PNR</t>
  </si>
  <si>
    <t>Achat du carburant pour  02 BJ N°1 et N°2 des Gendarmes</t>
  </si>
  <si>
    <t>Achat camera GoPro/Bureau PALF</t>
  </si>
  <si>
    <t>Frais de TVA sur Achat camera GoPro/Bureau PALF</t>
  </si>
  <si>
    <t>Frais de TVA sur Achat carte mémoire pour camera GoPro/Bureau PALF</t>
  </si>
  <si>
    <t>RALFF-CO4315</t>
  </si>
  <si>
    <t>RALFF-CO4316</t>
  </si>
  <si>
    <t>RALFF-CO4317</t>
  </si>
  <si>
    <t>RALFF-CO4318</t>
  </si>
  <si>
    <t>RALFF-CO4319</t>
  </si>
  <si>
    <t>RALFF-CO4320</t>
  </si>
  <si>
    <t>RALFF-CO4321</t>
  </si>
  <si>
    <t>RALFF-CO4322</t>
  </si>
  <si>
    <t>RALFF-CO4323</t>
  </si>
  <si>
    <t>RALFF-CO4324</t>
  </si>
  <si>
    <t>RALFF-CO4325</t>
  </si>
  <si>
    <t>RALFF-CO4326</t>
  </si>
  <si>
    <t>RALFF-CO4327</t>
  </si>
  <si>
    <t>RALFF-CO4328</t>
  </si>
  <si>
    <t>RALFF-CO4329</t>
  </si>
  <si>
    <t>RALFF-CO4330</t>
  </si>
  <si>
    <t>RALFF-CO4331</t>
  </si>
  <si>
    <t>Frais de mission maitre Marie Hélène à Sibiti du 09 au 11 Mars 2023</t>
  </si>
  <si>
    <t>Wildcat</t>
  </si>
  <si>
    <t>RALFF-CO4332</t>
  </si>
  <si>
    <t>RALFF-CO4333</t>
  </si>
  <si>
    <t>RALFF-CO4334</t>
  </si>
  <si>
    <t>RALFF-CO4335</t>
  </si>
  <si>
    <t>RALFF-CO4336</t>
  </si>
  <si>
    <t>RALFF-CO4337</t>
  </si>
  <si>
    <t>RALFF-CO4338</t>
  </si>
  <si>
    <t>RALFF-CO4339</t>
  </si>
  <si>
    <t>RALFF-CO4340</t>
  </si>
  <si>
    <t>RALFF-CO4341</t>
  </si>
  <si>
    <t>RALFF-CO4342</t>
  </si>
  <si>
    <t>RALFF-CO4343</t>
  </si>
  <si>
    <t>RALFF-CO4344</t>
  </si>
  <si>
    <t>RALFF-CO4345</t>
  </si>
  <si>
    <t>RALFF-CO4346</t>
  </si>
  <si>
    <t>RALFF-CO4347</t>
  </si>
  <si>
    <t>RALFF-CO4348</t>
  </si>
  <si>
    <t>RALFF-CO4350</t>
  </si>
  <si>
    <t>RALFF-CO4351</t>
  </si>
  <si>
    <t>RALFF-CO4352</t>
  </si>
  <si>
    <t>RALFF-CO4353</t>
  </si>
  <si>
    <t>RALFF-CO4354</t>
  </si>
  <si>
    <t>RALFF-CO4355</t>
  </si>
  <si>
    <t>RALFF-CO4356</t>
  </si>
  <si>
    <t>RALFF-CO4358</t>
  </si>
  <si>
    <t>RALFF-CO4359</t>
  </si>
  <si>
    <t>RALFF-CO4360</t>
  </si>
  <si>
    <t>RALFF-CO4361</t>
  </si>
  <si>
    <t>Frais d'impression code inVentaire papier auto collant/Bureau PALF</t>
  </si>
  <si>
    <t>RALFF-CO4362</t>
  </si>
  <si>
    <t>RALFF-CO4363</t>
  </si>
  <si>
    <t>RALFF-CO4364</t>
  </si>
  <si>
    <t>RALFF-CO4365</t>
  </si>
  <si>
    <t>RALFF-CO4366</t>
  </si>
  <si>
    <t>RALFF-CO4367</t>
  </si>
  <si>
    <t>RALFF-CO4368</t>
  </si>
  <si>
    <t>RALFF-CO4369</t>
  </si>
  <si>
    <t>RALFF-CO4370</t>
  </si>
  <si>
    <t>RALFF-CO4371</t>
  </si>
  <si>
    <t>RALFF-CO4372</t>
  </si>
  <si>
    <t>RALFF-CO4373</t>
  </si>
  <si>
    <t>Reglement Facture Internet (Canal Box_Periode du 28 Mars 2023 au 01 Mai 2023)</t>
  </si>
  <si>
    <t>RALFF-CO4374</t>
  </si>
  <si>
    <t>RALFF-CO4375</t>
  </si>
  <si>
    <t>RALFF-CO4376</t>
  </si>
  <si>
    <t>RALFF-CO4377</t>
  </si>
  <si>
    <t>RALFF-CO4378</t>
  </si>
  <si>
    <t>RALFF-CO4379</t>
  </si>
  <si>
    <t>RALFF-CO4380</t>
  </si>
  <si>
    <t>RALFF-CO4381</t>
  </si>
  <si>
    <t>RALFF-CO4382</t>
  </si>
  <si>
    <t>RALFF-CO4383</t>
  </si>
  <si>
    <t>RALFF-CO4384</t>
  </si>
  <si>
    <t>RALFF-CO4385</t>
  </si>
  <si>
    <t>RALFF-CO4386</t>
  </si>
  <si>
    <t>RALFF-CO4387</t>
  </si>
  <si>
    <t>RALFF-CO4388</t>
  </si>
  <si>
    <t>RALFF-CO4389</t>
  </si>
  <si>
    <t>RALFF-CO4390</t>
  </si>
  <si>
    <t>RALFF-CO4391</t>
  </si>
  <si>
    <t>RALFF-CO4392</t>
  </si>
  <si>
    <t>RALFF-CO4393</t>
  </si>
  <si>
    <t>RALFF-CO4394</t>
  </si>
  <si>
    <t>RALFF-CO4395</t>
  </si>
  <si>
    <t>RALFF-CO4396</t>
  </si>
  <si>
    <t>RALFF-CO4397</t>
  </si>
  <si>
    <t>RALFF-CO4398</t>
  </si>
  <si>
    <t>RALFF-CO4399</t>
  </si>
  <si>
    <t>RALFF-CO4401</t>
  </si>
  <si>
    <t>RALFF-CO4402</t>
  </si>
  <si>
    <t>RALFF-CO4403</t>
  </si>
  <si>
    <t>RALFF-CO4404</t>
  </si>
  <si>
    <t>RALFF-CO4405</t>
  </si>
  <si>
    <t>RALFF-CO4406</t>
  </si>
  <si>
    <t>RALFF-CO4407</t>
  </si>
  <si>
    <t>RALFF-CO4408</t>
  </si>
  <si>
    <t>RALFF-CO4409</t>
  </si>
  <si>
    <t>RALFF-CO4410</t>
  </si>
  <si>
    <t>RALFF-CO4411</t>
  </si>
  <si>
    <t>RALFF-CO4412</t>
  </si>
  <si>
    <t>RALFF-CO4413</t>
  </si>
  <si>
    <t>RALFF-CO4414</t>
  </si>
  <si>
    <t>RALFF-CO4415</t>
  </si>
  <si>
    <t>RALFF-CO4416</t>
  </si>
  <si>
    <t>RALFF-CO4417</t>
  </si>
  <si>
    <t>RALFF-CO4418</t>
  </si>
  <si>
    <t>RALFF-CO4419</t>
  </si>
  <si>
    <t>RALFF-CO4420</t>
  </si>
  <si>
    <t>RALFF-CO4421</t>
  </si>
  <si>
    <t>RALFF-CO4422</t>
  </si>
  <si>
    <t>RALFF-CO4423</t>
  </si>
  <si>
    <t>RALFF-CO4424</t>
  </si>
  <si>
    <t>RALFF-CO4425</t>
  </si>
  <si>
    <t>T73 - CONGO Food Allowance du 06 au 18/03/2023 (12 nuitées)</t>
  </si>
  <si>
    <t>T73 - CONGO Food Allowance du 24/03/2023  au 06/04/2023 (13 nuitées)</t>
  </si>
  <si>
    <t>T73 - CONGO Frais d'Hotel du 15 au 18/03/2023 (03 nuitées) à dolisie</t>
  </si>
  <si>
    <t>T73 - CONGO Frais d'Hotel du 12 au 13/03/2023 (01 nuitée) à dolisie</t>
  </si>
  <si>
    <t>T73 - CONGO Frais d'Hotel du 10 au 12/03/2023 (02 nuitées) à pointe noire</t>
  </si>
  <si>
    <t>T73 - CONGO Frais d'Hotel du 06 au 08/03/2023 (02 nuitées) à Pointe Noire</t>
  </si>
  <si>
    <t>T73 - CONGO Frais d'Hotel du 13 au 15/03/2023 (02 nuitées) à mindouli</t>
  </si>
  <si>
    <t>T73 - CONGO Frais d'Hotel du 24 au 28/03/2023 (04 nuitées) à dolisie</t>
  </si>
  <si>
    <t>Achat billet pour Brazzaville - pointe noire/D58</t>
  </si>
  <si>
    <t>D58 - CONGO Food allowance du 12 au 18/03/2023 (06 nuitées)</t>
  </si>
  <si>
    <t>Cumul frais de transport local du mois de Mars 2023/D58</t>
  </si>
</sst>
</file>

<file path=xl/styles.xml><?xml version="1.0" encoding="utf-8"?>
<styleSheet xmlns="http://schemas.openxmlformats.org/spreadsheetml/2006/main">
  <numFmts count="9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]d\ mmm\ yyyy;@"/>
    <numFmt numFmtId="170" formatCode="_-* #,##0\ _€_-;\-* #,##0\ _€_-;_-* &quot;-&quot;??\ _€_-;_-@"/>
    <numFmt numFmtId="171" formatCode="[$-40C]dd\-mmm\-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</cellStyleXfs>
  <cellXfs count="49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19" borderId="1" xfId="0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0" fillId="0" borderId="1" xfId="0" applyBorder="1"/>
    <xf numFmtId="0" fontId="41" fillId="0" borderId="1" xfId="0" applyFont="1" applyFill="1" applyBorder="1" applyAlignment="1"/>
    <xf numFmtId="0" fontId="43" fillId="0" borderId="1" xfId="0" applyFont="1" applyFill="1" applyBorder="1" applyAlignment="1">
      <alignment vertical="center"/>
    </xf>
    <xf numFmtId="165" fontId="44" fillId="0" borderId="1" xfId="1" applyNumberFormat="1" applyFont="1" applyBorder="1" applyProtection="1">
      <protection locked="0"/>
    </xf>
    <xf numFmtId="165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69" fontId="25" fillId="0" borderId="1" xfId="0" applyNumberFormat="1" applyFont="1" applyFill="1" applyBorder="1" applyAlignment="1"/>
    <xf numFmtId="171" fontId="6" fillId="0" borderId="1" xfId="0" applyNumberFormat="1" applyFont="1" applyFill="1" applyBorder="1"/>
    <xf numFmtId="169" fontId="25" fillId="12" borderId="12" xfId="0" applyNumberFormat="1" applyFont="1" applyFill="1" applyBorder="1" applyAlignment="1"/>
    <xf numFmtId="0" fontId="36" fillId="12" borderId="12" xfId="0" applyFont="1" applyFill="1" applyBorder="1" applyAlignment="1">
      <alignment vertical="center"/>
    </xf>
    <xf numFmtId="0" fontId="36" fillId="12" borderId="12" xfId="0" applyFont="1" applyFill="1" applyBorder="1" applyAlignment="1">
      <alignment horizontal="center" vertical="center"/>
    </xf>
    <xf numFmtId="3" fontId="36" fillId="12" borderId="12" xfId="1" applyNumberFormat="1" applyFont="1" applyFill="1" applyBorder="1" applyAlignment="1" applyProtection="1">
      <alignment vertical="center"/>
    </xf>
    <xf numFmtId="41" fontId="36" fillId="12" borderId="12" xfId="4" applyFont="1" applyFill="1" applyBorder="1" applyAlignment="1" applyProtection="1">
      <alignment horizontal="right"/>
    </xf>
    <xf numFmtId="165" fontId="36" fillId="12" borderId="12" xfId="1" applyNumberFormat="1" applyFont="1" applyFill="1" applyBorder="1" applyAlignment="1" applyProtection="1">
      <alignment vertical="center"/>
    </xf>
    <xf numFmtId="0" fontId="36" fillId="12" borderId="12" xfId="0" applyFont="1" applyFill="1" applyBorder="1" applyAlignment="1">
      <alignment horizontal="left" vertical="center"/>
    </xf>
    <xf numFmtId="0" fontId="36" fillId="0" borderId="12" xfId="0" applyFont="1" applyFill="1" applyBorder="1" applyAlignment="1">
      <alignment vertical="center"/>
    </xf>
    <xf numFmtId="0" fontId="25" fillId="0" borderId="1" xfId="0" applyFont="1" applyBorder="1"/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6" fillId="0" borderId="1" xfId="0" applyFont="1" applyFill="1" applyBorder="1"/>
    <xf numFmtId="165" fontId="6" fillId="0" borderId="1" xfId="1" applyNumberFormat="1" applyFont="1" applyFill="1" applyBorder="1"/>
    <xf numFmtId="0" fontId="25" fillId="23" borderId="1" xfId="0" applyFont="1" applyFill="1" applyBorder="1" applyAlignment="1">
      <alignment vertical="center"/>
    </xf>
    <xf numFmtId="41" fontId="25" fillId="23" borderId="1" xfId="4" applyFont="1" applyFill="1" applyBorder="1" applyAlignment="1">
      <alignment horizontal="right" vertical="center"/>
    </xf>
    <xf numFmtId="41" fontId="25" fillId="0" borderId="1" xfId="4" applyFont="1" applyFill="1" applyBorder="1" applyAlignment="1" applyProtection="1">
      <alignment horizontal="right"/>
    </xf>
    <xf numFmtId="165" fontId="25" fillId="0" borderId="1" xfId="1" applyNumberFormat="1" applyFont="1" applyFill="1" applyBorder="1" applyAlignment="1" applyProtection="1">
      <alignment vertical="center"/>
    </xf>
    <xf numFmtId="0" fontId="46" fillId="0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3" fontId="26" fillId="0" borderId="1" xfId="1" applyNumberFormat="1" applyFont="1" applyFill="1" applyBorder="1" applyAlignment="1" applyProtection="1">
      <alignment vertical="center"/>
    </xf>
    <xf numFmtId="3" fontId="48" fillId="24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65" fontId="26" fillId="0" borderId="1" xfId="0" applyNumberFormat="1" applyFont="1" applyFill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/>
    <xf numFmtId="0" fontId="6" fillId="0" borderId="1" xfId="0" applyNumberFormat="1" applyFont="1" applyFill="1" applyBorder="1"/>
    <xf numFmtId="171" fontId="6" fillId="0" borderId="1" xfId="0" applyNumberFormat="1" applyFont="1" applyFill="1" applyBorder="1" applyAlignment="1">
      <alignment vertical="center"/>
    </xf>
    <xf numFmtId="171" fontId="6" fillId="0" borderId="1" xfId="2" applyNumberFormat="1" applyFont="1" applyFill="1" applyBorder="1" applyAlignment="1">
      <alignment vertical="top" wrapText="1"/>
    </xf>
    <xf numFmtId="167" fontId="6" fillId="0" borderId="1" xfId="2" applyNumberFormat="1" applyFont="1" applyFill="1" applyBorder="1" applyAlignment="1">
      <alignment vertical="top"/>
    </xf>
    <xf numFmtId="168" fontId="6" fillId="0" borderId="1" xfId="6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/>
    </xf>
    <xf numFmtId="165" fontId="6" fillId="0" borderId="1" xfId="0" applyNumberFormat="1" applyFont="1" applyFill="1" applyBorder="1"/>
    <xf numFmtId="171" fontId="6" fillId="0" borderId="1" xfId="2" applyNumberFormat="1" applyFont="1" applyFill="1" applyBorder="1"/>
    <xf numFmtId="0" fontId="34" fillId="0" borderId="0" xfId="0" applyFont="1"/>
    <xf numFmtId="0" fontId="25" fillId="5" borderId="1" xfId="0" applyFont="1" applyFill="1" applyBorder="1" applyAlignment="1">
      <alignment horizontal="left" vertical="center"/>
    </xf>
    <xf numFmtId="165" fontId="25" fillId="5" borderId="1" xfId="1" applyNumberFormat="1" applyFont="1" applyFill="1" applyBorder="1" applyAlignment="1">
      <alignment vertical="center"/>
    </xf>
    <xf numFmtId="3" fontId="25" fillId="5" borderId="1" xfId="1" applyNumberFormat="1" applyFont="1" applyFill="1" applyBorder="1" applyAlignment="1" applyProtection="1">
      <alignment horizontal="right" vertical="center"/>
    </xf>
    <xf numFmtId="165" fontId="25" fillId="5" borderId="1" xfId="1" applyNumberFormat="1" applyFont="1" applyFill="1" applyBorder="1" applyAlignment="1" applyProtection="1">
      <alignment horizontal="left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 applyProtection="1">
      <alignment vertical="center"/>
    </xf>
    <xf numFmtId="171" fontId="6" fillId="0" borderId="1" xfId="2" applyNumberFormat="1" applyFont="1" applyFill="1" applyBorder="1" applyAlignment="1"/>
    <xf numFmtId="170" fontId="6" fillId="0" borderId="1" xfId="0" applyNumberFormat="1" applyFont="1" applyFill="1" applyBorder="1"/>
    <xf numFmtId="0" fontId="6" fillId="0" borderId="1" xfId="2" applyFont="1" applyFill="1" applyBorder="1" applyAlignment="1"/>
    <xf numFmtId="168" fontId="6" fillId="0" borderId="1" xfId="6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167" fontId="6" fillId="0" borderId="1" xfId="2" applyNumberFormat="1" applyFont="1" applyFill="1" applyBorder="1" applyAlignment="1">
      <alignment vertical="top" wrapText="1"/>
    </xf>
    <xf numFmtId="167" fontId="6" fillId="0" borderId="1" xfId="2" applyNumberFormat="1" applyFont="1" applyFill="1" applyBorder="1" applyAlignment="1">
      <alignment horizontal="right" vertical="top"/>
    </xf>
    <xf numFmtId="170" fontId="6" fillId="0" borderId="1" xfId="0" applyNumberFormat="1" applyFont="1" applyFill="1" applyBorder="1" applyAlignment="1">
      <alignment vertical="top"/>
    </xf>
    <xf numFmtId="165" fontId="6" fillId="0" borderId="1" xfId="1" applyNumberFormat="1" applyFont="1" applyFill="1" applyBorder="1" applyAlignment="1">
      <alignment horizontal="left"/>
    </xf>
    <xf numFmtId="170" fontId="6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</cellXfs>
  <cellStyles count="8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  <cellStyle name="Pourcentage" xfId="7" builtinId="5"/>
  </cellStyles>
  <dxfs count="2">
    <dxf>
      <alignment horizontal="right" readingOrder="0"/>
    </dxf>
    <dxf>
      <alignment horizontal="right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041.653049768516" createdVersion="3" refreshedVersion="3" minRefreshableVersion="3" recordCount="289">
  <cacheSource type="worksheet">
    <worksheetSource ref="A12:O301" sheet="DATA MARS 2023"/>
  </cacheSource>
  <cacheFields count="15">
    <cacheField name="Date" numFmtId="171">
      <sharedItems containsSemiMixedTypes="0" containsNonDate="0" containsDate="1" containsString="0" minDate="2023-03-01T00:00:00" maxDate="2023-04-01T00:00:00"/>
    </cacheField>
    <cacheField name="Details" numFmtId="0">
      <sharedItems/>
    </cacheField>
    <cacheField name="Type de dépenses" numFmtId="0">
      <sharedItems containsBlank="1" count="19">
        <m/>
        <s v="Bonus"/>
        <s v="Versement"/>
        <s v="Lawyer fees"/>
        <s v="Transport"/>
        <s v="Travel Subsistence"/>
        <s v="bank fees"/>
        <s v="Transfer fees"/>
        <s v="Office Materials"/>
        <s v="Personnel"/>
        <s v="Rent &amp; Utilities"/>
        <s v="Services"/>
        <s v="Court Fees"/>
        <s v="Jail Visits"/>
        <s v="Equipements"/>
        <s v="Telephone"/>
        <s v="Grant"/>
        <s v="Internet"/>
        <s v="Trust Building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8000" maxValue="19110651"/>
    </cacheField>
    <cacheField name="Spent" numFmtId="0">
      <sharedItems containsString="0" containsBlank="1" containsNumber="1" containsInteger="1" minValue="768" maxValue="2000000"/>
    </cacheField>
    <cacheField name="Balance" numFmtId="165">
      <sharedItems containsSemiMixedTypes="0" containsString="0" containsNumber="1" containsInteger="1" minValue="5410817" maxValue="37276485"/>
    </cacheField>
    <cacheField name="Name" numFmtId="0">
      <sharedItems containsBlank="1" count="14">
        <m/>
        <s v="Caisse"/>
        <s v="Crépin"/>
        <s v="D58"/>
        <s v="BCI-Sous Compte"/>
        <s v="T73"/>
        <s v="P29"/>
        <s v="BCI"/>
        <s v="Hurielle"/>
        <s v="Donald"/>
        <s v="Merveille"/>
        <s v="Evariste"/>
        <s v="Tiffany"/>
        <s v="Grace"/>
      </sharedItems>
    </cacheField>
    <cacheField name="Receipt" numFmtId="0">
      <sharedItems containsBlank="1" containsMixedTypes="1" containsNumber="1" containsInteger="1" minValue="3654537" maxValue="3667323"/>
    </cacheField>
    <cacheField name="Donor" numFmtId="0">
      <sharedItems containsBlank="1" count="5">
        <m/>
        <s v="Wildcat"/>
        <s v="UE"/>
        <s v="OAT"/>
        <s v="Widcat" u="1"/>
      </sharedItems>
    </cacheField>
    <cacheField name="Project" numFmtId="0">
      <sharedItems containsBlank="1" count="3">
        <m/>
        <s v="PALF"/>
        <s v="RALF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9">
  <r>
    <d v="2023-03-01T00:00:00"/>
    <s v="Solde au 01/02/2023"/>
    <x v="0"/>
    <m/>
    <m/>
    <m/>
    <n v="9139120"/>
    <x v="0"/>
    <m/>
    <x v="0"/>
    <x v="0"/>
    <m/>
    <m/>
    <m/>
    <m/>
  </r>
  <r>
    <d v="2023-03-01T00:00:00"/>
    <s v="Bonus mois de Janvier 2023/Hurielle"/>
    <x v="1"/>
    <s v="Legal"/>
    <m/>
    <n v="20000"/>
    <n v="9119120"/>
    <x v="1"/>
    <s v="Decharge"/>
    <x v="1"/>
    <x v="1"/>
    <s v="CONGO"/>
    <m/>
    <m/>
    <m/>
  </r>
  <r>
    <d v="2023-03-01T00:00:00"/>
    <s v="Crepin"/>
    <x v="2"/>
    <m/>
    <m/>
    <n v="175000"/>
    <n v="8944120"/>
    <x v="1"/>
    <m/>
    <x v="0"/>
    <x v="0"/>
    <m/>
    <m/>
    <m/>
    <m/>
  </r>
  <r>
    <d v="2023-03-01T00:00:00"/>
    <s v="Frais de mission maitre Marie Hélène à Dolisie du 02 au 05 Mars 2023"/>
    <x v="3"/>
    <s v="Legal"/>
    <m/>
    <n v="103000"/>
    <n v="8841120"/>
    <x v="1"/>
    <s v="Oui"/>
    <x v="2"/>
    <x v="2"/>
    <s v="CONGO"/>
    <s v="RALFF-CO4315"/>
    <s v="5.2.2"/>
    <m/>
  </r>
  <r>
    <d v="2023-03-01T00:00:00"/>
    <s v="Reçu de caisse/Crépin"/>
    <x v="2"/>
    <m/>
    <n v="175000"/>
    <m/>
    <n v="9016120"/>
    <x v="2"/>
    <m/>
    <x v="0"/>
    <x v="0"/>
    <m/>
    <m/>
    <m/>
    <m/>
  </r>
  <r>
    <d v="2023-03-01T00:00:00"/>
    <s v="Achat billet pour Brazzaville - pointe noire/D58"/>
    <x v="4"/>
    <s v="Investigation"/>
    <m/>
    <n v="15000"/>
    <n v="9001120"/>
    <x v="3"/>
    <s v="Oui"/>
    <x v="1"/>
    <x v="1"/>
    <s v="CONGO"/>
    <m/>
    <m/>
    <m/>
  </r>
  <r>
    <d v="2023-03-01T00:00:00"/>
    <s v="D58 - CONGO Food Allowance du 01 au 07/03/2023 (06 nuitées)"/>
    <x v="5"/>
    <s v="Investigation"/>
    <m/>
    <n v="60000"/>
    <n v="8941120"/>
    <x v="3"/>
    <s v="Decharge"/>
    <x v="1"/>
    <x v="1"/>
    <s v="CONGO"/>
    <m/>
    <m/>
    <m/>
  </r>
  <r>
    <d v="2023-03-01T00:00:00"/>
    <s v="Frais bancaire:Cmpt 56"/>
    <x v="6"/>
    <s v="Office"/>
    <m/>
    <n v="14701"/>
    <n v="8926419"/>
    <x v="4"/>
    <s v="Relevé"/>
    <x v="2"/>
    <x v="2"/>
    <s v="CONGO"/>
    <s v="RALFF-CO4316"/>
    <s v="5.6"/>
    <m/>
  </r>
  <r>
    <d v="2023-03-02T00:00:00"/>
    <s v="BCI-3654537-34"/>
    <x v="2"/>
    <m/>
    <n v="2000000"/>
    <m/>
    <n v="10926419"/>
    <x v="1"/>
    <m/>
    <x v="0"/>
    <x v="0"/>
    <m/>
    <m/>
    <m/>
    <m/>
  </r>
  <r>
    <d v="2023-03-02T00:00:00"/>
    <s v="D58"/>
    <x v="2"/>
    <m/>
    <m/>
    <n v="99000"/>
    <n v="10827419"/>
    <x v="1"/>
    <m/>
    <x v="0"/>
    <x v="0"/>
    <m/>
    <m/>
    <m/>
    <m/>
  </r>
  <r>
    <d v="2023-03-02T00:00:00"/>
    <s v="Frais de transfert charden farell à D58"/>
    <x v="7"/>
    <s v="Office"/>
    <m/>
    <n v="2970"/>
    <n v="10824449"/>
    <x v="1"/>
    <s v="Oui"/>
    <x v="1"/>
    <x v="1"/>
    <s v="CONGO"/>
    <m/>
    <m/>
    <m/>
  </r>
  <r>
    <d v="2023-03-02T00:00:00"/>
    <s v="P29"/>
    <x v="2"/>
    <m/>
    <m/>
    <n v="150000"/>
    <n v="10674449"/>
    <x v="1"/>
    <m/>
    <x v="0"/>
    <x v="0"/>
    <m/>
    <m/>
    <m/>
    <m/>
  </r>
  <r>
    <d v="2023-03-02T00:00:00"/>
    <s v="Achat 04 maxi d'eau minerale/Bureau PALF"/>
    <x v="8"/>
    <s v="Office"/>
    <m/>
    <n v="18000"/>
    <n v="10656449"/>
    <x v="1"/>
    <s v="Oui"/>
    <x v="2"/>
    <x v="2"/>
    <s v="CONGO"/>
    <s v="RALFF-CO4317"/>
    <s v="4.3"/>
    <m/>
  </r>
  <r>
    <d v="2023-03-02T00:00:00"/>
    <s v="T73"/>
    <x v="2"/>
    <m/>
    <m/>
    <n v="20000"/>
    <n v="10636449"/>
    <x v="1"/>
    <m/>
    <x v="0"/>
    <x v="0"/>
    <m/>
    <m/>
    <m/>
    <m/>
  </r>
  <r>
    <d v="2023-03-02T00:00:00"/>
    <s v="Reglement Honoraire du mois de Février 2023/P29/ch:3667311"/>
    <x v="9"/>
    <s v="Investigation"/>
    <m/>
    <n v="240000"/>
    <n v="10396449"/>
    <x v="4"/>
    <n v="3667311"/>
    <x v="2"/>
    <x v="2"/>
    <s v="CONGO"/>
    <s v="RALFF-CO4318"/>
    <s v="1.1.1.9"/>
    <m/>
  </r>
  <r>
    <d v="2023-03-02T00:00:00"/>
    <s v="Retrait espèces chèque N°3654537"/>
    <x v="2"/>
    <m/>
    <m/>
    <n v="2000000"/>
    <n v="8396449"/>
    <x v="4"/>
    <n v="3654537"/>
    <x v="0"/>
    <x v="0"/>
    <m/>
    <m/>
    <m/>
    <m/>
  </r>
  <r>
    <d v="2023-03-02T00:00:00"/>
    <s v="CREPIN IBOUILI - CONGO Food-Allowance du 02 au 27/03/2023 à Dolisie, Pointe-Noire et SIBITI (25 NUITEES)"/>
    <x v="5"/>
    <s v="Management"/>
    <m/>
    <n v="250000"/>
    <n v="8146449"/>
    <x v="2"/>
    <s v="Decharge"/>
    <x v="1"/>
    <x v="2"/>
    <s v="CONGO"/>
    <s v="RALFF-CO4319"/>
    <s v="1.3.2"/>
    <m/>
  </r>
  <r>
    <d v="2023-03-02T00:00:00"/>
    <s v="Billet: Brazzaville-Dolisie/Crépin"/>
    <x v="4"/>
    <s v="Management"/>
    <m/>
    <n v="10000"/>
    <n v="8136449"/>
    <x v="2"/>
    <s v="Oui"/>
    <x v="1"/>
    <x v="2"/>
    <s v="CONGO"/>
    <s v="RALFF-CO4320"/>
    <s v="2.2"/>
    <m/>
  </r>
  <r>
    <d v="2023-03-02T00:00:00"/>
    <s v="Reçu caisse/T73"/>
    <x v="2"/>
    <m/>
    <n v="20000"/>
    <m/>
    <n v="8156449"/>
    <x v="5"/>
    <m/>
    <x v="0"/>
    <x v="0"/>
    <m/>
    <m/>
    <m/>
    <m/>
  </r>
  <r>
    <d v="2023-03-02T00:00:00"/>
    <s v="Recu de caisse/P29"/>
    <x v="2"/>
    <m/>
    <n v="150000"/>
    <m/>
    <n v="8306449"/>
    <x v="6"/>
    <m/>
    <x v="0"/>
    <x v="0"/>
    <m/>
    <m/>
    <m/>
    <m/>
  </r>
  <r>
    <d v="2023-03-02T00:00:00"/>
    <s v="Achat billet brazzaville-dolisie/P29"/>
    <x v="4"/>
    <s v="Investigation"/>
    <m/>
    <n v="10000"/>
    <n v="8296449"/>
    <x v="6"/>
    <s v="Oui"/>
    <x v="3"/>
    <x v="2"/>
    <s v="CONGO"/>
    <s v="RALFF-CO4321"/>
    <s v="2.2"/>
    <m/>
  </r>
  <r>
    <d v="2023-03-03T00:00:00"/>
    <s v="T73"/>
    <x v="2"/>
    <m/>
    <m/>
    <n v="150000"/>
    <n v="8146449"/>
    <x v="1"/>
    <m/>
    <x v="0"/>
    <x v="0"/>
    <m/>
    <m/>
    <m/>
    <m/>
  </r>
  <r>
    <d v="2023-03-03T00:00:00"/>
    <s v="Reçu caisse/T73"/>
    <x v="2"/>
    <m/>
    <n v="150000"/>
    <m/>
    <n v="8296449"/>
    <x v="5"/>
    <m/>
    <x v="0"/>
    <x v="0"/>
    <m/>
    <m/>
    <m/>
    <m/>
  </r>
  <r>
    <d v="2023-03-03T00:00:00"/>
    <s v="P29 - CONGO Food allowance mission du 03 au 13-03-2023 (10 Nuitées)"/>
    <x v="5"/>
    <s v="Investigation"/>
    <m/>
    <n v="100000"/>
    <n v="8196449"/>
    <x v="6"/>
    <s v="Decharge"/>
    <x v="3"/>
    <x v="2"/>
    <s v="CONGO"/>
    <s v="RALFF-CO4322"/>
    <s v="1.3.2"/>
    <m/>
  </r>
  <r>
    <d v="2023-03-04T00:00:00"/>
    <s v="Recu caisse/D58"/>
    <x v="2"/>
    <m/>
    <n v="99000"/>
    <m/>
    <n v="8295449"/>
    <x v="3"/>
    <m/>
    <x v="0"/>
    <x v="0"/>
    <m/>
    <m/>
    <m/>
    <m/>
  </r>
  <r>
    <d v="2023-03-05T00:00:00"/>
    <s v="CREPIN IBOUILI - CONGO  Frais d'hotel 03 Nuitées du 02 au 05/03/2023 à Dolisie"/>
    <x v="5"/>
    <s v="Management"/>
    <m/>
    <n v="45000"/>
    <n v="8250449"/>
    <x v="2"/>
    <s v="Oui"/>
    <x v="1"/>
    <x v="2"/>
    <s v="CONGO"/>
    <s v="RALFF-CO4323"/>
    <s v="1.3.2"/>
    <m/>
  </r>
  <r>
    <d v="2023-03-05T00:00:00"/>
    <s v="Billet: Dolisie-Pointe-Noire/Crépin"/>
    <x v="4"/>
    <s v="Management"/>
    <m/>
    <n v="5000"/>
    <n v="8245449"/>
    <x v="2"/>
    <s v="Oui"/>
    <x v="1"/>
    <x v="2"/>
    <s v="CONGO"/>
    <s v="RALFF-CO4324"/>
    <s v="2.2"/>
    <m/>
  </r>
  <r>
    <d v="2023-03-05T00:00:00"/>
    <s v="P29 - CONGO Frais d'hotel 2 nuitées du 03 au 05/03/2023  à Dolisie"/>
    <x v="5"/>
    <s v="Investigation"/>
    <m/>
    <n v="30000"/>
    <n v="8215449"/>
    <x v="6"/>
    <s v="Oui"/>
    <x v="3"/>
    <x v="2"/>
    <s v="CONGO"/>
    <s v="RALFF-CO4325"/>
    <s v="1.3.2"/>
    <m/>
  </r>
  <r>
    <d v="2023-03-05T00:00:00"/>
    <s v="Achat billet dolisie-nianga/P29"/>
    <x v="4"/>
    <s v="Investigation"/>
    <m/>
    <n v="10000"/>
    <n v="8205449"/>
    <x v="6"/>
    <s v="Oui"/>
    <x v="3"/>
    <x v="2"/>
    <s v="CONGO"/>
    <s v="RALFF-CO4326"/>
    <s v="2.2"/>
    <m/>
  </r>
  <r>
    <d v="2023-03-06T00:00:00"/>
    <s v="Crepin"/>
    <x v="2"/>
    <m/>
    <m/>
    <n v="112000"/>
    <n v="8093449"/>
    <x v="1"/>
    <m/>
    <x v="0"/>
    <x v="0"/>
    <m/>
    <m/>
    <m/>
    <m/>
  </r>
  <r>
    <d v="2023-03-06T00:00:00"/>
    <s v="Hurielle"/>
    <x v="2"/>
    <m/>
    <m/>
    <n v="91000"/>
    <n v="8002449"/>
    <x v="1"/>
    <m/>
    <x v="0"/>
    <x v="0"/>
    <m/>
    <m/>
    <m/>
    <m/>
  </r>
  <r>
    <d v="2023-03-06T00:00:00"/>
    <s v="Frais de transfert charden farell à Crepin et Hurielle"/>
    <x v="7"/>
    <s v="Office"/>
    <m/>
    <n v="6900"/>
    <n v="7995549"/>
    <x v="1"/>
    <s v="Oui"/>
    <x v="2"/>
    <x v="2"/>
    <s v="CONGO"/>
    <s v="RALFF-CO4327"/>
    <s v="5.6"/>
    <m/>
  </r>
  <r>
    <d v="2023-03-06T00:00:00"/>
    <s v="Reglement facture E²C electricité/ période Janvier - Février 2023/bureau PALF"/>
    <x v="10"/>
    <s v="Office"/>
    <m/>
    <n v="54532"/>
    <n v="7941017"/>
    <x v="1"/>
    <s v="Oui"/>
    <x v="2"/>
    <x v="2"/>
    <s v="CONGO"/>
    <s v="RALFF-CO4328"/>
    <s v="4.4"/>
    <m/>
  </r>
  <r>
    <d v="2023-03-06T00:00:00"/>
    <s v="Taxe/Reglement facture E²C electricité/ période Janvier - Février 2023/bureau PALF"/>
    <x v="10"/>
    <s v="Office"/>
    <m/>
    <n v="11355"/>
    <n v="7929662"/>
    <x v="1"/>
    <s v="Oui"/>
    <x v="1"/>
    <x v="1"/>
    <s v="CONGO"/>
    <m/>
    <m/>
    <m/>
  </r>
  <r>
    <d v="2023-03-06T00:00:00"/>
    <s v="P29"/>
    <x v="2"/>
    <m/>
    <m/>
    <n v="166000"/>
    <n v="7763662"/>
    <x v="1"/>
    <m/>
    <x v="0"/>
    <x v="0"/>
    <m/>
    <m/>
    <m/>
    <m/>
  </r>
  <r>
    <d v="2023-03-06T00:00:00"/>
    <s v="Frais de transfert maouené à P29"/>
    <x v="7"/>
    <s v="Office"/>
    <m/>
    <n v="4150"/>
    <n v="7759512"/>
    <x v="1"/>
    <s v="Oui"/>
    <x v="2"/>
    <x v="2"/>
    <s v="CONGO"/>
    <s v="RALFF-CO4329"/>
    <s v="5.6"/>
    <m/>
  </r>
  <r>
    <d v="2023-03-06T00:00:00"/>
    <s v="Frais bancaire:Cmpt 34"/>
    <x v="6"/>
    <s v="Office"/>
    <m/>
    <n v="23345"/>
    <n v="7736167"/>
    <x v="7"/>
    <s v="Relevé"/>
    <x v="3"/>
    <x v="1"/>
    <s v="CONGO"/>
    <m/>
    <m/>
    <m/>
  </r>
  <r>
    <d v="2023-03-06T00:00:00"/>
    <s v="Reglement Facture Gardiennage Mois de Février 2023/3654539"/>
    <x v="11"/>
    <s v="Office"/>
    <m/>
    <n v="260000"/>
    <n v="7476167"/>
    <x v="7"/>
    <n v="3654539"/>
    <x v="3"/>
    <x v="1"/>
    <s v="CONGO"/>
    <m/>
    <m/>
    <m/>
  </r>
  <r>
    <d v="2023-03-06T00:00:00"/>
    <s v="Paiement Honoraire Me LOCKO/Mois de Février 2023/3654540"/>
    <x v="3"/>
    <s v="Legal"/>
    <m/>
    <n v="150000"/>
    <n v="7326167"/>
    <x v="7"/>
    <n v="3654540"/>
    <x v="3"/>
    <x v="1"/>
    <s v="CONGO"/>
    <m/>
    <m/>
    <m/>
  </r>
  <r>
    <d v="2023-03-06T00:00:00"/>
    <s v="CREPIN IBOUILI - CONGO  Frais d'hotel 01 Nuitée du 05 au 06/03/2023 à Pointe-Noire"/>
    <x v="5"/>
    <s v="Management"/>
    <m/>
    <n v="15000"/>
    <n v="7311167"/>
    <x v="2"/>
    <s v="Oui"/>
    <x v="1"/>
    <x v="2"/>
    <s v="CONGO"/>
    <s v="RALFF-CO4330"/>
    <s v="1.3.2"/>
    <m/>
  </r>
  <r>
    <d v="2023-03-06T00:00:00"/>
    <s v="Billet: Pointe-Noie-Dolisie/Crépin"/>
    <x v="4"/>
    <s v="Management"/>
    <m/>
    <n v="5000"/>
    <n v="7306167"/>
    <x v="2"/>
    <s v="Oui"/>
    <x v="1"/>
    <x v="2"/>
    <s v="CONGO"/>
    <s v="RALFF-CO4331"/>
    <s v="2.2"/>
    <m/>
  </r>
  <r>
    <d v="2023-03-06T00:00:00"/>
    <s v="Reçu de caisse via Hurielle/Crépin"/>
    <x v="2"/>
    <m/>
    <n v="112000"/>
    <m/>
    <n v="7418167"/>
    <x v="2"/>
    <m/>
    <x v="0"/>
    <x v="0"/>
    <m/>
    <m/>
    <m/>
    <m/>
  </r>
  <r>
    <d v="2023-03-06T00:00:00"/>
    <s v="Recu caisse/Hurielle"/>
    <x v="2"/>
    <m/>
    <n v="91000"/>
    <m/>
    <n v="7509167"/>
    <x v="8"/>
    <m/>
    <x v="0"/>
    <x v="0"/>
    <m/>
    <m/>
    <m/>
    <m/>
  </r>
  <r>
    <d v="2023-03-06T00:00:00"/>
    <s v="Achat billet aller Brazzaville-Dolisie/Hurielle"/>
    <x v="4"/>
    <s v="Legal"/>
    <m/>
    <n v="10000"/>
    <n v="7499167"/>
    <x v="8"/>
    <s v="Oui"/>
    <x v="1"/>
    <x v="2"/>
    <s v="CONGO"/>
    <s v="RALFF-CO4332"/>
    <s v="2.2"/>
    <m/>
  </r>
  <r>
    <d v="2023-03-06T00:00:00"/>
    <s v="HURIELLE MFOULOU - CONGO FoodAllowance 02 Nuitées du 06 au 08/03/2023 à Dolisie"/>
    <x v="5"/>
    <s v="Legal"/>
    <m/>
    <n v="20000"/>
    <n v="7479167"/>
    <x v="8"/>
    <s v="Decharge"/>
    <x v="1"/>
    <x v="2"/>
    <s v="CONGO"/>
    <s v="RALFF-CO4333"/>
    <s v="1.3.2"/>
    <m/>
  </r>
  <r>
    <d v="2023-03-06T00:00:00"/>
    <s v="Achat billet Brazzaville - Pointe-Noire/T73"/>
    <x v="4"/>
    <s v="Investigation"/>
    <m/>
    <n v="15000"/>
    <n v="7464167"/>
    <x v="5"/>
    <s v="Oui"/>
    <x v="3"/>
    <x v="1"/>
    <s v="CONGO"/>
    <m/>
    <m/>
    <m/>
  </r>
  <r>
    <d v="2023-03-06T00:00:00"/>
    <s v="T73 - CONGO Food Allowance du 06 au 18/03/2023 (12 nuitées)"/>
    <x v="5"/>
    <s v="Investigation"/>
    <m/>
    <n v="120000"/>
    <n v="7344167"/>
    <x v="5"/>
    <s v="Decharge"/>
    <x v="3"/>
    <x v="1"/>
    <s v="CONGO"/>
    <m/>
    <m/>
    <m/>
  </r>
  <r>
    <d v="2023-03-06T00:00:00"/>
    <s v="Recu de caisse/P29"/>
    <x v="2"/>
    <m/>
    <n v="166000"/>
    <m/>
    <n v="7510167"/>
    <x v="6"/>
    <m/>
    <x v="0"/>
    <x v="0"/>
    <m/>
    <m/>
    <m/>
    <m/>
  </r>
  <r>
    <d v="2023-03-07T00:00:00"/>
    <s v="Achat 12 Pagnes pour la celebration de la journée international de la femme"/>
    <x v="9"/>
    <s v="Team Building"/>
    <m/>
    <n v="57000"/>
    <n v="7453167"/>
    <x v="1"/>
    <s v="Oui"/>
    <x v="1"/>
    <x v="1"/>
    <s v="CONGO"/>
    <m/>
    <m/>
    <m/>
  </r>
  <r>
    <d v="2023-03-07T00:00:00"/>
    <s v="Donald-Roméo"/>
    <x v="2"/>
    <m/>
    <m/>
    <n v="50000"/>
    <n v="7403167"/>
    <x v="1"/>
    <m/>
    <x v="0"/>
    <x v="0"/>
    <m/>
    <m/>
    <m/>
    <m/>
  </r>
  <r>
    <d v="2023-03-07T00:00:00"/>
    <s v="Reçu caisse/Donald"/>
    <x v="2"/>
    <m/>
    <n v="50000"/>
    <m/>
    <n v="7453167"/>
    <x v="9"/>
    <m/>
    <x v="0"/>
    <x v="0"/>
    <m/>
    <m/>
    <m/>
    <m/>
  </r>
  <r>
    <d v="2023-03-07T00:00:00"/>
    <s v="D58 - CONGO Frais d'Hotel du 01 Au 07/03/2023 à Pointe Noire (06 nuitées)"/>
    <x v="5"/>
    <s v="Investigation"/>
    <m/>
    <n v="90000"/>
    <n v="7363167"/>
    <x v="3"/>
    <s v="Oui"/>
    <x v="1"/>
    <x v="1"/>
    <s v="CONGO"/>
    <m/>
    <m/>
    <m/>
  </r>
  <r>
    <d v="2023-03-07T00:00:00"/>
    <s v="Achat billet Pointe Noire - Brazzaville//D58"/>
    <x v="4"/>
    <s v="Investigation"/>
    <m/>
    <n v="15000"/>
    <n v="7348167"/>
    <x v="3"/>
    <s v="Oui"/>
    <x v="1"/>
    <x v="1"/>
    <s v="CONGO"/>
    <m/>
    <m/>
    <m/>
  </r>
  <r>
    <d v="2023-03-07T00:00:00"/>
    <s v="P29 - CONGO Frais d'hotel 2 nuitées du 05 au 07/03/2023  à Nianga"/>
    <x v="5"/>
    <s v="Investigation"/>
    <m/>
    <n v="20000"/>
    <n v="7328167"/>
    <x v="6"/>
    <s v="Oui"/>
    <x v="3"/>
    <x v="2"/>
    <s v="CONGO"/>
    <s v="RALFF-CO4334"/>
    <s v="1.3.2"/>
    <m/>
  </r>
  <r>
    <d v="2023-03-07T00:00:00"/>
    <s v="Achat billet nianga-divinié/P29"/>
    <x v="4"/>
    <s v="Investigation"/>
    <m/>
    <n v="3000"/>
    <n v="7325167"/>
    <x v="6"/>
    <s v="Oui"/>
    <x v="3"/>
    <x v="2"/>
    <s v="CONGO"/>
    <s v="RALFF-CO4335"/>
    <s v="2.2"/>
    <m/>
  </r>
  <r>
    <d v="2023-03-08T00:00:00"/>
    <s v="Achat du billet de retour Dolisie-Brazzaville/Hurielle"/>
    <x v="4"/>
    <s v="Legal"/>
    <m/>
    <n v="10000"/>
    <n v="7315167"/>
    <x v="8"/>
    <s v="Oui"/>
    <x v="1"/>
    <x v="2"/>
    <s v="CONGO"/>
    <s v="RALFF-CO4336"/>
    <s v="2.2"/>
    <m/>
  </r>
  <r>
    <d v="2023-03-08T00:00:00"/>
    <s v="T73"/>
    <x v="2"/>
    <m/>
    <m/>
    <n v="227000"/>
    <n v="7088167"/>
    <x v="1"/>
    <m/>
    <x v="0"/>
    <x v="0"/>
    <m/>
    <m/>
    <m/>
    <m/>
  </r>
  <r>
    <d v="2023-03-08T00:00:00"/>
    <s v="Frais de transfert charden farell à T73"/>
    <x v="7"/>
    <s v="Office"/>
    <m/>
    <n v="6810"/>
    <n v="7081357"/>
    <x v="1"/>
    <s v="Oui"/>
    <x v="1"/>
    <x v="1"/>
    <s v="CONGO"/>
    <m/>
    <m/>
    <m/>
  </r>
  <r>
    <d v="2023-03-08T00:00:00"/>
    <s v="Donald-Roméo"/>
    <x v="2"/>
    <m/>
    <m/>
    <n v="60000"/>
    <n v="7021357"/>
    <x v="1"/>
    <m/>
    <x v="0"/>
    <x v="0"/>
    <m/>
    <m/>
    <m/>
    <m/>
  </r>
  <r>
    <d v="2023-03-08T00:00:00"/>
    <s v="Frais de mission maitre Marie Hélène à Sibiti du 09 au 11 Mars 2023"/>
    <x v="3"/>
    <s v="Legal"/>
    <m/>
    <n v="73000"/>
    <n v="6948357"/>
    <x v="1"/>
    <s v="Oui"/>
    <x v="2"/>
    <x v="2"/>
    <s v="CONGO"/>
    <s v="RALFF-CO4337"/>
    <s v="5.2.2"/>
    <m/>
  </r>
  <r>
    <d v="2023-03-08T00:00:00"/>
    <s v="Merveille"/>
    <x v="2"/>
    <m/>
    <m/>
    <n v="15000"/>
    <n v="6933357"/>
    <x v="1"/>
    <m/>
    <x v="0"/>
    <x v="0"/>
    <m/>
    <m/>
    <m/>
    <m/>
  </r>
  <r>
    <d v="2023-03-08T00:00:00"/>
    <s v="Bonus Media portant sur diffusion à la téléCongo"/>
    <x v="1"/>
    <s v="Media"/>
    <m/>
    <n v="150000"/>
    <n v="6783357"/>
    <x v="1"/>
    <s v="Decharge"/>
    <x v="1"/>
    <x v="1"/>
    <s v="CONGO"/>
    <m/>
    <m/>
    <m/>
  </r>
  <r>
    <d v="2023-03-08T00:00:00"/>
    <s v="Bonus media portant sur les audiences du 06 et 10 Mars 2023 au TGI de Brazzaville"/>
    <x v="1"/>
    <s v="Media"/>
    <m/>
    <n v="35000"/>
    <n v="6748357"/>
    <x v="1"/>
    <s v="Decharge"/>
    <x v="1"/>
    <x v="1"/>
    <s v="CONGO"/>
    <m/>
    <m/>
    <m/>
  </r>
  <r>
    <d v="2023-03-08T00:00:00"/>
    <s v="Reçu caisse"/>
    <x v="2"/>
    <m/>
    <n v="15000"/>
    <m/>
    <n v="6763357"/>
    <x v="10"/>
    <m/>
    <x v="0"/>
    <x v="0"/>
    <m/>
    <m/>
    <m/>
    <m/>
  </r>
  <r>
    <d v="2023-03-08T00:00:00"/>
    <s v="HURIELLE MFOULOU - CONGO Frais d'Hôtel du 06 au 08/03/2023 à Dolisie_ 02 Nuitées"/>
    <x v="5"/>
    <s v="Legal"/>
    <m/>
    <n v="30000"/>
    <n v="6733357"/>
    <x v="8"/>
    <s v="Oui"/>
    <x v="1"/>
    <x v="2"/>
    <s v="CONGO"/>
    <s v="RALFF-CO4338"/>
    <s v="1.3.2"/>
    <m/>
  </r>
  <r>
    <d v="2023-03-08T00:00:00"/>
    <s v="Frais d'expedition, cas MPEMBELE et LAMINE"/>
    <x v="12"/>
    <s v="Legal"/>
    <m/>
    <n v="20000"/>
    <n v="6713357"/>
    <x v="9"/>
    <s v="Oui"/>
    <x v="1"/>
    <x v="1"/>
    <s v="CONGO"/>
    <m/>
    <m/>
    <m/>
  </r>
  <r>
    <d v="2023-03-08T00:00:00"/>
    <s v="Reçu caisse/Donald"/>
    <x v="2"/>
    <m/>
    <n v="60000"/>
    <m/>
    <n v="6773357"/>
    <x v="9"/>
    <m/>
    <x v="0"/>
    <x v="0"/>
    <m/>
    <m/>
    <m/>
    <m/>
  </r>
  <r>
    <d v="2023-03-08T00:00:00"/>
    <s v="Reçu caisse/T73"/>
    <x v="2"/>
    <m/>
    <n v="227000"/>
    <m/>
    <n v="7000357"/>
    <x v="5"/>
    <m/>
    <x v="0"/>
    <x v="0"/>
    <m/>
    <m/>
    <m/>
    <m/>
  </r>
  <r>
    <d v="2023-03-08T00:00:00"/>
    <s v="T73 - CONGO Frais d'Hotel du 06 au 08/03/2023 (02 nuitées) à Pointe Noire"/>
    <x v="5"/>
    <s v="Investigation"/>
    <m/>
    <n v="30000"/>
    <n v="6970357"/>
    <x v="5"/>
    <s v="Oui"/>
    <x v="3"/>
    <x v="1"/>
    <s v="CONGO"/>
    <m/>
    <m/>
    <m/>
  </r>
  <r>
    <d v="2023-03-08T00:00:00"/>
    <s v="Achat billet: pointe noire - madingo kayes (prospection)"/>
    <x v="4"/>
    <s v="Investigation"/>
    <m/>
    <n v="2000"/>
    <n v="6968357"/>
    <x v="5"/>
    <s v="Oui"/>
    <x v="3"/>
    <x v="1"/>
    <s v="CONGO"/>
    <m/>
    <m/>
    <m/>
  </r>
  <r>
    <d v="2023-03-09T00:00:00"/>
    <s v="Achat billet Brazzaville-Loudima/Donald"/>
    <x v="4"/>
    <s v="Legal"/>
    <m/>
    <n v="10000"/>
    <n v="6958357"/>
    <x v="9"/>
    <s v="Oui"/>
    <x v="1"/>
    <x v="2"/>
    <s v="CONGO"/>
    <s v="RALFF-CO4339"/>
    <s v="2.2"/>
    <m/>
  </r>
  <r>
    <d v="2023-03-09T00:00:00"/>
    <s v="Achat billet Loudima-Sibiti/Donald"/>
    <x v="4"/>
    <s v="Legal"/>
    <m/>
    <n v="4500"/>
    <n v="6953857"/>
    <x v="9"/>
    <s v="Oui"/>
    <x v="1"/>
    <x v="2"/>
    <s v="CONGO"/>
    <s v="RALFF-CO4340"/>
    <s v="2.2"/>
    <m/>
  </r>
  <r>
    <d v="2023-03-09T00:00:00"/>
    <s v="DONALD-CONGO Food Allowance Mission du 09 au 11/03/2023 _02 Nuitées "/>
    <x v="5"/>
    <s v="Legal"/>
    <m/>
    <n v="20000"/>
    <n v="6933857"/>
    <x v="9"/>
    <s v="Decharge"/>
    <x v="1"/>
    <x v="2"/>
    <s v="CONGO"/>
    <s v="RALFF-CO4341"/>
    <s v="1.3.2"/>
    <m/>
  </r>
  <r>
    <d v="2023-03-10T00:00:00"/>
    <s v="Crepin"/>
    <x v="2"/>
    <m/>
    <m/>
    <n v="462000"/>
    <n v="6471857"/>
    <x v="1"/>
    <m/>
    <x v="0"/>
    <x v="0"/>
    <m/>
    <m/>
    <m/>
    <m/>
  </r>
  <r>
    <d v="2023-03-10T00:00:00"/>
    <s v="Frais de transfert charden farell à Crépin"/>
    <x v="7"/>
    <s v="Office"/>
    <m/>
    <n v="13860"/>
    <n v="6457997"/>
    <x v="1"/>
    <s v="Oui"/>
    <x v="2"/>
    <x v="2"/>
    <s v="CONGO"/>
    <s v="RALFF-CO4342"/>
    <s v="5.6"/>
    <m/>
  </r>
  <r>
    <d v="2023-03-10T00:00:00"/>
    <s v="D58"/>
    <x v="2"/>
    <m/>
    <m/>
    <n v="20000"/>
    <n v="6437997"/>
    <x v="1"/>
    <m/>
    <x v="0"/>
    <x v="0"/>
    <m/>
    <m/>
    <m/>
    <m/>
  </r>
  <r>
    <d v="2023-03-10T00:00:00"/>
    <s v="D58"/>
    <x v="2"/>
    <m/>
    <m/>
    <n v="113000"/>
    <n v="6324997"/>
    <x v="1"/>
    <m/>
    <x v="0"/>
    <x v="0"/>
    <m/>
    <m/>
    <m/>
    <m/>
  </r>
  <r>
    <d v="2023-03-10T00:00:00"/>
    <s v="Reçu de caisse/Crépin"/>
    <x v="2"/>
    <m/>
    <n v="462000"/>
    <m/>
    <n v="6786997"/>
    <x v="2"/>
    <m/>
    <x v="0"/>
    <x v="0"/>
    <m/>
    <m/>
    <m/>
    <m/>
  </r>
  <r>
    <d v="2023-03-10T00:00:00"/>
    <s v="Cumul Frais de Jail Visit mois de Mars 2023/Donald"/>
    <x v="13"/>
    <s v="Legal"/>
    <m/>
    <n v="3000"/>
    <n v="6783997"/>
    <x v="9"/>
    <s v="Decharge"/>
    <x v="1"/>
    <x v="1"/>
    <s v="CONGO"/>
    <m/>
    <m/>
    <m/>
  </r>
  <r>
    <d v="2023-03-10T00:00:00"/>
    <s v="Recu caisse/D58"/>
    <x v="2"/>
    <m/>
    <n v="20000"/>
    <m/>
    <n v="6803997"/>
    <x v="3"/>
    <m/>
    <x v="0"/>
    <x v="0"/>
    <m/>
    <m/>
    <m/>
    <m/>
  </r>
  <r>
    <d v="2023-03-10T00:00:00"/>
    <s v="Recu caisse/D58"/>
    <x v="2"/>
    <m/>
    <n v="113000"/>
    <m/>
    <n v="6916997"/>
    <x v="3"/>
    <m/>
    <x v="0"/>
    <x v="0"/>
    <m/>
    <m/>
    <m/>
    <m/>
  </r>
  <r>
    <d v="2023-03-10T00:00:00"/>
    <s v="Achat billet: madingo kayes - pointe noire /T73"/>
    <x v="4"/>
    <s v="Investigation"/>
    <m/>
    <n v="2000"/>
    <n v="6914997"/>
    <x v="5"/>
    <s v="Oui"/>
    <x v="3"/>
    <x v="1"/>
    <s v="CONGO"/>
    <m/>
    <m/>
    <m/>
  </r>
  <r>
    <d v="2023-03-11T00:00:00"/>
    <s v="Billet: Dolisie-Loudima/Crépin"/>
    <x v="4"/>
    <s v="Management"/>
    <m/>
    <n v="2000"/>
    <n v="6912997"/>
    <x v="2"/>
    <s v="Oui"/>
    <x v="1"/>
    <x v="2"/>
    <s v="CONGO"/>
    <s v="RALFF-CO4343"/>
    <s v="2.2"/>
    <m/>
  </r>
  <r>
    <d v="2023-03-11T00:00:00"/>
    <s v="Billet: Loudima-Dolisie/Crépin"/>
    <x v="4"/>
    <s v="Management"/>
    <m/>
    <n v="2000"/>
    <n v="6910997"/>
    <x v="2"/>
    <s v="Oui"/>
    <x v="1"/>
    <x v="2"/>
    <s v="CONGO"/>
    <s v="RALFF-CO4344"/>
    <s v="2.2"/>
    <m/>
  </r>
  <r>
    <d v="2023-03-11T00:00:00"/>
    <s v="Frais de réparation de deux roues de la BJ"/>
    <x v="4"/>
    <s v="Operation"/>
    <m/>
    <n v="5000"/>
    <n v="6905997"/>
    <x v="2"/>
    <s v="Oui"/>
    <x v="1"/>
    <x v="1"/>
    <s v="CONGO"/>
    <m/>
    <m/>
    <m/>
  </r>
  <r>
    <d v="2023-03-11T00:00:00"/>
    <s v="Achat des raffraîchissements pour la mission de Nyanga"/>
    <x v="5"/>
    <s v="Operation"/>
    <m/>
    <n v="14000"/>
    <n v="6891997"/>
    <x v="2"/>
    <s v="Oui"/>
    <x v="1"/>
    <x v="1"/>
    <s v="CONGO"/>
    <m/>
    <m/>
    <m/>
  </r>
  <r>
    <d v="2023-03-11T00:00:00"/>
    <s v="Achat caburant bj gendarmerie pour la mission de Dolisie à Nyanga"/>
    <x v="4"/>
    <s v="Operation"/>
    <m/>
    <n v="150000"/>
    <n v="6741997"/>
    <x v="2"/>
    <s v="Oui"/>
    <x v="1"/>
    <x v="1"/>
    <s v="CONGO"/>
    <m/>
    <m/>
    <m/>
  </r>
  <r>
    <d v="2023-03-11T00:00:00"/>
    <s v="DONALD-CONGO Frais d'hôtel/ 02 Nuitées du 09 au 11/03/2023 _Sibiti"/>
    <x v="5"/>
    <s v="Legal"/>
    <m/>
    <n v="20000"/>
    <n v="6721997"/>
    <x v="9"/>
    <s v="Oui"/>
    <x v="1"/>
    <x v="2"/>
    <s v="CONGO"/>
    <s v="RALFF-CO4345"/>
    <s v="1.3.2"/>
    <m/>
  </r>
  <r>
    <d v="2023-03-11T00:00:00"/>
    <s v="Achat Sibiti- Loudima/Donald"/>
    <x v="4"/>
    <s v="Legal"/>
    <m/>
    <n v="4500"/>
    <n v="6717497"/>
    <x v="9"/>
    <s v="Oui"/>
    <x v="1"/>
    <x v="2"/>
    <s v="CONGO"/>
    <s v="RALFF-CO4346"/>
    <s v="2.2"/>
    <m/>
  </r>
  <r>
    <d v="2023-03-11T00:00:00"/>
    <s v="Achat Loudima-Brazzaville/Donald"/>
    <x v="4"/>
    <s v="Legal"/>
    <m/>
    <n v="10000"/>
    <n v="6707497"/>
    <x v="9"/>
    <s v="Oui"/>
    <x v="1"/>
    <x v="2"/>
    <s v="CONGO"/>
    <s v="RALFF-CO4347"/>
    <s v="2.2"/>
    <m/>
  </r>
  <r>
    <d v="2023-03-11T00:00:00"/>
    <s v="Achat billet: Pointe Noire - Hinda (prospection)/T73"/>
    <x v="4"/>
    <s v="Investigation"/>
    <m/>
    <n v="1500"/>
    <n v="6705997"/>
    <x v="5"/>
    <s v="Oui"/>
    <x v="1"/>
    <x v="1"/>
    <s v="CONGO"/>
    <m/>
    <m/>
    <m/>
  </r>
  <r>
    <d v="2023-03-11T00:00:00"/>
    <s v="Achat billet: Hinda - Pointe Noire/T73"/>
    <x v="4"/>
    <s v="Investigation"/>
    <m/>
    <n v="1500"/>
    <n v="6704497"/>
    <x v="5"/>
    <s v="Oui"/>
    <x v="1"/>
    <x v="1"/>
    <s v="CONGO"/>
    <m/>
    <m/>
    <m/>
  </r>
  <r>
    <d v="2023-03-11T00:00:00"/>
    <s v="P29 - CONGO Frais d'hotel 4 nuitées du 07 au 11/03/2023  à Divinié"/>
    <x v="5"/>
    <s v="Investigation"/>
    <m/>
    <n v="40000"/>
    <n v="6664497"/>
    <x v="6"/>
    <s v="Oui"/>
    <x v="3"/>
    <x v="2"/>
    <s v="CONGO"/>
    <s v="RALFF-CO4348"/>
    <s v="1.3.2"/>
    <m/>
  </r>
  <r>
    <d v="2023-03-12T00:00:00"/>
    <s v="Ration alimentaire de 10 gendarmes pendant la mission de Nyanga"/>
    <x v="5"/>
    <s v="Operation"/>
    <m/>
    <n v="39000"/>
    <n v="6625497"/>
    <x v="2"/>
    <s v="Oui"/>
    <x v="1"/>
    <x v="1"/>
    <s v="CONGO"/>
    <m/>
    <m/>
    <m/>
  </r>
  <r>
    <d v="2023-03-12T00:00:00"/>
    <s v="D58 - CONGO Food allowance du 12 au 18/03/2023 (06 nuitées)"/>
    <x v="5"/>
    <s v="Investigation"/>
    <m/>
    <n v="60000"/>
    <n v="6565497"/>
    <x v="3"/>
    <s v="Decharge"/>
    <x v="1"/>
    <x v="1"/>
    <s v="CONGO"/>
    <m/>
    <m/>
    <m/>
  </r>
  <r>
    <d v="2023-03-12T00:00:00"/>
    <s v="Achat billet pour Brazzaville - pointe noire/D58"/>
    <x v="4"/>
    <s v="Investigation"/>
    <m/>
    <n v="15000"/>
    <n v="6550497"/>
    <x v="3"/>
    <s v="Decharge"/>
    <x v="1"/>
    <x v="1"/>
    <s v="CONGO"/>
    <m/>
    <m/>
    <m/>
  </r>
  <r>
    <d v="2023-03-12T00:00:00"/>
    <s v="T73 - CONGO Frais d'Hotel du 10 au 12/03/2023 (02 nuitées) à pointe noire"/>
    <x v="5"/>
    <s v="Investigation"/>
    <m/>
    <n v="30000"/>
    <n v="6520497"/>
    <x v="5"/>
    <s v="Oui"/>
    <x v="1"/>
    <x v="1"/>
    <s v="CONGO"/>
    <m/>
    <m/>
    <m/>
  </r>
  <r>
    <d v="2023-03-12T00:00:00"/>
    <s v="Achat billet: Pointe Noire - Dolisie/T73"/>
    <x v="4"/>
    <s v="Investigation"/>
    <m/>
    <n v="5000"/>
    <n v="6515497"/>
    <x v="5"/>
    <s v="Oui"/>
    <x v="3"/>
    <x v="1"/>
    <s v="CONGO"/>
    <m/>
    <m/>
    <m/>
  </r>
  <r>
    <d v="2023-03-12T00:00:00"/>
    <s v="P29 - CONGO Frais d'hotel 1 nuitée du 11 au 12/03/2023  à Nianga"/>
    <x v="5"/>
    <s v="Investigation"/>
    <m/>
    <n v="10000"/>
    <n v="6505497"/>
    <x v="6"/>
    <s v="Oui"/>
    <x v="1"/>
    <x v="2"/>
    <s v="CONGO"/>
    <s v="RALFF-CO4350"/>
    <s v="1.3.2"/>
    <m/>
  </r>
  <r>
    <d v="2023-03-12T00:00:00"/>
    <s v="Achat billet kinbangou-dolisie/P29"/>
    <x v="4"/>
    <s v="Investigation"/>
    <m/>
    <n v="10000"/>
    <n v="6495497"/>
    <x v="6"/>
    <s v="Oui"/>
    <x v="1"/>
    <x v="2"/>
    <s v="CONGO"/>
    <s v="RALFF-CO4351"/>
    <s v="2.2"/>
    <m/>
  </r>
  <r>
    <d v="2023-03-13T00:00:00"/>
    <s v="BCI-3654541-34"/>
    <x v="2"/>
    <m/>
    <n v="2000000"/>
    <m/>
    <n v="8495497"/>
    <x v="1"/>
    <m/>
    <x v="0"/>
    <x v="0"/>
    <m/>
    <m/>
    <m/>
    <m/>
  </r>
  <r>
    <d v="2023-03-13T00:00:00"/>
    <s v="Bonus média portant sur la condamnation ferme de 2 trafiquants d'ivoire le O6 Mars au TGI de Brazzaville"/>
    <x v="1"/>
    <s v="Media"/>
    <m/>
    <n v="47000"/>
    <n v="8448497"/>
    <x v="1"/>
    <s v="Decharge"/>
    <x v="1"/>
    <x v="1"/>
    <s v="CONGO"/>
    <m/>
    <m/>
    <m/>
  </r>
  <r>
    <d v="2023-03-13T00:00:00"/>
    <s v="Evariste"/>
    <x v="2"/>
    <m/>
    <m/>
    <n v="79000"/>
    <n v="8369497"/>
    <x v="1"/>
    <m/>
    <x v="0"/>
    <x v="0"/>
    <m/>
    <m/>
    <m/>
    <m/>
  </r>
  <r>
    <d v="2023-03-13T00:00:00"/>
    <s v="Retrait especes/appro caisse/bord n°3654541"/>
    <x v="2"/>
    <m/>
    <m/>
    <n v="2000000"/>
    <n v="6369497"/>
    <x v="7"/>
    <n v="3654541"/>
    <x v="0"/>
    <x v="0"/>
    <m/>
    <m/>
    <m/>
    <m/>
  </r>
  <r>
    <d v="2023-03-13T00:00:00"/>
    <s v="Bonus de 10 gendarmes pour la mission de Nyanga"/>
    <x v="1"/>
    <s v="Operation"/>
    <m/>
    <n v="100000"/>
    <n v="6269497"/>
    <x v="2"/>
    <s v="Oui"/>
    <x v="1"/>
    <x v="1"/>
    <s v="CONGO"/>
    <m/>
    <m/>
    <m/>
  </r>
  <r>
    <d v="2023-03-13T00:00:00"/>
    <s v="CREPIN IBOUILI - CONGO  Frais d'hotel 07 Nuitées à Dolisie du 06 au 13/03/2023"/>
    <x v="5"/>
    <s v="Management"/>
    <m/>
    <n v="105000"/>
    <n v="6164497"/>
    <x v="2"/>
    <s v="Oui"/>
    <x v="1"/>
    <x v="2"/>
    <s v="CONGO"/>
    <s v="RALFF-CO4352"/>
    <s v="1.3.2"/>
    <m/>
  </r>
  <r>
    <d v="2023-03-13T00:00:00"/>
    <s v="Billet: Dolisie-Pointe-Noire/Crépin"/>
    <x v="4"/>
    <s v="Management"/>
    <m/>
    <n v="5000"/>
    <n v="6159497"/>
    <x v="2"/>
    <s v="Oui"/>
    <x v="1"/>
    <x v="2"/>
    <s v="CONGO"/>
    <s v="RALFF-CO4353"/>
    <s v="2.2"/>
    <m/>
  </r>
  <r>
    <d v="2023-03-13T00:00:00"/>
    <s v="Reçu de la caisse/Evariste"/>
    <x v="2"/>
    <m/>
    <n v="79000"/>
    <m/>
    <n v="6238497"/>
    <x v="11"/>
    <m/>
    <x v="0"/>
    <x v="0"/>
    <m/>
    <m/>
    <m/>
    <m/>
  </r>
  <r>
    <d v="2023-03-13T00:00:00"/>
    <s v="T73 - CONGO Frais d'Hotel du 12 au 13/03/2023 (01 nuitée) à dolisie"/>
    <x v="5"/>
    <s v="Investigation"/>
    <m/>
    <n v="15000"/>
    <n v="6223497"/>
    <x v="5"/>
    <s v="Oui"/>
    <x v="1"/>
    <x v="1"/>
    <s v="CONGO"/>
    <m/>
    <m/>
    <m/>
  </r>
  <r>
    <d v="2023-03-13T00:00:00"/>
    <s v="Achat billet Dolisie - Mindouli/T73"/>
    <x v="4"/>
    <s v="Investigation"/>
    <m/>
    <n v="8000"/>
    <n v="6215497"/>
    <x v="5"/>
    <s v="Oui"/>
    <x v="1"/>
    <x v="1"/>
    <s v="CONGO"/>
    <m/>
    <m/>
    <m/>
  </r>
  <r>
    <d v="2023-03-13T00:00:00"/>
    <s v="Achat billet dolisie-brazzaville/P29"/>
    <x v="4"/>
    <s v="Investigation"/>
    <m/>
    <n v="10000"/>
    <n v="6205497"/>
    <x v="6"/>
    <s v="Oui"/>
    <x v="1"/>
    <x v="2"/>
    <s v="CONGO"/>
    <s v="RALFF-CO4354"/>
    <s v="2.2"/>
    <m/>
  </r>
  <r>
    <d v="2023-03-13T00:00:00"/>
    <s v="P29 - CONGO Frais d'hotel 1 nuitée du 12 au 13/03/2023  à Dolisie"/>
    <x v="5"/>
    <s v="Investigation"/>
    <m/>
    <n v="15000"/>
    <n v="6190497"/>
    <x v="6"/>
    <s v="Oui"/>
    <x v="1"/>
    <x v="2"/>
    <s v="CONGO"/>
    <s v="RALFF-CO4355"/>
    <s v="1.3.2"/>
    <m/>
  </r>
  <r>
    <d v="2023-03-14T00:00:00"/>
    <s v="Crepin"/>
    <x v="2"/>
    <m/>
    <m/>
    <n v="86000"/>
    <n v="6104497"/>
    <x v="1"/>
    <m/>
    <x v="0"/>
    <x v="0"/>
    <m/>
    <m/>
    <m/>
    <m/>
  </r>
  <r>
    <d v="2023-03-14T00:00:00"/>
    <s v="D58"/>
    <x v="2"/>
    <m/>
    <m/>
    <n v="100000"/>
    <n v="6004497"/>
    <x v="1"/>
    <m/>
    <x v="0"/>
    <x v="0"/>
    <m/>
    <m/>
    <m/>
    <m/>
  </r>
  <r>
    <d v="2023-03-14T00:00:00"/>
    <s v="Frais de transfert charden farell à D58"/>
    <x v="7"/>
    <s v="Office"/>
    <m/>
    <n v="3000"/>
    <n v="6001497"/>
    <x v="1"/>
    <s v="Oui"/>
    <x v="1"/>
    <x v="1"/>
    <s v="CONGO"/>
    <m/>
    <m/>
    <m/>
  </r>
  <r>
    <d v="2023-03-14T00:00:00"/>
    <s v="Frais de transfert charden farell à Crépin"/>
    <x v="7"/>
    <s v="Office"/>
    <m/>
    <n v="2580"/>
    <n v="5998917"/>
    <x v="1"/>
    <s v="Oui"/>
    <x v="2"/>
    <x v="2"/>
    <s v="CONGO"/>
    <s v="RALFF-CO4356"/>
    <s v="5.6"/>
    <m/>
  </r>
  <r>
    <d v="2023-03-14T00:00:00"/>
    <s v="Achat bouilloire et torchons/Bureau PALF"/>
    <x v="8"/>
    <s v="Office"/>
    <m/>
    <n v="9000"/>
    <n v="5989917"/>
    <x v="1"/>
    <s v="Oui"/>
    <x v="1"/>
    <x v="1"/>
    <s v="CONGO"/>
    <m/>
    <m/>
    <m/>
  </r>
  <r>
    <d v="2023-03-14T00:00:00"/>
    <s v="Achat 05 Paquets RAMES et Paquet papier transparent/Bureau PALF"/>
    <x v="8"/>
    <s v="Office"/>
    <m/>
    <n v="90000"/>
    <n v="5899917"/>
    <x v="1"/>
    <s v="Oui"/>
    <x v="2"/>
    <x v="2"/>
    <s v="CONGO"/>
    <s v="RALFF-CO4358"/>
    <s v="4.3"/>
    <m/>
  </r>
  <r>
    <d v="2023-03-14T00:00:00"/>
    <s v="Achat camera GoPro/Bureau PALF"/>
    <x v="14"/>
    <s v="Office"/>
    <m/>
    <n v="210261"/>
    <n v="5689656"/>
    <x v="1"/>
    <s v="Oui"/>
    <x v="2"/>
    <x v="2"/>
    <s v="CONGO"/>
    <s v="RALFF-CO4359"/>
    <s v="3.2"/>
    <m/>
  </r>
  <r>
    <d v="2023-03-14T00:00:00"/>
    <s v="Frais de TVA sur Achat camera GoPro/Bureau PALF"/>
    <x v="14"/>
    <s v="Office"/>
    <m/>
    <n v="39739"/>
    <n v="5649917"/>
    <x v="1"/>
    <s v="Oui"/>
    <x v="1"/>
    <x v="1"/>
    <s v="CONGO"/>
    <m/>
    <m/>
    <m/>
  </r>
  <r>
    <d v="2023-03-14T00:00:00"/>
    <s v="Achat carte mémoire pour camera GoPro/Bureau PALF"/>
    <x v="8"/>
    <s v="Office"/>
    <m/>
    <n v="4062"/>
    <n v="5645855"/>
    <x v="1"/>
    <s v="Oui"/>
    <x v="2"/>
    <x v="2"/>
    <s v="CONGO"/>
    <s v="RALFF-CO4360"/>
    <s v="4.3"/>
    <m/>
  </r>
  <r>
    <d v="2023-03-14T00:00:00"/>
    <s v="Hurielle"/>
    <x v="2"/>
    <m/>
    <m/>
    <n v="94000"/>
    <n v="5551855"/>
    <x v="1"/>
    <m/>
    <x v="0"/>
    <x v="0"/>
    <m/>
    <m/>
    <m/>
    <m/>
  </r>
  <r>
    <d v="2023-03-14T00:00:00"/>
    <s v="Frais de TVA sur Achat carte mémoire pour camera GoPro/Bureau PALF"/>
    <x v="8"/>
    <s v="Office"/>
    <m/>
    <n v="768"/>
    <n v="5551087"/>
    <x v="1"/>
    <s v="Oui"/>
    <x v="1"/>
    <x v="1"/>
    <s v="CONGO"/>
    <m/>
    <m/>
    <m/>
  </r>
  <r>
    <d v="2023-03-14T00:00:00"/>
    <s v="Frais de mission maitre Marie Hélène à Dolisie du 15 au 17 Mars 2023"/>
    <x v="3"/>
    <s v="Legal"/>
    <m/>
    <n v="76000"/>
    <n v="5475087"/>
    <x v="1"/>
    <s v="Oui"/>
    <x v="2"/>
    <x v="2"/>
    <s v="CONGO"/>
    <s v="RALFF-CO4361"/>
    <s v="5.2.2"/>
    <m/>
  </r>
  <r>
    <d v="2023-03-14T00:00:00"/>
    <s v="Reçu de caisse/Crépin"/>
    <x v="2"/>
    <m/>
    <n v="86000"/>
    <m/>
    <n v="5561087"/>
    <x v="2"/>
    <m/>
    <x v="0"/>
    <x v="0"/>
    <m/>
    <m/>
    <m/>
    <m/>
  </r>
  <r>
    <d v="2023-03-14T00:00:00"/>
    <s v="Achat billet Brazzaville-Dolisie/Evariste"/>
    <x v="4"/>
    <s v="Media"/>
    <m/>
    <n v="10000"/>
    <n v="5551087"/>
    <x v="11"/>
    <s v="Oui"/>
    <x v="1"/>
    <x v="2"/>
    <s v="CONGO"/>
    <s v="RALFF-CO4362"/>
    <s v="2.2"/>
    <m/>
  </r>
  <r>
    <d v="2023-03-14T00:00:00"/>
    <s v="EVARISTE LELOUSSI-CONGO Food Allowance du 14 au 16 mars 2023 (02 Nuitées)"/>
    <x v="5"/>
    <s v="Media"/>
    <m/>
    <n v="20000"/>
    <n v="5531087"/>
    <x v="11"/>
    <s v="Decharge"/>
    <x v="1"/>
    <x v="2"/>
    <s v="CONGO"/>
    <s v="RALFF-CO4363"/>
    <s v="1.3.2"/>
    <m/>
  </r>
  <r>
    <d v="2023-03-14T00:00:00"/>
    <s v="Recu caisse/Hurielle"/>
    <x v="2"/>
    <m/>
    <n v="94000"/>
    <m/>
    <n v="5625087"/>
    <x v="8"/>
    <m/>
    <x v="0"/>
    <x v="0"/>
    <m/>
    <m/>
    <m/>
    <m/>
  </r>
  <r>
    <d v="2023-03-14T00:00:00"/>
    <s v="Achat Carte sim Airtel/D58"/>
    <x v="8"/>
    <s v="Office"/>
    <m/>
    <n v="1000"/>
    <n v="5624087"/>
    <x v="3"/>
    <s v="Oui"/>
    <x v="1"/>
    <x v="1"/>
    <s v="CONGO"/>
    <m/>
    <m/>
    <m/>
  </r>
  <r>
    <d v="2023-03-14T00:00:00"/>
    <s v="Recu caisse/D58"/>
    <x v="2"/>
    <m/>
    <n v="100000"/>
    <m/>
    <n v="5724087"/>
    <x v="3"/>
    <m/>
    <x v="0"/>
    <x v="0"/>
    <m/>
    <m/>
    <m/>
    <m/>
  </r>
  <r>
    <d v="2023-03-15T00:00:00"/>
    <s v="Achat billet aller Brazzaville-Dolisie/Hurielle"/>
    <x v="4"/>
    <s v="Legal"/>
    <m/>
    <n v="10000"/>
    <n v="5714087"/>
    <x v="8"/>
    <s v="Oui"/>
    <x v="1"/>
    <x v="2"/>
    <s v="CONGO"/>
    <s v="RALFF-CO4364"/>
    <s v="2.2"/>
    <m/>
  </r>
  <r>
    <d v="2023-03-15T00:00:00"/>
    <s v="Achat credit  teléphonique MTN/PALF/Deuxième partie Mars 2023/Management"/>
    <x v="15"/>
    <s v="Management"/>
    <m/>
    <n v="25000"/>
    <n v="5689087"/>
    <x v="1"/>
    <s v="Oui"/>
    <x v="2"/>
    <x v="2"/>
    <s v="CONGO"/>
    <s v="RALFF-CO4365"/>
    <s v="4.6"/>
    <m/>
  </r>
  <r>
    <d v="2023-03-15T00:00:00"/>
    <s v="Achat credit  teléphonique MTN/PALF/Deuxième partie Mars 2023/Legal"/>
    <x v="15"/>
    <s v="Legal"/>
    <m/>
    <n v="20000"/>
    <n v="5669087"/>
    <x v="1"/>
    <s v="Oui"/>
    <x v="2"/>
    <x v="2"/>
    <s v="CONGO"/>
    <s v="RALFF-CO4366"/>
    <s v="4.6"/>
    <m/>
  </r>
  <r>
    <d v="2023-03-15T00:00:00"/>
    <s v="Achat credit  teléphonique MTN/PALF/Deuxième partie Mars 2023/Investigation"/>
    <x v="15"/>
    <s v="Investigation"/>
    <m/>
    <n v="10000"/>
    <n v="5659087"/>
    <x v="1"/>
    <s v="Oui"/>
    <x v="2"/>
    <x v="2"/>
    <s v="CONGO"/>
    <s v="RALFF-CO4367"/>
    <s v="4.6"/>
    <m/>
  </r>
  <r>
    <d v="2023-03-15T00:00:00"/>
    <s v="Achat credit  teléphonique MTN/PALF/Deuxième partie Mars 2023/Investigation Volontaire"/>
    <x v="15"/>
    <s v="Investigation"/>
    <m/>
    <n v="15000"/>
    <n v="5644087"/>
    <x v="1"/>
    <s v="Oui"/>
    <x v="1"/>
    <x v="1"/>
    <s v="CONGO"/>
    <m/>
    <m/>
    <m/>
  </r>
  <r>
    <d v="2023-03-15T00:00:00"/>
    <s v="Achat credit  teléphonique MTN/PALF/Prémière partie Mars 2023/Media"/>
    <x v="15"/>
    <s v="Media"/>
    <m/>
    <n v="10000"/>
    <n v="5634087"/>
    <x v="1"/>
    <s v="Oui"/>
    <x v="2"/>
    <x v="2"/>
    <s v="CONGO"/>
    <s v="RALFF-CO4368"/>
    <s v="4.6"/>
    <m/>
  </r>
  <r>
    <d v="2023-03-15T00:00:00"/>
    <s v="Achat credit  teléphonique Airtel/PALF/Deuxième partie Mars 2023/Management"/>
    <x v="15"/>
    <s v="Management"/>
    <m/>
    <n v="5000"/>
    <n v="5629087"/>
    <x v="1"/>
    <s v="Oui"/>
    <x v="2"/>
    <x v="2"/>
    <s v="CONGO"/>
    <s v="RALFF-CO4369"/>
    <s v="4.6"/>
    <m/>
  </r>
  <r>
    <d v="2023-03-15T00:00:00"/>
    <s v="Achat credit  teléphonique Airtel/PALF/Deuxième partie Mars 2023/Legal"/>
    <x v="15"/>
    <s v="Legal"/>
    <m/>
    <n v="10000"/>
    <n v="5619087"/>
    <x v="1"/>
    <s v="Oui"/>
    <x v="2"/>
    <x v="2"/>
    <s v="CONGO"/>
    <s v="RALFF-CO4370"/>
    <s v="4.6"/>
    <m/>
  </r>
  <r>
    <d v="2023-03-15T00:00:00"/>
    <s v="Achat credit  teléphonique Airtel/PALF/Deuxième partie Mars 2023/Investigation"/>
    <x v="15"/>
    <s v="Investigation"/>
    <m/>
    <n v="5000"/>
    <n v="5614087"/>
    <x v="1"/>
    <s v="Oui"/>
    <x v="2"/>
    <x v="2"/>
    <s v="CONGO"/>
    <s v="RALFF-CO4371"/>
    <s v="4.6"/>
    <m/>
  </r>
  <r>
    <d v="2023-03-15T00:00:00"/>
    <s v="Achat credit  teléphonique Airtel/PALF/Deuxième partie Mars 2023/Investigation Volontaire"/>
    <x v="15"/>
    <s v="Investigation"/>
    <m/>
    <n v="5000"/>
    <n v="5609087"/>
    <x v="1"/>
    <s v="Oui"/>
    <x v="1"/>
    <x v="1"/>
    <s v="CONGO"/>
    <m/>
    <m/>
    <m/>
  </r>
  <r>
    <d v="2023-03-15T00:00:00"/>
    <s v="HURIELLE MFOULOU - CONGO Foodallowance du 15 au 17/03/2023 à Dolisie_ 02 Nuitées"/>
    <x v="5"/>
    <s v="Legal"/>
    <m/>
    <n v="20000"/>
    <n v="5589087"/>
    <x v="8"/>
    <s v="Decharge"/>
    <x v="1"/>
    <x v="2"/>
    <s v="CONGO"/>
    <s v="RALFF-CO4372"/>
    <s v="1.3.2"/>
    <m/>
  </r>
  <r>
    <d v="2023-03-15T00:00:00"/>
    <s v="T73 - CONGO Frais d'Hotel du 13 au 15/03/2023 (02 nuitées) à mindouli"/>
    <x v="5"/>
    <s v="Investigation"/>
    <m/>
    <n v="20000"/>
    <n v="5569087"/>
    <x v="5"/>
    <s v="Oui"/>
    <x v="1"/>
    <x v="1"/>
    <s v="CONGO"/>
    <m/>
    <m/>
    <m/>
  </r>
  <r>
    <d v="2023-03-15T00:00:00"/>
    <s v="Achat billet  Mindouli - Dolisie/T73"/>
    <x v="4"/>
    <s v="Investigation"/>
    <m/>
    <n v="8000"/>
    <n v="5561087"/>
    <x v="5"/>
    <s v="Oui"/>
    <x v="1"/>
    <x v="1"/>
    <s v="CONGO"/>
    <m/>
    <m/>
    <m/>
  </r>
  <r>
    <d v="2023-03-16T00:00:00"/>
    <s v="Frais d'impression code inVentaire papier auto collant/Bureau PALF"/>
    <x v="8"/>
    <s v="Office"/>
    <m/>
    <n v="2500"/>
    <n v="5558587"/>
    <x v="1"/>
    <s v="Oui"/>
    <x v="2"/>
    <x v="2"/>
    <s v="CONGO"/>
    <s v="RALFF-CO4373"/>
    <s v="4.3"/>
    <m/>
  </r>
  <r>
    <d v="2023-03-16T00:00:00"/>
    <s v="EVARISTE LELOUSSI-CONGO Frais de l'hôtel du 14 au 16 mars 2023 (2 nuitées)_Dolisie"/>
    <x v="5"/>
    <s v="Media"/>
    <m/>
    <n v="30000"/>
    <n v="5528587"/>
    <x v="11"/>
    <s v="Oui"/>
    <x v="1"/>
    <x v="2"/>
    <s v="CONGO"/>
    <s v="RALFF-CO4374"/>
    <s v="1.3.2"/>
    <m/>
  </r>
  <r>
    <d v="2023-03-16T00:00:00"/>
    <s v="Achat billet Dolisie-Brazzaville/Evariste"/>
    <x v="4"/>
    <s v="Media"/>
    <m/>
    <n v="10000"/>
    <n v="5518587"/>
    <x v="11"/>
    <s v="Oui"/>
    <x v="1"/>
    <x v="2"/>
    <s v="CONGO"/>
    <s v="RALFF-CO4375"/>
    <s v="2.2"/>
    <m/>
  </r>
  <r>
    <d v="2023-03-16T00:00:00"/>
    <s v="Cumul Frais de Jail visit mois de Mars 2023/Hurielle"/>
    <x v="13"/>
    <s v="Legal"/>
    <m/>
    <n v="21250"/>
    <n v="5497337"/>
    <x v="8"/>
    <s v="Decharge"/>
    <x v="1"/>
    <x v="1"/>
    <s v="CONGO"/>
    <m/>
    <m/>
    <m/>
  </r>
  <r>
    <d v="2023-03-17T00:00:00"/>
    <s v="Crepin"/>
    <x v="2"/>
    <m/>
    <m/>
    <n v="84000"/>
    <n v="5413337"/>
    <x v="1"/>
    <m/>
    <x v="0"/>
    <x v="0"/>
    <m/>
    <m/>
    <m/>
    <m/>
  </r>
  <r>
    <d v="2023-03-17T00:00:00"/>
    <s v="Frais de transfert charden farell à Crépin"/>
    <x v="7"/>
    <s v="Office"/>
    <m/>
    <n v="2520"/>
    <n v="5410817"/>
    <x v="1"/>
    <s v="Oui"/>
    <x v="2"/>
    <x v="2"/>
    <s v="CONGO"/>
    <s v="RALFF-CO4376"/>
    <s v="5.6"/>
    <m/>
  </r>
  <r>
    <d v="2023-03-17T00:00:00"/>
    <s v="FONDS UE/Rapatrie01100 RTC00020354"/>
    <x v="16"/>
    <m/>
    <n v="19110651"/>
    <m/>
    <n v="24521468"/>
    <x v="4"/>
    <s v="Relevé"/>
    <x v="2"/>
    <x v="0"/>
    <s v="CONGO"/>
    <m/>
    <m/>
    <m/>
  </r>
  <r>
    <d v="2023-03-17T00:00:00"/>
    <s v="Reçu de caisse/Crépin"/>
    <x v="2"/>
    <m/>
    <n v="84000"/>
    <m/>
    <n v="24605468"/>
    <x v="2"/>
    <m/>
    <x v="0"/>
    <x v="0"/>
    <m/>
    <m/>
    <m/>
    <m/>
  </r>
  <r>
    <d v="2023-03-17T00:00:00"/>
    <s v="HURIELLE MFOULOU - CONGO Frais d'hôtel du 15 au 17/03/2023 à Dolisie_ 02 Nuitées"/>
    <x v="5"/>
    <s v="Legal"/>
    <m/>
    <n v="30000"/>
    <n v="24575468"/>
    <x v="8"/>
    <s v="Oui"/>
    <x v="1"/>
    <x v="2"/>
    <s v="CONGO"/>
    <s v="RALFF-CO4377"/>
    <s v="1.3.2"/>
    <m/>
  </r>
  <r>
    <d v="2023-03-17T00:00:00"/>
    <s v="Achat billet de retour Dolisie-Brazzaville/Hurielle"/>
    <x v="4"/>
    <s v="Legal"/>
    <m/>
    <n v="10000"/>
    <n v="24565468"/>
    <x v="8"/>
    <s v="Oui"/>
    <x v="1"/>
    <x v="2"/>
    <s v="CONGO"/>
    <s v="RALFF-CO4378"/>
    <s v="2.2"/>
    <m/>
  </r>
  <r>
    <d v="2023-03-18T00:00:00"/>
    <s v="Achat billet Pointe Noire - Brazzaville//D58"/>
    <x v="4"/>
    <s v="Investigation"/>
    <m/>
    <n v="15000"/>
    <n v="24550468"/>
    <x v="3"/>
    <s v="Oui"/>
    <x v="1"/>
    <x v="1"/>
    <s v="CONGO"/>
    <m/>
    <m/>
    <m/>
  </r>
  <r>
    <d v="2023-03-18T00:00:00"/>
    <s v="D58 - CONGO Frais d'hotel du 12/03/2023 Au 18/02/2023 à Pointe Noire (06 nuitées)"/>
    <x v="5"/>
    <s v="Investigation"/>
    <m/>
    <n v="90000"/>
    <n v="24460468"/>
    <x v="3"/>
    <s v="Oui"/>
    <x v="1"/>
    <x v="1"/>
    <s v="CONGO"/>
    <m/>
    <m/>
    <m/>
  </r>
  <r>
    <d v="2023-03-18T00:00:00"/>
    <s v="Achat billet Dolisie-Brazzaville/T73"/>
    <x v="4"/>
    <s v="Investigation"/>
    <m/>
    <n v="10000"/>
    <n v="24450468"/>
    <x v="5"/>
    <s v="Oui"/>
    <x v="1"/>
    <x v="1"/>
    <s v="CONGO"/>
    <m/>
    <m/>
    <m/>
  </r>
  <r>
    <d v="2023-03-18T00:00:00"/>
    <s v="T73 - CONGO Frais d'Hotel du 15 au 18/03/2023 (03 nuitées) à dolisie"/>
    <x v="5"/>
    <s v="Investigation"/>
    <m/>
    <n v="45000"/>
    <n v="24405468"/>
    <x v="5"/>
    <s v="Oui"/>
    <x v="1"/>
    <x v="1"/>
    <s v="CONGO"/>
    <m/>
    <m/>
    <m/>
  </r>
  <r>
    <d v="2023-03-20T00:00:00"/>
    <s v="Crepin"/>
    <x v="2"/>
    <m/>
    <m/>
    <n v="149000"/>
    <n v="24256468"/>
    <x v="1"/>
    <m/>
    <x v="0"/>
    <x v="0"/>
    <m/>
    <m/>
    <m/>
    <m/>
  </r>
  <r>
    <d v="2023-03-20T00:00:00"/>
    <s v="Frais de transfert charden farell à Crépin"/>
    <x v="7"/>
    <s v="Office"/>
    <m/>
    <n v="4470"/>
    <n v="24251998"/>
    <x v="1"/>
    <s v="Oui"/>
    <x v="2"/>
    <x v="2"/>
    <s v="CONGO"/>
    <s v="RALFF-CO4379"/>
    <s v="5.6"/>
    <m/>
  </r>
  <r>
    <d v="2023-03-20T00:00:00"/>
    <s v="Hurielle/retour caisse"/>
    <x v="2"/>
    <m/>
    <n v="8000"/>
    <m/>
    <n v="24259998"/>
    <x v="1"/>
    <m/>
    <x v="0"/>
    <x v="0"/>
    <m/>
    <m/>
    <m/>
    <m/>
  </r>
  <r>
    <d v="2023-03-20T00:00:00"/>
    <s v="BCI-3667312-56"/>
    <x v="2"/>
    <m/>
    <n v="2000000"/>
    <m/>
    <n v="26259998"/>
    <x v="1"/>
    <m/>
    <x v="0"/>
    <x v="0"/>
    <m/>
    <m/>
    <m/>
    <m/>
  </r>
  <r>
    <d v="2023-03-20T00:00:00"/>
    <s v="CREPIN IBOUILI - CONGO  Frais d'hotel 07 Nuitées à Pointe-Noire du 13 au 20/03/2023"/>
    <x v="5"/>
    <s v="Management"/>
    <m/>
    <n v="105000"/>
    <n v="26154998"/>
    <x v="2"/>
    <s v="Oui"/>
    <x v="1"/>
    <x v="2"/>
    <s v="CONGO"/>
    <s v="RALFF-CO4380"/>
    <s v="1.3.2"/>
    <m/>
  </r>
  <r>
    <d v="2023-03-20T00:00:00"/>
    <s v="Billet: Pointe-Noire-Dolisie/Crépin"/>
    <x v="4"/>
    <s v="Management"/>
    <m/>
    <n v="5000"/>
    <n v="26149998"/>
    <x v="2"/>
    <s v="Oui"/>
    <x v="1"/>
    <x v="2"/>
    <s v="CONGO"/>
    <s v="RALFF-CO4381"/>
    <s v="2.2"/>
    <m/>
  </r>
  <r>
    <d v="2023-03-20T00:00:00"/>
    <s v="Retour caisse/Hurielle"/>
    <x v="2"/>
    <m/>
    <m/>
    <n v="8000"/>
    <n v="26141998"/>
    <x v="8"/>
    <m/>
    <x v="0"/>
    <x v="0"/>
    <m/>
    <m/>
    <m/>
    <m/>
  </r>
  <r>
    <d v="2023-03-21T00:00:00"/>
    <s v="T73"/>
    <x v="2"/>
    <m/>
    <m/>
    <n v="15000"/>
    <n v="26126998"/>
    <x v="1"/>
    <m/>
    <x v="0"/>
    <x v="0"/>
    <m/>
    <m/>
    <m/>
    <m/>
  </r>
  <r>
    <d v="2023-03-21T00:00:00"/>
    <s v="Bonus media portant sur la condamnation ferme de deux trafiquants d'ivoire au TGI de Brazzaville"/>
    <x v="1"/>
    <s v="Media"/>
    <m/>
    <n v="10000"/>
    <n v="26116998"/>
    <x v="1"/>
    <s v="Decharge"/>
    <x v="1"/>
    <x v="1"/>
    <s v="CONGO"/>
    <m/>
    <m/>
    <m/>
  </r>
  <r>
    <d v="2023-03-21T00:00:00"/>
    <s v="Retrait espèces chèque N°3667312"/>
    <x v="2"/>
    <m/>
    <m/>
    <n v="2000000"/>
    <n v="24116998"/>
    <x v="4"/>
    <n v="3667312"/>
    <x v="0"/>
    <x v="0"/>
    <m/>
    <m/>
    <m/>
    <m/>
  </r>
  <r>
    <d v="2023-03-21T00:00:00"/>
    <s v="Reçu de caisse/Crépin"/>
    <x v="2"/>
    <m/>
    <n v="149000"/>
    <m/>
    <n v="24265998"/>
    <x v="2"/>
    <m/>
    <x v="0"/>
    <x v="0"/>
    <m/>
    <m/>
    <m/>
    <m/>
  </r>
  <r>
    <d v="2023-03-21T00:00:00"/>
    <s v="Reçu caisse/T73 "/>
    <x v="2"/>
    <m/>
    <n v="15000"/>
    <m/>
    <n v="24280998"/>
    <x v="5"/>
    <m/>
    <x v="0"/>
    <x v="0"/>
    <m/>
    <m/>
    <m/>
    <m/>
  </r>
  <r>
    <d v="2023-03-22T00:00:00"/>
    <s v="Evariste"/>
    <x v="2"/>
    <m/>
    <m/>
    <n v="15000"/>
    <n v="24265998"/>
    <x v="1"/>
    <m/>
    <x v="0"/>
    <x v="0"/>
    <m/>
    <m/>
    <m/>
    <m/>
  </r>
  <r>
    <d v="2023-03-22T00:00:00"/>
    <s v="Reçu de la caisse/Evariste"/>
    <x v="2"/>
    <m/>
    <n v="15000"/>
    <m/>
    <n v="24280998"/>
    <x v="11"/>
    <m/>
    <x v="0"/>
    <x v="0"/>
    <m/>
    <m/>
    <m/>
    <m/>
  </r>
  <r>
    <d v="2023-03-23T00:00:00"/>
    <s v="D58"/>
    <x v="2"/>
    <m/>
    <m/>
    <n v="100000"/>
    <n v="24180998"/>
    <x v="1"/>
    <m/>
    <x v="0"/>
    <x v="0"/>
    <m/>
    <m/>
    <m/>
    <m/>
  </r>
  <r>
    <d v="2023-03-23T00:00:00"/>
    <s v="Merveille"/>
    <x v="2"/>
    <m/>
    <m/>
    <n v="20000"/>
    <n v="24160998"/>
    <x v="1"/>
    <m/>
    <x v="0"/>
    <x v="0"/>
    <m/>
    <m/>
    <m/>
    <m/>
  </r>
  <r>
    <d v="2023-03-23T00:00:00"/>
    <s v="T73"/>
    <x v="2"/>
    <m/>
    <m/>
    <n v="100000"/>
    <n v="24060998"/>
    <x v="1"/>
    <m/>
    <x v="0"/>
    <x v="0"/>
    <m/>
    <m/>
    <m/>
    <m/>
  </r>
  <r>
    <d v="2023-03-23T00:00:00"/>
    <s v="Bonus media portant sur l'arrestation d'un condamné par contumace le 12/03/2023 à Nianga"/>
    <x v="1"/>
    <s v="Media"/>
    <m/>
    <n v="150000"/>
    <n v="23910998"/>
    <x v="1"/>
    <s v="Decharge"/>
    <x v="1"/>
    <x v="1"/>
    <s v="CONGO"/>
    <m/>
    <m/>
    <m/>
  </r>
  <r>
    <d v="2023-03-23T00:00:00"/>
    <s v="Entretretien général Jardin, Bureau PALF Mois de Mars 2023/Mr Alain"/>
    <x v="11"/>
    <s v="Office"/>
    <m/>
    <n v="20000"/>
    <n v="23890998"/>
    <x v="1"/>
    <s v="Oui"/>
    <x v="1"/>
    <x v="1"/>
    <s v="CONGO"/>
    <m/>
    <m/>
    <m/>
  </r>
  <r>
    <d v="2023-03-23T00:00:00"/>
    <s v="D58"/>
    <x v="2"/>
    <m/>
    <m/>
    <n v="15000"/>
    <n v="23875998"/>
    <x v="1"/>
    <m/>
    <x v="0"/>
    <x v="0"/>
    <m/>
    <m/>
    <m/>
    <m/>
  </r>
  <r>
    <d v="2023-03-23T00:00:00"/>
    <s v="CREPIN IBOUILI - CONGO  Frais d'hotel 03 Nuitées à Dolisie du 20 au 23/03/2023"/>
    <x v="5"/>
    <s v="Management"/>
    <m/>
    <n v="45000"/>
    <n v="23830998"/>
    <x v="2"/>
    <s v="Oui"/>
    <x v="1"/>
    <x v="2"/>
    <s v="CONGO"/>
    <s v="RALFF-CO4382"/>
    <s v="1.3.2"/>
    <m/>
  </r>
  <r>
    <d v="2023-03-23T00:00:00"/>
    <s v="Billet: Dolisie-Sibiti/Crépin"/>
    <x v="4"/>
    <s v="Management"/>
    <m/>
    <n v="5000"/>
    <n v="23825998"/>
    <x v="2"/>
    <s v="Oui"/>
    <x v="1"/>
    <x v="2"/>
    <s v="CONGO"/>
    <s v="RALFF-CO4383"/>
    <s v="2.2"/>
    <m/>
  </r>
  <r>
    <d v="2023-03-23T00:00:00"/>
    <s v="Reçu caisse"/>
    <x v="2"/>
    <m/>
    <n v="20000"/>
    <m/>
    <n v="23845998"/>
    <x v="10"/>
    <m/>
    <x v="0"/>
    <x v="0"/>
    <m/>
    <m/>
    <m/>
    <m/>
  </r>
  <r>
    <d v="2023-03-23T00:00:00"/>
    <s v="Recu caisse/D58"/>
    <x v="2"/>
    <m/>
    <n v="15000"/>
    <m/>
    <n v="23860998"/>
    <x v="3"/>
    <m/>
    <x v="0"/>
    <x v="0"/>
    <m/>
    <m/>
    <m/>
    <m/>
  </r>
  <r>
    <d v="2023-03-23T00:00:00"/>
    <s v="Recu caisse/D58"/>
    <x v="2"/>
    <m/>
    <n v="100000"/>
    <m/>
    <n v="23960998"/>
    <x v="3"/>
    <m/>
    <x v="0"/>
    <x v="0"/>
    <m/>
    <m/>
    <m/>
    <m/>
  </r>
  <r>
    <d v="2023-03-23T00:00:00"/>
    <s v="Cumul frais de ration mois de mars 2023/T73"/>
    <x v="5"/>
    <s v="Investigation"/>
    <m/>
    <n v="7000"/>
    <n v="23953998"/>
    <x v="5"/>
    <s v="Decharge"/>
    <x v="1"/>
    <x v="1"/>
    <s v="CONGO"/>
    <m/>
    <m/>
    <m/>
  </r>
  <r>
    <d v="2023-03-23T00:00:00"/>
    <s v="Reçu caisse/T73 "/>
    <x v="2"/>
    <m/>
    <n v="100000"/>
    <m/>
    <n v="24053998"/>
    <x v="5"/>
    <m/>
    <x v="0"/>
    <x v="0"/>
    <m/>
    <m/>
    <m/>
    <m/>
  </r>
  <r>
    <d v="2023-03-24T00:00:00"/>
    <s v="Crepin"/>
    <x v="2"/>
    <m/>
    <m/>
    <n v="56000"/>
    <n v="23997998"/>
    <x v="1"/>
    <m/>
    <x v="0"/>
    <x v="0"/>
    <m/>
    <m/>
    <m/>
    <m/>
  </r>
  <r>
    <d v="2023-03-24T00:00:00"/>
    <s v="Frais de transfert charden farell à Crépin"/>
    <x v="7"/>
    <s v="Office"/>
    <m/>
    <n v="1680"/>
    <n v="23996318"/>
    <x v="1"/>
    <s v="Oui"/>
    <x v="2"/>
    <x v="2"/>
    <s v="CONGO"/>
    <s v="RALFF-CO4384"/>
    <s v="5.6"/>
    <m/>
  </r>
  <r>
    <d v="2023-03-24T00:00:00"/>
    <s v="Remboursement frais d'assurance TIFFANY deuxième partie"/>
    <x v="9"/>
    <s v="Management"/>
    <m/>
    <n v="553136"/>
    <n v="23443182"/>
    <x v="1"/>
    <s v="Oui"/>
    <x v="1"/>
    <x v="1"/>
    <s v="CONGO"/>
    <m/>
    <m/>
    <m/>
  </r>
  <r>
    <d v="2023-03-24T00:00:00"/>
    <s v="Grace"/>
    <x v="2"/>
    <m/>
    <m/>
    <n v="257000"/>
    <n v="23186182"/>
    <x v="1"/>
    <m/>
    <x v="0"/>
    <x v="0"/>
    <m/>
    <m/>
    <m/>
    <m/>
  </r>
  <r>
    <d v="2023-03-24T00:00:00"/>
    <s v="Cumul frais de transport local du mois Mars 2023/Tiffany"/>
    <x v="4"/>
    <s v="Management"/>
    <m/>
    <n v="10000"/>
    <n v="23176182"/>
    <x v="12"/>
    <s v="Decharge"/>
    <x v="1"/>
    <x v="2"/>
    <s v="CONGO"/>
    <s v="RALFF-CO4385"/>
    <s v="2.2"/>
    <m/>
  </r>
  <r>
    <d v="2023-03-24T00:00:00"/>
    <s v="Cumul frais de jail visit mois de Mars  2023/Crépin"/>
    <x v="13"/>
    <s v="Legal"/>
    <m/>
    <n v="36650"/>
    <n v="23139532"/>
    <x v="2"/>
    <s v="Decharge"/>
    <x v="1"/>
    <x v="1"/>
    <s v="CONGO"/>
    <m/>
    <m/>
    <m/>
  </r>
  <r>
    <d v="2023-03-24T00:00:00"/>
    <s v="Reçu de caisse/Crépin"/>
    <x v="2"/>
    <m/>
    <n v="56000"/>
    <m/>
    <n v="23195532"/>
    <x v="2"/>
    <m/>
    <x v="0"/>
    <x v="0"/>
    <m/>
    <m/>
    <m/>
    <m/>
  </r>
  <r>
    <d v="2023-03-24T00:00:00"/>
    <s v="Recu caisse/Grace Molende"/>
    <x v="2"/>
    <m/>
    <n v="257000"/>
    <m/>
    <n v="23452532"/>
    <x v="13"/>
    <m/>
    <x v="0"/>
    <x v="0"/>
    <m/>
    <m/>
    <m/>
    <m/>
  </r>
  <r>
    <d v="2023-03-24T00:00:00"/>
    <s v="Cumul ration journalière mois de Mars 2023/D58"/>
    <x v="5"/>
    <s v="Investigation"/>
    <m/>
    <n v="7000"/>
    <n v="23445532"/>
    <x v="3"/>
    <s v="Decharge"/>
    <x v="1"/>
    <x v="1"/>
    <s v="CONGO"/>
    <m/>
    <m/>
    <m/>
  </r>
  <r>
    <d v="2023-03-24T00:00:00"/>
    <s v="Achat billet: Brazzaville - Dolisie /T73"/>
    <x v="4"/>
    <s v="Investigation"/>
    <m/>
    <n v="10000"/>
    <n v="23435532"/>
    <x v="5"/>
    <s v="Oui"/>
    <x v="1"/>
    <x v="1"/>
    <s v="CONGO"/>
    <m/>
    <m/>
    <m/>
  </r>
  <r>
    <d v="2023-03-24T00:00:00"/>
    <s v="T73 - CONGO Food Allowance du 24/03/2023  au 06/04/2023 (13 nuitées)"/>
    <x v="5"/>
    <s v="Investigation"/>
    <m/>
    <n v="130000"/>
    <n v="23305532"/>
    <x v="5"/>
    <s v="Decharge"/>
    <x v="1"/>
    <x v="1"/>
    <s v="CONGO"/>
    <m/>
    <m/>
    <m/>
  </r>
  <r>
    <d v="2023-03-25T00:00:00"/>
    <s v="CREPIN IBOUILI - CONGO  Frais d'hotel 02 Nuitées à Sibiti du 23 au 25/03/2023"/>
    <x v="5"/>
    <s v="Management"/>
    <m/>
    <n v="20000"/>
    <n v="23285532"/>
    <x v="2"/>
    <s v="Oui"/>
    <x v="1"/>
    <x v="2"/>
    <s v="CONGO"/>
    <s v="RALFF-CO4386"/>
    <s v="1.3.2"/>
    <m/>
  </r>
  <r>
    <d v="2023-03-25T00:00:00"/>
    <s v="Billet: Sibiti-Dolisie/Crépin"/>
    <x v="4"/>
    <s v="Management"/>
    <m/>
    <n v="5000"/>
    <n v="23280532"/>
    <x v="2"/>
    <s v="Oui"/>
    <x v="1"/>
    <x v="2"/>
    <s v="CONGO"/>
    <s v="RALFF-CO4387"/>
    <s v="2.2"/>
    <m/>
  </r>
  <r>
    <d v="2023-03-25T00:00:00"/>
    <s v="Achat billet Brazzaville-Dolisie/Grace MOLENDE"/>
    <x v="4"/>
    <s v="Management"/>
    <m/>
    <n v="10000"/>
    <n v="23270532"/>
    <x v="13"/>
    <s v="Oui"/>
    <x v="1"/>
    <x v="2"/>
    <s v="CONGO"/>
    <s v="RALFF-CO4388"/>
    <s v="2.2"/>
    <m/>
  </r>
  <r>
    <d v="2023-03-25T00:00:00"/>
    <s v="GRACE MOLENDE - CONGO Food Allowance du 25 au 30/03/23... (05 Nuitées)"/>
    <x v="5"/>
    <s v="Management"/>
    <m/>
    <n v="50000"/>
    <n v="23220532"/>
    <x v="13"/>
    <s v="Decharge"/>
    <x v="1"/>
    <x v="2"/>
    <s v="CONGO"/>
    <s v="RALFF-CO4389"/>
    <s v="1.3.2"/>
    <m/>
  </r>
  <r>
    <d v="2023-03-25T00:00:00"/>
    <s v="Achat billet Brazzaville - Dolisie/D58"/>
    <x v="4"/>
    <s v="Investigation"/>
    <m/>
    <n v="10000"/>
    <n v="23210532"/>
    <x v="3"/>
    <s v="Oui"/>
    <x v="1"/>
    <x v="1"/>
    <s v="CONGO"/>
    <m/>
    <m/>
    <m/>
  </r>
  <r>
    <d v="2023-03-25T00:00:00"/>
    <s v="D58 - CONGO Food allowance du 25/03 au 06/04/2023 ( 12 nuitées)"/>
    <x v="5"/>
    <s v="Investigation"/>
    <m/>
    <n v="120000"/>
    <n v="23090532"/>
    <x v="3"/>
    <s v="Decharge"/>
    <x v="1"/>
    <x v="1"/>
    <s v="CONGO"/>
    <m/>
    <m/>
    <m/>
  </r>
  <r>
    <d v="2023-03-27T00:00:00"/>
    <s v="D58"/>
    <x v="2"/>
    <m/>
    <m/>
    <n v="95000"/>
    <n v="22995532"/>
    <x v="1"/>
    <m/>
    <x v="0"/>
    <x v="0"/>
    <m/>
    <m/>
    <m/>
    <m/>
  </r>
  <r>
    <d v="2023-03-27T00:00:00"/>
    <s v="T73"/>
    <x v="2"/>
    <m/>
    <m/>
    <n v="43000"/>
    <n v="22952532"/>
    <x v="1"/>
    <m/>
    <x v="0"/>
    <x v="0"/>
    <m/>
    <m/>
    <m/>
    <m/>
  </r>
  <r>
    <d v="2023-03-27T00:00:00"/>
    <s v="Frais de transfert charden farell à D58 et T73"/>
    <x v="7"/>
    <s v="Office"/>
    <m/>
    <n v="4140"/>
    <n v="22948392"/>
    <x v="1"/>
    <s v="Oui"/>
    <x v="1"/>
    <x v="1"/>
    <s v="CONGO"/>
    <m/>
    <m/>
    <m/>
  </r>
  <r>
    <d v="2023-03-27T00:00:00"/>
    <s v="Règlement prestation technicienne de surface (mois de Mars  2023)/Mme Odile"/>
    <x v="11"/>
    <s v="Office"/>
    <m/>
    <n v="75625"/>
    <n v="22872767"/>
    <x v="1"/>
    <s v="Oui"/>
    <x v="1"/>
    <x v="1"/>
    <s v="CONGO"/>
    <m/>
    <m/>
    <m/>
  </r>
  <r>
    <d v="2023-03-27T00:00:00"/>
    <s v="Bonus média portant sur l'arrestation d'un condamné par contumace le 12/03/2023 à Nyanga"/>
    <x v="1"/>
    <s v="Media"/>
    <m/>
    <n v="41000"/>
    <n v="22831767"/>
    <x v="1"/>
    <s v="Decharge"/>
    <x v="1"/>
    <x v="1"/>
    <s v="CONGO"/>
    <m/>
    <m/>
    <m/>
  </r>
  <r>
    <d v="2023-03-27T00:00:00"/>
    <s v="P29"/>
    <x v="2"/>
    <m/>
    <m/>
    <n v="123000"/>
    <n v="22708767"/>
    <x v="1"/>
    <m/>
    <x v="0"/>
    <x v="0"/>
    <m/>
    <m/>
    <m/>
    <m/>
  </r>
  <r>
    <d v="2023-03-27T00:00:00"/>
    <s v="Paiement salaire mois de Mars 2023/IBOUILI IBOUILI Crépin/ CH N°3667314"/>
    <x v="9"/>
    <s v="Legal"/>
    <m/>
    <n v="359500"/>
    <n v="22349267"/>
    <x v="4"/>
    <n v="3667314"/>
    <x v="2"/>
    <x v="2"/>
    <s v="CONGO"/>
    <s v="RALFF-CO4390"/>
    <s v="1.1.1.7"/>
    <m/>
  </r>
  <r>
    <d v="2023-03-27T00:00:00"/>
    <s v="Paiement salaire mois de Mars 2023/Hurielle MFOULOU/ CH N°3667315"/>
    <x v="9"/>
    <s v="Legal"/>
    <m/>
    <n v="200000"/>
    <n v="22149267"/>
    <x v="4"/>
    <n v="3667315"/>
    <x v="2"/>
    <x v="2"/>
    <s v="CONGO"/>
    <s v="RALFF-CO4391"/>
    <s v="1.1.1.7"/>
    <m/>
  </r>
  <r>
    <d v="2023-03-27T00:00:00"/>
    <s v="Paiement salaire mois de Mars 2023/Merveille MAHANGA/ CH N°3667316"/>
    <x v="9"/>
    <s v="Management"/>
    <m/>
    <n v="300000"/>
    <n v="21849267"/>
    <x v="4"/>
    <n v="3667316"/>
    <x v="2"/>
    <x v="2"/>
    <s v="CONGO"/>
    <s v="RALFF-CO4392"/>
    <s v="1.1.2.1"/>
    <m/>
  </r>
  <r>
    <d v="2023-03-27T00:00:00"/>
    <s v="Paiement salaire mois de Mars 2023/PINDI BINGA Donald-Roméo/ CH N°3667317"/>
    <x v="9"/>
    <s v="Legal"/>
    <m/>
    <n v="200000"/>
    <n v="21649267"/>
    <x v="4"/>
    <n v="3667317"/>
    <x v="2"/>
    <x v="2"/>
    <s v="CONGO"/>
    <s v="RALFF-CO4393"/>
    <s v="1.1.1.7"/>
    <m/>
  </r>
  <r>
    <d v="2023-03-27T00:00:00"/>
    <s v="Paiement salaire mois de Mars 2023/MOLENDE Grâce/ CH N°3667318"/>
    <x v="9"/>
    <s v="Management"/>
    <m/>
    <n v="350000"/>
    <n v="21299267"/>
    <x v="4"/>
    <n v="3667318"/>
    <x v="2"/>
    <x v="2"/>
    <s v="CONGO"/>
    <s v="RALFF-CO4394"/>
    <s v="1.1.2.1"/>
    <m/>
  </r>
  <r>
    <d v="2023-03-27T00:00:00"/>
    <s v="Paiement salaire mois de Mars 2023/Evariste LELOUSSI/ CH N°3667319"/>
    <x v="9"/>
    <s v="Media"/>
    <m/>
    <n v="235600"/>
    <n v="21063667"/>
    <x v="4"/>
    <n v="3667319"/>
    <x v="2"/>
    <x v="2"/>
    <s v="CONGO"/>
    <s v="RALFF-CO4395"/>
    <s v="1.1.1.4"/>
    <m/>
  </r>
  <r>
    <d v="2023-03-27T00:00:00"/>
    <s v="Reglement Honoraire du mois de Mars 2023/P29/ch:3667323"/>
    <x v="9"/>
    <s v="Investigation"/>
    <m/>
    <n v="325000"/>
    <n v="20738667"/>
    <x v="4"/>
    <n v="3667323"/>
    <x v="2"/>
    <x v="2"/>
    <s v="CONGO"/>
    <s v="RALFF-CO4396"/>
    <s v="1.1.1.9"/>
    <m/>
  </r>
  <r>
    <d v="2023-03-27T00:00:00"/>
    <s v="Reçu de Grace/Crépin"/>
    <x v="2"/>
    <m/>
    <n v="25000"/>
    <m/>
    <n v="20763667"/>
    <x v="2"/>
    <m/>
    <x v="0"/>
    <x v="0"/>
    <m/>
    <m/>
    <m/>
    <m/>
  </r>
  <r>
    <d v="2023-03-27T00:00:00"/>
    <s v="Achat produits KONDO MABIALA Christian"/>
    <x v="13"/>
    <s v="Legal"/>
    <m/>
    <n v="10275"/>
    <n v="20753392"/>
    <x v="2"/>
    <s v="Oui"/>
    <x v="1"/>
    <x v="1"/>
    <s v="CONGO"/>
    <m/>
    <m/>
    <m/>
  </r>
  <r>
    <d v="2023-03-27T00:00:00"/>
    <s v="Billet: Dolisie-Brazzaville/Crépin"/>
    <x v="4"/>
    <s v="Management"/>
    <m/>
    <n v="10000"/>
    <n v="20743392"/>
    <x v="2"/>
    <s v="Oui"/>
    <x v="2"/>
    <x v="2"/>
    <s v="CONGO"/>
    <s v="RALFF-CO4397"/>
    <s v="2.2"/>
    <m/>
  </r>
  <r>
    <d v="2023-03-27T00:00:00"/>
    <s v="Cumul frais de transport local du mois de Mars 2023/Crépin"/>
    <x v="4"/>
    <s v="Management"/>
    <m/>
    <n v="95100"/>
    <n v="20648292"/>
    <x v="2"/>
    <s v="Decharge"/>
    <x v="2"/>
    <x v="2"/>
    <s v="CONGO"/>
    <s v="RALFF-CO4398"/>
    <s v="2.2"/>
    <m/>
  </r>
  <r>
    <d v="2023-03-27T00:00:00"/>
    <s v="Transfert à Crépin /Grace Molende"/>
    <x v="2"/>
    <m/>
    <m/>
    <n v="25000"/>
    <n v="20623292"/>
    <x v="13"/>
    <m/>
    <x v="0"/>
    <x v="0"/>
    <m/>
    <m/>
    <m/>
    <m/>
  </r>
  <r>
    <d v="2023-03-27T00:00:00"/>
    <s v="Achat Médicaments détetus KONDO MABIALA Christian"/>
    <x v="13"/>
    <s v="Legal"/>
    <m/>
    <n v="5650"/>
    <n v="20617642"/>
    <x v="13"/>
    <s v="Oui"/>
    <x v="1"/>
    <x v="1"/>
    <s v="CONGO"/>
    <m/>
    <m/>
    <m/>
  </r>
  <r>
    <d v="2023-03-27T00:00:00"/>
    <s v="Recu caisse/D58"/>
    <x v="2"/>
    <m/>
    <n v="95000"/>
    <m/>
    <n v="20712642"/>
    <x v="3"/>
    <m/>
    <x v="0"/>
    <x v="0"/>
    <m/>
    <m/>
    <m/>
    <m/>
  </r>
  <r>
    <d v="2023-03-27T00:00:00"/>
    <s v="Reçu caisse/T73 "/>
    <x v="2"/>
    <m/>
    <n v="43000"/>
    <m/>
    <n v="20755642"/>
    <x v="5"/>
    <m/>
    <x v="0"/>
    <x v="0"/>
    <m/>
    <m/>
    <m/>
    <m/>
  </r>
  <r>
    <d v="2023-03-27T00:00:00"/>
    <s v="Reçu caisse/T73 "/>
    <x v="2"/>
    <m/>
    <n v="100000"/>
    <m/>
    <n v="20855642"/>
    <x v="5"/>
    <m/>
    <x v="0"/>
    <x v="0"/>
    <m/>
    <m/>
    <m/>
    <m/>
  </r>
  <r>
    <d v="2023-03-27T00:00:00"/>
    <s v="Recu de caisse/P29"/>
    <x v="2"/>
    <m/>
    <n v="123000"/>
    <m/>
    <n v="20978642"/>
    <x v="6"/>
    <m/>
    <x v="0"/>
    <x v="0"/>
    <m/>
    <m/>
    <m/>
    <m/>
  </r>
  <r>
    <d v="2023-03-28T00:00:00"/>
    <s v="Achat billet Brazzaville-Pointe Noire/ P29"/>
    <x v="4"/>
    <s v="Investigation"/>
    <m/>
    <n v="15000"/>
    <n v="20963642"/>
    <x v="6"/>
    <s v="Oui"/>
    <x v="1"/>
    <x v="2"/>
    <s v="CONGO"/>
    <s v="RALFF-CO4399"/>
    <s v="2.2"/>
    <m/>
  </r>
  <r>
    <d v="2023-03-28T00:00:00"/>
    <s v="CREPIN IBOUILI - CONGO  Frais d'hotel 03 Nuitées du 25 au 28/03/2023 à Dolisie"/>
    <x v="5"/>
    <s v="Management"/>
    <m/>
    <n v="45000"/>
    <n v="20918642"/>
    <x v="2"/>
    <s v="Oui"/>
    <x v="1"/>
    <x v="1"/>
    <s v="CONGO"/>
    <m/>
    <m/>
    <m/>
  </r>
  <r>
    <d v="2023-03-28T00:00:00"/>
    <s v="Reglement Facture Internet (Canal Box_Periode du 28 Mars 2023 au 01 Mai 2023)"/>
    <x v="17"/>
    <s v="Office"/>
    <m/>
    <n v="45050"/>
    <n v="20873592"/>
    <x v="1"/>
    <s v="Oui"/>
    <x v="2"/>
    <x v="2"/>
    <s v="CONGO"/>
    <s v="RALFF-CO4401"/>
    <s v="4.5"/>
    <m/>
  </r>
  <r>
    <d v="2023-03-28T00:00:00"/>
    <s v="Evariste"/>
    <x v="2"/>
    <m/>
    <m/>
    <n v="20000"/>
    <n v="20853592"/>
    <x v="1"/>
    <m/>
    <x v="0"/>
    <x v="0"/>
    <m/>
    <m/>
    <m/>
    <m/>
  </r>
  <r>
    <d v="2023-03-28T00:00:00"/>
    <s v="Evariste"/>
    <x v="2"/>
    <m/>
    <m/>
    <n v="50000"/>
    <n v="20803592"/>
    <x v="1"/>
    <m/>
    <x v="0"/>
    <x v="0"/>
    <m/>
    <m/>
    <m/>
    <m/>
  </r>
  <r>
    <d v="2023-03-28T00:00:00"/>
    <s v="Crepin"/>
    <x v="2"/>
    <m/>
    <m/>
    <n v="10000"/>
    <n v="20793592"/>
    <x v="1"/>
    <m/>
    <x v="0"/>
    <x v="0"/>
    <m/>
    <m/>
    <m/>
    <m/>
  </r>
  <r>
    <d v="2023-03-28T00:00:00"/>
    <s v="Achat eau,jus et biscuits avant éventuel OP avec OPJ"/>
    <x v="5"/>
    <s v="Operation"/>
    <m/>
    <n v="10000"/>
    <n v="20783592"/>
    <x v="1"/>
    <s v="Oui"/>
    <x v="1"/>
    <x v="1"/>
    <s v="CONGO"/>
    <m/>
    <m/>
    <m/>
  </r>
  <r>
    <d v="2023-03-28T00:00:00"/>
    <s v="Grace"/>
    <x v="2"/>
    <m/>
    <m/>
    <n v="106000"/>
    <n v="20677592"/>
    <x v="1"/>
    <m/>
    <x v="0"/>
    <x v="0"/>
    <m/>
    <m/>
    <m/>
    <m/>
  </r>
  <r>
    <d v="2023-03-28T00:00:00"/>
    <s v="T73"/>
    <x v="2"/>
    <m/>
    <m/>
    <n v="100000"/>
    <n v="20577592"/>
    <x v="1"/>
    <m/>
    <x v="0"/>
    <x v="0"/>
    <m/>
    <m/>
    <m/>
    <m/>
  </r>
  <r>
    <d v="2023-03-28T00:00:00"/>
    <s v="Frais de transfert charden farell à Grace"/>
    <x v="7"/>
    <s v="Office"/>
    <m/>
    <n v="3180"/>
    <n v="20574412"/>
    <x v="1"/>
    <s v="Oui"/>
    <x v="2"/>
    <x v="2"/>
    <s v="CONGO"/>
    <s v="RALFF-CO4402"/>
    <s v="5.6"/>
    <m/>
  </r>
  <r>
    <d v="2023-03-28T00:00:00"/>
    <s v="Frais de transfert charden farell à T73"/>
    <x v="7"/>
    <s v="Office"/>
    <m/>
    <n v="3000"/>
    <n v="20571412"/>
    <x v="1"/>
    <s v="Oui"/>
    <x v="2"/>
    <x v="2"/>
    <s v="CONGO"/>
    <s v="RALFF-CO4403"/>
    <s v="5.6"/>
    <m/>
  </r>
  <r>
    <d v="2023-03-28T00:00:00"/>
    <s v="Achat credit  teléphonique MTN/PALF/Prémière partie Avril 2023/Management"/>
    <x v="15"/>
    <s v="Management"/>
    <m/>
    <n v="22000"/>
    <n v="20549412"/>
    <x v="1"/>
    <s v="Oui"/>
    <x v="2"/>
    <x v="2"/>
    <s v="CONGO"/>
    <s v="RALFF-CO4404"/>
    <s v="4.6"/>
    <m/>
  </r>
  <r>
    <d v="2023-03-28T00:00:00"/>
    <s v="Achat credit  teléphonique MTN/PALF/Prémière partie Avril 2023/Legal"/>
    <x v="15"/>
    <s v="Legal"/>
    <m/>
    <n v="53000"/>
    <n v="20496412"/>
    <x v="1"/>
    <s v="Oui"/>
    <x v="2"/>
    <x v="2"/>
    <s v="CONGO"/>
    <s v="RALFF-CO4405"/>
    <s v="4.6"/>
    <m/>
  </r>
  <r>
    <d v="2023-03-28T00:00:00"/>
    <s v="Achat credit  teléphonique MTN/PALF/Prémière partie Avril 2023/Investigation"/>
    <x v="15"/>
    <s v="Investigation"/>
    <m/>
    <n v="10000"/>
    <n v="20486412"/>
    <x v="1"/>
    <s v="Oui"/>
    <x v="2"/>
    <x v="2"/>
    <s v="CONGO"/>
    <s v="RALFF-CO4406"/>
    <s v="4.6"/>
    <m/>
  </r>
  <r>
    <d v="2023-03-28T00:00:00"/>
    <s v="Achat credit  teléphonique MTN/PALF/Prémière partie Avril 2023/Investigation Volontaire"/>
    <x v="15"/>
    <s v="Investigation"/>
    <m/>
    <n v="42000"/>
    <n v="20444412"/>
    <x v="1"/>
    <s v="Oui"/>
    <x v="1"/>
    <x v="1"/>
    <s v="CONGO"/>
    <m/>
    <m/>
    <m/>
  </r>
  <r>
    <d v="2023-03-28T00:00:00"/>
    <s v="Achat credit  teléphonique MTN/PALF/Prémière partie Avril 2023/Media"/>
    <x v="15"/>
    <s v="Media"/>
    <m/>
    <n v="5000"/>
    <n v="20439412"/>
    <x v="1"/>
    <s v="Oui"/>
    <x v="2"/>
    <x v="2"/>
    <s v="CONGO"/>
    <s v="RALFF-CO4407"/>
    <s v="4.6"/>
    <m/>
  </r>
  <r>
    <d v="2023-03-28T00:00:00"/>
    <s v="Achat credit  teléphonique Airtel/PALF/Prémière partie Avril 2023/Management"/>
    <x v="15"/>
    <s v="Management"/>
    <m/>
    <n v="10000"/>
    <n v="20429412"/>
    <x v="1"/>
    <s v="Oui"/>
    <x v="2"/>
    <x v="2"/>
    <s v="CONGO"/>
    <s v="RALFF-CO4408"/>
    <s v="4.6"/>
    <m/>
  </r>
  <r>
    <d v="2023-03-28T00:00:00"/>
    <s v="Achat credit  teléphonique Airtel/PALF/Prémière partie Avril 2023/Legal"/>
    <x v="15"/>
    <s v="Legal"/>
    <m/>
    <n v="10000"/>
    <n v="20419412"/>
    <x v="1"/>
    <s v="Oui"/>
    <x v="2"/>
    <x v="2"/>
    <s v="CONGO"/>
    <s v="RALFF-CO4409"/>
    <s v="4.6"/>
    <m/>
  </r>
  <r>
    <d v="2023-03-28T00:00:00"/>
    <s v="Achat credit  teléphonique Airtel/PALF/Prémière partie Avril 2023/Investigation"/>
    <x v="15"/>
    <s v="Investigation"/>
    <m/>
    <n v="16000"/>
    <n v="20403412"/>
    <x v="1"/>
    <s v="Oui"/>
    <x v="2"/>
    <x v="2"/>
    <s v="CONGO"/>
    <s v="RALFF-CO4410"/>
    <s v="4.6"/>
    <m/>
  </r>
  <r>
    <d v="2023-03-28T00:00:00"/>
    <s v="Achat credit  teléphonique Airtel/PALF/Prémière partie Avril 2023/Media"/>
    <x v="15"/>
    <s v="Media"/>
    <m/>
    <n v="11000"/>
    <n v="20392412"/>
    <x v="1"/>
    <s v="Oui"/>
    <x v="2"/>
    <x v="2"/>
    <s v="CONGO"/>
    <s v="RALFF-CO4411"/>
    <s v="4.6"/>
    <m/>
  </r>
  <r>
    <d v="2023-03-28T00:00:00"/>
    <s v="Reglement loyer mois de Mars 2023/Pluriel solution ch N°3667320"/>
    <x v="10"/>
    <s v="Office"/>
    <m/>
    <n v="500000"/>
    <n v="19892412"/>
    <x v="4"/>
    <n v="3667320"/>
    <x v="2"/>
    <x v="2"/>
    <s v="CONGO"/>
    <s v="RALFF-CO4412"/>
    <s v="4.2"/>
    <m/>
  </r>
  <r>
    <d v="2023-03-28T00:00:00"/>
    <s v="Reçu de caisse/Crépin"/>
    <x v="2"/>
    <m/>
    <n v="10000"/>
    <m/>
    <n v="19902412"/>
    <x v="2"/>
    <m/>
    <x v="0"/>
    <x v="0"/>
    <m/>
    <m/>
    <m/>
    <m/>
  </r>
  <r>
    <d v="2023-03-28T00:00:00"/>
    <s v="Achat raffraichissement pour l'équipe pendant l'attente de l'opération/B/ville"/>
    <x v="5"/>
    <s v="Operation"/>
    <m/>
    <n v="10000"/>
    <n v="19892412"/>
    <x v="2"/>
    <s v="Decharge"/>
    <x v="1"/>
    <x v="1"/>
    <s v="CONGO"/>
    <m/>
    <m/>
    <m/>
  </r>
  <r>
    <d v="2023-03-28T00:00:00"/>
    <s v="Recu caisse/Grace Molende"/>
    <x v="2"/>
    <m/>
    <n v="106000"/>
    <m/>
    <n v="19998412"/>
    <x v="13"/>
    <m/>
    <x v="0"/>
    <x v="0"/>
    <m/>
    <m/>
    <m/>
    <m/>
  </r>
  <r>
    <d v="2023-03-28T00:00:00"/>
    <s v="Cumul frais de Transport local mois de Mars 2023/EVARISTE LELOUSSI"/>
    <x v="4"/>
    <s v="Media"/>
    <m/>
    <n v="36900"/>
    <n v="19961512"/>
    <x v="11"/>
    <s v="Decharge"/>
    <x v="2"/>
    <x v="2"/>
    <s v="CONGO"/>
    <s v="RALFF-CO4413"/>
    <s v="2.2"/>
    <m/>
  </r>
  <r>
    <d v="2023-03-28T00:00:00"/>
    <s v="Reçu de la caisse/Evariste"/>
    <x v="2"/>
    <m/>
    <n v="50000"/>
    <m/>
    <n v="20011512"/>
    <x v="11"/>
    <m/>
    <x v="0"/>
    <x v="0"/>
    <m/>
    <m/>
    <m/>
    <m/>
  </r>
  <r>
    <d v="2023-03-28T00:00:00"/>
    <s v="Achat du carburant pour  02 BJ N°1 et N°2 des Gendarmes"/>
    <x v="4"/>
    <s v="Operation"/>
    <m/>
    <n v="50000"/>
    <n v="19961512"/>
    <x v="11"/>
    <s v="Oui"/>
    <x v="1"/>
    <x v="1"/>
    <s v="CONGO"/>
    <m/>
    <m/>
    <m/>
  </r>
  <r>
    <d v="2023-03-28T00:00:00"/>
    <s v="Reçu de la caisse/Evariste"/>
    <x v="2"/>
    <m/>
    <n v="20000"/>
    <m/>
    <n v="19981512"/>
    <x v="11"/>
    <m/>
    <x v="0"/>
    <x v="0"/>
    <m/>
    <m/>
    <m/>
    <m/>
  </r>
  <r>
    <d v="2023-03-28T00:00:00"/>
    <s v="Taxi:Kintélé-Pont du Djoué(opération)/Hurielle"/>
    <x v="4"/>
    <s v="Operation"/>
    <m/>
    <n v="5000"/>
    <n v="19976512"/>
    <x v="8"/>
    <s v="Oui"/>
    <x v="1"/>
    <x v="1"/>
    <s v="CONGO"/>
    <m/>
    <m/>
    <m/>
  </r>
  <r>
    <d v="2023-03-28T00:00:00"/>
    <s v="Achat billet : Dolisie - pointe noire/T73"/>
    <x v="4"/>
    <s v="Investigation"/>
    <m/>
    <n v="5000"/>
    <n v="19971512"/>
    <x v="5"/>
    <s v="Oui"/>
    <x v="1"/>
    <x v="1"/>
    <s v="CONGO"/>
    <m/>
    <m/>
    <m/>
  </r>
  <r>
    <d v="2023-03-28T00:00:00"/>
    <s v="T73 - CONGO Frais d'Hotel du 24 au 28/03/2023 (04 nuitées) à dolisie"/>
    <x v="5"/>
    <s v="Investigation"/>
    <m/>
    <n v="60000"/>
    <n v="19911512"/>
    <x v="5"/>
    <s v="Oui"/>
    <x v="1"/>
    <x v="1"/>
    <s v="CONGO"/>
    <m/>
    <m/>
    <m/>
  </r>
  <r>
    <d v="2023-03-28T00:00:00"/>
    <s v="P29 - CONGO Food allowance mission du 28-03 au 01-04-2023"/>
    <x v="5"/>
    <s v="Investigation"/>
    <m/>
    <n v="40000"/>
    <n v="19871512"/>
    <x v="6"/>
    <s v="Decharge"/>
    <x v="1"/>
    <x v="2"/>
    <s v="CONGO"/>
    <s v="RALFF-CO4414"/>
    <s v="1.3.2"/>
    <m/>
  </r>
  <r>
    <d v="2023-03-29T00:00:00"/>
    <s v="D58 - CONGO Frais d'Hotel à Dolisie (04 Nuitées) du 25 au 29/03/2023 à Dolisie"/>
    <x v="5"/>
    <s v="Investigation"/>
    <m/>
    <n v="60000"/>
    <n v="19811512"/>
    <x v="3"/>
    <s v="Oui"/>
    <x v="1"/>
    <x v="1"/>
    <s v="CONGO"/>
    <m/>
    <m/>
    <m/>
  </r>
  <r>
    <d v="2023-03-29T00:00:00"/>
    <s v="Frais de démarcheur/Recherche Appart. OP à PNR"/>
    <x v="4"/>
    <s v="Investigation"/>
    <m/>
    <n v="5000"/>
    <n v="19806512"/>
    <x v="5"/>
    <s v="Oui"/>
    <x v="1"/>
    <x v="1"/>
    <s v="CONGO"/>
    <m/>
    <m/>
    <m/>
  </r>
  <r>
    <d v="2023-03-29T00:00:00"/>
    <s v="Paiement démarcheur/P29"/>
    <x v="4"/>
    <s v="Investigation"/>
    <m/>
    <n v="7000"/>
    <n v="19799512"/>
    <x v="6"/>
    <s v="Oui"/>
    <x v="1"/>
    <x v="2"/>
    <s v="CONGO"/>
    <s v="RALFF-CO4415"/>
    <s v="2.2"/>
    <m/>
  </r>
  <r>
    <d v="2023-03-30T00:00:00"/>
    <s v="Achat 04 maxi d'eau minerale/Bureau PALF"/>
    <x v="8"/>
    <s v="Office"/>
    <m/>
    <n v="18000"/>
    <n v="19781512"/>
    <x v="1"/>
    <s v="Oui"/>
    <x v="2"/>
    <x v="2"/>
    <s v="CONGO"/>
    <s v="RALFF-CO4416"/>
    <s v="4.3"/>
    <m/>
  </r>
  <r>
    <d v="2023-03-30T00:00:00"/>
    <s v="RAPARATRIEMENT FONDS EAGLE"/>
    <x v="16"/>
    <m/>
    <n v="17494973"/>
    <m/>
    <n v="37276485"/>
    <x v="7"/>
    <s v="Relevé"/>
    <x v="1"/>
    <x v="0"/>
    <s v="CONGO"/>
    <m/>
    <m/>
    <m/>
  </r>
  <r>
    <d v="2023-03-30T00:00:00"/>
    <s v="Achat Billet Dolisie-Brazzaville /GRACE MOLENDE"/>
    <x v="4"/>
    <s v="Management"/>
    <m/>
    <n v="10000"/>
    <n v="37266485"/>
    <x v="13"/>
    <s v="Oui"/>
    <x v="2"/>
    <x v="2"/>
    <s v="CONGO"/>
    <s v="RALFF-CO4417"/>
    <s v="2.2"/>
    <m/>
  </r>
  <r>
    <d v="2023-03-30T00:00:00"/>
    <s v="GRACE MOLENDE - CONGO Frais d'hotel Dolisie du 25 au 30/03/23... (05 Nuitées)"/>
    <x v="5"/>
    <s v="Management"/>
    <m/>
    <n v="75000"/>
    <n v="37191485"/>
    <x v="13"/>
    <s v="Oui"/>
    <x v="2"/>
    <x v="2"/>
    <s v="CONGO"/>
    <s v="RALFF-CO4418"/>
    <s v="1.3.2"/>
    <m/>
  </r>
  <r>
    <d v="2023-03-30T00:00:00"/>
    <s v="Cumul Frais de transport local mois de Mars 2023/Hurielle"/>
    <x v="4"/>
    <s v="Legal"/>
    <m/>
    <n v="22100"/>
    <n v="37169385"/>
    <x v="8"/>
    <s v="Decharge"/>
    <x v="2"/>
    <x v="2"/>
    <s v="CONGO"/>
    <s v="RALFF-CO4419"/>
    <s v="2.2"/>
    <m/>
  </r>
  <r>
    <d v="2023-03-31T00:00:00"/>
    <s v="T73"/>
    <x v="2"/>
    <m/>
    <m/>
    <n v="150000"/>
    <n v="37019385"/>
    <x v="1"/>
    <m/>
    <x v="0"/>
    <x v="0"/>
    <m/>
    <m/>
    <m/>
    <m/>
  </r>
  <r>
    <d v="2023-03-31T00:00:00"/>
    <s v="D58"/>
    <x v="2"/>
    <m/>
    <m/>
    <n v="150000"/>
    <n v="36869385"/>
    <x v="1"/>
    <m/>
    <x v="0"/>
    <x v="0"/>
    <m/>
    <m/>
    <m/>
    <m/>
  </r>
  <r>
    <d v="2023-03-31T00:00:00"/>
    <s v="Frais de transfert charden farell à D58 et T73"/>
    <x v="7"/>
    <s v="Office"/>
    <m/>
    <n v="9000"/>
    <n v="36860385"/>
    <x v="1"/>
    <s v="Oui"/>
    <x v="1"/>
    <x v="1"/>
    <s v="CONGO"/>
    <m/>
    <m/>
    <m/>
  </r>
  <r>
    <d v="2023-03-31T00:00:00"/>
    <s v="P29"/>
    <x v="2"/>
    <m/>
    <m/>
    <n v="150000"/>
    <n v="36710385"/>
    <x v="1"/>
    <m/>
    <x v="0"/>
    <x v="0"/>
    <m/>
    <m/>
    <m/>
    <m/>
  </r>
  <r>
    <d v="2023-03-31T00:00:00"/>
    <s v="Frais de transfert charden farell à P29"/>
    <x v="7"/>
    <s v="Office"/>
    <m/>
    <n v="4500"/>
    <n v="36705885"/>
    <x v="1"/>
    <s v="Oui"/>
    <x v="2"/>
    <x v="2"/>
    <s v="CONGO"/>
    <s v="RALFF-CO4420"/>
    <s v="5.6"/>
    <m/>
  </r>
  <r>
    <d v="2023-03-31T00:00:00"/>
    <s v="Donald-Roméo"/>
    <x v="2"/>
    <m/>
    <m/>
    <n v="20000"/>
    <n v="36685885"/>
    <x v="1"/>
    <m/>
    <x v="0"/>
    <x v="0"/>
    <m/>
    <m/>
    <m/>
    <m/>
  </r>
  <r>
    <d v="2023-03-31T00:00:00"/>
    <s v="Crepin"/>
    <x v="2"/>
    <m/>
    <m/>
    <n v="145000"/>
    <n v="36540885"/>
    <x v="1"/>
    <m/>
    <x v="0"/>
    <x v="0"/>
    <m/>
    <m/>
    <m/>
    <m/>
  </r>
  <r>
    <d v="2023-03-31T00:00:00"/>
    <s v="Reglement Facture Gardiennage Mois de Mars 2023/3654543"/>
    <x v="11"/>
    <s v="Office"/>
    <m/>
    <n v="260000"/>
    <n v="36280885"/>
    <x v="7"/>
    <n v="3654543"/>
    <x v="1"/>
    <x v="1"/>
    <s v="CONGO"/>
    <m/>
    <m/>
    <m/>
  </r>
  <r>
    <d v="2023-03-31T00:00:00"/>
    <s v="Reçu de caisse/Crépin"/>
    <x v="2"/>
    <m/>
    <n v="145000"/>
    <m/>
    <n v="36425885"/>
    <x v="2"/>
    <m/>
    <x v="0"/>
    <x v="0"/>
    <m/>
    <m/>
    <m/>
    <m/>
  </r>
  <r>
    <d v="2023-03-31T00:00:00"/>
    <s v="Cumul Frais de transport local Mois de Mars 2023/Grace MOLENDE"/>
    <x v="4"/>
    <s v="Management"/>
    <m/>
    <n v="32000"/>
    <n v="36393885"/>
    <x v="13"/>
    <s v="Decharge"/>
    <x v="2"/>
    <x v="2"/>
    <s v="CONGO"/>
    <s v="RALFF-CO4421"/>
    <s v="2.2"/>
    <m/>
  </r>
  <r>
    <d v="2023-03-31T00:00:00"/>
    <s v="Cumul frais de transport local Mois de Mars 2023/Merveille"/>
    <x v="4"/>
    <s v="Management"/>
    <m/>
    <n v="30500"/>
    <n v="36363385"/>
    <x v="10"/>
    <s v="Decharge"/>
    <x v="2"/>
    <x v="2"/>
    <s v="CONGO"/>
    <s v="RALFF-CO4422"/>
    <s v="2.2"/>
    <m/>
  </r>
  <r>
    <d v="2023-03-31T00:00:00"/>
    <s v="Reçu caisse/Donald"/>
    <x v="2"/>
    <m/>
    <n v="20000"/>
    <m/>
    <n v="36383385"/>
    <x v="9"/>
    <m/>
    <x v="0"/>
    <x v="0"/>
    <m/>
    <m/>
    <m/>
    <m/>
  </r>
  <r>
    <d v="2023-03-31T00:00:00"/>
    <s v="Cumul Frais de Transport Local mois de Mars 2023/Donald"/>
    <x v="4"/>
    <s v="Legal"/>
    <m/>
    <n v="27300"/>
    <n v="36356085"/>
    <x v="9"/>
    <s v="Decharge"/>
    <x v="2"/>
    <x v="2"/>
    <s v="CONGO"/>
    <s v="RALFF-CO4423"/>
    <s v="2.2"/>
    <m/>
  </r>
  <r>
    <d v="2023-03-31T00:00:00"/>
    <s v="Recu caisse/D58"/>
    <x v="2"/>
    <m/>
    <n v="150000"/>
    <m/>
    <n v="36506085"/>
    <x v="3"/>
    <m/>
    <x v="0"/>
    <x v="0"/>
    <m/>
    <m/>
    <m/>
    <m/>
  </r>
  <r>
    <d v="2023-03-31T00:00:00"/>
    <s v="Cumul Trust Building mois de Mars 2023/D58"/>
    <x v="18"/>
    <s v="Investigation"/>
    <m/>
    <n v="16000"/>
    <n v="36490085"/>
    <x v="3"/>
    <s v="Decharge"/>
    <x v="1"/>
    <x v="1"/>
    <s v="CONGO"/>
    <m/>
    <m/>
    <m/>
  </r>
  <r>
    <d v="2023-03-31T00:00:00"/>
    <s v="Cumul frais de transport local du mois de Mars 2023/D58"/>
    <x v="4"/>
    <s v="Investigation"/>
    <m/>
    <n v="90400"/>
    <n v="36399685"/>
    <x v="3"/>
    <s v="Decharge"/>
    <x v="1"/>
    <x v="1"/>
    <s v="CONGO"/>
    <m/>
    <m/>
    <m/>
  </r>
  <r>
    <d v="2023-03-31T00:00:00"/>
    <s v="D58 - CONGO Frais d'Hotel à Dolisie (02 Nuitées) du 29 au 31/03/2023 à Dolisie"/>
    <x v="5"/>
    <s v="Investigation"/>
    <m/>
    <n v="30000"/>
    <n v="36369685"/>
    <x v="3"/>
    <s v="Oui"/>
    <x v="1"/>
    <x v="1"/>
    <s v="CONGO"/>
    <m/>
    <m/>
    <m/>
  </r>
  <r>
    <d v="2023-03-31T00:00:00"/>
    <s v="Cumul frais de trust building mois de Mars 2023/T73"/>
    <x v="18"/>
    <s v="Investigation"/>
    <m/>
    <n v="35500"/>
    <n v="36334185"/>
    <x v="5"/>
    <s v="Decharge"/>
    <x v="1"/>
    <x v="1"/>
    <s v="CONGO"/>
    <m/>
    <m/>
    <m/>
  </r>
  <r>
    <d v="2023-03-31T00:00:00"/>
    <s v="Cumul frais de transport local mois de mars 2023/T73"/>
    <x v="4"/>
    <s v="Investigation"/>
    <m/>
    <n v="91100"/>
    <n v="36243085"/>
    <x v="5"/>
    <s v="Decharge"/>
    <x v="1"/>
    <x v="1"/>
    <s v="CONGO"/>
    <m/>
    <m/>
    <m/>
  </r>
  <r>
    <d v="2023-03-31T00:00:00"/>
    <s v="T73 - CONGO Frais d'Hotel du 28 au 31/03/2023 (02nuitées) à Pointe-Noire"/>
    <x v="5"/>
    <s v="Investigation"/>
    <m/>
    <n v="45000"/>
    <n v="36198085"/>
    <x v="5"/>
    <s v="Oui"/>
    <x v="1"/>
    <x v="1"/>
    <s v="CONGO"/>
    <m/>
    <m/>
    <m/>
  </r>
  <r>
    <d v="2023-03-31T00:00:00"/>
    <s v="Reçu caisse/T73 "/>
    <x v="2"/>
    <m/>
    <n v="150000"/>
    <m/>
    <n v="36348085"/>
    <x v="5"/>
    <m/>
    <x v="0"/>
    <x v="0"/>
    <m/>
    <m/>
    <m/>
    <m/>
  </r>
  <r>
    <d v="2023-03-31T00:00:00"/>
    <s v="Recu de caisse/P29"/>
    <x v="2"/>
    <m/>
    <n v="150000"/>
    <m/>
    <n v="36498085"/>
    <x v="6"/>
    <m/>
    <x v="0"/>
    <x v="0"/>
    <m/>
    <m/>
    <m/>
    <m/>
  </r>
  <r>
    <d v="2023-03-31T00:00:00"/>
    <s v="Cumul frais de Transport Local mois de Mars 2023/P29"/>
    <x v="4"/>
    <s v="Investigation"/>
    <m/>
    <n v="62100"/>
    <n v="36435985"/>
    <x v="6"/>
    <s v="Decharge"/>
    <x v="1"/>
    <x v="2"/>
    <s v="CONGO"/>
    <s v="RALFF-CO4424"/>
    <s v="2.2"/>
    <m/>
  </r>
  <r>
    <d v="2023-03-31T00:00:00"/>
    <s v="Cumul frais de Trust Bulding mois de Mars 2023/P29"/>
    <x v="18"/>
    <s v="Investigation"/>
    <m/>
    <n v="26500"/>
    <n v="36409485"/>
    <x v="6"/>
    <s v="Decharge"/>
    <x v="1"/>
    <x v="1"/>
    <s v="CONGO"/>
    <m/>
    <m/>
    <m/>
  </r>
  <r>
    <d v="2023-03-31T00:00:00"/>
    <s v="P29 - CONGO Frais d'hotel 3 nuitées du 28  au 31/03/2023  à pointe noire"/>
    <x v="5"/>
    <s v="Investigation"/>
    <m/>
    <n v="45000"/>
    <n v="36364485"/>
    <x v="6"/>
    <s v="Oui"/>
    <x v="1"/>
    <x v="2"/>
    <s v="CONGO"/>
    <s v="RALFF-CO4425"/>
    <s v="1.3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6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4:E18" firstHeaderRow="1" firstDataRow="2" firstDataCol="1"/>
  <pivotFields count="15">
    <pivotField numFmtId="17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6">
        <item x="3"/>
        <item x="2"/>
        <item h="1" m="1" x="4"/>
        <item h="1" x="0"/>
        <item x="1"/>
        <item t="default"/>
      </items>
    </pivotField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4">
    <i>
      <x/>
    </i>
    <i>
      <x v="1"/>
    </i>
    <i>
      <x v="4"/>
    </i>
    <i t="grand">
      <x/>
    </i>
  </colItems>
  <dataFields count="1">
    <dataField name="Somme de Spent" fld="5" baseField="0" baseItem="0"/>
  </dataFields>
  <formats count="1">
    <format dxfId="1">
      <pivotArea dataOnly="0" outline="0" fieldPosition="0">
        <references count="1"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5">
    <pivotField numFmtId="17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6">
        <item x="3"/>
        <item x="2"/>
        <item h="1" m="1" x="4"/>
        <item h="1"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4">
    <i>
      <x/>
    </i>
    <i>
      <x v="1"/>
    </i>
    <i>
      <x v="4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2" cacheId="6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M19" firstHeaderRow="1" firstDataRow="3" firstDataCol="1"/>
  <pivotFields count="15">
    <pivotField numFmtId="171" showAll="0"/>
    <pivotField showAll="0"/>
    <pivotField axis="axisCol" showAll="0">
      <items count="20">
        <item x="6"/>
        <item x="1"/>
        <item x="12"/>
        <item x="14"/>
        <item x="16"/>
        <item x="17"/>
        <item x="13"/>
        <item x="3"/>
        <item x="8"/>
        <item x="9"/>
        <item x="10"/>
        <item x="11"/>
        <item x="15"/>
        <item x="7"/>
        <item x="4"/>
        <item x="5"/>
        <item x="18"/>
        <item x="2"/>
        <item x="0"/>
        <item t="default"/>
      </items>
    </pivotField>
    <pivotField showAll="0"/>
    <pivotField dataField="1" showAll="0"/>
    <pivotField dataField="1" showAll="0"/>
    <pivotField showAll="0"/>
    <pivotField axis="axisRow" showAll="0">
      <items count="15">
        <item x="7"/>
        <item x="4"/>
        <item x="1"/>
        <item x="2"/>
        <item x="3"/>
        <item x="9"/>
        <item x="11"/>
        <item x="13"/>
        <item x="8"/>
        <item x="10"/>
        <item x="6"/>
        <item x="5"/>
        <item x="1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U1209"/>
  <sheetViews>
    <sheetView zoomScale="73" zoomScaleNormal="73" workbookViewId="0">
      <pane xSplit="1" topLeftCell="B1" activePane="topRight" state="frozen"/>
      <selection pane="topRight" activeCell="F21" sqref="F21"/>
    </sheetView>
  </sheetViews>
  <sheetFormatPr baseColWidth="10" defaultColWidth="11.42578125" defaultRowHeight="15"/>
  <cols>
    <col min="1" max="1" width="46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22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194" customWidth="1"/>
    <col min="18" max="16384" width="11.42578125" style="5"/>
  </cols>
  <sheetData>
    <row r="2" spans="1:21" ht="15.75">
      <c r="A2" s="6" t="s">
        <v>36</v>
      </c>
      <c r="B2" s="6" t="s">
        <v>1</v>
      </c>
      <c r="C2" s="6">
        <v>44986</v>
      </c>
      <c r="D2" s="7" t="s">
        <v>37</v>
      </c>
      <c r="E2" s="7" t="s">
        <v>38</v>
      </c>
      <c r="F2" s="7" t="s">
        <v>39</v>
      </c>
      <c r="G2" s="7" t="s">
        <v>40</v>
      </c>
      <c r="H2" s="6">
        <v>45016</v>
      </c>
      <c r="I2" s="7" t="s">
        <v>41</v>
      </c>
      <c r="K2" s="47"/>
      <c r="L2" s="47" t="s">
        <v>42</v>
      </c>
      <c r="M2" s="47" t="s">
        <v>43</v>
      </c>
      <c r="N2" s="47" t="s">
        <v>44</v>
      </c>
      <c r="O2" s="47" t="s">
        <v>45</v>
      </c>
      <c r="Q2" s="5"/>
    </row>
    <row r="3" spans="1:21" ht="16.5">
      <c r="A3" s="60" t="str">
        <f>K3</f>
        <v>BCI</v>
      </c>
      <c r="B3" s="61" t="s">
        <v>46</v>
      </c>
      <c r="C3" s="63">
        <v>4918207</v>
      </c>
      <c r="D3" s="63">
        <f>+L3</f>
        <v>0</v>
      </c>
      <c r="E3" s="63">
        <f>+N3</f>
        <v>693345</v>
      </c>
      <c r="F3" s="63">
        <f>+M3</f>
        <v>2000000</v>
      </c>
      <c r="G3" s="63">
        <f t="shared" ref="G3:G17" si="0">+O3</f>
        <v>17494973</v>
      </c>
      <c r="H3" s="63">
        <v>19719835</v>
      </c>
      <c r="I3" s="63">
        <f>+C3+D3-E3-F3+G3</f>
        <v>19719835</v>
      </c>
      <c r="J3" s="9">
        <f>I3-H3</f>
        <v>0</v>
      </c>
      <c r="K3" s="47" t="s">
        <v>24</v>
      </c>
      <c r="L3" s="289"/>
      <c r="M3" s="289">
        <v>2000000</v>
      </c>
      <c r="N3" s="289">
        <v>693345</v>
      </c>
      <c r="O3" s="289">
        <v>17494973</v>
      </c>
      <c r="Q3" s="5"/>
      <c r="R3"/>
      <c r="S3"/>
      <c r="T3"/>
      <c r="U3"/>
    </row>
    <row r="4" spans="1:21" ht="16.5">
      <c r="A4" s="60" t="str">
        <f t="shared" ref="A4:A17" si="1">K4</f>
        <v>BCI-Sous Compte</v>
      </c>
      <c r="B4" s="61" t="s">
        <v>46</v>
      </c>
      <c r="C4" s="63">
        <v>2231034</v>
      </c>
      <c r="D4" s="63">
        <f t="shared" ref="D4:D15" si="2">+L4</f>
        <v>0</v>
      </c>
      <c r="E4" s="63">
        <f t="shared" ref="E4:E9" si="3">+N4</f>
        <v>2724801</v>
      </c>
      <c r="F4" s="63">
        <f t="shared" ref="F4:F12" si="4">+M4</f>
        <v>4000000</v>
      </c>
      <c r="G4" s="63">
        <f t="shared" si="0"/>
        <v>19110651</v>
      </c>
      <c r="H4" s="63">
        <v>14616884</v>
      </c>
      <c r="I4" s="63">
        <f>+C4+D4-E4-F4+G4</f>
        <v>14616884</v>
      </c>
      <c r="J4" s="9">
        <f t="shared" ref="J4:J11" si="5">I4-H4</f>
        <v>0</v>
      </c>
      <c r="K4" s="47" t="s">
        <v>155</v>
      </c>
      <c r="L4" s="289"/>
      <c r="M4" s="289">
        <v>4000000</v>
      </c>
      <c r="N4" s="289">
        <v>2724801</v>
      </c>
      <c r="O4" s="289">
        <v>19110651</v>
      </c>
      <c r="Q4" s="5"/>
      <c r="R4"/>
      <c r="S4"/>
      <c r="T4"/>
      <c r="U4"/>
    </row>
    <row r="5" spans="1:21" ht="16.5">
      <c r="A5" s="60" t="str">
        <f t="shared" si="1"/>
        <v>Caisse</v>
      </c>
      <c r="B5" s="61" t="s">
        <v>25</v>
      </c>
      <c r="C5" s="63">
        <v>925495</v>
      </c>
      <c r="D5" s="63">
        <f t="shared" si="2"/>
        <v>6008000</v>
      </c>
      <c r="E5" s="63">
        <f t="shared" si="3"/>
        <v>2280788</v>
      </c>
      <c r="F5" s="63">
        <f t="shared" si="4"/>
        <v>4242000</v>
      </c>
      <c r="G5" s="63">
        <f t="shared" si="0"/>
        <v>0</v>
      </c>
      <c r="H5" s="63">
        <v>410707</v>
      </c>
      <c r="I5" s="63">
        <f>+C5+D5-E5-F5+G5</f>
        <v>410707</v>
      </c>
      <c r="J5" s="108">
        <f t="shared" si="5"/>
        <v>0</v>
      </c>
      <c r="K5" s="47" t="s">
        <v>25</v>
      </c>
      <c r="L5" s="289">
        <v>6008000</v>
      </c>
      <c r="M5" s="289">
        <v>4242000</v>
      </c>
      <c r="N5" s="289">
        <v>2280788</v>
      </c>
      <c r="O5" s="289"/>
      <c r="Q5" s="5"/>
      <c r="R5"/>
      <c r="S5"/>
      <c r="T5"/>
      <c r="U5"/>
    </row>
    <row r="6" spans="1:21" ht="16.5">
      <c r="A6" s="60" t="str">
        <f t="shared" si="1"/>
        <v>Crépin</v>
      </c>
      <c r="B6" s="61" t="s">
        <v>161</v>
      </c>
      <c r="C6" s="63">
        <v>46045</v>
      </c>
      <c r="D6" s="63">
        <f t="shared" si="2"/>
        <v>1304000</v>
      </c>
      <c r="E6" s="63">
        <f t="shared" si="3"/>
        <v>1144025</v>
      </c>
      <c r="F6" s="63">
        <f t="shared" si="4"/>
        <v>0</v>
      </c>
      <c r="G6" s="63">
        <f t="shared" si="0"/>
        <v>0</v>
      </c>
      <c r="H6" s="63">
        <v>206020</v>
      </c>
      <c r="I6" s="63">
        <f>+C6+D6-E6-F6+G6</f>
        <v>206020</v>
      </c>
      <c r="J6" s="9">
        <f t="shared" si="5"/>
        <v>0</v>
      </c>
      <c r="K6" s="47" t="s">
        <v>47</v>
      </c>
      <c r="L6" s="289">
        <v>1304000</v>
      </c>
      <c r="M6" s="289">
        <v>0</v>
      </c>
      <c r="N6" s="289">
        <v>1144025</v>
      </c>
      <c r="O6" s="289"/>
      <c r="Q6" s="5"/>
      <c r="R6"/>
      <c r="S6"/>
      <c r="T6"/>
      <c r="U6"/>
    </row>
    <row r="7" spans="1:21" ht="16.5">
      <c r="A7" s="60" t="str">
        <f t="shared" si="1"/>
        <v>D58</v>
      </c>
      <c r="B7" s="61" t="s">
        <v>4</v>
      </c>
      <c r="C7" s="63">
        <v>107500</v>
      </c>
      <c r="D7" s="63">
        <f t="shared" si="2"/>
        <v>692000</v>
      </c>
      <c r="E7" s="63">
        <f t="shared" si="3"/>
        <v>694400</v>
      </c>
      <c r="F7" s="63">
        <f t="shared" si="4"/>
        <v>0</v>
      </c>
      <c r="G7" s="63">
        <f t="shared" si="0"/>
        <v>0</v>
      </c>
      <c r="H7" s="63">
        <v>105100</v>
      </c>
      <c r="I7" s="63">
        <f>+C7+D7-E7-F7+G7</f>
        <v>105100</v>
      </c>
      <c r="J7" s="9">
        <f t="shared" si="5"/>
        <v>0</v>
      </c>
      <c r="K7" s="47" t="s">
        <v>277</v>
      </c>
      <c r="L7" s="289">
        <v>692000</v>
      </c>
      <c r="M7" s="289">
        <v>0</v>
      </c>
      <c r="N7" s="289">
        <v>694400</v>
      </c>
      <c r="O7" s="289"/>
      <c r="Q7" s="5"/>
      <c r="R7"/>
      <c r="S7"/>
      <c r="T7"/>
      <c r="U7"/>
    </row>
    <row r="8" spans="1:21" ht="16.5">
      <c r="A8" s="60" t="str">
        <f t="shared" si="1"/>
        <v>Donald</v>
      </c>
      <c r="B8" s="61" t="s">
        <v>161</v>
      </c>
      <c r="C8" s="63">
        <v>8650</v>
      </c>
      <c r="D8" s="63">
        <f t="shared" si="2"/>
        <v>130000</v>
      </c>
      <c r="E8" s="63">
        <f t="shared" si="3"/>
        <v>119300</v>
      </c>
      <c r="F8" s="63">
        <f t="shared" si="4"/>
        <v>0</v>
      </c>
      <c r="G8" s="63">
        <f t="shared" si="0"/>
        <v>0</v>
      </c>
      <c r="H8" s="63">
        <v>19350</v>
      </c>
      <c r="I8" s="63">
        <f t="shared" ref="I8:I9" si="6">+C8+D8-E8-F8+G8</f>
        <v>19350</v>
      </c>
      <c r="J8" s="9">
        <f t="shared" si="5"/>
        <v>0</v>
      </c>
      <c r="K8" s="47" t="s">
        <v>263</v>
      </c>
      <c r="L8" s="289">
        <v>130000</v>
      </c>
      <c r="M8" s="289">
        <v>0</v>
      </c>
      <c r="N8" s="289">
        <v>119300</v>
      </c>
      <c r="O8" s="289"/>
      <c r="Q8" s="5"/>
      <c r="R8"/>
      <c r="S8"/>
      <c r="T8"/>
      <c r="U8"/>
    </row>
    <row r="9" spans="1:21" ht="16.5">
      <c r="A9" s="60" t="str">
        <f t="shared" si="1"/>
        <v>Evariste</v>
      </c>
      <c r="B9" s="61" t="s">
        <v>162</v>
      </c>
      <c r="C9" s="63">
        <v>18325</v>
      </c>
      <c r="D9" s="63">
        <f t="shared" si="2"/>
        <v>164000</v>
      </c>
      <c r="E9" s="63">
        <f t="shared" si="3"/>
        <v>156900</v>
      </c>
      <c r="F9" s="63">
        <f t="shared" si="4"/>
        <v>0</v>
      </c>
      <c r="G9" s="63">
        <f t="shared" si="0"/>
        <v>0</v>
      </c>
      <c r="H9" s="63">
        <v>25425</v>
      </c>
      <c r="I9" s="63">
        <f t="shared" si="6"/>
        <v>25425</v>
      </c>
      <c r="J9" s="9">
        <f t="shared" si="5"/>
        <v>0</v>
      </c>
      <c r="K9" s="47" t="s">
        <v>31</v>
      </c>
      <c r="L9" s="289">
        <v>164000</v>
      </c>
      <c r="M9" s="289">
        <v>0</v>
      </c>
      <c r="N9" s="289">
        <v>156900</v>
      </c>
      <c r="O9" s="289"/>
      <c r="Q9" s="5"/>
      <c r="R9"/>
      <c r="S9"/>
      <c r="T9"/>
      <c r="U9"/>
    </row>
    <row r="10" spans="1:21" ht="16.5">
      <c r="A10" s="60" t="str">
        <f t="shared" si="1"/>
        <v>I55S</v>
      </c>
      <c r="B10" s="124" t="s">
        <v>4</v>
      </c>
      <c r="C10" s="126">
        <v>233614</v>
      </c>
      <c r="D10" s="126">
        <f t="shared" si="2"/>
        <v>0</v>
      </c>
      <c r="E10" s="126">
        <f>+N10</f>
        <v>0</v>
      </c>
      <c r="F10" s="126">
        <f t="shared" si="4"/>
        <v>0</v>
      </c>
      <c r="G10" s="126">
        <f t="shared" si="0"/>
        <v>0</v>
      </c>
      <c r="H10" s="126">
        <v>233614</v>
      </c>
      <c r="I10" s="126">
        <f>+C10+D10-E10-F10+G10</f>
        <v>233614</v>
      </c>
      <c r="J10" s="9">
        <f t="shared" si="5"/>
        <v>0</v>
      </c>
      <c r="K10" s="47" t="s">
        <v>84</v>
      </c>
      <c r="L10" s="289"/>
      <c r="M10" s="289"/>
      <c r="N10" s="289"/>
      <c r="O10" s="289"/>
      <c r="Q10" s="5"/>
      <c r="R10"/>
      <c r="S10"/>
      <c r="T10"/>
      <c r="U10"/>
    </row>
    <row r="11" spans="1:21" ht="16.5">
      <c r="A11" s="60" t="str">
        <f t="shared" si="1"/>
        <v>I73X</v>
      </c>
      <c r="B11" s="124" t="s">
        <v>4</v>
      </c>
      <c r="C11" s="126">
        <v>249769</v>
      </c>
      <c r="D11" s="126">
        <f t="shared" si="2"/>
        <v>0</v>
      </c>
      <c r="E11" s="126">
        <f>+N11</f>
        <v>0</v>
      </c>
      <c r="F11" s="126">
        <f t="shared" si="4"/>
        <v>0</v>
      </c>
      <c r="G11" s="126">
        <f t="shared" si="0"/>
        <v>0</v>
      </c>
      <c r="H11" s="126">
        <v>249769</v>
      </c>
      <c r="I11" s="126">
        <f t="shared" ref="I11:I15" si="7">+C11+D11-E11-F11+G11</f>
        <v>249769</v>
      </c>
      <c r="J11" s="9">
        <f t="shared" si="5"/>
        <v>0</v>
      </c>
      <c r="K11" s="47" t="s">
        <v>83</v>
      </c>
      <c r="L11" s="289"/>
      <c r="M11" s="289"/>
      <c r="N11" s="289"/>
      <c r="O11" s="289"/>
      <c r="Q11" s="5"/>
      <c r="R11"/>
      <c r="S11"/>
      <c r="T11"/>
      <c r="U11"/>
    </row>
    <row r="12" spans="1:21" s="296" customFormat="1" ht="16.5">
      <c r="A12" s="60" t="str">
        <f t="shared" si="1"/>
        <v>Grace</v>
      </c>
      <c r="B12" s="227" t="s">
        <v>2</v>
      </c>
      <c r="C12" s="292">
        <v>11250</v>
      </c>
      <c r="D12" s="63">
        <f t="shared" si="2"/>
        <v>363000</v>
      </c>
      <c r="E12" s="63">
        <f t="shared" ref="E12" si="8">+N12</f>
        <v>182650</v>
      </c>
      <c r="F12" s="63">
        <f t="shared" si="4"/>
        <v>25000</v>
      </c>
      <c r="G12" s="63">
        <f t="shared" si="0"/>
        <v>0</v>
      </c>
      <c r="H12" s="292">
        <v>166600</v>
      </c>
      <c r="I12" s="292">
        <f t="shared" si="7"/>
        <v>166600</v>
      </c>
      <c r="J12" s="293">
        <f>I12-H12</f>
        <v>0</v>
      </c>
      <c r="K12" s="294" t="s">
        <v>150</v>
      </c>
      <c r="L12" s="289">
        <v>363000</v>
      </c>
      <c r="M12" s="289">
        <v>25000</v>
      </c>
      <c r="N12" s="289">
        <v>182650</v>
      </c>
      <c r="O12" s="289"/>
      <c r="R12"/>
      <c r="S12"/>
      <c r="T12"/>
      <c r="U12"/>
    </row>
    <row r="13" spans="1:21" ht="16.5">
      <c r="A13" s="60" t="str">
        <f t="shared" si="1"/>
        <v>Hurielle</v>
      </c>
      <c r="B13" s="104" t="s">
        <v>161</v>
      </c>
      <c r="C13" s="63">
        <v>39355</v>
      </c>
      <c r="D13" s="63">
        <f t="shared" si="2"/>
        <v>185000</v>
      </c>
      <c r="E13" s="63">
        <f>+N13</f>
        <v>188350</v>
      </c>
      <c r="F13" s="63">
        <f>+M13</f>
        <v>8000</v>
      </c>
      <c r="G13" s="63">
        <f t="shared" si="0"/>
        <v>0</v>
      </c>
      <c r="H13" s="63">
        <v>28005</v>
      </c>
      <c r="I13" s="63">
        <f t="shared" si="7"/>
        <v>28005</v>
      </c>
      <c r="J13" s="9">
        <f t="shared" ref="J13" si="9">I13-H13</f>
        <v>0</v>
      </c>
      <c r="K13" s="47" t="s">
        <v>204</v>
      </c>
      <c r="L13" s="289">
        <v>185000</v>
      </c>
      <c r="M13" s="289">
        <v>8000</v>
      </c>
      <c r="N13" s="289">
        <v>188350</v>
      </c>
      <c r="O13" s="289"/>
      <c r="Q13" s="5"/>
      <c r="R13"/>
      <c r="S13"/>
      <c r="T13"/>
      <c r="U13"/>
    </row>
    <row r="14" spans="1:21" s="296" customFormat="1" ht="16.5">
      <c r="A14" s="60" t="str">
        <f t="shared" si="1"/>
        <v>Merveille</v>
      </c>
      <c r="B14" s="227" t="s">
        <v>2</v>
      </c>
      <c r="C14" s="292">
        <v>14300</v>
      </c>
      <c r="D14" s="63">
        <f t="shared" si="2"/>
        <v>35000</v>
      </c>
      <c r="E14" s="63">
        <f t="shared" ref="E14:E17" si="10">+N14</f>
        <v>30500</v>
      </c>
      <c r="F14" s="63">
        <f t="shared" ref="F14:F17" si="11">+M14</f>
        <v>0</v>
      </c>
      <c r="G14" s="63">
        <f t="shared" si="0"/>
        <v>0</v>
      </c>
      <c r="H14" s="292">
        <v>18800</v>
      </c>
      <c r="I14" s="292">
        <f t="shared" si="7"/>
        <v>18800</v>
      </c>
      <c r="J14" s="293">
        <f>I14-H14</f>
        <v>0</v>
      </c>
      <c r="K14" s="294" t="s">
        <v>93</v>
      </c>
      <c r="L14" s="289">
        <v>35000</v>
      </c>
      <c r="M14" s="289">
        <v>0</v>
      </c>
      <c r="N14" s="289">
        <v>30500</v>
      </c>
      <c r="O14" s="289"/>
      <c r="R14"/>
      <c r="S14"/>
      <c r="T14"/>
      <c r="U14"/>
    </row>
    <row r="15" spans="1:21" ht="16.5">
      <c r="A15" s="60" t="str">
        <f t="shared" si="1"/>
        <v>P29</v>
      </c>
      <c r="B15" s="228" t="s">
        <v>4</v>
      </c>
      <c r="C15" s="63">
        <v>100600</v>
      </c>
      <c r="D15" s="63">
        <f t="shared" si="2"/>
        <v>589000</v>
      </c>
      <c r="E15" s="63">
        <f t="shared" si="10"/>
        <v>453600</v>
      </c>
      <c r="F15" s="63">
        <f t="shared" si="11"/>
        <v>0</v>
      </c>
      <c r="G15" s="63">
        <f t="shared" si="0"/>
        <v>0</v>
      </c>
      <c r="H15" s="63">
        <v>236000</v>
      </c>
      <c r="I15" s="63">
        <f t="shared" si="7"/>
        <v>236000</v>
      </c>
      <c r="J15" s="9">
        <f t="shared" ref="J15:J16" si="12">I15-H15</f>
        <v>0</v>
      </c>
      <c r="K15" s="47" t="s">
        <v>29</v>
      </c>
      <c r="L15" s="289">
        <v>589000</v>
      </c>
      <c r="M15" s="289">
        <v>0</v>
      </c>
      <c r="N15" s="289">
        <v>453600</v>
      </c>
      <c r="O15" s="289"/>
      <c r="Q15" s="5"/>
      <c r="R15"/>
      <c r="S15"/>
      <c r="T15"/>
      <c r="U15"/>
    </row>
    <row r="16" spans="1:21" ht="16.5">
      <c r="A16" s="60" t="str">
        <f t="shared" si="1"/>
        <v>T73</v>
      </c>
      <c r="B16" s="227" t="s">
        <v>4</v>
      </c>
      <c r="C16" s="63">
        <v>208300</v>
      </c>
      <c r="D16" s="63">
        <f>+L16</f>
        <v>805000</v>
      </c>
      <c r="E16" s="63">
        <f t="shared" si="10"/>
        <v>701600</v>
      </c>
      <c r="F16" s="63">
        <f t="shared" si="11"/>
        <v>0</v>
      </c>
      <c r="G16" s="63">
        <f t="shared" si="0"/>
        <v>0</v>
      </c>
      <c r="H16" s="63">
        <v>311700</v>
      </c>
      <c r="I16" s="63">
        <f>+C16+D16-E16-F16+G16</f>
        <v>311700</v>
      </c>
      <c r="J16" s="9">
        <f t="shared" si="12"/>
        <v>0</v>
      </c>
      <c r="K16" s="47" t="s">
        <v>276</v>
      </c>
      <c r="L16" s="289">
        <v>805000</v>
      </c>
      <c r="M16" s="289">
        <v>0</v>
      </c>
      <c r="N16" s="289">
        <v>701600</v>
      </c>
      <c r="O16" s="289"/>
      <c r="Q16" s="5"/>
    </row>
    <row r="17" spans="1:17" ht="16.5">
      <c r="A17" s="60" t="str">
        <f t="shared" si="1"/>
        <v>Tiffany</v>
      </c>
      <c r="B17" s="227" t="s">
        <v>2</v>
      </c>
      <c r="C17" s="63">
        <v>26676</v>
      </c>
      <c r="D17" s="63">
        <f t="shared" ref="D17" si="13">+L17</f>
        <v>0</v>
      </c>
      <c r="E17" s="63">
        <f t="shared" si="10"/>
        <v>10000</v>
      </c>
      <c r="F17" s="63">
        <f t="shared" si="11"/>
        <v>0</v>
      </c>
      <c r="G17" s="63">
        <f t="shared" si="0"/>
        <v>0</v>
      </c>
      <c r="H17" s="63">
        <v>16676</v>
      </c>
      <c r="I17" s="63">
        <f>+C17+D17-E17-F17+G17</f>
        <v>16676</v>
      </c>
      <c r="J17" s="9">
        <f>I17-H17</f>
        <v>0</v>
      </c>
      <c r="K17" s="47" t="s">
        <v>113</v>
      </c>
      <c r="L17" s="289">
        <v>0</v>
      </c>
      <c r="M17" s="289">
        <v>0</v>
      </c>
      <c r="N17" s="289">
        <v>10000</v>
      </c>
      <c r="O17" s="289"/>
      <c r="Q17" s="5"/>
    </row>
    <row r="18" spans="1:17" ht="16.5">
      <c r="A18" s="10" t="s">
        <v>50</v>
      </c>
      <c r="B18" s="11"/>
      <c r="C18" s="12">
        <f t="shared" ref="C18:I18" si="14">SUM(C3:C17)</f>
        <v>9139120</v>
      </c>
      <c r="D18" s="59">
        <f t="shared" si="14"/>
        <v>10275000</v>
      </c>
      <c r="E18" s="59">
        <f t="shared" si="14"/>
        <v>9380259</v>
      </c>
      <c r="F18" s="59">
        <f t="shared" si="14"/>
        <v>10275000</v>
      </c>
      <c r="G18" s="59">
        <f t="shared" si="14"/>
        <v>36605624</v>
      </c>
      <c r="H18" s="59">
        <f t="shared" si="14"/>
        <v>36364485</v>
      </c>
      <c r="I18" s="59">
        <f t="shared" si="14"/>
        <v>36364485</v>
      </c>
      <c r="J18" s="9">
        <f>I18-H18</f>
        <v>0</v>
      </c>
      <c r="K18" s="3"/>
      <c r="L18" s="49">
        <f>+SUM(L3:L17)</f>
        <v>10275000</v>
      </c>
      <c r="M18" s="49">
        <f>+SUM(M3:M17)</f>
        <v>10275000</v>
      </c>
      <c r="N18" s="49">
        <f>+SUM(N3:N17)</f>
        <v>9380259</v>
      </c>
      <c r="O18" s="49">
        <f>+SUM(O3:O17)</f>
        <v>36605624</v>
      </c>
      <c r="Q18" s="5"/>
    </row>
    <row r="19" spans="1:17" ht="16.5">
      <c r="A19" s="10"/>
      <c r="B19" s="11"/>
      <c r="C19" s="12"/>
      <c r="D19" s="13"/>
      <c r="E19" s="12"/>
      <c r="F19" s="13"/>
      <c r="G19" s="12"/>
      <c r="H19" s="12"/>
      <c r="I19" s="143" t="b">
        <f>I18=D21</f>
        <v>1</v>
      </c>
      <c r="J19" s="9">
        <f>H18-I18</f>
        <v>0</v>
      </c>
      <c r="L19" s="5"/>
      <c r="M19" s="5"/>
      <c r="N19" s="5"/>
      <c r="O19" s="5"/>
      <c r="Q19" s="5"/>
    </row>
    <row r="20" spans="1:17" ht="16.5">
      <c r="A20" s="10" t="s">
        <v>512</v>
      </c>
      <c r="B20" s="11" t="s">
        <v>190</v>
      </c>
      <c r="C20" s="12" t="s">
        <v>513</v>
      </c>
      <c r="D20" s="12" t="s">
        <v>514</v>
      </c>
      <c r="E20" s="12" t="s">
        <v>51</v>
      </c>
      <c r="F20" s="12"/>
      <c r="G20" s="12">
        <f>+D18-F18</f>
        <v>0</v>
      </c>
      <c r="H20" s="12"/>
      <c r="I20" s="12"/>
      <c r="Q20" s="5"/>
    </row>
    <row r="21" spans="1:17" ht="16.5">
      <c r="A21" s="14">
        <f>C18</f>
        <v>9139120</v>
      </c>
      <c r="B21" s="15">
        <f>G18</f>
        <v>36605624</v>
      </c>
      <c r="C21" s="12">
        <f>E18</f>
        <v>9380259</v>
      </c>
      <c r="D21" s="12">
        <f>A21+B21-C21</f>
        <v>36364485</v>
      </c>
      <c r="E21" s="13">
        <f>I18-D21</f>
        <v>0</v>
      </c>
      <c r="F21" s="12"/>
      <c r="G21" s="12"/>
      <c r="H21" s="12"/>
      <c r="I21" s="12"/>
      <c r="Q21" s="5"/>
    </row>
    <row r="22" spans="1:17" ht="16.5">
      <c r="A22" s="14"/>
      <c r="B22" s="15"/>
      <c r="C22" s="12"/>
      <c r="D22" s="12"/>
      <c r="E22" s="13"/>
      <c r="F22" s="12"/>
      <c r="G22" s="12"/>
      <c r="H22" s="12"/>
      <c r="I22" s="12"/>
      <c r="Q22" s="5"/>
    </row>
    <row r="23" spans="1:17">
      <c r="A23" s="16" t="s">
        <v>52</v>
      </c>
      <c r="B23" s="16"/>
      <c r="C23" s="16"/>
      <c r="D23" s="17"/>
      <c r="E23" s="17"/>
      <c r="F23" s="17"/>
      <c r="G23" s="17"/>
      <c r="H23" s="17"/>
      <c r="I23" s="17"/>
      <c r="Q23" s="5"/>
    </row>
    <row r="24" spans="1:17">
      <c r="A24" s="18" t="s">
        <v>515</v>
      </c>
      <c r="B24" s="18"/>
      <c r="C24" s="18"/>
      <c r="D24" s="18"/>
      <c r="E24" s="18"/>
      <c r="F24" s="18"/>
      <c r="G24" s="18"/>
      <c r="H24" s="18"/>
      <c r="I24" s="18"/>
      <c r="J24" s="18"/>
      <c r="Q24" s="5"/>
    </row>
    <row r="25" spans="1:17">
      <c r="A25" s="19"/>
      <c r="B25" s="20"/>
      <c r="C25" s="21"/>
      <c r="D25" s="21"/>
      <c r="E25" s="21"/>
      <c r="F25" s="21"/>
      <c r="G25" s="21"/>
      <c r="H25" s="20"/>
      <c r="I25" s="20"/>
      <c r="Q25" s="5"/>
    </row>
    <row r="26" spans="1:17" ht="45" customHeight="1">
      <c r="A26" s="425" t="s">
        <v>53</v>
      </c>
      <c r="B26" s="427" t="s">
        <v>54</v>
      </c>
      <c r="C26" s="429" t="s">
        <v>516</v>
      </c>
      <c r="D26" s="431" t="s">
        <v>55</v>
      </c>
      <c r="E26" s="432"/>
      <c r="F26" s="432"/>
      <c r="G26" s="433"/>
      <c r="H26" s="434" t="s">
        <v>56</v>
      </c>
      <c r="I26" s="436" t="s">
        <v>57</v>
      </c>
      <c r="J26" s="388"/>
      <c r="Q26" s="5"/>
    </row>
    <row r="27" spans="1:17" ht="28.5" customHeight="1">
      <c r="A27" s="426"/>
      <c r="B27" s="428"/>
      <c r="C27" s="430"/>
      <c r="D27" s="22" t="s">
        <v>24</v>
      </c>
      <c r="E27" s="22" t="s">
        <v>25</v>
      </c>
      <c r="F27" s="430" t="s">
        <v>123</v>
      </c>
      <c r="G27" s="22" t="s">
        <v>58</v>
      </c>
      <c r="H27" s="435"/>
      <c r="I27" s="437"/>
      <c r="J27" s="438" t="s">
        <v>517</v>
      </c>
      <c r="K27" s="155"/>
      <c r="Q27" s="5"/>
    </row>
    <row r="28" spans="1:17">
      <c r="A28" s="24"/>
      <c r="B28" s="25" t="s">
        <v>59</v>
      </c>
      <c r="C28" s="26"/>
      <c r="D28" s="26"/>
      <c r="E28" s="26"/>
      <c r="F28" s="26"/>
      <c r="G28" s="26"/>
      <c r="H28" s="26"/>
      <c r="I28" s="27"/>
      <c r="J28" s="438"/>
      <c r="K28" s="155"/>
      <c r="Q28" s="5"/>
    </row>
    <row r="29" spans="1:17">
      <c r="A29" s="130" t="s">
        <v>120</v>
      </c>
      <c r="B29" s="135" t="s">
        <v>47</v>
      </c>
      <c r="C29" s="33">
        <f>+C6</f>
        <v>46045</v>
      </c>
      <c r="D29" s="32"/>
      <c r="E29" s="33">
        <f>+D6</f>
        <v>1304000</v>
      </c>
      <c r="F29" s="33"/>
      <c r="G29" s="33"/>
      <c r="H29" s="57">
        <f>+F6</f>
        <v>0</v>
      </c>
      <c r="I29" s="33">
        <f>+E6</f>
        <v>1144025</v>
      </c>
      <c r="J29" s="31">
        <f t="shared" ref="J29:J32" si="15">+SUM(C29:G29)-(H29+I29)</f>
        <v>206020</v>
      </c>
      <c r="K29" s="156" t="b">
        <f t="shared" ref="K29:K40" si="16">J29=I6</f>
        <v>1</v>
      </c>
      <c r="Q29" s="5"/>
    </row>
    <row r="30" spans="1:17">
      <c r="A30" s="130" t="str">
        <f>+A29</f>
        <v>MARS</v>
      </c>
      <c r="B30" s="135" t="s">
        <v>277</v>
      </c>
      <c r="C30" s="33">
        <f t="shared" ref="C30:C32" si="17">+C7</f>
        <v>107500</v>
      </c>
      <c r="D30" s="32"/>
      <c r="E30" s="33">
        <f t="shared" ref="E30:E32" si="18">+D7</f>
        <v>692000</v>
      </c>
      <c r="F30" s="33"/>
      <c r="G30" s="33"/>
      <c r="H30" s="57">
        <f t="shared" ref="H30:H32" si="19">+F7</f>
        <v>0</v>
      </c>
      <c r="I30" s="33">
        <f t="shared" ref="I30:I32" si="20">+E7</f>
        <v>694400</v>
      </c>
      <c r="J30" s="31">
        <f t="shared" si="15"/>
        <v>105100</v>
      </c>
      <c r="K30" s="156" t="b">
        <f t="shared" si="16"/>
        <v>1</v>
      </c>
      <c r="Q30" s="5"/>
    </row>
    <row r="31" spans="1:17">
      <c r="A31" s="130" t="str">
        <f t="shared" ref="A31:A40" si="21">+A30</f>
        <v>MARS</v>
      </c>
      <c r="B31" s="135" t="s">
        <v>263</v>
      </c>
      <c r="C31" s="33">
        <f t="shared" si="17"/>
        <v>8650</v>
      </c>
      <c r="D31" s="32"/>
      <c r="E31" s="33">
        <f t="shared" si="18"/>
        <v>130000</v>
      </c>
      <c r="F31" s="33"/>
      <c r="G31" s="33"/>
      <c r="H31" s="57">
        <f t="shared" si="19"/>
        <v>0</v>
      </c>
      <c r="I31" s="33">
        <f t="shared" si="20"/>
        <v>119300</v>
      </c>
      <c r="J31" s="31">
        <f t="shared" si="15"/>
        <v>19350</v>
      </c>
      <c r="K31" s="156" t="b">
        <f t="shared" si="16"/>
        <v>1</v>
      </c>
      <c r="Q31" s="5"/>
    </row>
    <row r="32" spans="1:17">
      <c r="A32" s="130" t="str">
        <f t="shared" si="21"/>
        <v>MARS</v>
      </c>
      <c r="B32" s="135" t="s">
        <v>31</v>
      </c>
      <c r="C32" s="33">
        <f t="shared" si="17"/>
        <v>18325</v>
      </c>
      <c r="D32" s="32"/>
      <c r="E32" s="33">
        <f t="shared" si="18"/>
        <v>164000</v>
      </c>
      <c r="F32" s="33"/>
      <c r="G32" s="33"/>
      <c r="H32" s="57">
        <f t="shared" si="19"/>
        <v>0</v>
      </c>
      <c r="I32" s="33">
        <f t="shared" si="20"/>
        <v>156900</v>
      </c>
      <c r="J32" s="31">
        <f t="shared" si="15"/>
        <v>25425</v>
      </c>
      <c r="K32" s="156" t="b">
        <f t="shared" si="16"/>
        <v>1</v>
      </c>
      <c r="Q32" s="5"/>
    </row>
    <row r="33" spans="1:17">
      <c r="A33" s="130" t="str">
        <f t="shared" si="21"/>
        <v>MARS</v>
      </c>
      <c r="B33" s="137" t="s">
        <v>84</v>
      </c>
      <c r="C33" s="128">
        <f>+C10</f>
        <v>233614</v>
      </c>
      <c r="D33" s="131"/>
      <c r="E33" s="128">
        <f>+D10</f>
        <v>0</v>
      </c>
      <c r="F33" s="146"/>
      <c r="G33" s="146"/>
      <c r="H33" s="178">
        <f>+F10</f>
        <v>0</v>
      </c>
      <c r="I33" s="128">
        <f>+E10</f>
        <v>0</v>
      </c>
      <c r="J33" s="129">
        <f>+SUM(C33:G33)-(H33+I33)</f>
        <v>233614</v>
      </c>
      <c r="K33" s="156" t="b">
        <f t="shared" si="16"/>
        <v>1</v>
      </c>
      <c r="Q33" s="5"/>
    </row>
    <row r="34" spans="1:17">
      <c r="A34" s="130" t="str">
        <f t="shared" si="21"/>
        <v>MARS</v>
      </c>
      <c r="B34" s="137" t="s">
        <v>83</v>
      </c>
      <c r="C34" s="128">
        <f>+C11</f>
        <v>249769</v>
      </c>
      <c r="D34" s="131"/>
      <c r="E34" s="128">
        <f>+D11</f>
        <v>0</v>
      </c>
      <c r="F34" s="146"/>
      <c r="G34" s="146"/>
      <c r="H34" s="178">
        <f>+F11</f>
        <v>0</v>
      </c>
      <c r="I34" s="128">
        <f>+E11</f>
        <v>0</v>
      </c>
      <c r="J34" s="129">
        <f t="shared" ref="J34:J40" si="22">+SUM(C34:G34)-(H34+I34)</f>
        <v>249769</v>
      </c>
      <c r="K34" s="156" t="b">
        <f t="shared" si="16"/>
        <v>1</v>
      </c>
      <c r="Q34" s="5"/>
    </row>
    <row r="35" spans="1:17">
      <c r="A35" s="130" t="str">
        <f t="shared" si="21"/>
        <v>MARS</v>
      </c>
      <c r="B35" s="135" t="s">
        <v>150</v>
      </c>
      <c r="C35" s="33">
        <f>+C12</f>
        <v>11250</v>
      </c>
      <c r="D35" s="32"/>
      <c r="E35" s="33">
        <f>+D12</f>
        <v>363000</v>
      </c>
      <c r="F35" s="33"/>
      <c r="G35" s="110"/>
      <c r="H35" s="57">
        <f>+F12</f>
        <v>25000</v>
      </c>
      <c r="I35" s="33">
        <f>+E12</f>
        <v>182650</v>
      </c>
      <c r="J35" s="31">
        <f t="shared" si="22"/>
        <v>166600</v>
      </c>
      <c r="K35" s="156" t="b">
        <f t="shared" si="16"/>
        <v>1</v>
      </c>
      <c r="Q35" s="5"/>
    </row>
    <row r="36" spans="1:17">
      <c r="A36" s="130" t="str">
        <f t="shared" si="21"/>
        <v>MARS</v>
      </c>
      <c r="B36" s="135" t="s">
        <v>204</v>
      </c>
      <c r="C36" s="33">
        <f>+C13</f>
        <v>39355</v>
      </c>
      <c r="D36" s="32"/>
      <c r="E36" s="33">
        <f>+D13</f>
        <v>185000</v>
      </c>
      <c r="F36" s="33"/>
      <c r="G36" s="110"/>
      <c r="H36" s="57">
        <f>+F13</f>
        <v>8000</v>
      </c>
      <c r="I36" s="33">
        <f>+E13</f>
        <v>188350</v>
      </c>
      <c r="J36" s="31">
        <f t="shared" si="22"/>
        <v>28005</v>
      </c>
      <c r="K36" s="156" t="b">
        <f t="shared" si="16"/>
        <v>1</v>
      </c>
      <c r="Q36" s="5"/>
    </row>
    <row r="37" spans="1:17">
      <c r="A37" s="130" t="str">
        <f>A36</f>
        <v>MARS</v>
      </c>
      <c r="B37" s="135" t="s">
        <v>93</v>
      </c>
      <c r="C37" s="33">
        <f t="shared" ref="C37:C40" si="23">+C14</f>
        <v>14300</v>
      </c>
      <c r="D37" s="32"/>
      <c r="E37" s="33">
        <f t="shared" ref="E37:E40" si="24">+D14</f>
        <v>35000</v>
      </c>
      <c r="F37" s="33"/>
      <c r="G37" s="110"/>
      <c r="H37" s="57">
        <f t="shared" ref="H37:H40" si="25">+F14</f>
        <v>0</v>
      </c>
      <c r="I37" s="33">
        <f t="shared" ref="I37:I40" si="26">+E14</f>
        <v>30500</v>
      </c>
      <c r="J37" s="31">
        <f t="shared" si="22"/>
        <v>18800</v>
      </c>
      <c r="K37" s="156" t="b">
        <f t="shared" si="16"/>
        <v>1</v>
      </c>
      <c r="Q37" s="5"/>
    </row>
    <row r="38" spans="1:17">
      <c r="A38" s="130" t="str">
        <f t="shared" si="21"/>
        <v>MARS</v>
      </c>
      <c r="B38" s="135" t="s">
        <v>29</v>
      </c>
      <c r="C38" s="33">
        <f t="shared" si="23"/>
        <v>100600</v>
      </c>
      <c r="D38" s="32"/>
      <c r="E38" s="33">
        <f t="shared" si="24"/>
        <v>589000</v>
      </c>
      <c r="F38" s="33"/>
      <c r="G38" s="110"/>
      <c r="H38" s="57">
        <f t="shared" si="25"/>
        <v>0</v>
      </c>
      <c r="I38" s="33">
        <f t="shared" si="26"/>
        <v>453600</v>
      </c>
      <c r="J38" s="31">
        <f t="shared" si="22"/>
        <v>236000</v>
      </c>
      <c r="K38" s="156" t="b">
        <f t="shared" si="16"/>
        <v>1</v>
      </c>
      <c r="Q38" s="5"/>
    </row>
    <row r="39" spans="1:17">
      <c r="A39" s="130" t="str">
        <f t="shared" si="21"/>
        <v>MARS</v>
      </c>
      <c r="B39" s="136" t="s">
        <v>276</v>
      </c>
      <c r="C39" s="33">
        <f t="shared" si="23"/>
        <v>208300</v>
      </c>
      <c r="D39" s="127"/>
      <c r="E39" s="33">
        <f t="shared" si="24"/>
        <v>805000</v>
      </c>
      <c r="F39" s="53"/>
      <c r="G39" s="147"/>
      <c r="H39" s="57">
        <f t="shared" si="25"/>
        <v>0</v>
      </c>
      <c r="I39" s="33">
        <f t="shared" si="26"/>
        <v>701600</v>
      </c>
      <c r="J39" s="31">
        <f t="shared" si="22"/>
        <v>311700</v>
      </c>
      <c r="K39" s="156" t="b">
        <f t="shared" si="16"/>
        <v>1</v>
      </c>
      <c r="Q39" s="5"/>
    </row>
    <row r="40" spans="1:17">
      <c r="A40" s="130" t="str">
        <f t="shared" si="21"/>
        <v>MARS</v>
      </c>
      <c r="B40" s="136" t="s">
        <v>113</v>
      </c>
      <c r="C40" s="33">
        <f t="shared" si="23"/>
        <v>26676</v>
      </c>
      <c r="D40" s="127"/>
      <c r="E40" s="33">
        <f t="shared" si="24"/>
        <v>0</v>
      </c>
      <c r="F40" s="53"/>
      <c r="G40" s="147"/>
      <c r="H40" s="57">
        <f t="shared" si="25"/>
        <v>0</v>
      </c>
      <c r="I40" s="33">
        <f t="shared" si="26"/>
        <v>10000</v>
      </c>
      <c r="J40" s="31">
        <f t="shared" si="22"/>
        <v>16676</v>
      </c>
      <c r="K40" s="156" t="b">
        <f t="shared" si="16"/>
        <v>1</v>
      </c>
      <c r="Q40" s="5"/>
    </row>
    <row r="41" spans="1:17">
      <c r="A41" s="35" t="s">
        <v>60</v>
      </c>
      <c r="B41" s="36"/>
      <c r="C41" s="36"/>
      <c r="D41" s="36"/>
      <c r="E41" s="36"/>
      <c r="F41" s="36"/>
      <c r="G41" s="36"/>
      <c r="H41" s="36"/>
      <c r="I41" s="36"/>
      <c r="J41" s="37"/>
      <c r="K41" s="155"/>
      <c r="Q41" s="5"/>
    </row>
    <row r="42" spans="1:17">
      <c r="A42" s="130" t="str">
        <f>A40</f>
        <v>MARS</v>
      </c>
      <c r="B42" s="38" t="s">
        <v>61</v>
      </c>
      <c r="C42" s="39">
        <f>+C5</f>
        <v>925495</v>
      </c>
      <c r="D42" s="51"/>
      <c r="E42" s="51">
        <f>D5</f>
        <v>6008000</v>
      </c>
      <c r="F42" s="51"/>
      <c r="G42" s="133"/>
      <c r="H42" s="53">
        <f>+F5</f>
        <v>4242000</v>
      </c>
      <c r="I42" s="134">
        <f>+E5</f>
        <v>2280788</v>
      </c>
      <c r="J42" s="46">
        <f>+SUM(C42:G42)-(H42+I42)</f>
        <v>410707</v>
      </c>
      <c r="K42" s="156" t="b">
        <f>J42=I5</f>
        <v>1</v>
      </c>
      <c r="Q42" s="5"/>
    </row>
    <row r="43" spans="1:17">
      <c r="A43" s="44" t="s">
        <v>62</v>
      </c>
      <c r="B43" s="25"/>
      <c r="C43" s="36"/>
      <c r="D43" s="25"/>
      <c r="E43" s="25"/>
      <c r="F43" s="25"/>
      <c r="G43" s="25"/>
      <c r="H43" s="25"/>
      <c r="I43" s="25"/>
      <c r="J43" s="37"/>
      <c r="K43" s="155"/>
      <c r="Q43" s="5"/>
    </row>
    <row r="44" spans="1:17">
      <c r="A44" s="130" t="str">
        <f>+A42</f>
        <v>MARS</v>
      </c>
      <c r="B44" s="38" t="s">
        <v>24</v>
      </c>
      <c r="C44" s="133">
        <f>+C3</f>
        <v>4918207</v>
      </c>
      <c r="D44" s="140">
        <f>+G3</f>
        <v>17494973</v>
      </c>
      <c r="E44" s="51"/>
      <c r="F44" s="51"/>
      <c r="G44" s="51"/>
      <c r="H44" s="53">
        <f>+F3</f>
        <v>2000000</v>
      </c>
      <c r="I44" s="55">
        <f>+E3</f>
        <v>693345</v>
      </c>
      <c r="J44" s="46">
        <f>+SUM(C44:G44)-(H44+I44)</f>
        <v>19719835</v>
      </c>
      <c r="K44" s="156" t="b">
        <f>+J44=I3</f>
        <v>1</v>
      </c>
      <c r="Q44" s="5"/>
    </row>
    <row r="45" spans="1:17">
      <c r="A45" s="130" t="str">
        <f t="shared" ref="A45" si="27">+A44</f>
        <v>MARS</v>
      </c>
      <c r="B45" s="38" t="s">
        <v>64</v>
      </c>
      <c r="C45" s="133">
        <f>+C4</f>
        <v>2231034</v>
      </c>
      <c r="D45" s="51">
        <f>+G4</f>
        <v>19110651</v>
      </c>
      <c r="E45" s="50"/>
      <c r="F45" s="50"/>
      <c r="G45" s="50"/>
      <c r="H45" s="33">
        <f>+F4</f>
        <v>4000000</v>
      </c>
      <c r="I45" s="52">
        <f>+E4</f>
        <v>2724801</v>
      </c>
      <c r="J45" s="46">
        <f>SUM(C45:G45)-(H45+I45)</f>
        <v>14616884</v>
      </c>
      <c r="K45" s="156" t="b">
        <f>+J45=I4</f>
        <v>1</v>
      </c>
      <c r="Q45" s="5"/>
    </row>
    <row r="46" spans="1:17" ht="15.75">
      <c r="C46" s="151">
        <f>SUM(C29:C45)</f>
        <v>9139120</v>
      </c>
      <c r="I46" s="149">
        <f>SUM(I29:I45)</f>
        <v>9380259</v>
      </c>
      <c r="J46" s="111">
        <f>+SUM(J29:J45)</f>
        <v>36364485</v>
      </c>
      <c r="K46" s="5" t="b">
        <f>J46=I18</f>
        <v>1</v>
      </c>
      <c r="Q46" s="5"/>
    </row>
    <row r="47" spans="1:17" ht="15.75">
      <c r="C47" s="151"/>
      <c r="I47" s="149"/>
      <c r="J47" s="111"/>
      <c r="Q47" s="5"/>
    </row>
    <row r="48" spans="1:17" ht="15.75">
      <c r="A48" s="189"/>
      <c r="B48" s="189"/>
      <c r="C48" s="190"/>
      <c r="D48" s="189"/>
      <c r="E48" s="189"/>
      <c r="F48" s="189"/>
      <c r="G48" s="189"/>
      <c r="H48" s="189"/>
      <c r="I48" s="191"/>
      <c r="J48" s="192"/>
      <c r="K48" s="189"/>
      <c r="L48" s="193"/>
      <c r="M48" s="193"/>
      <c r="N48" s="193"/>
      <c r="O48" s="193"/>
      <c r="P48" s="189"/>
      <c r="Q48" s="5"/>
    </row>
    <row r="49" spans="1:17" ht="15.75" customHeight="1"/>
    <row r="50" spans="1:17" ht="15.75">
      <c r="A50" s="6" t="s">
        <v>36</v>
      </c>
      <c r="B50" s="6" t="s">
        <v>1</v>
      </c>
      <c r="C50" s="6">
        <v>44958</v>
      </c>
      <c r="D50" s="7" t="s">
        <v>37</v>
      </c>
      <c r="E50" s="7" t="s">
        <v>38</v>
      </c>
      <c r="F50" s="7" t="s">
        <v>39</v>
      </c>
      <c r="G50" s="7" t="s">
        <v>40</v>
      </c>
      <c r="H50" s="6">
        <v>44985</v>
      </c>
      <c r="I50" s="7" t="s">
        <v>41</v>
      </c>
      <c r="K50" s="47"/>
      <c r="L50" s="47" t="s">
        <v>42</v>
      </c>
      <c r="M50" s="47" t="s">
        <v>43</v>
      </c>
      <c r="N50" s="47" t="s">
        <v>44</v>
      </c>
      <c r="O50" s="47" t="s">
        <v>45</v>
      </c>
      <c r="Q50" s="5"/>
    </row>
    <row r="51" spans="1:17" ht="16.5">
      <c r="A51" s="60" t="str">
        <f>K51</f>
        <v>BCI</v>
      </c>
      <c r="B51" s="61" t="s">
        <v>46</v>
      </c>
      <c r="C51" s="63">
        <v>9351552</v>
      </c>
      <c r="D51" s="63">
        <f>+L51</f>
        <v>0</v>
      </c>
      <c r="E51" s="63">
        <f>+N51</f>
        <v>433345</v>
      </c>
      <c r="F51" s="63">
        <f>+M51</f>
        <v>4000000</v>
      </c>
      <c r="G51" s="63">
        <f t="shared" ref="G51:G61" si="28">+O51</f>
        <v>0</v>
      </c>
      <c r="H51" s="63">
        <v>4918207</v>
      </c>
      <c r="I51" s="63">
        <f>+C51+D51-E51-F51+G51</f>
        <v>4918207</v>
      </c>
      <c r="J51" s="9">
        <f>I51-H51</f>
        <v>0</v>
      </c>
      <c r="K51" s="47" t="s">
        <v>24</v>
      </c>
      <c r="L51" s="49">
        <v>0</v>
      </c>
      <c r="M51" s="49">
        <v>4000000</v>
      </c>
      <c r="N51" s="49">
        <v>433345</v>
      </c>
      <c r="O51" s="49">
        <v>0</v>
      </c>
      <c r="Q51" s="5"/>
    </row>
    <row r="52" spans="1:17" ht="16.5">
      <c r="A52" s="60" t="str">
        <f t="shared" ref="A52:A65" si="29">K52</f>
        <v>BCI-Sous Compte</v>
      </c>
      <c r="B52" s="61" t="s">
        <v>46</v>
      </c>
      <c r="C52" s="63">
        <v>6338553</v>
      </c>
      <c r="D52" s="63">
        <f t="shared" ref="D52:D63" si="30">+L52</f>
        <v>0</v>
      </c>
      <c r="E52" s="63">
        <f t="shared" ref="E52:E57" si="31">+N52</f>
        <v>4107519</v>
      </c>
      <c r="F52" s="63">
        <f t="shared" ref="F52:F60" si="32">+M52</f>
        <v>0</v>
      </c>
      <c r="G52" s="63">
        <f t="shared" si="28"/>
        <v>0</v>
      </c>
      <c r="H52" s="63">
        <v>2231034</v>
      </c>
      <c r="I52" s="63">
        <f>+C52+D52-E52-F52+G52</f>
        <v>2231034</v>
      </c>
      <c r="J52" s="9">
        <f t="shared" ref="J52:J59" si="33">I52-H52</f>
        <v>0</v>
      </c>
      <c r="K52" s="47" t="s">
        <v>155</v>
      </c>
      <c r="L52" s="48">
        <v>0</v>
      </c>
      <c r="M52" s="49">
        <v>0</v>
      </c>
      <c r="N52" s="49">
        <v>4107519</v>
      </c>
      <c r="O52" s="49">
        <v>0</v>
      </c>
      <c r="Q52" s="5"/>
    </row>
    <row r="53" spans="1:17" ht="16.5">
      <c r="A53" s="60" t="str">
        <f t="shared" si="29"/>
        <v>Caisse</v>
      </c>
      <c r="B53" s="61" t="s">
        <v>25</v>
      </c>
      <c r="C53" s="63">
        <v>899588</v>
      </c>
      <c r="D53" s="63">
        <f t="shared" si="30"/>
        <v>4313500</v>
      </c>
      <c r="E53" s="63">
        <f t="shared" si="31"/>
        <v>1771593</v>
      </c>
      <c r="F53" s="63">
        <f t="shared" si="32"/>
        <v>2516000</v>
      </c>
      <c r="G53" s="63">
        <f t="shared" si="28"/>
        <v>0</v>
      </c>
      <c r="H53" s="63">
        <v>925495</v>
      </c>
      <c r="I53" s="63">
        <f>+C53+D53-E53-F53+G53</f>
        <v>925495</v>
      </c>
      <c r="J53" s="108">
        <f t="shared" si="33"/>
        <v>0</v>
      </c>
      <c r="K53" s="47" t="s">
        <v>25</v>
      </c>
      <c r="L53" s="49">
        <v>4313500</v>
      </c>
      <c r="M53" s="49">
        <v>2516000</v>
      </c>
      <c r="N53" s="49">
        <v>1771593</v>
      </c>
      <c r="O53" s="49">
        <v>0</v>
      </c>
      <c r="Q53" s="5"/>
    </row>
    <row r="54" spans="1:17" ht="16.5">
      <c r="A54" s="60" t="str">
        <f t="shared" si="29"/>
        <v>Crépin</v>
      </c>
      <c r="B54" s="61" t="s">
        <v>161</v>
      </c>
      <c r="C54" s="63">
        <v>89205</v>
      </c>
      <c r="D54" s="63">
        <f t="shared" si="30"/>
        <v>337000</v>
      </c>
      <c r="E54" s="63">
        <f t="shared" si="31"/>
        <v>350160</v>
      </c>
      <c r="F54" s="63">
        <f t="shared" si="32"/>
        <v>30000</v>
      </c>
      <c r="G54" s="63">
        <f t="shared" si="28"/>
        <v>0</v>
      </c>
      <c r="H54" s="63">
        <v>46045</v>
      </c>
      <c r="I54" s="63">
        <f>+C54+D54-E54-F54+G54</f>
        <v>46045</v>
      </c>
      <c r="J54" s="9">
        <f t="shared" si="33"/>
        <v>0</v>
      </c>
      <c r="K54" s="47" t="s">
        <v>47</v>
      </c>
      <c r="L54" s="49">
        <v>337000</v>
      </c>
      <c r="M54" s="49">
        <v>30000</v>
      </c>
      <c r="N54" s="49">
        <v>350160</v>
      </c>
      <c r="O54" s="49">
        <v>0</v>
      </c>
      <c r="Q54" s="5"/>
    </row>
    <row r="55" spans="1:17" ht="16.5">
      <c r="A55" s="60" t="str">
        <f t="shared" si="29"/>
        <v>D58</v>
      </c>
      <c r="B55" s="61" t="s">
        <v>4</v>
      </c>
      <c r="C55" s="63">
        <v>18500</v>
      </c>
      <c r="D55" s="63">
        <f t="shared" si="30"/>
        <v>287000</v>
      </c>
      <c r="E55" s="63">
        <f t="shared" si="31"/>
        <v>198000</v>
      </c>
      <c r="F55" s="63">
        <f t="shared" si="32"/>
        <v>0</v>
      </c>
      <c r="G55" s="63">
        <f t="shared" si="28"/>
        <v>0</v>
      </c>
      <c r="H55" s="63">
        <v>107500</v>
      </c>
      <c r="I55" s="63">
        <f>+C55+D55-E55-F55+G55</f>
        <v>107500</v>
      </c>
      <c r="J55" s="9">
        <f t="shared" si="33"/>
        <v>0</v>
      </c>
      <c r="K55" s="47" t="s">
        <v>277</v>
      </c>
      <c r="L55" s="49">
        <v>287000</v>
      </c>
      <c r="M55" s="49">
        <v>0</v>
      </c>
      <c r="N55" s="49">
        <v>198000</v>
      </c>
      <c r="O55" s="49">
        <v>0</v>
      </c>
      <c r="Q55" s="5"/>
    </row>
    <row r="56" spans="1:17" ht="16.5">
      <c r="A56" s="60" t="str">
        <f t="shared" si="29"/>
        <v>Donald</v>
      </c>
      <c r="B56" s="61" t="s">
        <v>161</v>
      </c>
      <c r="C56" s="63">
        <v>10650</v>
      </c>
      <c r="D56" s="63">
        <f t="shared" si="30"/>
        <v>30000</v>
      </c>
      <c r="E56" s="63">
        <f t="shared" si="31"/>
        <v>32000</v>
      </c>
      <c r="F56" s="63">
        <f t="shared" si="32"/>
        <v>0</v>
      </c>
      <c r="G56" s="63">
        <f t="shared" si="28"/>
        <v>0</v>
      </c>
      <c r="H56" s="63">
        <v>8650</v>
      </c>
      <c r="I56" s="63">
        <f t="shared" ref="I56:I57" si="34">+C56+D56-E56-F56+G56</f>
        <v>8650</v>
      </c>
      <c r="J56" s="9">
        <f t="shared" si="33"/>
        <v>0</v>
      </c>
      <c r="K56" s="47" t="s">
        <v>263</v>
      </c>
      <c r="L56" s="49">
        <v>30000</v>
      </c>
      <c r="M56" s="49">
        <v>0</v>
      </c>
      <c r="N56" s="49">
        <v>32000</v>
      </c>
      <c r="O56" s="49">
        <v>0</v>
      </c>
      <c r="Q56" s="5"/>
    </row>
    <row r="57" spans="1:17" ht="16.5">
      <c r="A57" s="60" t="str">
        <f t="shared" si="29"/>
        <v>Evariste</v>
      </c>
      <c r="B57" s="61" t="s">
        <v>162</v>
      </c>
      <c r="C57" s="63">
        <v>8325</v>
      </c>
      <c r="D57" s="63">
        <f t="shared" si="30"/>
        <v>295000</v>
      </c>
      <c r="E57" s="63">
        <f t="shared" si="31"/>
        <v>135000</v>
      </c>
      <c r="F57" s="63">
        <f t="shared" si="32"/>
        <v>150000</v>
      </c>
      <c r="G57" s="63">
        <f t="shared" si="28"/>
        <v>0</v>
      </c>
      <c r="H57" s="63">
        <v>18325</v>
      </c>
      <c r="I57" s="63">
        <f t="shared" si="34"/>
        <v>18325</v>
      </c>
      <c r="J57" s="9">
        <f t="shared" si="33"/>
        <v>0</v>
      </c>
      <c r="K57" s="47" t="s">
        <v>31</v>
      </c>
      <c r="L57" s="49">
        <v>295000</v>
      </c>
      <c r="M57" s="49">
        <v>150000</v>
      </c>
      <c r="N57" s="49">
        <v>135000</v>
      </c>
      <c r="O57" s="49">
        <v>0</v>
      </c>
      <c r="Q57" s="5"/>
    </row>
    <row r="58" spans="1:17" ht="16.5">
      <c r="A58" s="60" t="str">
        <f t="shared" si="29"/>
        <v>I55S</v>
      </c>
      <c r="B58" s="124" t="s">
        <v>4</v>
      </c>
      <c r="C58" s="126">
        <v>233614</v>
      </c>
      <c r="D58" s="126">
        <f t="shared" si="30"/>
        <v>0</v>
      </c>
      <c r="E58" s="126">
        <f>+N58</f>
        <v>0</v>
      </c>
      <c r="F58" s="126">
        <f t="shared" si="32"/>
        <v>0</v>
      </c>
      <c r="G58" s="126">
        <f t="shared" si="28"/>
        <v>0</v>
      </c>
      <c r="H58" s="126">
        <v>233614</v>
      </c>
      <c r="I58" s="126">
        <f>+C58+D58-E58-F58+G58</f>
        <v>233614</v>
      </c>
      <c r="J58" s="9">
        <f t="shared" si="33"/>
        <v>0</v>
      </c>
      <c r="K58" s="47" t="s">
        <v>84</v>
      </c>
      <c r="L58" s="49">
        <v>0</v>
      </c>
      <c r="M58" s="49">
        <v>0</v>
      </c>
      <c r="N58" s="49">
        <v>0</v>
      </c>
      <c r="O58" s="49">
        <v>0</v>
      </c>
      <c r="Q58" s="5"/>
    </row>
    <row r="59" spans="1:17" ht="16.5">
      <c r="A59" s="60" t="str">
        <f t="shared" si="29"/>
        <v>I73X</v>
      </c>
      <c r="B59" s="124" t="s">
        <v>4</v>
      </c>
      <c r="C59" s="126">
        <v>249769</v>
      </c>
      <c r="D59" s="126">
        <f t="shared" si="30"/>
        <v>0</v>
      </c>
      <c r="E59" s="126">
        <f>+N59</f>
        <v>0</v>
      </c>
      <c r="F59" s="126">
        <f t="shared" si="32"/>
        <v>0</v>
      </c>
      <c r="G59" s="126">
        <f t="shared" si="28"/>
        <v>0</v>
      </c>
      <c r="H59" s="126">
        <v>249769</v>
      </c>
      <c r="I59" s="126">
        <f t="shared" ref="I59:I61" si="35">+C59+D59-E59-F59+G59</f>
        <v>249769</v>
      </c>
      <c r="J59" s="9">
        <f t="shared" si="33"/>
        <v>0</v>
      </c>
      <c r="K59" s="47" t="s">
        <v>83</v>
      </c>
      <c r="L59" s="49">
        <v>0</v>
      </c>
      <c r="M59" s="49">
        <v>0</v>
      </c>
      <c r="N59" s="49">
        <v>0</v>
      </c>
      <c r="O59" s="49">
        <v>0</v>
      </c>
      <c r="Q59" s="5"/>
    </row>
    <row r="60" spans="1:17" s="296" customFormat="1" ht="16.5">
      <c r="A60" s="60" t="str">
        <f t="shared" si="29"/>
        <v>Grace</v>
      </c>
      <c r="B60" s="227" t="s">
        <v>2</v>
      </c>
      <c r="C60" s="292">
        <v>20750</v>
      </c>
      <c r="D60" s="63">
        <f t="shared" si="30"/>
        <v>0</v>
      </c>
      <c r="E60" s="63">
        <f t="shared" ref="E60" si="36">+N60</f>
        <v>9500</v>
      </c>
      <c r="F60" s="63">
        <f t="shared" si="32"/>
        <v>0</v>
      </c>
      <c r="G60" s="63">
        <f t="shared" si="28"/>
        <v>0</v>
      </c>
      <c r="H60" s="292">
        <v>11250</v>
      </c>
      <c r="I60" s="292">
        <f t="shared" si="35"/>
        <v>11250</v>
      </c>
      <c r="J60" s="293">
        <f>I60-H60</f>
        <v>0</v>
      </c>
      <c r="K60" s="294" t="s">
        <v>150</v>
      </c>
      <c r="L60" s="295">
        <v>0</v>
      </c>
      <c r="M60" s="295">
        <v>0</v>
      </c>
      <c r="N60" s="49">
        <v>9500</v>
      </c>
      <c r="O60" s="295">
        <v>0</v>
      </c>
    </row>
    <row r="61" spans="1:17" ht="16.5">
      <c r="A61" s="60" t="str">
        <f t="shared" si="29"/>
        <v>Hurielle</v>
      </c>
      <c r="B61" s="104" t="s">
        <v>161</v>
      </c>
      <c r="C61" s="63">
        <v>153550</v>
      </c>
      <c r="D61" s="63">
        <f t="shared" si="30"/>
        <v>628000</v>
      </c>
      <c r="E61" s="63">
        <f>+N61</f>
        <v>638695</v>
      </c>
      <c r="F61" s="63">
        <f>+M61</f>
        <v>103500</v>
      </c>
      <c r="G61" s="63">
        <f t="shared" si="28"/>
        <v>0</v>
      </c>
      <c r="H61" s="63">
        <v>39355</v>
      </c>
      <c r="I61" s="63">
        <f t="shared" si="35"/>
        <v>39355</v>
      </c>
      <c r="J61" s="9">
        <f t="shared" ref="J61" si="37">I61-H61</f>
        <v>0</v>
      </c>
      <c r="K61" s="47" t="s">
        <v>204</v>
      </c>
      <c r="L61" s="49">
        <v>628000</v>
      </c>
      <c r="M61" s="49">
        <v>103500</v>
      </c>
      <c r="N61" s="49">
        <v>638695</v>
      </c>
      <c r="O61" s="49">
        <v>0</v>
      </c>
      <c r="Q61" s="5"/>
    </row>
    <row r="62" spans="1:17" s="296" customFormat="1" ht="16.5">
      <c r="A62" s="60" t="str">
        <f t="shared" si="29"/>
        <v>Merveille</v>
      </c>
      <c r="B62" s="227" t="s">
        <v>2</v>
      </c>
      <c r="C62" s="292">
        <v>70300</v>
      </c>
      <c r="D62" s="63">
        <f t="shared" si="30"/>
        <v>3000</v>
      </c>
      <c r="E62" s="63">
        <f t="shared" ref="E62:E65" si="38">+N62</f>
        <v>29000</v>
      </c>
      <c r="F62" s="63">
        <f t="shared" ref="F62:F65" si="39">+M62</f>
        <v>30000</v>
      </c>
      <c r="G62" s="63">
        <f t="shared" ref="G62:G65" si="40">+O62</f>
        <v>0</v>
      </c>
      <c r="H62" s="292">
        <v>14300</v>
      </c>
      <c r="I62" s="292">
        <f t="shared" ref="I62:I63" si="41">+C62+D62-E62-F62+G62</f>
        <v>14300</v>
      </c>
      <c r="J62" s="293">
        <f>I62-H62</f>
        <v>0</v>
      </c>
      <c r="K62" s="294" t="s">
        <v>93</v>
      </c>
      <c r="L62" s="295">
        <v>3000</v>
      </c>
      <c r="M62" s="295">
        <v>30000</v>
      </c>
      <c r="N62" s="49">
        <v>29000</v>
      </c>
      <c r="O62" s="295">
        <v>0</v>
      </c>
    </row>
    <row r="63" spans="1:17" ht="16.5">
      <c r="A63" s="60" t="str">
        <f t="shared" si="29"/>
        <v>P29</v>
      </c>
      <c r="B63" s="228" t="s">
        <v>4</v>
      </c>
      <c r="C63" s="63">
        <v>99100</v>
      </c>
      <c r="D63" s="63">
        <f t="shared" si="30"/>
        <v>224000</v>
      </c>
      <c r="E63" s="63">
        <f t="shared" si="38"/>
        <v>222500</v>
      </c>
      <c r="F63" s="63">
        <f t="shared" si="39"/>
        <v>0</v>
      </c>
      <c r="G63" s="63">
        <f t="shared" si="40"/>
        <v>0</v>
      </c>
      <c r="H63" s="63">
        <v>100600</v>
      </c>
      <c r="I63" s="63">
        <f t="shared" si="41"/>
        <v>100600</v>
      </c>
      <c r="J63" s="9">
        <f t="shared" ref="J63:J64" si="42">I63-H63</f>
        <v>0</v>
      </c>
      <c r="K63" s="47" t="s">
        <v>29</v>
      </c>
      <c r="L63" s="49">
        <v>224000</v>
      </c>
      <c r="M63" s="49">
        <v>0</v>
      </c>
      <c r="N63" s="49">
        <v>222500</v>
      </c>
      <c r="O63" s="49">
        <v>0</v>
      </c>
      <c r="Q63" s="5"/>
    </row>
    <row r="64" spans="1:17" ht="16.5">
      <c r="A64" s="60" t="str">
        <f t="shared" si="29"/>
        <v>T73</v>
      </c>
      <c r="B64" s="227" t="s">
        <v>4</v>
      </c>
      <c r="C64" s="63">
        <v>13900</v>
      </c>
      <c r="D64" s="63">
        <f>+L64</f>
        <v>672000</v>
      </c>
      <c r="E64" s="63">
        <f t="shared" si="38"/>
        <v>477600</v>
      </c>
      <c r="F64" s="63">
        <f t="shared" si="39"/>
        <v>0</v>
      </c>
      <c r="G64" s="63">
        <f t="shared" si="40"/>
        <v>0</v>
      </c>
      <c r="H64" s="63">
        <v>208300</v>
      </c>
      <c r="I64" s="63">
        <f>+C64+D64-E64-F64+G64</f>
        <v>208300</v>
      </c>
      <c r="J64" s="9">
        <f t="shared" si="42"/>
        <v>0</v>
      </c>
      <c r="K64" s="47" t="s">
        <v>276</v>
      </c>
      <c r="L64" s="49">
        <v>672000</v>
      </c>
      <c r="M64" s="49">
        <v>0</v>
      </c>
      <c r="N64" s="295">
        <v>477600</v>
      </c>
      <c r="O64" s="49">
        <v>0</v>
      </c>
      <c r="Q64" s="5"/>
    </row>
    <row r="65" spans="1:17" ht="16.5">
      <c r="A65" s="60" t="str">
        <f t="shared" si="29"/>
        <v>Tiffany</v>
      </c>
      <c r="B65" s="227" t="s">
        <v>2</v>
      </c>
      <c r="C65" s="63">
        <v>-3324</v>
      </c>
      <c r="D65" s="63">
        <f t="shared" ref="D65" si="43">+L65</f>
        <v>40000</v>
      </c>
      <c r="E65" s="63">
        <f t="shared" si="38"/>
        <v>10000</v>
      </c>
      <c r="F65" s="63">
        <f t="shared" si="39"/>
        <v>0</v>
      </c>
      <c r="G65" s="63">
        <f t="shared" si="40"/>
        <v>0</v>
      </c>
      <c r="H65" s="63">
        <v>26676</v>
      </c>
      <c r="I65" s="63">
        <f>+C65+D65-E65-F65+G65</f>
        <v>26676</v>
      </c>
      <c r="J65" s="9">
        <f>I65-H65</f>
        <v>0</v>
      </c>
      <c r="K65" s="47" t="s">
        <v>113</v>
      </c>
      <c r="L65" s="49">
        <v>40000</v>
      </c>
      <c r="M65" s="49">
        <v>0</v>
      </c>
      <c r="N65" s="49">
        <v>10000</v>
      </c>
      <c r="O65" s="49">
        <v>0</v>
      </c>
      <c r="Q65" s="5"/>
    </row>
    <row r="66" spans="1:17" ht="16.5">
      <c r="A66" s="10" t="s">
        <v>50</v>
      </c>
      <c r="B66" s="11"/>
      <c r="C66" s="12">
        <f t="shared" ref="C66:I66" si="44">SUM(C51:C65)</f>
        <v>17554032</v>
      </c>
      <c r="D66" s="59">
        <f t="shared" si="44"/>
        <v>6829500</v>
      </c>
      <c r="E66" s="59">
        <f t="shared" si="44"/>
        <v>8414912</v>
      </c>
      <c r="F66" s="59">
        <f t="shared" si="44"/>
        <v>6829500</v>
      </c>
      <c r="G66" s="59">
        <f t="shared" si="44"/>
        <v>0</v>
      </c>
      <c r="H66" s="59">
        <f t="shared" si="44"/>
        <v>9139120</v>
      </c>
      <c r="I66" s="59">
        <f t="shared" si="44"/>
        <v>9139120</v>
      </c>
      <c r="J66" s="9">
        <f>I66-H66</f>
        <v>0</v>
      </c>
      <c r="K66" s="3"/>
      <c r="L66" s="49">
        <f>+SUM(L51:L65)</f>
        <v>6829500</v>
      </c>
      <c r="M66" s="49">
        <f>+SUM(M51:M65)</f>
        <v>6829500</v>
      </c>
      <c r="N66" s="49">
        <f>+SUM(N51:N65)</f>
        <v>8414912</v>
      </c>
      <c r="O66" s="49">
        <f>+SUM(O51:O65)</f>
        <v>0</v>
      </c>
      <c r="Q66" s="5"/>
    </row>
    <row r="67" spans="1:17" ht="16.5">
      <c r="A67" s="10"/>
      <c r="B67" s="11"/>
      <c r="C67" s="12"/>
      <c r="D67" s="13"/>
      <c r="E67" s="12"/>
      <c r="F67" s="13"/>
      <c r="G67" s="12"/>
      <c r="H67" s="12"/>
      <c r="I67" s="143" t="b">
        <f>I66=D69</f>
        <v>1</v>
      </c>
      <c r="J67" s="9">
        <f>H66-I66</f>
        <v>0</v>
      </c>
      <c r="L67" s="5"/>
      <c r="M67" s="5"/>
      <c r="N67" s="5"/>
      <c r="O67" s="5"/>
      <c r="Q67" s="5"/>
    </row>
    <row r="68" spans="1:17" ht="16.5">
      <c r="A68" s="10" t="s">
        <v>286</v>
      </c>
      <c r="B68" s="11" t="s">
        <v>190</v>
      </c>
      <c r="C68" s="12" t="s">
        <v>191</v>
      </c>
      <c r="D68" s="12" t="s">
        <v>287</v>
      </c>
      <c r="E68" s="12" t="s">
        <v>51</v>
      </c>
      <c r="F68" s="12"/>
      <c r="G68" s="12">
        <f>+D66-F66</f>
        <v>0</v>
      </c>
      <c r="H68" s="12"/>
      <c r="I68" s="12"/>
      <c r="Q68" s="5"/>
    </row>
    <row r="69" spans="1:17" ht="16.5">
      <c r="A69" s="14">
        <f>C66</f>
        <v>17554032</v>
      </c>
      <c r="B69" s="15">
        <f>G66</f>
        <v>0</v>
      </c>
      <c r="C69" s="12">
        <f>E66</f>
        <v>8414912</v>
      </c>
      <c r="D69" s="12">
        <f>A69+B69-C69</f>
        <v>9139120</v>
      </c>
      <c r="E69" s="13">
        <f>I66-D69</f>
        <v>0</v>
      </c>
      <c r="F69" s="12"/>
      <c r="G69" s="12"/>
      <c r="H69" s="12"/>
      <c r="I69" s="12"/>
      <c r="Q69" s="5"/>
    </row>
    <row r="70" spans="1:17" ht="16.5">
      <c r="A70" s="14"/>
      <c r="B70" s="15"/>
      <c r="C70" s="12"/>
      <c r="D70" s="12"/>
      <c r="E70" s="13"/>
      <c r="F70" s="12"/>
      <c r="G70" s="12"/>
      <c r="H70" s="12"/>
      <c r="I70" s="12"/>
      <c r="Q70" s="5"/>
    </row>
    <row r="71" spans="1:17">
      <c r="A71" s="16" t="s">
        <v>52</v>
      </c>
      <c r="B71" s="16"/>
      <c r="C71" s="16"/>
      <c r="D71" s="17"/>
      <c r="E71" s="17"/>
      <c r="F71" s="17"/>
      <c r="G71" s="17"/>
      <c r="H71" s="17"/>
      <c r="I71" s="17"/>
      <c r="Q71" s="5"/>
    </row>
    <row r="72" spans="1:17">
      <c r="A72" s="18" t="s">
        <v>518</v>
      </c>
      <c r="B72" s="18"/>
      <c r="C72" s="18"/>
      <c r="D72" s="18"/>
      <c r="E72" s="18"/>
      <c r="F72" s="18"/>
      <c r="G72" s="18"/>
      <c r="H72" s="18"/>
      <c r="I72" s="18"/>
      <c r="J72" s="18"/>
      <c r="Q72" s="5"/>
    </row>
    <row r="73" spans="1:17">
      <c r="A73" s="19"/>
      <c r="B73" s="20"/>
      <c r="C73" s="21"/>
      <c r="D73" s="21"/>
      <c r="E73" s="21"/>
      <c r="F73" s="21"/>
      <c r="G73" s="21"/>
      <c r="H73" s="20"/>
      <c r="I73" s="20"/>
      <c r="Q73" s="5"/>
    </row>
    <row r="74" spans="1:17" ht="45" customHeight="1">
      <c r="A74" s="411" t="s">
        <v>53</v>
      </c>
      <c r="B74" s="413" t="s">
        <v>54</v>
      </c>
      <c r="C74" s="415" t="s">
        <v>289</v>
      </c>
      <c r="D74" s="417" t="s">
        <v>55</v>
      </c>
      <c r="E74" s="418"/>
      <c r="F74" s="418"/>
      <c r="G74" s="419"/>
      <c r="H74" s="420" t="s">
        <v>56</v>
      </c>
      <c r="I74" s="422" t="s">
        <v>57</v>
      </c>
      <c r="J74" s="388"/>
      <c r="Q74" s="5"/>
    </row>
    <row r="75" spans="1:17" ht="28.5" customHeight="1">
      <c r="A75" s="412"/>
      <c r="B75" s="414"/>
      <c r="C75" s="416"/>
      <c r="D75" s="22" t="s">
        <v>24</v>
      </c>
      <c r="E75" s="22" t="s">
        <v>25</v>
      </c>
      <c r="F75" s="416" t="s">
        <v>123</v>
      </c>
      <c r="G75" s="22" t="s">
        <v>58</v>
      </c>
      <c r="H75" s="421"/>
      <c r="I75" s="423"/>
      <c r="J75" s="424" t="s">
        <v>288</v>
      </c>
      <c r="K75" s="155"/>
      <c r="Q75" s="5"/>
    </row>
    <row r="76" spans="1:17">
      <c r="A76" s="24"/>
      <c r="B76" s="25" t="s">
        <v>59</v>
      </c>
      <c r="C76" s="26"/>
      <c r="D76" s="26"/>
      <c r="E76" s="26"/>
      <c r="F76" s="26"/>
      <c r="G76" s="26"/>
      <c r="H76" s="26"/>
      <c r="I76" s="27"/>
      <c r="J76" s="424"/>
      <c r="K76" s="155"/>
      <c r="Q76" s="5"/>
    </row>
    <row r="77" spans="1:17">
      <c r="A77" s="130" t="s">
        <v>115</v>
      </c>
      <c r="B77" s="135" t="s">
        <v>47</v>
      </c>
      <c r="C77" s="33">
        <f>+C54</f>
        <v>89205</v>
      </c>
      <c r="D77" s="32"/>
      <c r="E77" s="33">
        <f>+D54</f>
        <v>337000</v>
      </c>
      <c r="F77" s="33"/>
      <c r="G77" s="33"/>
      <c r="H77" s="57">
        <f>+F54</f>
        <v>30000</v>
      </c>
      <c r="I77" s="33">
        <f>+E54</f>
        <v>350160</v>
      </c>
      <c r="J77" s="31">
        <f t="shared" ref="J77:J80" si="45">+SUM(C77:G77)-(H77+I77)</f>
        <v>46045</v>
      </c>
      <c r="K77" s="156" t="b">
        <f t="shared" ref="K77:K88" si="46">J77=I54</f>
        <v>1</v>
      </c>
      <c r="Q77" s="5"/>
    </row>
    <row r="78" spans="1:17">
      <c r="A78" s="130" t="str">
        <f>+A77</f>
        <v>FEVRIER</v>
      </c>
      <c r="B78" s="135" t="s">
        <v>277</v>
      </c>
      <c r="C78" s="33">
        <f t="shared" ref="C78:C80" si="47">+C55</f>
        <v>18500</v>
      </c>
      <c r="D78" s="32"/>
      <c r="E78" s="33">
        <f t="shared" ref="E78:E80" si="48">+D55</f>
        <v>287000</v>
      </c>
      <c r="F78" s="33"/>
      <c r="G78" s="33"/>
      <c r="H78" s="57">
        <f t="shared" ref="H78:H80" si="49">+F55</f>
        <v>0</v>
      </c>
      <c r="I78" s="33">
        <f t="shared" ref="I78:I80" si="50">+E55</f>
        <v>198000</v>
      </c>
      <c r="J78" s="31">
        <f t="shared" si="45"/>
        <v>107500</v>
      </c>
      <c r="K78" s="156" t="b">
        <f t="shared" si="46"/>
        <v>1</v>
      </c>
      <c r="Q78" s="5"/>
    </row>
    <row r="79" spans="1:17">
      <c r="A79" s="130" t="str">
        <f t="shared" ref="A79:A88" si="51">+A78</f>
        <v>FEVRIER</v>
      </c>
      <c r="B79" s="135" t="s">
        <v>263</v>
      </c>
      <c r="C79" s="33">
        <f t="shared" si="47"/>
        <v>10650</v>
      </c>
      <c r="D79" s="32"/>
      <c r="E79" s="33">
        <f t="shared" si="48"/>
        <v>30000</v>
      </c>
      <c r="F79" s="33"/>
      <c r="G79" s="33"/>
      <c r="H79" s="57">
        <f t="shared" si="49"/>
        <v>0</v>
      </c>
      <c r="I79" s="33">
        <f t="shared" si="50"/>
        <v>32000</v>
      </c>
      <c r="J79" s="31">
        <f t="shared" si="45"/>
        <v>8650</v>
      </c>
      <c r="K79" s="156" t="b">
        <f t="shared" si="46"/>
        <v>1</v>
      </c>
      <c r="Q79" s="5"/>
    </row>
    <row r="80" spans="1:17">
      <c r="A80" s="130" t="str">
        <f t="shared" si="51"/>
        <v>FEVRIER</v>
      </c>
      <c r="B80" s="135" t="s">
        <v>31</v>
      </c>
      <c r="C80" s="33">
        <f t="shared" si="47"/>
        <v>8325</v>
      </c>
      <c r="D80" s="32"/>
      <c r="E80" s="33">
        <f t="shared" si="48"/>
        <v>295000</v>
      </c>
      <c r="F80" s="33"/>
      <c r="G80" s="33"/>
      <c r="H80" s="57">
        <f t="shared" si="49"/>
        <v>150000</v>
      </c>
      <c r="I80" s="33">
        <f t="shared" si="50"/>
        <v>135000</v>
      </c>
      <c r="J80" s="31">
        <f t="shared" si="45"/>
        <v>18325</v>
      </c>
      <c r="K80" s="156" t="b">
        <f t="shared" si="46"/>
        <v>1</v>
      </c>
      <c r="Q80" s="5"/>
    </row>
    <row r="81" spans="1:17">
      <c r="A81" s="130" t="str">
        <f t="shared" si="51"/>
        <v>FEVRIER</v>
      </c>
      <c r="B81" s="137" t="s">
        <v>84</v>
      </c>
      <c r="C81" s="128">
        <f>+C58</f>
        <v>233614</v>
      </c>
      <c r="D81" s="131"/>
      <c r="E81" s="128">
        <f>+D58</f>
        <v>0</v>
      </c>
      <c r="F81" s="146"/>
      <c r="G81" s="146"/>
      <c r="H81" s="178">
        <f>+F58</f>
        <v>0</v>
      </c>
      <c r="I81" s="128">
        <f>+E58</f>
        <v>0</v>
      </c>
      <c r="J81" s="129">
        <f>+SUM(C81:G81)-(H81+I81)</f>
        <v>233614</v>
      </c>
      <c r="K81" s="156" t="b">
        <f t="shared" si="46"/>
        <v>1</v>
      </c>
      <c r="Q81" s="5"/>
    </row>
    <row r="82" spans="1:17">
      <c r="A82" s="130" t="str">
        <f t="shared" si="51"/>
        <v>FEVRIER</v>
      </c>
      <c r="B82" s="137" t="s">
        <v>83</v>
      </c>
      <c r="C82" s="128">
        <f>+C59</f>
        <v>249769</v>
      </c>
      <c r="D82" s="131"/>
      <c r="E82" s="128">
        <f>+D59</f>
        <v>0</v>
      </c>
      <c r="F82" s="146"/>
      <c r="G82" s="146"/>
      <c r="H82" s="178">
        <f>+F59</f>
        <v>0</v>
      </c>
      <c r="I82" s="128">
        <f>+E59</f>
        <v>0</v>
      </c>
      <c r="J82" s="129">
        <f t="shared" ref="J82:J88" si="52">+SUM(C82:G82)-(H82+I82)</f>
        <v>249769</v>
      </c>
      <c r="K82" s="156" t="b">
        <f t="shared" si="46"/>
        <v>1</v>
      </c>
      <c r="Q82" s="5"/>
    </row>
    <row r="83" spans="1:17">
      <c r="A83" s="130" t="str">
        <f t="shared" si="51"/>
        <v>FEVRIER</v>
      </c>
      <c r="B83" s="135" t="s">
        <v>150</v>
      </c>
      <c r="C83" s="33">
        <f>+C60</f>
        <v>20750</v>
      </c>
      <c r="D83" s="32"/>
      <c r="E83" s="33">
        <f>+D60</f>
        <v>0</v>
      </c>
      <c r="F83" s="33"/>
      <c r="G83" s="110"/>
      <c r="H83" s="57">
        <f>+F60</f>
        <v>0</v>
      </c>
      <c r="I83" s="33">
        <f>+E60</f>
        <v>9500</v>
      </c>
      <c r="J83" s="31">
        <f t="shared" si="52"/>
        <v>11250</v>
      </c>
      <c r="K83" s="156" t="b">
        <f t="shared" si="46"/>
        <v>1</v>
      </c>
      <c r="Q83" s="5"/>
    </row>
    <row r="84" spans="1:17">
      <c r="A84" s="130" t="str">
        <f t="shared" si="51"/>
        <v>FEVRIER</v>
      </c>
      <c r="B84" s="135" t="s">
        <v>204</v>
      </c>
      <c r="C84" s="33">
        <f>+C61</f>
        <v>153550</v>
      </c>
      <c r="D84" s="32"/>
      <c r="E84" s="33">
        <f>+D61</f>
        <v>628000</v>
      </c>
      <c r="F84" s="33"/>
      <c r="G84" s="110"/>
      <c r="H84" s="57">
        <f>+F61</f>
        <v>103500</v>
      </c>
      <c r="I84" s="33">
        <f>+E61</f>
        <v>638695</v>
      </c>
      <c r="J84" s="31">
        <f t="shared" si="52"/>
        <v>39355</v>
      </c>
      <c r="K84" s="156" t="b">
        <f t="shared" si="46"/>
        <v>1</v>
      </c>
      <c r="Q84" s="5"/>
    </row>
    <row r="85" spans="1:17">
      <c r="A85" s="130" t="str">
        <f>A84</f>
        <v>FEVRIER</v>
      </c>
      <c r="B85" s="135" t="s">
        <v>93</v>
      </c>
      <c r="C85" s="33">
        <f t="shared" ref="C85:C88" si="53">+C62</f>
        <v>70300</v>
      </c>
      <c r="D85" s="32"/>
      <c r="E85" s="33">
        <f t="shared" ref="E85:E88" si="54">+D62</f>
        <v>3000</v>
      </c>
      <c r="F85" s="33"/>
      <c r="G85" s="110"/>
      <c r="H85" s="57">
        <f t="shared" ref="H85:H88" si="55">+F62</f>
        <v>30000</v>
      </c>
      <c r="I85" s="33">
        <f t="shared" ref="I85:I88" si="56">+E62</f>
        <v>29000</v>
      </c>
      <c r="J85" s="31">
        <f t="shared" si="52"/>
        <v>14300</v>
      </c>
      <c r="K85" s="156" t="b">
        <f t="shared" si="46"/>
        <v>1</v>
      </c>
      <c r="Q85" s="5"/>
    </row>
    <row r="86" spans="1:17">
      <c r="A86" s="130" t="str">
        <f t="shared" si="51"/>
        <v>FEVRIER</v>
      </c>
      <c r="B86" s="135" t="s">
        <v>29</v>
      </c>
      <c r="C86" s="33">
        <f t="shared" si="53"/>
        <v>99100</v>
      </c>
      <c r="D86" s="32"/>
      <c r="E86" s="33">
        <f t="shared" si="54"/>
        <v>224000</v>
      </c>
      <c r="F86" s="33"/>
      <c r="G86" s="110"/>
      <c r="H86" s="57">
        <f t="shared" si="55"/>
        <v>0</v>
      </c>
      <c r="I86" s="33">
        <f t="shared" si="56"/>
        <v>222500</v>
      </c>
      <c r="J86" s="31">
        <f t="shared" si="52"/>
        <v>100600</v>
      </c>
      <c r="K86" s="156" t="b">
        <f t="shared" si="46"/>
        <v>1</v>
      </c>
      <c r="Q86" s="5"/>
    </row>
    <row r="87" spans="1:17">
      <c r="A87" s="130" t="str">
        <f t="shared" si="51"/>
        <v>FEVRIER</v>
      </c>
      <c r="B87" s="136" t="s">
        <v>276</v>
      </c>
      <c r="C87" s="33">
        <f t="shared" si="53"/>
        <v>13900</v>
      </c>
      <c r="D87" s="127"/>
      <c r="E87" s="33">
        <f t="shared" si="54"/>
        <v>672000</v>
      </c>
      <c r="F87" s="53"/>
      <c r="G87" s="147"/>
      <c r="H87" s="57">
        <f t="shared" si="55"/>
        <v>0</v>
      </c>
      <c r="I87" s="33">
        <f t="shared" si="56"/>
        <v>477600</v>
      </c>
      <c r="J87" s="31">
        <f t="shared" si="52"/>
        <v>208300</v>
      </c>
      <c r="K87" s="156" t="b">
        <f t="shared" si="46"/>
        <v>1</v>
      </c>
      <c r="Q87" s="5"/>
    </row>
    <row r="88" spans="1:17">
      <c r="A88" s="130" t="str">
        <f t="shared" si="51"/>
        <v>FEVRIER</v>
      </c>
      <c r="B88" s="136" t="s">
        <v>113</v>
      </c>
      <c r="C88" s="33">
        <f t="shared" si="53"/>
        <v>-3324</v>
      </c>
      <c r="D88" s="127"/>
      <c r="E88" s="33">
        <f t="shared" si="54"/>
        <v>40000</v>
      </c>
      <c r="F88" s="53"/>
      <c r="G88" s="147"/>
      <c r="H88" s="57">
        <f t="shared" si="55"/>
        <v>0</v>
      </c>
      <c r="I88" s="33">
        <f t="shared" si="56"/>
        <v>10000</v>
      </c>
      <c r="J88" s="31">
        <f t="shared" si="52"/>
        <v>26676</v>
      </c>
      <c r="K88" s="156" t="b">
        <f t="shared" si="46"/>
        <v>1</v>
      </c>
      <c r="Q88" s="5"/>
    </row>
    <row r="89" spans="1:17">
      <c r="A89" s="35" t="s">
        <v>60</v>
      </c>
      <c r="B89" s="36"/>
      <c r="C89" s="36"/>
      <c r="D89" s="36"/>
      <c r="E89" s="36"/>
      <c r="F89" s="36"/>
      <c r="G89" s="36"/>
      <c r="H89" s="36"/>
      <c r="I89" s="36"/>
      <c r="J89" s="37"/>
      <c r="K89" s="155"/>
      <c r="Q89" s="5"/>
    </row>
    <row r="90" spans="1:17">
      <c r="A90" s="130" t="str">
        <f>A88</f>
        <v>FEVRIER</v>
      </c>
      <c r="B90" s="38" t="s">
        <v>61</v>
      </c>
      <c r="C90" s="39">
        <f>+C53</f>
        <v>899588</v>
      </c>
      <c r="D90" s="51"/>
      <c r="E90" s="51">
        <f>D53</f>
        <v>4313500</v>
      </c>
      <c r="F90" s="51"/>
      <c r="G90" s="133"/>
      <c r="H90" s="53">
        <f>+F53</f>
        <v>2516000</v>
      </c>
      <c r="I90" s="134">
        <f>+E53</f>
        <v>1771593</v>
      </c>
      <c r="J90" s="46">
        <f>+SUM(C90:G90)-(H90+I90)</f>
        <v>925495</v>
      </c>
      <c r="K90" s="156" t="b">
        <f>J90=I53</f>
        <v>1</v>
      </c>
      <c r="Q90" s="5"/>
    </row>
    <row r="91" spans="1:17">
      <c r="A91" s="44" t="s">
        <v>62</v>
      </c>
      <c r="B91" s="25"/>
      <c r="C91" s="36"/>
      <c r="D91" s="25"/>
      <c r="E91" s="25"/>
      <c r="F91" s="25"/>
      <c r="G91" s="25"/>
      <c r="H91" s="25"/>
      <c r="I91" s="25"/>
      <c r="J91" s="37"/>
      <c r="K91" s="155"/>
      <c r="Q91" s="5"/>
    </row>
    <row r="92" spans="1:17">
      <c r="A92" s="130" t="str">
        <f>+A90</f>
        <v>FEVRIER</v>
      </c>
      <c r="B92" s="38" t="s">
        <v>24</v>
      </c>
      <c r="C92" s="133">
        <f>+C51</f>
        <v>9351552</v>
      </c>
      <c r="D92" s="140">
        <f>+G51</f>
        <v>0</v>
      </c>
      <c r="E92" s="51"/>
      <c r="F92" s="51"/>
      <c r="G92" s="51"/>
      <c r="H92" s="53">
        <f>+F51</f>
        <v>4000000</v>
      </c>
      <c r="I92" s="55">
        <f>+E51</f>
        <v>433345</v>
      </c>
      <c r="J92" s="46">
        <f>+SUM(C92:G92)-(H92+I92)</f>
        <v>4918207</v>
      </c>
      <c r="K92" s="156" t="b">
        <f>+J92=I51</f>
        <v>1</v>
      </c>
      <c r="Q92" s="5"/>
    </row>
    <row r="93" spans="1:17">
      <c r="A93" s="130" t="str">
        <f t="shared" ref="A93" si="57">+A92</f>
        <v>FEVRIER</v>
      </c>
      <c r="B93" s="38" t="s">
        <v>64</v>
      </c>
      <c r="C93" s="133">
        <f>+C52</f>
        <v>6338553</v>
      </c>
      <c r="D93" s="51">
        <f>+G52</f>
        <v>0</v>
      </c>
      <c r="E93" s="50"/>
      <c r="F93" s="50"/>
      <c r="G93" s="50"/>
      <c r="H93" s="33">
        <f>+F52</f>
        <v>0</v>
      </c>
      <c r="I93" s="52">
        <f>+E52</f>
        <v>4107519</v>
      </c>
      <c r="J93" s="46">
        <f>SUM(C93:G93)-(H93+I93)</f>
        <v>2231034</v>
      </c>
      <c r="K93" s="156" t="b">
        <f>+J93=I52</f>
        <v>1</v>
      </c>
      <c r="Q93" s="5"/>
    </row>
    <row r="94" spans="1:17" ht="15.75">
      <c r="C94" s="151">
        <f>SUM(C77:C93)</f>
        <v>17554032</v>
      </c>
      <c r="I94" s="149">
        <f>SUM(I77:I93)</f>
        <v>8414912</v>
      </c>
      <c r="J94" s="111">
        <f>+SUM(J77:J93)</f>
        <v>9139120</v>
      </c>
      <c r="K94" s="5" t="b">
        <f>J94=I66</f>
        <v>1</v>
      </c>
      <c r="Q94" s="5"/>
    </row>
    <row r="95" spans="1:17" ht="15.75">
      <c r="C95" s="151"/>
      <c r="I95" s="149"/>
      <c r="J95" s="111"/>
      <c r="Q95" s="5"/>
    </row>
    <row r="96" spans="1:17" ht="15.75">
      <c r="A96" s="189"/>
      <c r="B96" s="189"/>
      <c r="C96" s="190"/>
      <c r="D96" s="189"/>
      <c r="E96" s="189"/>
      <c r="F96" s="189"/>
      <c r="G96" s="189"/>
      <c r="H96" s="189"/>
      <c r="I96" s="191"/>
      <c r="J96" s="192"/>
      <c r="K96" s="189"/>
      <c r="L96" s="193"/>
      <c r="M96" s="193"/>
      <c r="N96" s="193"/>
      <c r="O96" s="193"/>
      <c r="P96" s="189"/>
      <c r="Q96" s="5"/>
    </row>
    <row r="97" spans="1:17" ht="15.75" customHeight="1"/>
    <row r="98" spans="1:17" ht="15.75">
      <c r="A98" s="6" t="s">
        <v>36</v>
      </c>
      <c r="B98" s="6" t="s">
        <v>1</v>
      </c>
      <c r="C98" s="6">
        <v>44927</v>
      </c>
      <c r="D98" s="7" t="s">
        <v>37</v>
      </c>
      <c r="E98" s="7" t="s">
        <v>38</v>
      </c>
      <c r="F98" s="7" t="s">
        <v>39</v>
      </c>
      <c r="G98" s="7" t="s">
        <v>40</v>
      </c>
      <c r="H98" s="6">
        <v>44957</v>
      </c>
      <c r="I98" s="7" t="s">
        <v>41</v>
      </c>
      <c r="K98" s="47"/>
      <c r="L98" s="47" t="s">
        <v>42</v>
      </c>
      <c r="M98" s="47" t="s">
        <v>43</v>
      </c>
      <c r="N98" s="47" t="s">
        <v>44</v>
      </c>
      <c r="O98" s="47" t="s">
        <v>45</v>
      </c>
      <c r="Q98" s="5"/>
    </row>
    <row r="99" spans="1:17" ht="16.5">
      <c r="A99" s="60" t="str">
        <f>K99</f>
        <v>BCI</v>
      </c>
      <c r="B99" s="61" t="s">
        <v>46</v>
      </c>
      <c r="C99" s="63">
        <v>13524897</v>
      </c>
      <c r="D99" s="63">
        <f>+L99</f>
        <v>0</v>
      </c>
      <c r="E99" s="63">
        <f>+N99</f>
        <v>173345</v>
      </c>
      <c r="F99" s="63">
        <f>+M99</f>
        <v>4000000</v>
      </c>
      <c r="G99" s="63">
        <f t="shared" ref="G99:G114" si="58">+O99</f>
        <v>0</v>
      </c>
      <c r="H99" s="63">
        <v>9351552</v>
      </c>
      <c r="I99" s="63">
        <f>+C99+D99-E99-F99+G99</f>
        <v>9351552</v>
      </c>
      <c r="J99" s="9">
        <f>I99-H99</f>
        <v>0</v>
      </c>
      <c r="K99" s="47" t="s">
        <v>24</v>
      </c>
      <c r="L99" s="49">
        <v>0</v>
      </c>
      <c r="M99" s="49">
        <v>4000000</v>
      </c>
      <c r="N99" s="49">
        <v>173345</v>
      </c>
      <c r="O99" s="49">
        <v>0</v>
      </c>
      <c r="Q99" s="5"/>
    </row>
    <row r="100" spans="1:17" ht="16.5">
      <c r="A100" s="60" t="str">
        <f t="shared" ref="A100:A114" si="59">K100</f>
        <v>BCI-Sous Compte</v>
      </c>
      <c r="B100" s="61" t="s">
        <v>46</v>
      </c>
      <c r="C100" s="63">
        <v>2476363</v>
      </c>
      <c r="D100" s="63">
        <f t="shared" ref="D100:D112" si="60">+L100</f>
        <v>0</v>
      </c>
      <c r="E100" s="63">
        <f t="shared" ref="E100:E105" si="61">+N100</f>
        <v>4873189</v>
      </c>
      <c r="F100" s="63">
        <f t="shared" ref="F100:F108" si="62">+M100</f>
        <v>0</v>
      </c>
      <c r="G100" s="63">
        <f t="shared" si="58"/>
        <v>8735379</v>
      </c>
      <c r="H100" s="63">
        <v>6338553</v>
      </c>
      <c r="I100" s="63">
        <f>+C100+D100-E100-F100+G100</f>
        <v>6338553</v>
      </c>
      <c r="J100" s="9">
        <f t="shared" ref="J100:J107" si="63">I100-H100</f>
        <v>0</v>
      </c>
      <c r="K100" s="47" t="s">
        <v>155</v>
      </c>
      <c r="L100" s="48">
        <v>0</v>
      </c>
      <c r="M100" s="49">
        <v>0</v>
      </c>
      <c r="N100" s="49">
        <v>4873189</v>
      </c>
      <c r="O100" s="49">
        <v>8735379</v>
      </c>
      <c r="Q100" s="5"/>
    </row>
    <row r="101" spans="1:17" ht="16.5">
      <c r="A101" s="60" t="str">
        <f t="shared" si="59"/>
        <v>Caisse</v>
      </c>
      <c r="B101" s="61" t="s">
        <v>25</v>
      </c>
      <c r="C101" s="63">
        <v>1335599</v>
      </c>
      <c r="D101" s="63">
        <f t="shared" si="60"/>
        <v>4277000</v>
      </c>
      <c r="E101" s="63">
        <f t="shared" si="61"/>
        <v>2382011</v>
      </c>
      <c r="F101" s="63">
        <f t="shared" si="62"/>
        <v>2331000</v>
      </c>
      <c r="G101" s="63">
        <f t="shared" si="58"/>
        <v>0</v>
      </c>
      <c r="H101" s="63">
        <v>899588</v>
      </c>
      <c r="I101" s="63">
        <f>+C101+D101-E101-F101+G101</f>
        <v>899588</v>
      </c>
      <c r="J101" s="108">
        <f t="shared" si="63"/>
        <v>0</v>
      </c>
      <c r="K101" s="47" t="s">
        <v>25</v>
      </c>
      <c r="L101" s="49">
        <v>4277000</v>
      </c>
      <c r="M101" s="49">
        <v>2331000</v>
      </c>
      <c r="N101" s="49">
        <v>2382011</v>
      </c>
      <c r="O101" s="49">
        <v>0</v>
      </c>
      <c r="Q101" s="5"/>
    </row>
    <row r="102" spans="1:17" ht="16.5">
      <c r="A102" s="60" t="str">
        <f t="shared" si="59"/>
        <v>Crépin</v>
      </c>
      <c r="B102" s="61" t="s">
        <v>161</v>
      </c>
      <c r="C102" s="63">
        <v>89205</v>
      </c>
      <c r="D102" s="63">
        <f t="shared" si="60"/>
        <v>0</v>
      </c>
      <c r="E102" s="63">
        <f t="shared" si="61"/>
        <v>0</v>
      </c>
      <c r="F102" s="63">
        <f t="shared" si="62"/>
        <v>0</v>
      </c>
      <c r="G102" s="63">
        <f t="shared" si="58"/>
        <v>0</v>
      </c>
      <c r="H102" s="63">
        <v>89205</v>
      </c>
      <c r="I102" s="63">
        <f>+C102+D102-E102-F102+G102</f>
        <v>89205</v>
      </c>
      <c r="J102" s="9">
        <f t="shared" si="63"/>
        <v>0</v>
      </c>
      <c r="K102" s="47" t="s">
        <v>47</v>
      </c>
      <c r="L102" s="49">
        <v>0</v>
      </c>
      <c r="M102" s="49">
        <v>0</v>
      </c>
      <c r="N102" s="49">
        <v>0</v>
      </c>
      <c r="O102" s="49">
        <v>0</v>
      </c>
      <c r="Q102" s="5"/>
    </row>
    <row r="103" spans="1:17" ht="16.5">
      <c r="A103" s="60" t="str">
        <f t="shared" si="59"/>
        <v>D58</v>
      </c>
      <c r="B103" s="61" t="s">
        <v>4</v>
      </c>
      <c r="C103" s="63">
        <v>0</v>
      </c>
      <c r="D103" s="63">
        <f t="shared" si="60"/>
        <v>85000</v>
      </c>
      <c r="E103" s="63">
        <f t="shared" si="61"/>
        <v>66500</v>
      </c>
      <c r="F103" s="63">
        <f t="shared" si="62"/>
        <v>0</v>
      </c>
      <c r="G103" s="63">
        <f t="shared" si="58"/>
        <v>0</v>
      </c>
      <c r="H103" s="63">
        <v>18500</v>
      </c>
      <c r="I103" s="63">
        <f>+C103+D103-E103-F103+G103</f>
        <v>18500</v>
      </c>
      <c r="J103" s="9">
        <f t="shared" si="63"/>
        <v>0</v>
      </c>
      <c r="K103" s="47" t="s">
        <v>277</v>
      </c>
      <c r="L103" s="49">
        <v>85000</v>
      </c>
      <c r="M103" s="49">
        <v>0</v>
      </c>
      <c r="N103" s="49">
        <v>66500</v>
      </c>
      <c r="O103" s="49">
        <v>0</v>
      </c>
      <c r="Q103" s="5"/>
    </row>
    <row r="104" spans="1:17" ht="16.5">
      <c r="A104" s="60" t="str">
        <f t="shared" si="59"/>
        <v>Donald</v>
      </c>
      <c r="B104" s="61" t="s">
        <v>161</v>
      </c>
      <c r="C104" s="63">
        <v>236200</v>
      </c>
      <c r="D104" s="63">
        <f t="shared" si="60"/>
        <v>264000</v>
      </c>
      <c r="E104" s="63">
        <f t="shared" si="61"/>
        <v>279550</v>
      </c>
      <c r="F104" s="63">
        <f t="shared" si="62"/>
        <v>210000</v>
      </c>
      <c r="G104" s="63">
        <f t="shared" si="58"/>
        <v>0</v>
      </c>
      <c r="H104" s="63">
        <v>10650</v>
      </c>
      <c r="I104" s="63">
        <f t="shared" ref="I104:I105" si="64">+C104+D104-E104-F104+G104</f>
        <v>10650</v>
      </c>
      <c r="J104" s="9">
        <f t="shared" si="63"/>
        <v>0</v>
      </c>
      <c r="K104" s="47" t="s">
        <v>263</v>
      </c>
      <c r="L104" s="49">
        <v>264000</v>
      </c>
      <c r="M104" s="49">
        <v>210000</v>
      </c>
      <c r="N104" s="49">
        <v>279550</v>
      </c>
      <c r="O104" s="49">
        <v>0</v>
      </c>
      <c r="Q104" s="5"/>
    </row>
    <row r="105" spans="1:17" ht="16.5">
      <c r="A105" s="60" t="str">
        <f t="shared" si="59"/>
        <v>Evariste</v>
      </c>
      <c r="B105" s="61" t="s">
        <v>162</v>
      </c>
      <c r="C105" s="63">
        <v>11675</v>
      </c>
      <c r="D105" s="63">
        <f t="shared" si="60"/>
        <v>187000</v>
      </c>
      <c r="E105" s="63">
        <f t="shared" si="61"/>
        <v>190350</v>
      </c>
      <c r="F105" s="63">
        <f t="shared" si="62"/>
        <v>0</v>
      </c>
      <c r="G105" s="63">
        <f t="shared" si="58"/>
        <v>0</v>
      </c>
      <c r="H105" s="63">
        <v>8325</v>
      </c>
      <c r="I105" s="63">
        <f t="shared" si="64"/>
        <v>8325</v>
      </c>
      <c r="J105" s="9">
        <f t="shared" si="63"/>
        <v>0</v>
      </c>
      <c r="K105" s="47" t="s">
        <v>31</v>
      </c>
      <c r="L105" s="49">
        <v>187000</v>
      </c>
      <c r="M105" s="49">
        <v>0</v>
      </c>
      <c r="N105" s="49">
        <v>190350</v>
      </c>
      <c r="O105" s="49">
        <v>0</v>
      </c>
      <c r="Q105" s="5"/>
    </row>
    <row r="106" spans="1:17" ht="16.5">
      <c r="A106" s="60" t="str">
        <f t="shared" si="59"/>
        <v>I55S</v>
      </c>
      <c r="B106" s="124" t="s">
        <v>4</v>
      </c>
      <c r="C106" s="126">
        <v>233614</v>
      </c>
      <c r="D106" s="126">
        <f t="shared" si="60"/>
        <v>0</v>
      </c>
      <c r="E106" s="126">
        <f>+N106</f>
        <v>0</v>
      </c>
      <c r="F106" s="126">
        <f t="shared" si="62"/>
        <v>0</v>
      </c>
      <c r="G106" s="126">
        <f t="shared" si="58"/>
        <v>0</v>
      </c>
      <c r="H106" s="126">
        <v>233614</v>
      </c>
      <c r="I106" s="126">
        <f>+C106+D106-E106-F106+G106</f>
        <v>233614</v>
      </c>
      <c r="J106" s="9">
        <f t="shared" si="63"/>
        <v>0</v>
      </c>
      <c r="K106" s="47" t="s">
        <v>84</v>
      </c>
      <c r="L106" s="49">
        <v>0</v>
      </c>
      <c r="M106" s="49">
        <v>0</v>
      </c>
      <c r="N106" s="49">
        <v>0</v>
      </c>
      <c r="O106" s="49">
        <v>0</v>
      </c>
      <c r="Q106" s="5"/>
    </row>
    <row r="107" spans="1:17" ht="16.5">
      <c r="A107" s="60" t="str">
        <f t="shared" si="59"/>
        <v>I73X</v>
      </c>
      <c r="B107" s="124" t="s">
        <v>4</v>
      </c>
      <c r="C107" s="126">
        <v>249769</v>
      </c>
      <c r="D107" s="126">
        <f t="shared" si="60"/>
        <v>0</v>
      </c>
      <c r="E107" s="126">
        <f>+N107</f>
        <v>0</v>
      </c>
      <c r="F107" s="126">
        <f t="shared" si="62"/>
        <v>0</v>
      </c>
      <c r="G107" s="126">
        <f t="shared" si="58"/>
        <v>0</v>
      </c>
      <c r="H107" s="126">
        <v>249769</v>
      </c>
      <c r="I107" s="126">
        <f t="shared" ref="I107:I112" si="65">+C107+D107-E107-F107+G107</f>
        <v>249769</v>
      </c>
      <c r="J107" s="9">
        <f t="shared" si="63"/>
        <v>0</v>
      </c>
      <c r="K107" s="47" t="s">
        <v>83</v>
      </c>
      <c r="L107" s="49">
        <v>0</v>
      </c>
      <c r="M107" s="49">
        <v>0</v>
      </c>
      <c r="N107" s="49">
        <v>0</v>
      </c>
      <c r="O107" s="49">
        <v>0</v>
      </c>
      <c r="Q107" s="5"/>
    </row>
    <row r="108" spans="1:17" s="296" customFormat="1" ht="16.5">
      <c r="A108" s="60" t="str">
        <f t="shared" si="59"/>
        <v>Grace</v>
      </c>
      <c r="B108" s="227" t="s">
        <v>2</v>
      </c>
      <c r="C108" s="63">
        <v>11800</v>
      </c>
      <c r="D108" s="63">
        <f t="shared" si="60"/>
        <v>639000</v>
      </c>
      <c r="E108" s="63">
        <f t="shared" ref="E108" si="66">+N108</f>
        <v>437050</v>
      </c>
      <c r="F108" s="63">
        <f t="shared" si="62"/>
        <v>193000</v>
      </c>
      <c r="G108" s="63">
        <f t="shared" si="58"/>
        <v>0</v>
      </c>
      <c r="H108" s="292">
        <v>20750</v>
      </c>
      <c r="I108" s="292">
        <f t="shared" si="65"/>
        <v>20750</v>
      </c>
      <c r="J108" s="293">
        <f>I108-H108</f>
        <v>0</v>
      </c>
      <c r="K108" s="294" t="s">
        <v>150</v>
      </c>
      <c r="L108" s="295">
        <v>639000</v>
      </c>
      <c r="M108" s="295">
        <v>193000</v>
      </c>
      <c r="N108" s="49">
        <v>437050</v>
      </c>
      <c r="O108" s="295">
        <v>0</v>
      </c>
    </row>
    <row r="109" spans="1:17" ht="16.5">
      <c r="A109" s="60" t="str">
        <f t="shared" si="59"/>
        <v>Hurielle</v>
      </c>
      <c r="B109" s="104" t="s">
        <v>161</v>
      </c>
      <c r="C109" s="63">
        <v>18750</v>
      </c>
      <c r="D109" s="63">
        <f t="shared" si="60"/>
        <v>517000</v>
      </c>
      <c r="E109" s="63">
        <f>+N109</f>
        <v>335200</v>
      </c>
      <c r="F109" s="63">
        <f>+M109</f>
        <v>47000</v>
      </c>
      <c r="G109" s="63">
        <f t="shared" si="58"/>
        <v>0</v>
      </c>
      <c r="H109" s="63">
        <v>153550</v>
      </c>
      <c r="I109" s="63">
        <f t="shared" si="65"/>
        <v>153550</v>
      </c>
      <c r="J109" s="9">
        <f t="shared" ref="J109" si="67">I109-H109</f>
        <v>0</v>
      </c>
      <c r="K109" s="47" t="s">
        <v>204</v>
      </c>
      <c r="L109" s="49">
        <v>517000</v>
      </c>
      <c r="M109" s="49">
        <v>47000</v>
      </c>
      <c r="N109" s="49">
        <v>335200</v>
      </c>
      <c r="O109" s="49">
        <v>0</v>
      </c>
      <c r="Q109" s="5"/>
    </row>
    <row r="110" spans="1:17" ht="16.5">
      <c r="A110" s="60" t="str">
        <f t="shared" si="59"/>
        <v>Man Love</v>
      </c>
      <c r="B110" s="104" t="s">
        <v>161</v>
      </c>
      <c r="C110" s="63">
        <v>0</v>
      </c>
      <c r="D110" s="63">
        <f t="shared" si="60"/>
        <v>6000</v>
      </c>
      <c r="E110" s="63">
        <f>+N110</f>
        <v>6000</v>
      </c>
      <c r="F110" s="63">
        <f>+M110</f>
        <v>0</v>
      </c>
      <c r="G110" s="63"/>
      <c r="H110" s="63">
        <v>0</v>
      </c>
      <c r="I110" s="63">
        <v>0</v>
      </c>
      <c r="J110" s="9"/>
      <c r="K110" s="47" t="s">
        <v>279</v>
      </c>
      <c r="L110" s="49">
        <v>6000</v>
      </c>
      <c r="M110" s="49">
        <v>0</v>
      </c>
      <c r="N110" s="49">
        <v>6000</v>
      </c>
      <c r="O110" s="49"/>
      <c r="Q110" s="5"/>
    </row>
    <row r="111" spans="1:17" s="296" customFormat="1" ht="16.5">
      <c r="A111" s="60" t="str">
        <f t="shared" si="59"/>
        <v>Merveille</v>
      </c>
      <c r="B111" s="227" t="s">
        <v>2</v>
      </c>
      <c r="C111" s="63">
        <v>-2900</v>
      </c>
      <c r="D111" s="63">
        <f t="shared" si="60"/>
        <v>218000</v>
      </c>
      <c r="E111" s="63">
        <f t="shared" ref="E111:E114" si="68">+N111</f>
        <v>124800</v>
      </c>
      <c r="F111" s="63">
        <f t="shared" ref="F111:F114" si="69">+M111</f>
        <v>20000</v>
      </c>
      <c r="G111" s="63">
        <f t="shared" si="58"/>
        <v>0</v>
      </c>
      <c r="H111" s="292">
        <v>70300</v>
      </c>
      <c r="I111" s="292">
        <f t="shared" si="65"/>
        <v>70300</v>
      </c>
      <c r="J111" s="293">
        <f>I111-H111</f>
        <v>0</v>
      </c>
      <c r="K111" s="294" t="s">
        <v>93</v>
      </c>
      <c r="L111" s="295">
        <v>218000</v>
      </c>
      <c r="M111" s="295">
        <v>20000</v>
      </c>
      <c r="N111" s="49">
        <v>124800</v>
      </c>
      <c r="O111" s="295">
        <v>0</v>
      </c>
    </row>
    <row r="112" spans="1:17" ht="16.5">
      <c r="A112" s="60" t="str">
        <f t="shared" si="59"/>
        <v>P29</v>
      </c>
      <c r="B112" s="228" t="s">
        <v>4</v>
      </c>
      <c r="C112" s="63">
        <v>148600</v>
      </c>
      <c r="D112" s="63">
        <f t="shared" si="60"/>
        <v>375000</v>
      </c>
      <c r="E112" s="63">
        <f t="shared" si="68"/>
        <v>424500</v>
      </c>
      <c r="F112" s="63">
        <f t="shared" si="69"/>
        <v>0</v>
      </c>
      <c r="G112" s="63">
        <f t="shared" si="58"/>
        <v>0</v>
      </c>
      <c r="H112" s="63">
        <v>99100</v>
      </c>
      <c r="I112" s="63">
        <f t="shared" si="65"/>
        <v>99100</v>
      </c>
      <c r="J112" s="9">
        <f t="shared" ref="J112:J113" si="70">I112-H112</f>
        <v>0</v>
      </c>
      <c r="K112" s="47" t="s">
        <v>29</v>
      </c>
      <c r="L112" s="49">
        <v>375000</v>
      </c>
      <c r="M112" s="49">
        <v>0</v>
      </c>
      <c r="N112" s="49">
        <v>424500</v>
      </c>
      <c r="O112" s="49">
        <v>0</v>
      </c>
      <c r="Q112" s="5"/>
    </row>
    <row r="113" spans="1:17" ht="16.5">
      <c r="A113" s="60" t="str">
        <f t="shared" si="59"/>
        <v>T73</v>
      </c>
      <c r="B113" s="227" t="s">
        <v>4</v>
      </c>
      <c r="C113" s="63">
        <v>0</v>
      </c>
      <c r="D113" s="63">
        <f>+L113</f>
        <v>85000</v>
      </c>
      <c r="E113" s="63">
        <f t="shared" si="68"/>
        <v>71100</v>
      </c>
      <c r="F113" s="63">
        <f t="shared" si="69"/>
        <v>0</v>
      </c>
      <c r="G113" s="63">
        <f t="shared" si="58"/>
        <v>0</v>
      </c>
      <c r="H113" s="63">
        <v>13900</v>
      </c>
      <c r="I113" s="63">
        <f>+C113+D113-E113-F113+G113</f>
        <v>13900</v>
      </c>
      <c r="J113" s="9">
        <f t="shared" si="70"/>
        <v>0</v>
      </c>
      <c r="K113" s="47" t="s">
        <v>276</v>
      </c>
      <c r="L113" s="49">
        <v>85000</v>
      </c>
      <c r="M113" s="49">
        <v>0</v>
      </c>
      <c r="N113" s="295">
        <v>71100</v>
      </c>
      <c r="O113" s="49">
        <v>0</v>
      </c>
      <c r="Q113" s="5"/>
    </row>
    <row r="114" spans="1:17" ht="16.5">
      <c r="A114" s="60" t="str">
        <f t="shared" si="59"/>
        <v>Tiffany</v>
      </c>
      <c r="B114" s="227" t="s">
        <v>2</v>
      </c>
      <c r="C114" s="63">
        <v>-10174</v>
      </c>
      <c r="D114" s="63">
        <f t="shared" ref="D114" si="71">+L114</f>
        <v>198000</v>
      </c>
      <c r="E114" s="63">
        <f t="shared" si="68"/>
        <v>141150</v>
      </c>
      <c r="F114" s="63">
        <f t="shared" si="69"/>
        <v>50000</v>
      </c>
      <c r="G114" s="63">
        <f t="shared" si="58"/>
        <v>0</v>
      </c>
      <c r="H114" s="63">
        <v>-3324</v>
      </c>
      <c r="I114" s="63">
        <f>+C114+D114-E114-F114+G114</f>
        <v>-3324</v>
      </c>
      <c r="J114" s="9">
        <f>I114-H114</f>
        <v>0</v>
      </c>
      <c r="K114" s="47" t="s">
        <v>113</v>
      </c>
      <c r="L114" s="49">
        <v>198000</v>
      </c>
      <c r="M114" s="49">
        <v>50000</v>
      </c>
      <c r="N114" s="49">
        <v>141150</v>
      </c>
      <c r="O114" s="49">
        <v>0</v>
      </c>
      <c r="Q114" s="5"/>
    </row>
    <row r="115" spans="1:17" ht="16.5">
      <c r="A115" s="10" t="s">
        <v>50</v>
      </c>
      <c r="B115" s="11"/>
      <c r="C115" s="12">
        <f t="shared" ref="C115:I115" si="72">SUM(C99:C114)</f>
        <v>18323398</v>
      </c>
      <c r="D115" s="59">
        <f t="shared" si="72"/>
        <v>6851000</v>
      </c>
      <c r="E115" s="59">
        <f t="shared" si="72"/>
        <v>9504745</v>
      </c>
      <c r="F115" s="59">
        <f t="shared" si="72"/>
        <v>6851000</v>
      </c>
      <c r="G115" s="59">
        <f t="shared" si="72"/>
        <v>8735379</v>
      </c>
      <c r="H115" s="59">
        <f t="shared" si="72"/>
        <v>17554032</v>
      </c>
      <c r="I115" s="59">
        <f t="shared" si="72"/>
        <v>17554032</v>
      </c>
      <c r="J115" s="9">
        <f>I115-H115</f>
        <v>0</v>
      </c>
      <c r="K115" s="3"/>
      <c r="L115" s="49">
        <f>+SUM(L99:L114)</f>
        <v>6851000</v>
      </c>
      <c r="M115" s="49">
        <f>+SUM(M99:M114)</f>
        <v>6851000</v>
      </c>
      <c r="N115" s="49">
        <f>+SUM(N99:N114)</f>
        <v>9504745</v>
      </c>
      <c r="O115" s="49">
        <f>+SUM(O99:O114)</f>
        <v>8735379</v>
      </c>
      <c r="Q115" s="5"/>
    </row>
    <row r="116" spans="1:17" ht="16.5">
      <c r="A116" s="10"/>
      <c r="B116" s="11"/>
      <c r="C116" s="12"/>
      <c r="D116" s="13"/>
      <c r="E116" s="12"/>
      <c r="F116" s="13"/>
      <c r="G116" s="12"/>
      <c r="H116" s="12"/>
      <c r="I116" s="143" t="b">
        <f>I115=D118</f>
        <v>1</v>
      </c>
      <c r="J116" s="9">
        <f>H115-I115</f>
        <v>0</v>
      </c>
      <c r="L116" s="5"/>
      <c r="M116" s="5"/>
      <c r="N116" s="5"/>
      <c r="O116" s="5"/>
      <c r="Q116" s="5"/>
    </row>
    <row r="117" spans="1:17" ht="16.5">
      <c r="A117" s="10" t="s">
        <v>280</v>
      </c>
      <c r="B117" s="11" t="s">
        <v>184</v>
      </c>
      <c r="C117" s="12" t="s">
        <v>183</v>
      </c>
      <c r="D117" s="12" t="s">
        <v>281</v>
      </c>
      <c r="E117" s="12" t="s">
        <v>51</v>
      </c>
      <c r="F117" s="12"/>
      <c r="G117" s="12">
        <f>+D115-F115</f>
        <v>0</v>
      </c>
      <c r="H117" s="12"/>
      <c r="I117" s="12"/>
      <c r="Q117" s="5"/>
    </row>
    <row r="118" spans="1:17" ht="16.5">
      <c r="A118" s="14">
        <f>C115</f>
        <v>18323398</v>
      </c>
      <c r="B118" s="15">
        <f>G115</f>
        <v>8735379</v>
      </c>
      <c r="C118" s="12">
        <f>E115</f>
        <v>9504745</v>
      </c>
      <c r="D118" s="12">
        <f>A118+B118-C118</f>
        <v>17554032</v>
      </c>
      <c r="E118" s="13">
        <f>I115-D118</f>
        <v>0</v>
      </c>
      <c r="F118" s="12"/>
      <c r="G118" s="12"/>
      <c r="H118" s="12"/>
      <c r="I118" s="12"/>
      <c r="Q118" s="5"/>
    </row>
    <row r="119" spans="1:17" ht="16.5">
      <c r="A119" s="14"/>
      <c r="B119" s="15"/>
      <c r="C119" s="12"/>
      <c r="D119" s="12"/>
      <c r="E119" s="13"/>
      <c r="F119" s="12"/>
      <c r="G119" s="12"/>
      <c r="H119" s="12"/>
      <c r="I119" s="12"/>
      <c r="Q119" s="5"/>
    </row>
    <row r="120" spans="1:17">
      <c r="A120" s="16" t="s">
        <v>52</v>
      </c>
      <c r="B120" s="16"/>
      <c r="C120" s="16"/>
      <c r="D120" s="17"/>
      <c r="E120" s="17"/>
      <c r="F120" s="17"/>
      <c r="G120" s="17"/>
      <c r="H120" s="17"/>
      <c r="I120" s="17"/>
      <c r="Q120" s="5"/>
    </row>
    <row r="121" spans="1:17">
      <c r="A121" s="18" t="s">
        <v>282</v>
      </c>
      <c r="B121" s="18"/>
      <c r="C121" s="18"/>
      <c r="D121" s="18"/>
      <c r="E121" s="18"/>
      <c r="F121" s="18"/>
      <c r="G121" s="18"/>
      <c r="H121" s="18"/>
      <c r="I121" s="18"/>
      <c r="J121" s="18"/>
      <c r="Q121" s="5"/>
    </row>
    <row r="122" spans="1:17">
      <c r="A122" s="19"/>
      <c r="B122" s="20"/>
      <c r="C122" s="21"/>
      <c r="D122" s="21"/>
      <c r="E122" s="21"/>
      <c r="F122" s="21"/>
      <c r="G122" s="21"/>
      <c r="H122" s="20"/>
      <c r="I122" s="20"/>
      <c r="Q122" s="5"/>
    </row>
    <row r="123" spans="1:17" ht="45" customHeight="1">
      <c r="A123" s="390" t="s">
        <v>53</v>
      </c>
      <c r="B123" s="392" t="s">
        <v>54</v>
      </c>
      <c r="C123" s="410" t="s">
        <v>283</v>
      </c>
      <c r="D123" s="395" t="s">
        <v>55</v>
      </c>
      <c r="E123" s="396"/>
      <c r="F123" s="396"/>
      <c r="G123" s="397"/>
      <c r="H123" s="398" t="s">
        <v>56</v>
      </c>
      <c r="I123" s="400" t="s">
        <v>57</v>
      </c>
      <c r="J123" s="388"/>
      <c r="Q123" s="5"/>
    </row>
    <row r="124" spans="1:17" ht="28.5" customHeight="1">
      <c r="A124" s="391"/>
      <c r="B124" s="393"/>
      <c r="C124" s="394"/>
      <c r="D124" s="22" t="s">
        <v>24</v>
      </c>
      <c r="E124" s="22" t="s">
        <v>25</v>
      </c>
      <c r="F124" s="394" t="s">
        <v>123</v>
      </c>
      <c r="G124" s="22" t="s">
        <v>58</v>
      </c>
      <c r="H124" s="399"/>
      <c r="I124" s="401"/>
      <c r="J124" s="409" t="s">
        <v>284</v>
      </c>
      <c r="K124" s="155"/>
      <c r="Q124" s="5"/>
    </row>
    <row r="125" spans="1:17">
      <c r="A125" s="24"/>
      <c r="B125" s="25" t="s">
        <v>59</v>
      </c>
      <c r="C125" s="26"/>
      <c r="D125" s="26"/>
      <c r="E125" s="26"/>
      <c r="F125" s="26"/>
      <c r="G125" s="26"/>
      <c r="H125" s="26"/>
      <c r="I125" s="27"/>
      <c r="J125" s="402"/>
      <c r="K125" s="155"/>
      <c r="Q125" s="5"/>
    </row>
    <row r="126" spans="1:17">
      <c r="A126" s="130" t="s">
        <v>108</v>
      </c>
      <c r="B126" s="135" t="s">
        <v>47</v>
      </c>
      <c r="C126" s="33">
        <f>+C102</f>
        <v>89205</v>
      </c>
      <c r="D126" s="32"/>
      <c r="E126" s="33">
        <f>+D102</f>
        <v>0</v>
      </c>
      <c r="F126" s="33"/>
      <c r="G126" s="33"/>
      <c r="H126" s="57">
        <f>+F102</f>
        <v>0</v>
      </c>
      <c r="I126" s="33">
        <f>+E102</f>
        <v>0</v>
      </c>
      <c r="J126" s="31">
        <f t="shared" ref="J126:J129" si="73">+SUM(C126:G126)-(H126+I126)</f>
        <v>89205</v>
      </c>
      <c r="K126" s="156" t="b">
        <f>J126=I102</f>
        <v>1</v>
      </c>
      <c r="Q126" s="5"/>
    </row>
    <row r="127" spans="1:17">
      <c r="A127" s="130" t="str">
        <f>+A126</f>
        <v>JANVIER</v>
      </c>
      <c r="B127" s="135" t="s">
        <v>277</v>
      </c>
      <c r="C127" s="33">
        <f t="shared" ref="C127:C129" si="74">+C103</f>
        <v>0</v>
      </c>
      <c r="D127" s="32"/>
      <c r="E127" s="33">
        <f t="shared" ref="E127:E129" si="75">+D103</f>
        <v>85000</v>
      </c>
      <c r="F127" s="33"/>
      <c r="G127" s="33"/>
      <c r="H127" s="57">
        <f t="shared" ref="H127:H129" si="76">+F103</f>
        <v>0</v>
      </c>
      <c r="I127" s="33">
        <f t="shared" ref="I127:I129" si="77">+E103</f>
        <v>66500</v>
      </c>
      <c r="J127" s="31">
        <f t="shared" si="73"/>
        <v>18500</v>
      </c>
      <c r="K127" s="156" t="b">
        <f>J127=I103</f>
        <v>1</v>
      </c>
      <c r="Q127" s="5"/>
    </row>
    <row r="128" spans="1:17">
      <c r="A128" s="130" t="str">
        <f t="shared" ref="A128:A138" si="78">+A127</f>
        <v>JANVIER</v>
      </c>
      <c r="B128" s="135" t="s">
        <v>263</v>
      </c>
      <c r="C128" s="33">
        <f t="shared" si="74"/>
        <v>236200</v>
      </c>
      <c r="D128" s="32"/>
      <c r="E128" s="33">
        <f t="shared" si="75"/>
        <v>264000</v>
      </c>
      <c r="F128" s="33"/>
      <c r="G128" s="33"/>
      <c r="H128" s="57">
        <f t="shared" si="76"/>
        <v>210000</v>
      </c>
      <c r="I128" s="33">
        <f t="shared" si="77"/>
        <v>279550</v>
      </c>
      <c r="J128" s="31">
        <f t="shared" si="73"/>
        <v>10650</v>
      </c>
      <c r="K128" s="156" t="b">
        <f t="shared" ref="K128:K138" si="79">J128=I104</f>
        <v>1</v>
      </c>
      <c r="Q128" s="5"/>
    </row>
    <row r="129" spans="1:17">
      <c r="A129" s="130" t="str">
        <f t="shared" si="78"/>
        <v>JANVIER</v>
      </c>
      <c r="B129" s="135" t="s">
        <v>31</v>
      </c>
      <c r="C129" s="33">
        <f t="shared" si="74"/>
        <v>11675</v>
      </c>
      <c r="D129" s="32"/>
      <c r="E129" s="33">
        <f t="shared" si="75"/>
        <v>187000</v>
      </c>
      <c r="F129" s="33"/>
      <c r="G129" s="33"/>
      <c r="H129" s="57">
        <f t="shared" si="76"/>
        <v>0</v>
      </c>
      <c r="I129" s="33">
        <f t="shared" si="77"/>
        <v>190350</v>
      </c>
      <c r="J129" s="31">
        <f t="shared" si="73"/>
        <v>8325</v>
      </c>
      <c r="K129" s="156" t="b">
        <f t="shared" si="79"/>
        <v>1</v>
      </c>
      <c r="Q129" s="5"/>
    </row>
    <row r="130" spans="1:17">
      <c r="A130" s="130" t="str">
        <f t="shared" si="78"/>
        <v>JANVIER</v>
      </c>
      <c r="B130" s="137" t="s">
        <v>84</v>
      </c>
      <c r="C130" s="128">
        <f>+C106</f>
        <v>233614</v>
      </c>
      <c r="D130" s="131"/>
      <c r="E130" s="128">
        <f>+D106</f>
        <v>0</v>
      </c>
      <c r="F130" s="146"/>
      <c r="G130" s="146"/>
      <c r="H130" s="178">
        <f>+F106</f>
        <v>0</v>
      </c>
      <c r="I130" s="128">
        <f>+E106</f>
        <v>0</v>
      </c>
      <c r="J130" s="129">
        <f>+SUM(C130:G130)-(H130+I130)</f>
        <v>233614</v>
      </c>
      <c r="K130" s="156" t="b">
        <f t="shared" si="79"/>
        <v>1</v>
      </c>
      <c r="Q130" s="5"/>
    </row>
    <row r="131" spans="1:17">
      <c r="A131" s="130" t="str">
        <f t="shared" si="78"/>
        <v>JANVIER</v>
      </c>
      <c r="B131" s="137" t="s">
        <v>83</v>
      </c>
      <c r="C131" s="128">
        <f>+C107</f>
        <v>249769</v>
      </c>
      <c r="D131" s="131"/>
      <c r="E131" s="128">
        <f>+D107</f>
        <v>0</v>
      </c>
      <c r="F131" s="146"/>
      <c r="G131" s="146"/>
      <c r="H131" s="178">
        <f>+F107</f>
        <v>0</v>
      </c>
      <c r="I131" s="128">
        <f>+E107</f>
        <v>0</v>
      </c>
      <c r="J131" s="129">
        <f t="shared" ref="J131:J138" si="80">+SUM(C131:G131)-(H131+I131)</f>
        <v>249769</v>
      </c>
      <c r="K131" s="156" t="b">
        <f t="shared" si="79"/>
        <v>1</v>
      </c>
      <c r="Q131" s="5"/>
    </row>
    <row r="132" spans="1:17">
      <c r="A132" s="130" t="str">
        <f t="shared" si="78"/>
        <v>JANVIER</v>
      </c>
      <c r="B132" s="135" t="s">
        <v>150</v>
      </c>
      <c r="C132" s="33">
        <f>+C108</f>
        <v>11800</v>
      </c>
      <c r="D132" s="32"/>
      <c r="E132" s="33">
        <f>+D108</f>
        <v>639000</v>
      </c>
      <c r="F132" s="33"/>
      <c r="G132" s="110"/>
      <c r="H132" s="57">
        <f>+F108</f>
        <v>193000</v>
      </c>
      <c r="I132" s="33">
        <f>+E108</f>
        <v>437050</v>
      </c>
      <c r="J132" s="31">
        <f t="shared" si="80"/>
        <v>20750</v>
      </c>
      <c r="K132" s="156" t="b">
        <f t="shared" si="79"/>
        <v>1</v>
      </c>
      <c r="Q132" s="5"/>
    </row>
    <row r="133" spans="1:17">
      <c r="A133" s="130" t="str">
        <f t="shared" si="78"/>
        <v>JANVIER</v>
      </c>
      <c r="B133" s="135" t="s">
        <v>204</v>
      </c>
      <c r="C133" s="33">
        <f t="shared" ref="C133:C138" si="81">+C109</f>
        <v>18750</v>
      </c>
      <c r="D133" s="32"/>
      <c r="E133" s="33">
        <f t="shared" ref="E133:E138" si="82">+D109</f>
        <v>517000</v>
      </c>
      <c r="F133" s="33"/>
      <c r="G133" s="110"/>
      <c r="H133" s="57">
        <f t="shared" ref="H133:H138" si="83">+F109</f>
        <v>47000</v>
      </c>
      <c r="I133" s="33">
        <f t="shared" ref="I133:I138" si="84">+E109</f>
        <v>335200</v>
      </c>
      <c r="J133" s="31">
        <f t="shared" si="80"/>
        <v>153550</v>
      </c>
      <c r="K133" s="156" t="b">
        <f t="shared" si="79"/>
        <v>1</v>
      </c>
      <c r="Q133" s="5"/>
    </row>
    <row r="134" spans="1:17">
      <c r="A134" s="130" t="str">
        <f t="shared" si="78"/>
        <v>JANVIER</v>
      </c>
      <c r="B134" s="135" t="s">
        <v>279</v>
      </c>
      <c r="C134" s="33">
        <f t="shared" si="81"/>
        <v>0</v>
      </c>
      <c r="D134" s="32"/>
      <c r="E134" s="33">
        <f t="shared" si="82"/>
        <v>6000</v>
      </c>
      <c r="F134" s="33"/>
      <c r="G134" s="110"/>
      <c r="H134" s="57">
        <f t="shared" si="83"/>
        <v>0</v>
      </c>
      <c r="I134" s="33">
        <f t="shared" si="84"/>
        <v>6000</v>
      </c>
      <c r="J134" s="31">
        <f t="shared" si="80"/>
        <v>0</v>
      </c>
      <c r="K134" s="156" t="b">
        <f t="shared" si="79"/>
        <v>1</v>
      </c>
      <c r="Q134" s="5"/>
    </row>
    <row r="135" spans="1:17">
      <c r="A135" s="130" t="str">
        <f t="shared" si="78"/>
        <v>JANVIER</v>
      </c>
      <c r="B135" s="135" t="s">
        <v>93</v>
      </c>
      <c r="C135" s="33">
        <f t="shared" si="81"/>
        <v>-2900</v>
      </c>
      <c r="D135" s="32"/>
      <c r="E135" s="33">
        <f t="shared" si="82"/>
        <v>218000</v>
      </c>
      <c r="F135" s="33"/>
      <c r="G135" s="110"/>
      <c r="H135" s="57">
        <f t="shared" si="83"/>
        <v>20000</v>
      </c>
      <c r="I135" s="33">
        <f t="shared" si="84"/>
        <v>124800</v>
      </c>
      <c r="J135" s="31">
        <f t="shared" si="80"/>
        <v>70300</v>
      </c>
      <c r="K135" s="156" t="b">
        <f t="shared" si="79"/>
        <v>1</v>
      </c>
      <c r="Q135" s="5"/>
    </row>
    <row r="136" spans="1:17">
      <c r="A136" s="130" t="str">
        <f t="shared" si="78"/>
        <v>JANVIER</v>
      </c>
      <c r="B136" s="135" t="s">
        <v>29</v>
      </c>
      <c r="C136" s="33">
        <f t="shared" si="81"/>
        <v>148600</v>
      </c>
      <c r="D136" s="32"/>
      <c r="E136" s="33">
        <f t="shared" si="82"/>
        <v>375000</v>
      </c>
      <c r="F136" s="33"/>
      <c r="G136" s="110"/>
      <c r="H136" s="57">
        <f t="shared" si="83"/>
        <v>0</v>
      </c>
      <c r="I136" s="33">
        <f t="shared" si="84"/>
        <v>424500</v>
      </c>
      <c r="J136" s="31">
        <f t="shared" si="80"/>
        <v>99100</v>
      </c>
      <c r="K136" s="156" t="b">
        <f t="shared" si="79"/>
        <v>1</v>
      </c>
      <c r="Q136" s="5"/>
    </row>
    <row r="137" spans="1:17">
      <c r="A137" s="130" t="str">
        <f t="shared" si="78"/>
        <v>JANVIER</v>
      </c>
      <c r="B137" s="136" t="s">
        <v>276</v>
      </c>
      <c r="C137" s="33">
        <f t="shared" si="81"/>
        <v>0</v>
      </c>
      <c r="D137" s="127"/>
      <c r="E137" s="33">
        <f t="shared" si="82"/>
        <v>85000</v>
      </c>
      <c r="F137" s="53"/>
      <c r="G137" s="147"/>
      <c r="H137" s="57">
        <f t="shared" si="83"/>
        <v>0</v>
      </c>
      <c r="I137" s="33">
        <f t="shared" si="84"/>
        <v>71100</v>
      </c>
      <c r="J137" s="31">
        <f t="shared" ref="J137" si="85">+SUM(C137:G137)-(H137+I137)</f>
        <v>13900</v>
      </c>
      <c r="K137" s="156" t="b">
        <f t="shared" si="79"/>
        <v>1</v>
      </c>
      <c r="Q137" s="5"/>
    </row>
    <row r="138" spans="1:17">
      <c r="A138" s="130" t="str">
        <f t="shared" si="78"/>
        <v>JANVIER</v>
      </c>
      <c r="B138" s="136" t="s">
        <v>113</v>
      </c>
      <c r="C138" s="33">
        <f t="shared" si="81"/>
        <v>-10174</v>
      </c>
      <c r="D138" s="127"/>
      <c r="E138" s="33">
        <f t="shared" si="82"/>
        <v>198000</v>
      </c>
      <c r="F138" s="53"/>
      <c r="G138" s="147"/>
      <c r="H138" s="57">
        <f t="shared" si="83"/>
        <v>50000</v>
      </c>
      <c r="I138" s="33">
        <f t="shared" si="84"/>
        <v>141150</v>
      </c>
      <c r="J138" s="31">
        <f t="shared" si="80"/>
        <v>-3324</v>
      </c>
      <c r="K138" s="156" t="b">
        <f t="shared" si="79"/>
        <v>1</v>
      </c>
      <c r="Q138" s="5"/>
    </row>
    <row r="139" spans="1:17">
      <c r="A139" s="35" t="s">
        <v>60</v>
      </c>
      <c r="B139" s="36"/>
      <c r="C139" s="36"/>
      <c r="D139" s="36"/>
      <c r="E139" s="36"/>
      <c r="F139" s="36"/>
      <c r="G139" s="36"/>
      <c r="H139" s="36"/>
      <c r="I139" s="36"/>
      <c r="J139" s="37"/>
      <c r="K139" s="155"/>
      <c r="Q139" s="5"/>
    </row>
    <row r="140" spans="1:17">
      <c r="A140" s="130" t="str">
        <f>A138</f>
        <v>JANVIER</v>
      </c>
      <c r="B140" s="38" t="s">
        <v>61</v>
      </c>
      <c r="C140" s="39">
        <f>+C101</f>
        <v>1335599</v>
      </c>
      <c r="D140" s="51"/>
      <c r="E140" s="51">
        <f>D101</f>
        <v>4277000</v>
      </c>
      <c r="F140" s="51"/>
      <c r="G140" s="133"/>
      <c r="H140" s="53">
        <f>+F101</f>
        <v>2331000</v>
      </c>
      <c r="I140" s="134">
        <f>+E101</f>
        <v>2382011</v>
      </c>
      <c r="J140" s="46">
        <f>+SUM(C140:G140)-(H140+I140)</f>
        <v>899588</v>
      </c>
      <c r="K140" s="156" t="b">
        <f>J140=I101</f>
        <v>1</v>
      </c>
      <c r="Q140" s="5"/>
    </row>
    <row r="141" spans="1:17">
      <c r="A141" s="44" t="s">
        <v>62</v>
      </c>
      <c r="B141" s="25"/>
      <c r="C141" s="36"/>
      <c r="D141" s="25"/>
      <c r="E141" s="25"/>
      <c r="F141" s="25"/>
      <c r="G141" s="25"/>
      <c r="H141" s="25"/>
      <c r="I141" s="25"/>
      <c r="J141" s="37"/>
      <c r="K141" s="155"/>
      <c r="Q141" s="5"/>
    </row>
    <row r="142" spans="1:17">
      <c r="A142" s="130" t="str">
        <f>+A140</f>
        <v>JANVIER</v>
      </c>
      <c r="B142" s="38" t="s">
        <v>24</v>
      </c>
      <c r="C142" s="133">
        <f>+C99</f>
        <v>13524897</v>
      </c>
      <c r="D142" s="140">
        <f>+G99</f>
        <v>0</v>
      </c>
      <c r="E142" s="51"/>
      <c r="F142" s="51"/>
      <c r="G142" s="51"/>
      <c r="H142" s="53">
        <f>+F99</f>
        <v>4000000</v>
      </c>
      <c r="I142" s="55">
        <f>+E99</f>
        <v>173345</v>
      </c>
      <c r="J142" s="46">
        <f>+SUM(C142:G142)-(H142+I142)</f>
        <v>9351552</v>
      </c>
      <c r="K142" s="156" t="b">
        <f>+J142=I99</f>
        <v>1</v>
      </c>
      <c r="Q142" s="5"/>
    </row>
    <row r="143" spans="1:17">
      <c r="A143" s="130" t="str">
        <f t="shared" ref="A143" si="86">+A142</f>
        <v>JANVIER</v>
      </c>
      <c r="B143" s="38" t="s">
        <v>64</v>
      </c>
      <c r="C143" s="133">
        <f>+C100</f>
        <v>2476363</v>
      </c>
      <c r="D143" s="51">
        <f>+G100</f>
        <v>8735379</v>
      </c>
      <c r="E143" s="50"/>
      <c r="F143" s="50"/>
      <c r="G143" s="50"/>
      <c r="H143" s="33">
        <f>+F100</f>
        <v>0</v>
      </c>
      <c r="I143" s="52">
        <f>+E100</f>
        <v>4873189</v>
      </c>
      <c r="J143" s="46">
        <f>SUM(C143:G143)-(H143+I143)</f>
        <v>6338553</v>
      </c>
      <c r="K143" s="156" t="b">
        <f>+J143=I100</f>
        <v>1</v>
      </c>
      <c r="Q143" s="5"/>
    </row>
    <row r="144" spans="1:17" ht="15.75">
      <c r="C144" s="151">
        <f>SUM(C126:C143)</f>
        <v>18323398</v>
      </c>
      <c r="I144" s="149">
        <f>SUM(I126:I143)</f>
        <v>9504745</v>
      </c>
      <c r="J144" s="111">
        <f>+SUM(J126:J143)</f>
        <v>17554032</v>
      </c>
      <c r="K144" s="5" t="b">
        <f>J144=I115</f>
        <v>1</v>
      </c>
      <c r="Q144" s="5"/>
    </row>
    <row r="145" spans="1:17" ht="15.75">
      <c r="C145" s="151"/>
      <c r="I145" s="149"/>
      <c r="J145" s="111"/>
      <c r="Q145" s="5"/>
    </row>
    <row r="146" spans="1:17" ht="15.75">
      <c r="A146" s="189"/>
      <c r="B146" s="189"/>
      <c r="C146" s="190"/>
      <c r="D146" s="189"/>
      <c r="E146" s="189"/>
      <c r="F146" s="189"/>
      <c r="G146" s="189"/>
      <c r="H146" s="189"/>
      <c r="I146" s="191"/>
      <c r="J146" s="192"/>
      <c r="K146" s="189"/>
      <c r="L146" s="193"/>
      <c r="M146" s="193"/>
      <c r="N146" s="193"/>
      <c r="O146" s="193"/>
      <c r="P146" s="189"/>
      <c r="Q146" s="5"/>
    </row>
    <row r="147" spans="1:17" ht="15.75" customHeight="1"/>
    <row r="148" spans="1:17" ht="15.75">
      <c r="A148" s="6" t="s">
        <v>36</v>
      </c>
      <c r="B148" s="6" t="s">
        <v>1</v>
      </c>
      <c r="C148" s="6">
        <v>44896</v>
      </c>
      <c r="D148" s="7" t="s">
        <v>37</v>
      </c>
      <c r="E148" s="7" t="s">
        <v>38</v>
      </c>
      <c r="F148" s="7" t="s">
        <v>39</v>
      </c>
      <c r="G148" s="7" t="s">
        <v>40</v>
      </c>
      <c r="H148" s="6">
        <v>44926</v>
      </c>
      <c r="I148" s="7" t="s">
        <v>41</v>
      </c>
      <c r="K148" s="47"/>
      <c r="L148" s="47" t="s">
        <v>42</v>
      </c>
      <c r="M148" s="47" t="s">
        <v>43</v>
      </c>
      <c r="N148" s="47" t="s">
        <v>44</v>
      </c>
      <c r="O148" s="47" t="s">
        <v>45</v>
      </c>
      <c r="Q148" s="5"/>
    </row>
    <row r="149" spans="1:17" ht="16.5">
      <c r="A149" s="60" t="str">
        <f>K149</f>
        <v>BCI</v>
      </c>
      <c r="B149" s="61" t="s">
        <v>46</v>
      </c>
      <c r="C149" s="63">
        <v>16218242</v>
      </c>
      <c r="D149" s="63">
        <f>+L149</f>
        <v>0</v>
      </c>
      <c r="E149" s="63">
        <f>+N149</f>
        <v>693345</v>
      </c>
      <c r="F149" s="63">
        <f>+M149</f>
        <v>2000000</v>
      </c>
      <c r="G149" s="63">
        <f t="shared" ref="G149:G162" si="87">+O149</f>
        <v>0</v>
      </c>
      <c r="H149" s="63">
        <v>13524897</v>
      </c>
      <c r="I149" s="63">
        <f>+C149+D149-E149-F149+G149</f>
        <v>13524897</v>
      </c>
      <c r="J149" s="9">
        <f>I149-H149</f>
        <v>0</v>
      </c>
      <c r="K149" s="47" t="s">
        <v>24</v>
      </c>
      <c r="L149" s="49">
        <v>0</v>
      </c>
      <c r="M149" s="49">
        <v>2000000</v>
      </c>
      <c r="N149" s="49">
        <v>693345</v>
      </c>
      <c r="O149" s="49">
        <v>0</v>
      </c>
      <c r="Q149" s="5"/>
    </row>
    <row r="150" spans="1:17" ht="16.5">
      <c r="A150" s="60" t="str">
        <f t="shared" ref="A150:A162" si="88">K150</f>
        <v>BCI-Sous Compte</v>
      </c>
      <c r="B150" s="61" t="s">
        <v>46</v>
      </c>
      <c r="C150" s="63">
        <v>5621164</v>
      </c>
      <c r="D150" s="63">
        <f t="shared" ref="D150:D160" si="89">+L150</f>
        <v>0</v>
      </c>
      <c r="E150" s="63">
        <f t="shared" ref="E150:E154" si="90">+N150</f>
        <v>3144801</v>
      </c>
      <c r="F150" s="63">
        <f t="shared" ref="F150:F157" si="91">+M150</f>
        <v>0</v>
      </c>
      <c r="G150" s="63">
        <f t="shared" si="87"/>
        <v>0</v>
      </c>
      <c r="H150" s="63">
        <v>2476363</v>
      </c>
      <c r="I150" s="63">
        <f>+C150+D150-E150-F150+G150</f>
        <v>2476363</v>
      </c>
      <c r="J150" s="9">
        <f t="shared" ref="J150:J156" si="92">I150-H150</f>
        <v>0</v>
      </c>
      <c r="K150" s="47" t="s">
        <v>155</v>
      </c>
      <c r="L150" s="48">
        <v>0</v>
      </c>
      <c r="M150" s="49">
        <v>0</v>
      </c>
      <c r="N150" s="49">
        <v>3144801</v>
      </c>
      <c r="O150" s="49">
        <v>0</v>
      </c>
      <c r="Q150" s="5"/>
    </row>
    <row r="151" spans="1:17" ht="16.5">
      <c r="A151" s="60" t="str">
        <f t="shared" si="88"/>
        <v>Caisse</v>
      </c>
      <c r="B151" s="61" t="s">
        <v>25</v>
      </c>
      <c r="C151" s="63">
        <v>2476103</v>
      </c>
      <c r="D151" s="63">
        <f t="shared" si="89"/>
        <v>2461000</v>
      </c>
      <c r="E151" s="63">
        <f t="shared" si="90"/>
        <v>1832504</v>
      </c>
      <c r="F151" s="63">
        <f t="shared" si="91"/>
        <v>1769000</v>
      </c>
      <c r="G151" s="63">
        <f t="shared" si="87"/>
        <v>0</v>
      </c>
      <c r="H151" s="63">
        <v>1335599</v>
      </c>
      <c r="I151" s="63">
        <f>+C151+D151-E151-F151+G151</f>
        <v>1335599</v>
      </c>
      <c r="J151" s="108">
        <f t="shared" si="92"/>
        <v>0</v>
      </c>
      <c r="K151" s="47" t="s">
        <v>25</v>
      </c>
      <c r="L151" s="49">
        <v>2461000</v>
      </c>
      <c r="M151" s="49">
        <v>1769000</v>
      </c>
      <c r="N151" s="49">
        <v>1832504</v>
      </c>
      <c r="O151" s="49">
        <v>0</v>
      </c>
      <c r="Q151" s="5"/>
    </row>
    <row r="152" spans="1:17" ht="16.5">
      <c r="A152" s="60" t="str">
        <f t="shared" si="88"/>
        <v>Crépin</v>
      </c>
      <c r="B152" s="61" t="s">
        <v>161</v>
      </c>
      <c r="C152" s="63">
        <v>409530</v>
      </c>
      <c r="D152" s="63">
        <f t="shared" si="89"/>
        <v>435000</v>
      </c>
      <c r="E152" s="63">
        <f t="shared" si="90"/>
        <v>755325</v>
      </c>
      <c r="F152" s="63">
        <f t="shared" si="91"/>
        <v>0</v>
      </c>
      <c r="G152" s="63">
        <f t="shared" si="87"/>
        <v>0</v>
      </c>
      <c r="H152" s="63">
        <v>89205</v>
      </c>
      <c r="I152" s="63">
        <f>+C152+D152-E152-F152+G152</f>
        <v>89205</v>
      </c>
      <c r="J152" s="9">
        <f t="shared" si="92"/>
        <v>0</v>
      </c>
      <c r="K152" s="47" t="s">
        <v>47</v>
      </c>
      <c r="L152" s="49">
        <v>435000</v>
      </c>
      <c r="M152" s="49">
        <v>0</v>
      </c>
      <c r="N152" s="49">
        <v>755325</v>
      </c>
      <c r="O152" s="49">
        <v>0</v>
      </c>
      <c r="Q152" s="5"/>
    </row>
    <row r="153" spans="1:17" ht="16.5">
      <c r="A153" s="60" t="str">
        <f t="shared" si="88"/>
        <v>Donald</v>
      </c>
      <c r="B153" s="61" t="s">
        <v>161</v>
      </c>
      <c r="C153" s="63">
        <v>9700</v>
      </c>
      <c r="D153" s="63">
        <f t="shared" si="89"/>
        <v>389000</v>
      </c>
      <c r="E153" s="63">
        <f t="shared" si="90"/>
        <v>162500</v>
      </c>
      <c r="F153" s="63">
        <f t="shared" si="91"/>
        <v>0</v>
      </c>
      <c r="G153" s="63">
        <f t="shared" si="87"/>
        <v>0</v>
      </c>
      <c r="H153" s="63">
        <v>236200</v>
      </c>
      <c r="I153" s="63">
        <f t="shared" ref="I153:I154" si="93">+C153+D153-E153-F153+G153</f>
        <v>236200</v>
      </c>
      <c r="J153" s="9">
        <f t="shared" si="92"/>
        <v>0</v>
      </c>
      <c r="K153" s="47" t="s">
        <v>263</v>
      </c>
      <c r="L153" s="49">
        <v>389000</v>
      </c>
      <c r="M153" s="49">
        <v>0</v>
      </c>
      <c r="N153" s="49">
        <v>162500</v>
      </c>
      <c r="O153" s="49">
        <v>0</v>
      </c>
      <c r="Q153" s="5"/>
    </row>
    <row r="154" spans="1:17" ht="16.5">
      <c r="A154" s="60" t="str">
        <f t="shared" si="88"/>
        <v>Evariste</v>
      </c>
      <c r="B154" s="61" t="s">
        <v>162</v>
      </c>
      <c r="C154" s="63">
        <v>265425</v>
      </c>
      <c r="D154" s="63">
        <f t="shared" si="89"/>
        <v>0</v>
      </c>
      <c r="E154" s="63">
        <f t="shared" si="90"/>
        <v>128750</v>
      </c>
      <c r="F154" s="63">
        <f t="shared" si="91"/>
        <v>125000</v>
      </c>
      <c r="G154" s="63">
        <f t="shared" si="87"/>
        <v>0</v>
      </c>
      <c r="H154" s="63">
        <v>11675</v>
      </c>
      <c r="I154" s="63">
        <f t="shared" si="93"/>
        <v>11675</v>
      </c>
      <c r="J154" s="9">
        <f t="shared" si="92"/>
        <v>0</v>
      </c>
      <c r="K154" s="47" t="s">
        <v>31</v>
      </c>
      <c r="L154" s="49">
        <v>0</v>
      </c>
      <c r="M154" s="49">
        <v>125000</v>
      </c>
      <c r="N154" s="49">
        <v>128750</v>
      </c>
      <c r="O154" s="49">
        <v>0</v>
      </c>
      <c r="Q154" s="5"/>
    </row>
    <row r="155" spans="1:17" ht="16.5">
      <c r="A155" s="60" t="str">
        <f t="shared" si="88"/>
        <v>I55S</v>
      </c>
      <c r="B155" s="124" t="s">
        <v>4</v>
      </c>
      <c r="C155" s="126">
        <v>233614</v>
      </c>
      <c r="D155" s="126">
        <f t="shared" si="89"/>
        <v>0</v>
      </c>
      <c r="E155" s="126">
        <f>+N155</f>
        <v>0</v>
      </c>
      <c r="F155" s="126">
        <f t="shared" si="91"/>
        <v>0</v>
      </c>
      <c r="G155" s="126">
        <f t="shared" si="87"/>
        <v>0</v>
      </c>
      <c r="H155" s="126">
        <v>233614</v>
      </c>
      <c r="I155" s="126">
        <f>+C155+D155-E155-F155+G155</f>
        <v>233614</v>
      </c>
      <c r="J155" s="9">
        <f t="shared" si="92"/>
        <v>0</v>
      </c>
      <c r="K155" s="47" t="s">
        <v>84</v>
      </c>
      <c r="L155" s="49">
        <v>0</v>
      </c>
      <c r="M155" s="49">
        <v>0</v>
      </c>
      <c r="N155" s="49">
        <v>0</v>
      </c>
      <c r="O155" s="49">
        <v>0</v>
      </c>
      <c r="Q155" s="5"/>
    </row>
    <row r="156" spans="1:17" ht="16.5">
      <c r="A156" s="60" t="str">
        <f t="shared" si="88"/>
        <v>I73X</v>
      </c>
      <c r="B156" s="124" t="s">
        <v>4</v>
      </c>
      <c r="C156" s="126">
        <v>249769</v>
      </c>
      <c r="D156" s="126">
        <f t="shared" si="89"/>
        <v>0</v>
      </c>
      <c r="E156" s="126">
        <f>+N156</f>
        <v>0</v>
      </c>
      <c r="F156" s="126">
        <f t="shared" si="91"/>
        <v>0</v>
      </c>
      <c r="G156" s="126">
        <f t="shared" si="87"/>
        <v>0</v>
      </c>
      <c r="H156" s="126">
        <v>249769</v>
      </c>
      <c r="I156" s="126">
        <f t="shared" ref="I156:I160" si="94">+C156+D156-E156-F156+G156</f>
        <v>249769</v>
      </c>
      <c r="J156" s="9">
        <f t="shared" si="92"/>
        <v>0</v>
      </c>
      <c r="K156" s="47" t="s">
        <v>83</v>
      </c>
      <c r="L156" s="49">
        <v>0</v>
      </c>
      <c r="M156" s="49">
        <v>0</v>
      </c>
      <c r="N156" s="49">
        <v>0</v>
      </c>
      <c r="O156" s="49">
        <v>0</v>
      </c>
      <c r="Q156" s="5"/>
    </row>
    <row r="157" spans="1:17" s="296" customFormat="1" ht="16.5">
      <c r="A157" s="60" t="str">
        <f t="shared" si="88"/>
        <v>Grace</v>
      </c>
      <c r="B157" s="227" t="s">
        <v>2</v>
      </c>
      <c r="C157" s="63">
        <v>596200</v>
      </c>
      <c r="D157" s="63">
        <f t="shared" si="89"/>
        <v>0</v>
      </c>
      <c r="E157" s="63">
        <f t="shared" ref="E157" si="95">+N157</f>
        <v>83400</v>
      </c>
      <c r="F157" s="63">
        <f t="shared" si="91"/>
        <v>501000</v>
      </c>
      <c r="G157" s="63">
        <f t="shared" si="87"/>
        <v>0</v>
      </c>
      <c r="H157" s="292">
        <v>11800</v>
      </c>
      <c r="I157" s="292">
        <f t="shared" si="94"/>
        <v>11800</v>
      </c>
      <c r="J157" s="293">
        <f>I157-H157</f>
        <v>0</v>
      </c>
      <c r="K157" s="294" t="s">
        <v>150</v>
      </c>
      <c r="L157" s="295">
        <v>0</v>
      </c>
      <c r="M157" s="295">
        <v>501000</v>
      </c>
      <c r="N157" s="49">
        <v>83400</v>
      </c>
      <c r="O157" s="295">
        <v>0</v>
      </c>
    </row>
    <row r="158" spans="1:17" ht="16.5">
      <c r="A158" s="60" t="str">
        <f t="shared" si="88"/>
        <v>Hurielle</v>
      </c>
      <c r="B158" s="104" t="s">
        <v>161</v>
      </c>
      <c r="C158" s="63">
        <v>144700</v>
      </c>
      <c r="D158" s="63">
        <f t="shared" si="89"/>
        <v>326000</v>
      </c>
      <c r="E158" s="63">
        <f>+N158</f>
        <v>292950</v>
      </c>
      <c r="F158" s="63">
        <f>+M158</f>
        <v>159000</v>
      </c>
      <c r="G158" s="63">
        <f t="shared" si="87"/>
        <v>0</v>
      </c>
      <c r="H158" s="63">
        <v>18750</v>
      </c>
      <c r="I158" s="63">
        <f t="shared" si="94"/>
        <v>18750</v>
      </c>
      <c r="J158" s="9">
        <f t="shared" ref="J158" si="96">I158-H158</f>
        <v>0</v>
      </c>
      <c r="K158" s="47" t="s">
        <v>204</v>
      </c>
      <c r="L158" s="49">
        <v>326000</v>
      </c>
      <c r="M158" s="49">
        <v>159000</v>
      </c>
      <c r="N158" s="49">
        <v>292950</v>
      </c>
      <c r="O158" s="49">
        <v>0</v>
      </c>
      <c r="Q158" s="5"/>
    </row>
    <row r="159" spans="1:17" s="296" customFormat="1" ht="16.5">
      <c r="A159" s="60" t="str">
        <f t="shared" si="88"/>
        <v>Merveille</v>
      </c>
      <c r="B159" s="227" t="s">
        <v>2</v>
      </c>
      <c r="C159" s="63">
        <v>-2900</v>
      </c>
      <c r="D159" s="63">
        <f t="shared" si="89"/>
        <v>0</v>
      </c>
      <c r="E159" s="63">
        <f t="shared" ref="E159:E162" si="97">+N159</f>
        <v>0</v>
      </c>
      <c r="F159" s="63">
        <f t="shared" ref="F159:F162" si="98">+M159</f>
        <v>0</v>
      </c>
      <c r="G159" s="63">
        <f t="shared" si="87"/>
        <v>0</v>
      </c>
      <c r="H159" s="292">
        <v>-2900</v>
      </c>
      <c r="I159" s="292">
        <f t="shared" si="94"/>
        <v>-2900</v>
      </c>
      <c r="J159" s="293">
        <f>I159-H159</f>
        <v>0</v>
      </c>
      <c r="K159" s="294" t="s">
        <v>93</v>
      </c>
      <c r="L159" s="295">
        <v>0</v>
      </c>
      <c r="M159" s="295">
        <v>0</v>
      </c>
      <c r="N159" s="49">
        <v>0</v>
      </c>
      <c r="O159" s="295">
        <v>0</v>
      </c>
    </row>
    <row r="160" spans="1:17" ht="16.5">
      <c r="A160" s="60" t="str">
        <f t="shared" si="88"/>
        <v>P10</v>
      </c>
      <c r="B160" s="228" t="s">
        <v>4</v>
      </c>
      <c r="C160" s="63">
        <v>103900</v>
      </c>
      <c r="D160" s="63">
        <f t="shared" si="89"/>
        <v>205000</v>
      </c>
      <c r="E160" s="63">
        <f t="shared" si="97"/>
        <v>271900</v>
      </c>
      <c r="F160" s="63">
        <f t="shared" si="98"/>
        <v>37000</v>
      </c>
      <c r="G160" s="63">
        <f t="shared" si="87"/>
        <v>0</v>
      </c>
      <c r="H160" s="63">
        <v>0</v>
      </c>
      <c r="I160" s="63">
        <f t="shared" si="94"/>
        <v>0</v>
      </c>
      <c r="J160" s="9">
        <f t="shared" ref="J160:J161" si="99">I160-H160</f>
        <v>0</v>
      </c>
      <c r="K160" s="47" t="s">
        <v>262</v>
      </c>
      <c r="L160" s="49">
        <v>205000</v>
      </c>
      <c r="M160" s="49">
        <v>37000</v>
      </c>
      <c r="N160" s="49">
        <v>271900</v>
      </c>
      <c r="O160" s="49">
        <v>0</v>
      </c>
      <c r="Q160" s="5"/>
    </row>
    <row r="161" spans="1:17" ht="16.5">
      <c r="A161" s="60" t="str">
        <f t="shared" si="88"/>
        <v>P29</v>
      </c>
      <c r="B161" s="227" t="s">
        <v>4</v>
      </c>
      <c r="C161" s="63">
        <v>175900</v>
      </c>
      <c r="D161" s="63">
        <f>+L161</f>
        <v>646000</v>
      </c>
      <c r="E161" s="63">
        <f t="shared" si="97"/>
        <v>623300</v>
      </c>
      <c r="F161" s="63">
        <f t="shared" si="98"/>
        <v>50000</v>
      </c>
      <c r="G161" s="63">
        <f t="shared" si="87"/>
        <v>0</v>
      </c>
      <c r="H161" s="63">
        <v>148600</v>
      </c>
      <c r="I161" s="63">
        <f>+C161+D161-E161-F161+G161</f>
        <v>148600</v>
      </c>
      <c r="J161" s="9">
        <f t="shared" si="99"/>
        <v>0</v>
      </c>
      <c r="K161" s="47" t="s">
        <v>29</v>
      </c>
      <c r="L161" s="49">
        <v>646000</v>
      </c>
      <c r="M161" s="49">
        <v>50000</v>
      </c>
      <c r="N161" s="295">
        <v>623300</v>
      </c>
      <c r="O161" s="49">
        <v>0</v>
      </c>
      <c r="Q161" s="5"/>
    </row>
    <row r="162" spans="1:17" ht="16.5">
      <c r="A162" s="60" t="str">
        <f t="shared" si="88"/>
        <v>Tiffany</v>
      </c>
      <c r="B162" s="227" t="s">
        <v>2</v>
      </c>
      <c r="C162" s="63">
        <v>-20702</v>
      </c>
      <c r="D162" s="63">
        <f t="shared" ref="D162" si="100">+L162</f>
        <v>179000</v>
      </c>
      <c r="E162" s="63">
        <f t="shared" si="97"/>
        <v>168472</v>
      </c>
      <c r="F162" s="63">
        <f t="shared" si="98"/>
        <v>0</v>
      </c>
      <c r="G162" s="63">
        <f t="shared" si="87"/>
        <v>0</v>
      </c>
      <c r="H162" s="63">
        <v>-10174</v>
      </c>
      <c r="I162" s="63">
        <f>+C162+D162-E162-F162+G162</f>
        <v>-10174</v>
      </c>
      <c r="J162" s="9">
        <f>I162-H162</f>
        <v>0</v>
      </c>
      <c r="K162" s="47" t="s">
        <v>113</v>
      </c>
      <c r="L162" s="49">
        <v>179000</v>
      </c>
      <c r="M162" s="49">
        <v>0</v>
      </c>
      <c r="N162" s="49">
        <v>168472</v>
      </c>
      <c r="O162" s="49">
        <v>0</v>
      </c>
      <c r="Q162" s="5"/>
    </row>
    <row r="163" spans="1:17" ht="16.5">
      <c r="A163" s="10" t="s">
        <v>50</v>
      </c>
      <c r="B163" s="11"/>
      <c r="C163" s="12">
        <f t="shared" ref="C163:I163" si="101">SUM(C149:C162)</f>
        <v>26480645</v>
      </c>
      <c r="D163" s="59">
        <f t="shared" si="101"/>
        <v>4641000</v>
      </c>
      <c r="E163" s="59">
        <f t="shared" si="101"/>
        <v>8157247</v>
      </c>
      <c r="F163" s="59">
        <f t="shared" si="101"/>
        <v>4641000</v>
      </c>
      <c r="G163" s="59">
        <f t="shared" si="101"/>
        <v>0</v>
      </c>
      <c r="H163" s="59">
        <f t="shared" si="101"/>
        <v>18323398</v>
      </c>
      <c r="I163" s="59">
        <f t="shared" si="101"/>
        <v>18323398</v>
      </c>
      <c r="J163" s="9">
        <f>I163-H163</f>
        <v>0</v>
      </c>
      <c r="K163" s="3"/>
      <c r="L163" s="49">
        <f>+SUM(L149:L162)</f>
        <v>4641000</v>
      </c>
      <c r="M163" s="49">
        <f>+SUM(M149:M162)</f>
        <v>4641000</v>
      </c>
      <c r="N163" s="49">
        <f>+SUM(N149:N162)</f>
        <v>8157247</v>
      </c>
      <c r="O163" s="49">
        <f>+SUM(O149:O162)</f>
        <v>0</v>
      </c>
      <c r="Q163" s="5"/>
    </row>
    <row r="164" spans="1:17" ht="16.5">
      <c r="A164" s="10"/>
      <c r="B164" s="11"/>
      <c r="C164" s="12"/>
      <c r="D164" s="13"/>
      <c r="E164" s="12"/>
      <c r="F164" s="13"/>
      <c r="G164" s="12"/>
      <c r="H164" s="12"/>
      <c r="I164" s="143" t="b">
        <f>I163=D166</f>
        <v>1</v>
      </c>
      <c r="J164" s="9">
        <f>H163-I163</f>
        <v>0</v>
      </c>
      <c r="L164" s="5"/>
      <c r="M164" s="5"/>
      <c r="N164" s="5"/>
      <c r="O164" s="5"/>
      <c r="Q164" s="5"/>
    </row>
    <row r="165" spans="1:17" ht="16.5">
      <c r="A165" s="10" t="s">
        <v>270</v>
      </c>
      <c r="B165" s="11" t="s">
        <v>172</v>
      </c>
      <c r="C165" s="12" t="s">
        <v>173</v>
      </c>
      <c r="D165" s="12" t="s">
        <v>271</v>
      </c>
      <c r="E165" s="12" t="s">
        <v>51</v>
      </c>
      <c r="F165" s="12"/>
      <c r="G165" s="12">
        <f>+D163-F163</f>
        <v>0</v>
      </c>
      <c r="H165" s="12"/>
      <c r="I165" s="12"/>
      <c r="Q165" s="5"/>
    </row>
    <row r="166" spans="1:17" ht="16.5">
      <c r="A166" s="14">
        <f>C163</f>
        <v>26480645</v>
      </c>
      <c r="B166" s="15">
        <f>G163</f>
        <v>0</v>
      </c>
      <c r="C166" s="12">
        <f>E163</f>
        <v>8157247</v>
      </c>
      <c r="D166" s="12">
        <f>A166+B166-C166</f>
        <v>18323398</v>
      </c>
      <c r="E166" s="13">
        <f>I163-D166</f>
        <v>0</v>
      </c>
      <c r="F166" s="12"/>
      <c r="G166" s="12"/>
      <c r="H166" s="12"/>
      <c r="I166" s="12"/>
      <c r="Q166" s="5"/>
    </row>
    <row r="167" spans="1:17" ht="16.5">
      <c r="A167" s="14"/>
      <c r="B167" s="15"/>
      <c r="C167" s="12"/>
      <c r="D167" s="12"/>
      <c r="E167" s="13"/>
      <c r="F167" s="12"/>
      <c r="G167" s="12"/>
      <c r="H167" s="12"/>
      <c r="I167" s="12"/>
      <c r="Q167" s="5"/>
    </row>
    <row r="168" spans="1:17">
      <c r="A168" s="16" t="s">
        <v>52</v>
      </c>
      <c r="B168" s="16"/>
      <c r="C168" s="16"/>
      <c r="D168" s="17"/>
      <c r="E168" s="17"/>
      <c r="F168" s="17"/>
      <c r="G168" s="17"/>
      <c r="H168" s="17"/>
      <c r="I168" s="17"/>
      <c r="Q168" s="5"/>
    </row>
    <row r="169" spans="1:17">
      <c r="A169" s="18" t="s">
        <v>272</v>
      </c>
      <c r="B169" s="18"/>
      <c r="C169" s="18"/>
      <c r="D169" s="18"/>
      <c r="E169" s="18"/>
      <c r="F169" s="18"/>
      <c r="G169" s="18"/>
      <c r="H169" s="18"/>
      <c r="I169" s="18"/>
      <c r="J169" s="18"/>
      <c r="Q169" s="5"/>
    </row>
    <row r="170" spans="1:17">
      <c r="A170" s="19"/>
      <c r="B170" s="20"/>
      <c r="C170" s="21"/>
      <c r="D170" s="21"/>
      <c r="E170" s="21"/>
      <c r="F170" s="21"/>
      <c r="G170" s="21"/>
      <c r="H170" s="20"/>
      <c r="I170" s="20"/>
      <c r="Q170" s="5"/>
    </row>
    <row r="171" spans="1:17" ht="45" customHeight="1">
      <c r="A171" s="377" t="s">
        <v>53</v>
      </c>
      <c r="B171" s="379" t="s">
        <v>54</v>
      </c>
      <c r="C171" s="381" t="s">
        <v>273</v>
      </c>
      <c r="D171" s="383" t="s">
        <v>55</v>
      </c>
      <c r="E171" s="384"/>
      <c r="F171" s="384"/>
      <c r="G171" s="385"/>
      <c r="H171" s="386" t="s">
        <v>56</v>
      </c>
      <c r="I171" s="374" t="s">
        <v>57</v>
      </c>
      <c r="J171" s="388"/>
      <c r="Q171" s="5"/>
    </row>
    <row r="172" spans="1:17" ht="28.5" customHeight="1">
      <c r="A172" s="378"/>
      <c r="B172" s="380"/>
      <c r="C172" s="382"/>
      <c r="D172" s="22" t="s">
        <v>24</v>
      </c>
      <c r="E172" s="22" t="s">
        <v>25</v>
      </c>
      <c r="F172" s="382" t="s">
        <v>123</v>
      </c>
      <c r="G172" s="22" t="s">
        <v>58</v>
      </c>
      <c r="H172" s="387"/>
      <c r="I172" s="375"/>
      <c r="J172" s="376" t="s">
        <v>274</v>
      </c>
      <c r="K172" s="155"/>
      <c r="Q172" s="5"/>
    </row>
    <row r="173" spans="1:17">
      <c r="A173" s="24"/>
      <c r="B173" s="25" t="s">
        <v>59</v>
      </c>
      <c r="C173" s="26"/>
      <c r="D173" s="26"/>
      <c r="E173" s="26"/>
      <c r="F173" s="26"/>
      <c r="G173" s="26"/>
      <c r="H173" s="26"/>
      <c r="I173" s="27"/>
      <c r="J173" s="376"/>
      <c r="K173" s="155"/>
      <c r="Q173" s="5"/>
    </row>
    <row r="174" spans="1:17">
      <c r="A174" s="130" t="s">
        <v>103</v>
      </c>
      <c r="B174" s="135" t="s">
        <v>47</v>
      </c>
      <c r="C174" s="33">
        <f>+C152</f>
        <v>409530</v>
      </c>
      <c r="D174" s="32"/>
      <c r="E174" s="33">
        <f t="shared" ref="E174:E184" si="102">+D152</f>
        <v>435000</v>
      </c>
      <c r="F174" s="33"/>
      <c r="G174" s="33"/>
      <c r="H174" s="57">
        <f t="shared" ref="H174:H184" si="103">+F152</f>
        <v>0</v>
      </c>
      <c r="I174" s="33">
        <f t="shared" ref="I174:I184" si="104">+E152</f>
        <v>755325</v>
      </c>
      <c r="J174" s="31">
        <f t="shared" ref="J174" si="105">+SUM(C174:G174)-(H174+I174)</f>
        <v>89205</v>
      </c>
      <c r="K174" s="156" t="b">
        <f>J174=I152</f>
        <v>1</v>
      </c>
      <c r="Q174" s="5"/>
    </row>
    <row r="175" spans="1:17">
      <c r="A175" s="130" t="str">
        <f>+A174</f>
        <v>DECEMBRE</v>
      </c>
      <c r="B175" s="135" t="s">
        <v>263</v>
      </c>
      <c r="C175" s="33">
        <f t="shared" ref="C175:C176" si="106">+C153</f>
        <v>9700</v>
      </c>
      <c r="D175" s="32"/>
      <c r="E175" s="33">
        <f t="shared" si="102"/>
        <v>389000</v>
      </c>
      <c r="F175" s="33"/>
      <c r="G175" s="33"/>
      <c r="H175" s="57">
        <f t="shared" si="103"/>
        <v>0</v>
      </c>
      <c r="I175" s="33">
        <f t="shared" si="104"/>
        <v>162500</v>
      </c>
      <c r="J175" s="107">
        <f t="shared" ref="J175" si="107">+SUM(C175:G175)-(H175+I175)</f>
        <v>236200</v>
      </c>
      <c r="K175" s="156" t="b">
        <f>J175=I153</f>
        <v>1</v>
      </c>
      <c r="Q175" s="5"/>
    </row>
    <row r="176" spans="1:17">
      <c r="A176" s="130" t="str">
        <f t="shared" ref="A176:A184" si="108">+A175</f>
        <v>DECEMBRE</v>
      </c>
      <c r="B176" s="135" t="s">
        <v>31</v>
      </c>
      <c r="C176" s="33">
        <f t="shared" si="106"/>
        <v>265425</v>
      </c>
      <c r="D176" s="32"/>
      <c r="E176" s="33">
        <f t="shared" si="102"/>
        <v>0</v>
      </c>
      <c r="F176" s="33"/>
      <c r="G176" s="33"/>
      <c r="H176" s="57">
        <f t="shared" si="103"/>
        <v>125000</v>
      </c>
      <c r="I176" s="33">
        <f t="shared" si="104"/>
        <v>128750</v>
      </c>
      <c r="J176" s="107">
        <f t="shared" ref="J176" si="109">+SUM(C176:G176)-(H176+I176)</f>
        <v>11675</v>
      </c>
      <c r="K176" s="156" t="b">
        <f t="shared" ref="K176:K184" si="110">J176=I154</f>
        <v>1</v>
      </c>
      <c r="Q176" s="5"/>
    </row>
    <row r="177" spans="1:17">
      <c r="A177" s="130" t="str">
        <f t="shared" si="108"/>
        <v>DECEMBRE</v>
      </c>
      <c r="B177" s="137" t="s">
        <v>84</v>
      </c>
      <c r="C177" s="128">
        <f>+C155</f>
        <v>233614</v>
      </c>
      <c r="D177" s="131"/>
      <c r="E177" s="128">
        <f t="shared" si="102"/>
        <v>0</v>
      </c>
      <c r="F177" s="146"/>
      <c r="G177" s="146"/>
      <c r="H177" s="178">
        <f t="shared" si="103"/>
        <v>0</v>
      </c>
      <c r="I177" s="128">
        <f t="shared" si="104"/>
        <v>0</v>
      </c>
      <c r="J177" s="129">
        <f>+SUM(C177:G177)-(H177+I177)</f>
        <v>233614</v>
      </c>
      <c r="K177" s="156" t="b">
        <f t="shared" si="110"/>
        <v>1</v>
      </c>
      <c r="Q177" s="5"/>
    </row>
    <row r="178" spans="1:17">
      <c r="A178" s="130" t="str">
        <f t="shared" si="108"/>
        <v>DECEMBRE</v>
      </c>
      <c r="B178" s="137" t="s">
        <v>83</v>
      </c>
      <c r="C178" s="128">
        <f>+C156</f>
        <v>249769</v>
      </c>
      <c r="D178" s="131"/>
      <c r="E178" s="128">
        <f t="shared" si="102"/>
        <v>0</v>
      </c>
      <c r="F178" s="146"/>
      <c r="G178" s="146"/>
      <c r="H178" s="178">
        <f t="shared" si="103"/>
        <v>0</v>
      </c>
      <c r="I178" s="128">
        <f t="shared" si="104"/>
        <v>0</v>
      </c>
      <c r="J178" s="129">
        <f t="shared" ref="J178:J184" si="111">+SUM(C178:G178)-(H178+I178)</f>
        <v>249769</v>
      </c>
      <c r="K178" s="156" t="b">
        <f t="shared" si="110"/>
        <v>1</v>
      </c>
      <c r="Q178" s="5"/>
    </row>
    <row r="179" spans="1:17">
      <c r="A179" s="130" t="str">
        <f t="shared" si="108"/>
        <v>DECEMBRE</v>
      </c>
      <c r="B179" s="135" t="s">
        <v>150</v>
      </c>
      <c r="C179" s="33">
        <f>+C157</f>
        <v>596200</v>
      </c>
      <c r="D179" s="32"/>
      <c r="E179" s="33">
        <f t="shared" si="102"/>
        <v>0</v>
      </c>
      <c r="F179" s="33"/>
      <c r="G179" s="110"/>
      <c r="H179" s="57">
        <f t="shared" si="103"/>
        <v>501000</v>
      </c>
      <c r="I179" s="33">
        <f t="shared" si="104"/>
        <v>83400</v>
      </c>
      <c r="J179" s="31">
        <f t="shared" si="111"/>
        <v>11800</v>
      </c>
      <c r="K179" s="156" t="b">
        <f t="shared" si="110"/>
        <v>1</v>
      </c>
      <c r="Q179" s="5"/>
    </row>
    <row r="180" spans="1:17">
      <c r="A180" s="130" t="str">
        <f t="shared" si="108"/>
        <v>DECEMBRE</v>
      </c>
      <c r="B180" s="135" t="s">
        <v>204</v>
      </c>
      <c r="C180" s="33">
        <f t="shared" ref="C180:C184" si="112">+C158</f>
        <v>144700</v>
      </c>
      <c r="D180" s="32"/>
      <c r="E180" s="33">
        <f t="shared" si="102"/>
        <v>326000</v>
      </c>
      <c r="F180" s="33"/>
      <c r="G180" s="110"/>
      <c r="H180" s="57">
        <f t="shared" si="103"/>
        <v>159000</v>
      </c>
      <c r="I180" s="33">
        <f t="shared" si="104"/>
        <v>292950</v>
      </c>
      <c r="J180" s="31">
        <f t="shared" si="111"/>
        <v>18750</v>
      </c>
      <c r="K180" s="156" t="b">
        <f t="shared" si="110"/>
        <v>1</v>
      </c>
      <c r="Q180" s="5"/>
    </row>
    <row r="181" spans="1:17">
      <c r="A181" s="130" t="str">
        <f t="shared" si="108"/>
        <v>DECEMBRE</v>
      </c>
      <c r="B181" s="135" t="s">
        <v>93</v>
      </c>
      <c r="C181" s="33">
        <f t="shared" si="112"/>
        <v>-2900</v>
      </c>
      <c r="D181" s="32"/>
      <c r="E181" s="33">
        <f t="shared" si="102"/>
        <v>0</v>
      </c>
      <c r="F181" s="33"/>
      <c r="G181" s="110"/>
      <c r="H181" s="57">
        <f t="shared" si="103"/>
        <v>0</v>
      </c>
      <c r="I181" s="33">
        <f t="shared" si="104"/>
        <v>0</v>
      </c>
      <c r="J181" s="31">
        <f t="shared" si="111"/>
        <v>-2900</v>
      </c>
      <c r="K181" s="156" t="b">
        <f t="shared" si="110"/>
        <v>1</v>
      </c>
      <c r="Q181" s="5"/>
    </row>
    <row r="182" spans="1:17">
      <c r="A182" s="130" t="str">
        <f t="shared" si="108"/>
        <v>DECEMBRE</v>
      </c>
      <c r="B182" s="135" t="s">
        <v>262</v>
      </c>
      <c r="C182" s="33">
        <f t="shared" si="112"/>
        <v>103900</v>
      </c>
      <c r="D182" s="32"/>
      <c r="E182" s="33">
        <f t="shared" si="102"/>
        <v>205000</v>
      </c>
      <c r="F182" s="33"/>
      <c r="G182" s="110"/>
      <c r="H182" s="57">
        <f t="shared" si="103"/>
        <v>37000</v>
      </c>
      <c r="I182" s="33">
        <f t="shared" si="104"/>
        <v>271900</v>
      </c>
      <c r="J182" s="31">
        <f t="shared" si="111"/>
        <v>0</v>
      </c>
      <c r="K182" s="156" t="b">
        <f t="shared" si="110"/>
        <v>1</v>
      </c>
      <c r="Q182" s="5"/>
    </row>
    <row r="183" spans="1:17">
      <c r="A183" s="130" t="str">
        <f t="shared" si="108"/>
        <v>DECEMBRE</v>
      </c>
      <c r="B183" s="135" t="s">
        <v>29</v>
      </c>
      <c r="C183" s="33">
        <f t="shared" si="112"/>
        <v>175900</v>
      </c>
      <c r="D183" s="32"/>
      <c r="E183" s="33">
        <f t="shared" si="102"/>
        <v>646000</v>
      </c>
      <c r="F183" s="33"/>
      <c r="G183" s="110"/>
      <c r="H183" s="57">
        <f t="shared" si="103"/>
        <v>50000</v>
      </c>
      <c r="I183" s="33">
        <f t="shared" si="104"/>
        <v>623300</v>
      </c>
      <c r="J183" s="31">
        <f t="shared" si="111"/>
        <v>148600</v>
      </c>
      <c r="K183" s="156" t="b">
        <f t="shared" si="110"/>
        <v>1</v>
      </c>
      <c r="Q183" s="5"/>
    </row>
    <row r="184" spans="1:17">
      <c r="A184" s="130" t="str">
        <f t="shared" si="108"/>
        <v>DECEMBRE</v>
      </c>
      <c r="B184" s="136" t="s">
        <v>113</v>
      </c>
      <c r="C184" s="33">
        <f t="shared" si="112"/>
        <v>-20702</v>
      </c>
      <c r="D184" s="127"/>
      <c r="E184" s="33">
        <f t="shared" si="102"/>
        <v>179000</v>
      </c>
      <c r="F184" s="53"/>
      <c r="G184" s="147"/>
      <c r="H184" s="57">
        <f t="shared" si="103"/>
        <v>0</v>
      </c>
      <c r="I184" s="33">
        <f t="shared" si="104"/>
        <v>168472</v>
      </c>
      <c r="J184" s="31">
        <f t="shared" si="111"/>
        <v>-10174</v>
      </c>
      <c r="K184" s="156" t="b">
        <f t="shared" si="110"/>
        <v>1</v>
      </c>
      <c r="Q184" s="5"/>
    </row>
    <row r="185" spans="1:17">
      <c r="A185" s="35" t="s">
        <v>60</v>
      </c>
      <c r="B185" s="36"/>
      <c r="C185" s="36"/>
      <c r="D185" s="36"/>
      <c r="E185" s="36"/>
      <c r="F185" s="36"/>
      <c r="G185" s="36"/>
      <c r="H185" s="36"/>
      <c r="I185" s="36"/>
      <c r="J185" s="37"/>
      <c r="K185" s="155"/>
      <c r="Q185" s="5"/>
    </row>
    <row r="186" spans="1:17">
      <c r="A186" s="130" t="str">
        <f>A184</f>
        <v>DECEMBRE</v>
      </c>
      <c r="B186" s="38" t="s">
        <v>61</v>
      </c>
      <c r="C186" s="39">
        <f>+C151</f>
        <v>2476103</v>
      </c>
      <c r="D186" s="51"/>
      <c r="E186" s="51">
        <f>D151</f>
        <v>2461000</v>
      </c>
      <c r="F186" s="51"/>
      <c r="G186" s="133"/>
      <c r="H186" s="53">
        <f>+F151</f>
        <v>1769000</v>
      </c>
      <c r="I186" s="134">
        <f>+E151</f>
        <v>1832504</v>
      </c>
      <c r="J186" s="46">
        <f>+SUM(C186:G186)-(H186+I186)</f>
        <v>1335599</v>
      </c>
      <c r="K186" s="156" t="b">
        <f>J186=I151</f>
        <v>1</v>
      </c>
      <c r="Q186" s="5"/>
    </row>
    <row r="187" spans="1:17">
      <c r="A187" s="44" t="s">
        <v>62</v>
      </c>
      <c r="B187" s="25"/>
      <c r="C187" s="36"/>
      <c r="D187" s="25"/>
      <c r="E187" s="25"/>
      <c r="F187" s="25"/>
      <c r="G187" s="25"/>
      <c r="H187" s="25"/>
      <c r="I187" s="25"/>
      <c r="J187" s="37"/>
      <c r="K187" s="155"/>
      <c r="Q187" s="5"/>
    </row>
    <row r="188" spans="1:17">
      <c r="A188" s="130" t="str">
        <f>+A186</f>
        <v>DECEMBRE</v>
      </c>
      <c r="B188" s="38" t="s">
        <v>163</v>
      </c>
      <c r="C188" s="133">
        <f>+C149</f>
        <v>16218242</v>
      </c>
      <c r="D188" s="140">
        <f>+G149</f>
        <v>0</v>
      </c>
      <c r="E188" s="51"/>
      <c r="F188" s="51"/>
      <c r="G188" s="51"/>
      <c r="H188" s="53">
        <f>+F149</f>
        <v>2000000</v>
      </c>
      <c r="I188" s="55">
        <f>+E149</f>
        <v>693345</v>
      </c>
      <c r="J188" s="46">
        <f>+SUM(C188:G188)-(H188+I188)</f>
        <v>13524897</v>
      </c>
      <c r="K188" s="156" t="b">
        <f>+J188=I149</f>
        <v>1</v>
      </c>
      <c r="Q188" s="5"/>
    </row>
    <row r="189" spans="1:17">
      <c r="A189" s="130" t="str">
        <f t="shared" ref="A189" si="113">+A188</f>
        <v>DECEMBRE</v>
      </c>
      <c r="B189" s="38" t="s">
        <v>64</v>
      </c>
      <c r="C189" s="133">
        <f>+C150</f>
        <v>5621164</v>
      </c>
      <c r="D189" s="51">
        <f>+G150</f>
        <v>0</v>
      </c>
      <c r="E189" s="50"/>
      <c r="F189" s="50"/>
      <c r="G189" s="50"/>
      <c r="H189" s="33">
        <f>+F150</f>
        <v>0</v>
      </c>
      <c r="I189" s="52">
        <f>+E150</f>
        <v>3144801</v>
      </c>
      <c r="J189" s="46">
        <f>SUM(C189:G189)-(H189+I189)</f>
        <v>2476363</v>
      </c>
      <c r="K189" s="156" t="b">
        <f>+J189=I150</f>
        <v>1</v>
      </c>
      <c r="Q189" s="5"/>
    </row>
    <row r="190" spans="1:17" ht="15.75">
      <c r="C190" s="151">
        <f>SUM(C174:C189)</f>
        <v>26480645</v>
      </c>
      <c r="I190" s="149">
        <f>SUM(I174:I189)</f>
        <v>8157247</v>
      </c>
      <c r="J190" s="111">
        <f>+SUM(J174:J189)</f>
        <v>18323398</v>
      </c>
      <c r="K190" s="5" t="b">
        <f>J190=I163</f>
        <v>1</v>
      </c>
      <c r="Q190" s="5"/>
    </row>
    <row r="191" spans="1:17" ht="15.75">
      <c r="C191" s="151"/>
      <c r="I191" s="149"/>
      <c r="J191" s="111"/>
      <c r="Q191" s="5"/>
    </row>
    <row r="192" spans="1:17" ht="15.75">
      <c r="A192" s="189"/>
      <c r="B192" s="189"/>
      <c r="C192" s="190"/>
      <c r="D192" s="189"/>
      <c r="E192" s="189"/>
      <c r="F192" s="189"/>
      <c r="G192" s="189"/>
      <c r="H192" s="189"/>
      <c r="I192" s="191"/>
      <c r="J192" s="192"/>
      <c r="K192" s="189"/>
      <c r="L192" s="193"/>
      <c r="M192" s="193"/>
      <c r="N192" s="193"/>
      <c r="O192" s="193"/>
      <c r="P192" s="189"/>
      <c r="Q192" s="5"/>
    </row>
    <row r="194" spans="1:17" ht="15.75">
      <c r="A194" s="6" t="s">
        <v>36</v>
      </c>
      <c r="B194" s="6" t="s">
        <v>1</v>
      </c>
      <c r="C194" s="6">
        <v>44866</v>
      </c>
      <c r="D194" s="7" t="s">
        <v>37</v>
      </c>
      <c r="E194" s="7" t="s">
        <v>38</v>
      </c>
      <c r="F194" s="7" t="s">
        <v>39</v>
      </c>
      <c r="G194" s="7" t="s">
        <v>40</v>
      </c>
      <c r="H194" s="6">
        <v>44895</v>
      </c>
      <c r="I194" s="7" t="s">
        <v>41</v>
      </c>
      <c r="K194" s="47"/>
      <c r="L194" s="47" t="s">
        <v>42</v>
      </c>
      <c r="M194" s="47" t="s">
        <v>43</v>
      </c>
      <c r="N194" s="47" t="s">
        <v>44</v>
      </c>
      <c r="O194" s="47" t="s">
        <v>45</v>
      </c>
      <c r="Q194" s="5"/>
    </row>
    <row r="195" spans="1:17" ht="16.5">
      <c r="A195" s="60" t="str">
        <f>K195</f>
        <v>BCI</v>
      </c>
      <c r="B195" s="61" t="s">
        <v>46</v>
      </c>
      <c r="C195" s="63">
        <v>9603727</v>
      </c>
      <c r="D195" s="63">
        <f>+L195</f>
        <v>0</v>
      </c>
      <c r="E195" s="63">
        <f>+N195</f>
        <v>173438</v>
      </c>
      <c r="F195" s="63">
        <f>+M195</f>
        <v>6000000</v>
      </c>
      <c r="G195" s="63">
        <f t="shared" ref="G195:G208" si="114">+O195</f>
        <v>12787953</v>
      </c>
      <c r="H195" s="63">
        <v>16218242</v>
      </c>
      <c r="I195" s="63">
        <f>+C195+D195-E195-F195+G195</f>
        <v>16218242</v>
      </c>
      <c r="J195" s="9">
        <f>I195-H195</f>
        <v>0</v>
      </c>
      <c r="K195" s="47" t="s">
        <v>24</v>
      </c>
      <c r="L195" s="49">
        <v>0</v>
      </c>
      <c r="M195" s="49">
        <v>6000000</v>
      </c>
      <c r="N195" s="49">
        <v>173438</v>
      </c>
      <c r="O195" s="49">
        <v>12787953</v>
      </c>
      <c r="Q195" s="5"/>
    </row>
    <row r="196" spans="1:17" ht="16.5">
      <c r="A196" s="60" t="str">
        <f t="shared" ref="A196:A208" si="115">K196</f>
        <v>BCI-Sous Compte</v>
      </c>
      <c r="B196" s="61" t="s">
        <v>46</v>
      </c>
      <c r="C196" s="63">
        <v>9538949</v>
      </c>
      <c r="D196" s="63">
        <f t="shared" ref="D196:D206" si="116">+L196</f>
        <v>0</v>
      </c>
      <c r="E196" s="63">
        <f t="shared" ref="E196:E200" si="117">+N196</f>
        <v>3917785</v>
      </c>
      <c r="F196" s="63">
        <f t="shared" ref="F196:F203" si="118">+M196</f>
        <v>0</v>
      </c>
      <c r="G196" s="63">
        <f t="shared" si="114"/>
        <v>0</v>
      </c>
      <c r="H196" s="63">
        <v>5621164</v>
      </c>
      <c r="I196" s="63">
        <f>+C196+D196-E196-F196+G196</f>
        <v>5621164</v>
      </c>
      <c r="J196" s="9">
        <f t="shared" ref="J196:J204" si="119">I196-H196</f>
        <v>0</v>
      </c>
      <c r="K196" s="47" t="s">
        <v>155</v>
      </c>
      <c r="L196" s="48">
        <v>0</v>
      </c>
      <c r="M196" s="49">
        <v>0</v>
      </c>
      <c r="N196" s="49">
        <v>3917785</v>
      </c>
      <c r="O196" s="49">
        <v>0</v>
      </c>
      <c r="Q196" s="5"/>
    </row>
    <row r="197" spans="1:17" ht="16.5">
      <c r="A197" s="60" t="str">
        <f t="shared" si="115"/>
        <v>Caisse</v>
      </c>
      <c r="B197" s="61" t="s">
        <v>25</v>
      </c>
      <c r="C197" s="63">
        <v>2105331</v>
      </c>
      <c r="D197" s="63">
        <f t="shared" si="116"/>
        <v>6149000</v>
      </c>
      <c r="E197" s="63">
        <f t="shared" si="117"/>
        <v>1843228</v>
      </c>
      <c r="F197" s="63">
        <f t="shared" si="118"/>
        <v>3935000</v>
      </c>
      <c r="G197" s="63">
        <f t="shared" si="114"/>
        <v>0</v>
      </c>
      <c r="H197" s="63">
        <v>2476103</v>
      </c>
      <c r="I197" s="63">
        <f>+C197+D197-E197-F197+G197</f>
        <v>2476103</v>
      </c>
      <c r="J197" s="108">
        <f t="shared" si="119"/>
        <v>0</v>
      </c>
      <c r="K197" s="47" t="s">
        <v>25</v>
      </c>
      <c r="L197" s="49">
        <v>6149000</v>
      </c>
      <c r="M197" s="49">
        <v>3935000</v>
      </c>
      <c r="N197" s="49">
        <v>1843228</v>
      </c>
      <c r="O197" s="49">
        <v>0</v>
      </c>
      <c r="Q197" s="5"/>
    </row>
    <row r="198" spans="1:17" ht="16.5">
      <c r="A198" s="60" t="str">
        <f t="shared" si="115"/>
        <v>Crépin</v>
      </c>
      <c r="B198" s="61" t="s">
        <v>161</v>
      </c>
      <c r="C198" s="63">
        <v>113930</v>
      </c>
      <c r="D198" s="63">
        <f t="shared" si="116"/>
        <v>614000</v>
      </c>
      <c r="E198" s="63">
        <f t="shared" si="117"/>
        <v>238400</v>
      </c>
      <c r="F198" s="63">
        <f t="shared" si="118"/>
        <v>80000</v>
      </c>
      <c r="G198" s="63">
        <f t="shared" si="114"/>
        <v>0</v>
      </c>
      <c r="H198" s="63">
        <v>409530</v>
      </c>
      <c r="I198" s="63">
        <f>+C198+D198-E198-F198+G198</f>
        <v>409530</v>
      </c>
      <c r="J198" s="9">
        <f t="shared" si="119"/>
        <v>0</v>
      </c>
      <c r="K198" s="47" t="s">
        <v>47</v>
      </c>
      <c r="L198" s="49">
        <v>614000</v>
      </c>
      <c r="M198" s="49">
        <v>80000</v>
      </c>
      <c r="N198" s="49">
        <v>238400</v>
      </c>
      <c r="O198" s="49">
        <v>0</v>
      </c>
      <c r="Q198" s="5"/>
    </row>
    <row r="199" spans="1:17" ht="16.5">
      <c r="A199" s="60" t="str">
        <f t="shared" si="115"/>
        <v>Donald</v>
      </c>
      <c r="B199" s="61" t="s">
        <v>161</v>
      </c>
      <c r="C199" s="63">
        <v>13000</v>
      </c>
      <c r="D199" s="63">
        <f t="shared" si="116"/>
        <v>521000</v>
      </c>
      <c r="E199" s="63">
        <f t="shared" si="117"/>
        <v>504300</v>
      </c>
      <c r="F199" s="63">
        <f t="shared" si="118"/>
        <v>20000</v>
      </c>
      <c r="G199" s="63">
        <f t="shared" si="114"/>
        <v>0</v>
      </c>
      <c r="H199" s="63">
        <v>9700</v>
      </c>
      <c r="I199" s="63">
        <f t="shared" ref="I199:I200" si="120">+C199+D199-E199-F199+G199</f>
        <v>9700</v>
      </c>
      <c r="J199" s="9">
        <f t="shared" si="119"/>
        <v>0</v>
      </c>
      <c r="K199" s="47" t="s">
        <v>263</v>
      </c>
      <c r="L199" s="49">
        <v>521000</v>
      </c>
      <c r="M199" s="49">
        <v>20000</v>
      </c>
      <c r="N199" s="49">
        <v>504300</v>
      </c>
      <c r="O199" s="49">
        <v>0</v>
      </c>
      <c r="Q199" s="5"/>
    </row>
    <row r="200" spans="1:17" ht="16.5">
      <c r="A200" s="60" t="str">
        <f t="shared" si="115"/>
        <v>Evariste</v>
      </c>
      <c r="B200" s="61" t="s">
        <v>162</v>
      </c>
      <c r="C200" s="63">
        <v>11575</v>
      </c>
      <c r="D200" s="63">
        <f t="shared" si="116"/>
        <v>324000</v>
      </c>
      <c r="E200" s="63">
        <f t="shared" si="117"/>
        <v>70150</v>
      </c>
      <c r="F200" s="63">
        <f t="shared" si="118"/>
        <v>0</v>
      </c>
      <c r="G200" s="63">
        <f t="shared" si="114"/>
        <v>0</v>
      </c>
      <c r="H200" s="63">
        <v>265425</v>
      </c>
      <c r="I200" s="63">
        <f t="shared" si="120"/>
        <v>265425</v>
      </c>
      <c r="J200" s="9">
        <f t="shared" si="119"/>
        <v>0</v>
      </c>
      <c r="K200" s="47" t="s">
        <v>31</v>
      </c>
      <c r="L200" s="49">
        <v>324000</v>
      </c>
      <c r="M200" s="49">
        <v>0</v>
      </c>
      <c r="N200" s="49">
        <v>70150</v>
      </c>
      <c r="O200" s="49">
        <v>0</v>
      </c>
      <c r="Q200" s="5"/>
    </row>
    <row r="201" spans="1:17" ht="16.5">
      <c r="A201" s="60" t="str">
        <f t="shared" si="115"/>
        <v>I55S</v>
      </c>
      <c r="B201" s="124" t="s">
        <v>4</v>
      </c>
      <c r="C201" s="126">
        <v>233614</v>
      </c>
      <c r="D201" s="126">
        <f t="shared" si="116"/>
        <v>0</v>
      </c>
      <c r="E201" s="126">
        <f>+N201</f>
        <v>0</v>
      </c>
      <c r="F201" s="126">
        <f t="shared" si="118"/>
        <v>0</v>
      </c>
      <c r="G201" s="126">
        <f t="shared" si="114"/>
        <v>0</v>
      </c>
      <c r="H201" s="126">
        <v>233614</v>
      </c>
      <c r="I201" s="126">
        <f>+C201+D201-E201-F201+G201</f>
        <v>233614</v>
      </c>
      <c r="J201" s="9">
        <f t="shared" si="119"/>
        <v>0</v>
      </c>
      <c r="K201" s="47" t="s">
        <v>84</v>
      </c>
      <c r="L201" s="49">
        <v>0</v>
      </c>
      <c r="M201" s="49">
        <v>0</v>
      </c>
      <c r="N201" s="49">
        <v>0</v>
      </c>
      <c r="O201" s="49">
        <v>0</v>
      </c>
      <c r="Q201" s="5"/>
    </row>
    <row r="202" spans="1:17" ht="16.5">
      <c r="A202" s="60" t="str">
        <f t="shared" si="115"/>
        <v>I73X</v>
      </c>
      <c r="B202" s="124" t="s">
        <v>4</v>
      </c>
      <c r="C202" s="126">
        <v>249769</v>
      </c>
      <c r="D202" s="126">
        <f t="shared" si="116"/>
        <v>0</v>
      </c>
      <c r="E202" s="126">
        <f>+N202</f>
        <v>0</v>
      </c>
      <c r="F202" s="126">
        <f t="shared" si="118"/>
        <v>0</v>
      </c>
      <c r="G202" s="126">
        <f t="shared" si="114"/>
        <v>0</v>
      </c>
      <c r="H202" s="126">
        <v>249769</v>
      </c>
      <c r="I202" s="126">
        <f t="shared" ref="I202:I206" si="121">+C202+D202-E202-F202+G202</f>
        <v>249769</v>
      </c>
      <c r="J202" s="9">
        <f t="shared" si="119"/>
        <v>0</v>
      </c>
      <c r="K202" s="47" t="s">
        <v>83</v>
      </c>
      <c r="L202" s="49">
        <v>0</v>
      </c>
      <c r="M202" s="49">
        <v>0</v>
      </c>
      <c r="N202" s="49">
        <v>0</v>
      </c>
      <c r="O202" s="49">
        <v>0</v>
      </c>
      <c r="Q202" s="5"/>
    </row>
    <row r="203" spans="1:17" s="296" customFormat="1" ht="16.5">
      <c r="A203" s="60" t="str">
        <f t="shared" ref="A203" si="122">K203</f>
        <v>Grace</v>
      </c>
      <c r="B203" s="291" t="s">
        <v>2</v>
      </c>
      <c r="C203" s="292">
        <v>0</v>
      </c>
      <c r="D203" s="63">
        <f t="shared" ref="D203" si="123">+L203</f>
        <v>950000</v>
      </c>
      <c r="E203" s="63">
        <f t="shared" ref="E203" si="124">+N203</f>
        <v>33800</v>
      </c>
      <c r="F203" s="63">
        <f t="shared" si="118"/>
        <v>320000</v>
      </c>
      <c r="G203" s="63">
        <f t="shared" ref="G203" si="125">+O203</f>
        <v>0</v>
      </c>
      <c r="H203" s="292">
        <v>596200</v>
      </c>
      <c r="I203" s="292">
        <f t="shared" ref="I203" si="126">+C203+D203-E203-F203+G203</f>
        <v>596200</v>
      </c>
      <c r="J203" s="293">
        <f>I203-H203</f>
        <v>0</v>
      </c>
      <c r="K203" s="294" t="s">
        <v>150</v>
      </c>
      <c r="L203" s="295">
        <v>950000</v>
      </c>
      <c r="M203" s="295">
        <v>320000</v>
      </c>
      <c r="N203" s="49">
        <v>33800</v>
      </c>
      <c r="O203" s="295">
        <v>0</v>
      </c>
    </row>
    <row r="204" spans="1:17" ht="16.5">
      <c r="A204" s="60" t="str">
        <f t="shared" si="115"/>
        <v>Hurielle</v>
      </c>
      <c r="B204" s="104" t="s">
        <v>161</v>
      </c>
      <c r="C204" s="63">
        <v>46900</v>
      </c>
      <c r="D204" s="63">
        <f t="shared" si="116"/>
        <v>603000</v>
      </c>
      <c r="E204" s="63">
        <f>+N204</f>
        <v>456200</v>
      </c>
      <c r="F204" s="63">
        <f>+M204</f>
        <v>49000</v>
      </c>
      <c r="G204" s="63">
        <f t="shared" si="114"/>
        <v>0</v>
      </c>
      <c r="H204" s="63">
        <v>144700</v>
      </c>
      <c r="I204" s="63">
        <f t="shared" si="121"/>
        <v>144700</v>
      </c>
      <c r="J204" s="9">
        <f t="shared" si="119"/>
        <v>0</v>
      </c>
      <c r="K204" s="47" t="s">
        <v>204</v>
      </c>
      <c r="L204" s="49">
        <v>603000</v>
      </c>
      <c r="M204" s="49">
        <v>49000</v>
      </c>
      <c r="N204" s="49">
        <v>456200</v>
      </c>
      <c r="O204" s="49">
        <v>0</v>
      </c>
      <c r="Q204" s="5"/>
    </row>
    <row r="205" spans="1:17" s="296" customFormat="1" ht="16.5">
      <c r="A205" s="60" t="str">
        <f t="shared" si="115"/>
        <v>Merveille</v>
      </c>
      <c r="B205" s="291" t="s">
        <v>2</v>
      </c>
      <c r="C205" s="292">
        <v>14100</v>
      </c>
      <c r="D205" s="63">
        <f t="shared" si="116"/>
        <v>0</v>
      </c>
      <c r="E205" s="63">
        <f t="shared" ref="E205:E208" si="127">+N205</f>
        <v>17000</v>
      </c>
      <c r="F205" s="63">
        <f t="shared" ref="F205:F208" si="128">+M205</f>
        <v>0</v>
      </c>
      <c r="G205" s="63">
        <f t="shared" si="114"/>
        <v>0</v>
      </c>
      <c r="H205" s="292">
        <v>-2900</v>
      </c>
      <c r="I205" s="292">
        <f t="shared" si="121"/>
        <v>-2900</v>
      </c>
      <c r="J205" s="293">
        <f>I205-H205</f>
        <v>0</v>
      </c>
      <c r="K205" s="294" t="s">
        <v>93</v>
      </c>
      <c r="L205" s="295">
        <v>0</v>
      </c>
      <c r="M205" s="295">
        <v>0</v>
      </c>
      <c r="N205" s="49">
        <v>17000</v>
      </c>
      <c r="O205" s="295">
        <v>0</v>
      </c>
    </row>
    <row r="206" spans="1:17" ht="16.5">
      <c r="A206" s="60" t="str">
        <f t="shared" si="115"/>
        <v>P10</v>
      </c>
      <c r="B206" s="228" t="s">
        <v>4</v>
      </c>
      <c r="C206" s="63">
        <v>-3000</v>
      </c>
      <c r="D206" s="63">
        <f t="shared" si="116"/>
        <v>685000</v>
      </c>
      <c r="E206" s="63">
        <f t="shared" si="127"/>
        <v>578100</v>
      </c>
      <c r="F206" s="63">
        <f t="shared" si="128"/>
        <v>0</v>
      </c>
      <c r="G206" s="63">
        <f t="shared" si="114"/>
        <v>0</v>
      </c>
      <c r="H206" s="63">
        <v>103900</v>
      </c>
      <c r="I206" s="63">
        <f t="shared" si="121"/>
        <v>103900</v>
      </c>
      <c r="J206" s="9">
        <f t="shared" ref="J206:J207" si="129">I206-H206</f>
        <v>0</v>
      </c>
      <c r="K206" s="47" t="s">
        <v>262</v>
      </c>
      <c r="L206" s="49">
        <v>685000</v>
      </c>
      <c r="M206" s="49">
        <v>0</v>
      </c>
      <c r="N206" s="49">
        <v>578100</v>
      </c>
      <c r="O206" s="49">
        <v>0</v>
      </c>
      <c r="Q206" s="5"/>
    </row>
    <row r="207" spans="1:17" ht="16.5">
      <c r="A207" s="60" t="str">
        <f t="shared" si="115"/>
        <v>P29</v>
      </c>
      <c r="B207" s="227" t="s">
        <v>4</v>
      </c>
      <c r="C207" s="63">
        <v>56000</v>
      </c>
      <c r="D207" s="63">
        <f>+L207</f>
        <v>538000</v>
      </c>
      <c r="E207" s="63">
        <f t="shared" si="127"/>
        <v>418100</v>
      </c>
      <c r="F207" s="63">
        <f t="shared" si="128"/>
        <v>0</v>
      </c>
      <c r="G207" s="63">
        <f t="shared" si="114"/>
        <v>0</v>
      </c>
      <c r="H207" s="63">
        <v>175900</v>
      </c>
      <c r="I207" s="63">
        <f>+C207+D207-E207-F207+G207</f>
        <v>175900</v>
      </c>
      <c r="J207" s="9">
        <f t="shared" si="129"/>
        <v>0</v>
      </c>
      <c r="K207" s="47" t="s">
        <v>29</v>
      </c>
      <c r="L207" s="49">
        <v>538000</v>
      </c>
      <c r="M207" s="49">
        <v>0</v>
      </c>
      <c r="N207" s="295">
        <v>418100</v>
      </c>
      <c r="O207" s="49">
        <v>0</v>
      </c>
      <c r="Q207" s="5"/>
    </row>
    <row r="208" spans="1:17" ht="16.5">
      <c r="A208" s="60" t="str">
        <f t="shared" si="115"/>
        <v>Tiffany</v>
      </c>
      <c r="B208" s="227" t="s">
        <v>2</v>
      </c>
      <c r="C208" s="63">
        <v>18298</v>
      </c>
      <c r="D208" s="63">
        <f t="shared" ref="D208" si="130">+L208</f>
        <v>20000</v>
      </c>
      <c r="E208" s="63">
        <f t="shared" si="127"/>
        <v>59000</v>
      </c>
      <c r="F208" s="63">
        <f t="shared" si="128"/>
        <v>0</v>
      </c>
      <c r="G208" s="63">
        <f t="shared" si="114"/>
        <v>0</v>
      </c>
      <c r="H208" s="63">
        <v>-20702</v>
      </c>
      <c r="I208" s="63">
        <f>+C208+D208-E208-F208+G208</f>
        <v>-20702</v>
      </c>
      <c r="J208" s="9">
        <f>I208-H208</f>
        <v>0</v>
      </c>
      <c r="K208" s="47" t="s">
        <v>113</v>
      </c>
      <c r="L208" s="49">
        <v>20000</v>
      </c>
      <c r="M208" s="49">
        <v>0</v>
      </c>
      <c r="N208" s="49">
        <v>59000</v>
      </c>
      <c r="O208" s="49">
        <v>0</v>
      </c>
      <c r="Q208" s="5"/>
    </row>
    <row r="209" spans="1:17" ht="16.5">
      <c r="A209" s="10" t="s">
        <v>50</v>
      </c>
      <c r="B209" s="11"/>
      <c r="C209" s="12">
        <f t="shared" ref="C209:I209" si="131">SUM(C195:C208)</f>
        <v>22002193</v>
      </c>
      <c r="D209" s="59">
        <f t="shared" si="131"/>
        <v>10404000</v>
      </c>
      <c r="E209" s="59">
        <f t="shared" si="131"/>
        <v>8309501</v>
      </c>
      <c r="F209" s="59">
        <f t="shared" si="131"/>
        <v>10404000</v>
      </c>
      <c r="G209" s="59">
        <f t="shared" si="131"/>
        <v>12787953</v>
      </c>
      <c r="H209" s="59">
        <f t="shared" si="131"/>
        <v>26480645</v>
      </c>
      <c r="I209" s="59">
        <f t="shared" si="131"/>
        <v>26480645</v>
      </c>
      <c r="J209" s="9">
        <f>I209-H209</f>
        <v>0</v>
      </c>
      <c r="K209" s="3"/>
      <c r="L209" s="49">
        <f>+SUM(L195:L208)</f>
        <v>10404000</v>
      </c>
      <c r="M209" s="49">
        <f>+SUM(M195:M208)</f>
        <v>10404000</v>
      </c>
      <c r="N209" s="49">
        <f>+SUM(N195:N208)</f>
        <v>8309501</v>
      </c>
      <c r="O209" s="49">
        <f>+SUM(O195:O208)</f>
        <v>12787953</v>
      </c>
      <c r="Q209" s="5"/>
    </row>
    <row r="210" spans="1:17" ht="16.5">
      <c r="A210" s="10"/>
      <c r="B210" s="11"/>
      <c r="C210" s="12"/>
      <c r="D210" s="13"/>
      <c r="E210" s="12"/>
      <c r="F210" s="13"/>
      <c r="G210" s="12"/>
      <c r="H210" s="12"/>
      <c r="I210" s="143" t="b">
        <f>I209=D212</f>
        <v>1</v>
      </c>
      <c r="J210" s="9">
        <f>H209-I209</f>
        <v>0</v>
      </c>
      <c r="L210" s="5"/>
      <c r="M210" s="5"/>
      <c r="N210" s="5"/>
      <c r="O210" s="5"/>
      <c r="Q210" s="5"/>
    </row>
    <row r="211" spans="1:17" ht="16.5">
      <c r="A211" s="10" t="s">
        <v>264</v>
      </c>
      <c r="B211" s="11" t="s">
        <v>265</v>
      </c>
      <c r="C211" s="12" t="s">
        <v>170</v>
      </c>
      <c r="D211" s="12" t="s">
        <v>266</v>
      </c>
      <c r="E211" s="12" t="s">
        <v>51</v>
      </c>
      <c r="F211" s="12"/>
      <c r="G211" s="12">
        <f>+D209-F209</f>
        <v>0</v>
      </c>
      <c r="H211" s="12"/>
      <c r="I211" s="12"/>
      <c r="Q211" s="5"/>
    </row>
    <row r="212" spans="1:17" ht="16.5">
      <c r="A212" s="14">
        <f>C209</f>
        <v>22002193</v>
      </c>
      <c r="B212" s="15">
        <f>G209</f>
        <v>12787953</v>
      </c>
      <c r="C212" s="12">
        <f>E209</f>
        <v>8309501</v>
      </c>
      <c r="D212" s="12">
        <f>A212+B212-C212</f>
        <v>26480645</v>
      </c>
      <c r="E212" s="13">
        <f>I209-D212</f>
        <v>0</v>
      </c>
      <c r="F212" s="12"/>
      <c r="G212" s="12"/>
      <c r="H212" s="12"/>
      <c r="I212" s="12"/>
      <c r="Q212" s="5"/>
    </row>
    <row r="213" spans="1:17" ht="16.5">
      <c r="A213" s="14"/>
      <c r="B213" s="15"/>
      <c r="C213" s="12"/>
      <c r="D213" s="12"/>
      <c r="E213" s="13"/>
      <c r="F213" s="12"/>
      <c r="G213" s="12"/>
      <c r="H213" s="12"/>
      <c r="I213" s="12"/>
      <c r="Q213" s="5"/>
    </row>
    <row r="214" spans="1:17">
      <c r="A214" s="16" t="s">
        <v>52</v>
      </c>
      <c r="B214" s="16"/>
      <c r="C214" s="16"/>
      <c r="D214" s="17"/>
      <c r="E214" s="17"/>
      <c r="F214" s="17"/>
      <c r="G214" s="17"/>
      <c r="H214" s="17"/>
      <c r="I214" s="17"/>
      <c r="Q214" s="5"/>
    </row>
    <row r="215" spans="1:17">
      <c r="A215" s="18" t="s">
        <v>269</v>
      </c>
      <c r="B215" s="18"/>
      <c r="C215" s="18"/>
      <c r="D215" s="18"/>
      <c r="E215" s="18"/>
      <c r="F215" s="18"/>
      <c r="G215" s="18"/>
      <c r="H215" s="18"/>
      <c r="I215" s="18"/>
      <c r="J215" s="18"/>
      <c r="Q215" s="5"/>
    </row>
    <row r="216" spans="1:17">
      <c r="A216" s="19"/>
      <c r="B216" s="20"/>
      <c r="C216" s="21"/>
      <c r="D216" s="21"/>
      <c r="E216" s="21"/>
      <c r="F216" s="21"/>
      <c r="G216" s="21"/>
      <c r="H216" s="20"/>
      <c r="I216" s="20"/>
      <c r="Q216" s="5"/>
    </row>
    <row r="217" spans="1:17" ht="45" customHeight="1">
      <c r="A217" s="347" t="s">
        <v>53</v>
      </c>
      <c r="B217" s="349" t="s">
        <v>54</v>
      </c>
      <c r="C217" s="351" t="s">
        <v>268</v>
      </c>
      <c r="D217" s="353" t="s">
        <v>55</v>
      </c>
      <c r="E217" s="354"/>
      <c r="F217" s="354"/>
      <c r="G217" s="355"/>
      <c r="H217" s="356" t="s">
        <v>56</v>
      </c>
      <c r="I217" s="343" t="s">
        <v>57</v>
      </c>
      <c r="J217" s="20"/>
      <c r="Q217" s="5"/>
    </row>
    <row r="218" spans="1:17" ht="28.5" customHeight="1">
      <c r="A218" s="348"/>
      <c r="B218" s="350"/>
      <c r="C218" s="352"/>
      <c r="D218" s="22" t="s">
        <v>24</v>
      </c>
      <c r="E218" s="22" t="s">
        <v>25</v>
      </c>
      <c r="F218" s="352" t="s">
        <v>123</v>
      </c>
      <c r="G218" s="22" t="s">
        <v>58</v>
      </c>
      <c r="H218" s="357"/>
      <c r="I218" s="344"/>
      <c r="J218" s="345" t="s">
        <v>267</v>
      </c>
      <c r="K218" s="155"/>
      <c r="Q218" s="5"/>
    </row>
    <row r="219" spans="1:17">
      <c r="A219" s="24"/>
      <c r="B219" s="25" t="s">
        <v>59</v>
      </c>
      <c r="C219" s="26"/>
      <c r="D219" s="26"/>
      <c r="E219" s="26"/>
      <c r="F219" s="26"/>
      <c r="G219" s="26"/>
      <c r="H219" s="26"/>
      <c r="I219" s="27"/>
      <c r="J219" s="346"/>
      <c r="K219" s="155"/>
      <c r="Q219" s="5"/>
    </row>
    <row r="220" spans="1:17">
      <c r="A220" s="130" t="s">
        <v>98</v>
      </c>
      <c r="B220" s="135" t="s">
        <v>47</v>
      </c>
      <c r="C220" s="33">
        <f>+C198</f>
        <v>113930</v>
      </c>
      <c r="D220" s="32"/>
      <c r="E220" s="33">
        <f t="shared" ref="E220:E225" si="132">+D198</f>
        <v>614000</v>
      </c>
      <c r="F220" s="33"/>
      <c r="G220" s="33"/>
      <c r="H220" s="57">
        <f t="shared" ref="H220:H225" si="133">+F198</f>
        <v>80000</v>
      </c>
      <c r="I220" s="33">
        <f t="shared" ref="I220:I225" si="134">+E198</f>
        <v>238400</v>
      </c>
      <c r="J220" s="31">
        <f t="shared" ref="J220:J222" si="135">+SUM(C220:G220)-(H220+I220)</f>
        <v>409530</v>
      </c>
      <c r="K220" s="156" t="b">
        <f>J220=I198</f>
        <v>1</v>
      </c>
      <c r="Q220" s="5"/>
    </row>
    <row r="221" spans="1:17">
      <c r="A221" s="130" t="str">
        <f>+A220</f>
        <v>NOVEMBRE</v>
      </c>
      <c r="B221" s="135" t="s">
        <v>263</v>
      </c>
      <c r="C221" s="33">
        <f t="shared" ref="C221:C222" si="136">+C199</f>
        <v>13000</v>
      </c>
      <c r="D221" s="32"/>
      <c r="E221" s="33">
        <f t="shared" si="132"/>
        <v>521000</v>
      </c>
      <c r="F221" s="33"/>
      <c r="G221" s="33"/>
      <c r="H221" s="57">
        <f t="shared" si="133"/>
        <v>20000</v>
      </c>
      <c r="I221" s="33">
        <f t="shared" si="134"/>
        <v>504300</v>
      </c>
      <c r="J221" s="107">
        <f t="shared" ref="J221" si="137">+SUM(C221:G221)-(H221+I221)</f>
        <v>9700</v>
      </c>
      <c r="K221" s="156" t="b">
        <f>J221=I199</f>
        <v>1</v>
      </c>
      <c r="Q221" s="5"/>
    </row>
    <row r="222" spans="1:17">
      <c r="A222" s="130" t="str">
        <f t="shared" ref="A222:A230" si="138">+A221</f>
        <v>NOVEMBRE</v>
      </c>
      <c r="B222" s="135" t="s">
        <v>31</v>
      </c>
      <c r="C222" s="33">
        <f t="shared" si="136"/>
        <v>11575</v>
      </c>
      <c r="D222" s="32"/>
      <c r="E222" s="33">
        <f t="shared" si="132"/>
        <v>324000</v>
      </c>
      <c r="F222" s="33"/>
      <c r="G222" s="33"/>
      <c r="H222" s="57">
        <f t="shared" si="133"/>
        <v>0</v>
      </c>
      <c r="I222" s="33">
        <f t="shared" si="134"/>
        <v>70150</v>
      </c>
      <c r="J222" s="107">
        <f t="shared" si="135"/>
        <v>265425</v>
      </c>
      <c r="K222" s="156" t="b">
        <f t="shared" ref="K222:K230" si="139">J222=I200</f>
        <v>1</v>
      </c>
      <c r="Q222" s="5"/>
    </row>
    <row r="223" spans="1:17">
      <c r="A223" s="130" t="str">
        <f t="shared" si="138"/>
        <v>NOVEMBRE</v>
      </c>
      <c r="B223" s="137" t="s">
        <v>84</v>
      </c>
      <c r="C223" s="128">
        <f>+C201</f>
        <v>233614</v>
      </c>
      <c r="D223" s="131"/>
      <c r="E223" s="128">
        <f t="shared" si="132"/>
        <v>0</v>
      </c>
      <c r="F223" s="146"/>
      <c r="G223" s="146"/>
      <c r="H223" s="178">
        <f t="shared" si="133"/>
        <v>0</v>
      </c>
      <c r="I223" s="128">
        <f t="shared" si="134"/>
        <v>0</v>
      </c>
      <c r="J223" s="129">
        <f>+SUM(C223:G223)-(H223+I223)</f>
        <v>233614</v>
      </c>
      <c r="K223" s="156" t="b">
        <f t="shared" si="139"/>
        <v>1</v>
      </c>
      <c r="Q223" s="5"/>
    </row>
    <row r="224" spans="1:17">
      <c r="A224" s="130" t="str">
        <f t="shared" si="138"/>
        <v>NOVEMBRE</v>
      </c>
      <c r="B224" s="137" t="s">
        <v>83</v>
      </c>
      <c r="C224" s="128">
        <f>+C202</f>
        <v>249769</v>
      </c>
      <c r="D224" s="131"/>
      <c r="E224" s="128">
        <f t="shared" si="132"/>
        <v>0</v>
      </c>
      <c r="F224" s="146"/>
      <c r="G224" s="146"/>
      <c r="H224" s="178">
        <f t="shared" si="133"/>
        <v>0</v>
      </c>
      <c r="I224" s="128">
        <f t="shared" si="134"/>
        <v>0</v>
      </c>
      <c r="J224" s="129">
        <f t="shared" ref="J224:J230" si="140">+SUM(C224:G224)-(H224+I224)</f>
        <v>249769</v>
      </c>
      <c r="K224" s="156" t="b">
        <f t="shared" si="139"/>
        <v>1</v>
      </c>
      <c r="Q224" s="5"/>
    </row>
    <row r="225" spans="1:17">
      <c r="A225" s="130" t="str">
        <f t="shared" si="138"/>
        <v>NOVEMBRE</v>
      </c>
      <c r="B225" s="135" t="s">
        <v>150</v>
      </c>
      <c r="C225" s="33">
        <f>+C203</f>
        <v>0</v>
      </c>
      <c r="D225" s="32"/>
      <c r="E225" s="33">
        <f t="shared" si="132"/>
        <v>950000</v>
      </c>
      <c r="F225" s="33"/>
      <c r="G225" s="110"/>
      <c r="H225" s="57">
        <f t="shared" si="133"/>
        <v>320000</v>
      </c>
      <c r="I225" s="33">
        <f t="shared" si="134"/>
        <v>33800</v>
      </c>
      <c r="J225" s="31">
        <f t="shared" si="140"/>
        <v>596200</v>
      </c>
      <c r="K225" s="156" t="b">
        <f t="shared" si="139"/>
        <v>1</v>
      </c>
      <c r="Q225" s="5"/>
    </row>
    <row r="226" spans="1:17">
      <c r="A226" s="130" t="str">
        <f t="shared" si="138"/>
        <v>NOVEMBRE</v>
      </c>
      <c r="B226" s="135" t="s">
        <v>204</v>
      </c>
      <c r="C226" s="33">
        <f t="shared" ref="C226:C230" si="141">+C204</f>
        <v>46900</v>
      </c>
      <c r="D226" s="32"/>
      <c r="E226" s="33">
        <f t="shared" ref="E226:E230" si="142">+D204</f>
        <v>603000</v>
      </c>
      <c r="F226" s="33"/>
      <c r="G226" s="110"/>
      <c r="H226" s="57">
        <f t="shared" ref="H226:H230" si="143">+F204</f>
        <v>49000</v>
      </c>
      <c r="I226" s="33">
        <f t="shared" ref="I226:I230" si="144">+E204</f>
        <v>456200</v>
      </c>
      <c r="J226" s="31">
        <f t="shared" si="140"/>
        <v>144700</v>
      </c>
      <c r="K226" s="156" t="b">
        <f t="shared" si="139"/>
        <v>1</v>
      </c>
      <c r="Q226" s="5"/>
    </row>
    <row r="227" spans="1:17">
      <c r="A227" s="130" t="str">
        <f t="shared" si="138"/>
        <v>NOVEMBRE</v>
      </c>
      <c r="B227" s="135" t="s">
        <v>93</v>
      </c>
      <c r="C227" s="33">
        <f t="shared" si="141"/>
        <v>14100</v>
      </c>
      <c r="D227" s="32"/>
      <c r="E227" s="33">
        <f t="shared" si="142"/>
        <v>0</v>
      </c>
      <c r="F227" s="33"/>
      <c r="G227" s="110"/>
      <c r="H227" s="57">
        <f t="shared" si="143"/>
        <v>0</v>
      </c>
      <c r="I227" s="33">
        <f t="shared" si="144"/>
        <v>17000</v>
      </c>
      <c r="J227" s="31">
        <f t="shared" si="140"/>
        <v>-2900</v>
      </c>
      <c r="K227" s="156" t="b">
        <f t="shared" si="139"/>
        <v>1</v>
      </c>
      <c r="Q227" s="5"/>
    </row>
    <row r="228" spans="1:17">
      <c r="A228" s="130" t="str">
        <f t="shared" si="138"/>
        <v>NOVEMBRE</v>
      </c>
      <c r="B228" s="135" t="s">
        <v>262</v>
      </c>
      <c r="C228" s="33">
        <f t="shared" si="141"/>
        <v>-3000</v>
      </c>
      <c r="D228" s="32"/>
      <c r="E228" s="33">
        <f t="shared" si="142"/>
        <v>685000</v>
      </c>
      <c r="F228" s="33"/>
      <c r="G228" s="110"/>
      <c r="H228" s="57">
        <f t="shared" si="143"/>
        <v>0</v>
      </c>
      <c r="I228" s="33">
        <f t="shared" si="144"/>
        <v>578100</v>
      </c>
      <c r="J228" s="31">
        <f t="shared" si="140"/>
        <v>103900</v>
      </c>
      <c r="K228" s="156" t="b">
        <f t="shared" si="139"/>
        <v>1</v>
      </c>
      <c r="Q228" s="5"/>
    </row>
    <row r="229" spans="1:17">
      <c r="A229" s="130" t="str">
        <f t="shared" si="138"/>
        <v>NOVEMBRE</v>
      </c>
      <c r="B229" s="135" t="s">
        <v>29</v>
      </c>
      <c r="C229" s="33">
        <f t="shared" si="141"/>
        <v>56000</v>
      </c>
      <c r="D229" s="32"/>
      <c r="E229" s="33">
        <f t="shared" si="142"/>
        <v>538000</v>
      </c>
      <c r="F229" s="33"/>
      <c r="G229" s="110"/>
      <c r="H229" s="57">
        <f t="shared" si="143"/>
        <v>0</v>
      </c>
      <c r="I229" s="33">
        <f t="shared" si="144"/>
        <v>418100</v>
      </c>
      <c r="J229" s="31">
        <f t="shared" si="140"/>
        <v>175900</v>
      </c>
      <c r="K229" s="156" t="b">
        <f t="shared" si="139"/>
        <v>1</v>
      </c>
      <c r="Q229" s="5"/>
    </row>
    <row r="230" spans="1:17">
      <c r="A230" s="130" t="str">
        <f t="shared" si="138"/>
        <v>NOVEMBRE</v>
      </c>
      <c r="B230" s="136" t="s">
        <v>113</v>
      </c>
      <c r="C230" s="33">
        <f t="shared" si="141"/>
        <v>18298</v>
      </c>
      <c r="D230" s="127"/>
      <c r="E230" s="33">
        <f t="shared" si="142"/>
        <v>20000</v>
      </c>
      <c r="F230" s="53"/>
      <c r="G230" s="147"/>
      <c r="H230" s="57">
        <f t="shared" si="143"/>
        <v>0</v>
      </c>
      <c r="I230" s="33">
        <f t="shared" si="144"/>
        <v>59000</v>
      </c>
      <c r="J230" s="31">
        <f t="shared" si="140"/>
        <v>-20702</v>
      </c>
      <c r="K230" s="156" t="b">
        <f t="shared" si="139"/>
        <v>1</v>
      </c>
      <c r="Q230" s="5"/>
    </row>
    <row r="231" spans="1:17">
      <c r="A231" s="35" t="s">
        <v>60</v>
      </c>
      <c r="B231" s="36"/>
      <c r="C231" s="36"/>
      <c r="D231" s="36"/>
      <c r="E231" s="36"/>
      <c r="F231" s="36"/>
      <c r="G231" s="36"/>
      <c r="H231" s="36"/>
      <c r="I231" s="36"/>
      <c r="J231" s="37"/>
      <c r="K231" s="155"/>
      <c r="Q231" s="5"/>
    </row>
    <row r="232" spans="1:17">
      <c r="A232" s="130" t="str">
        <f>A230</f>
        <v>NOVEMBRE</v>
      </c>
      <c r="B232" s="38" t="s">
        <v>61</v>
      </c>
      <c r="C232" s="39">
        <f>+C197</f>
        <v>2105331</v>
      </c>
      <c r="D232" s="51"/>
      <c r="E232" s="51">
        <f>D197</f>
        <v>6149000</v>
      </c>
      <c r="F232" s="51"/>
      <c r="G232" s="133"/>
      <c r="H232" s="53">
        <f>+F197</f>
        <v>3935000</v>
      </c>
      <c r="I232" s="134">
        <f>+E197</f>
        <v>1843228</v>
      </c>
      <c r="J232" s="46">
        <f>+SUM(C232:G232)-(H232+I232)</f>
        <v>2476103</v>
      </c>
      <c r="K232" s="156" t="b">
        <f>J232=I197</f>
        <v>1</v>
      </c>
      <c r="Q232" s="5"/>
    </row>
    <row r="233" spans="1:17">
      <c r="A233" s="44" t="s">
        <v>62</v>
      </c>
      <c r="B233" s="25"/>
      <c r="C233" s="36"/>
      <c r="D233" s="25"/>
      <c r="E233" s="25"/>
      <c r="F233" s="25"/>
      <c r="G233" s="25"/>
      <c r="H233" s="25"/>
      <c r="I233" s="25"/>
      <c r="J233" s="37"/>
      <c r="K233" s="155"/>
      <c r="Q233" s="5"/>
    </row>
    <row r="234" spans="1:17">
      <c r="A234" s="130" t="str">
        <f>+A232</f>
        <v>NOVEMBRE</v>
      </c>
      <c r="B234" s="38" t="s">
        <v>163</v>
      </c>
      <c r="C234" s="133">
        <f>+C195</f>
        <v>9603727</v>
      </c>
      <c r="D234" s="140">
        <f>+G195</f>
        <v>12787953</v>
      </c>
      <c r="E234" s="51"/>
      <c r="F234" s="51"/>
      <c r="G234" s="51"/>
      <c r="H234" s="53">
        <f>+F195</f>
        <v>6000000</v>
      </c>
      <c r="I234" s="55">
        <f>+E195</f>
        <v>173438</v>
      </c>
      <c r="J234" s="46">
        <f>+SUM(C234:G234)-(H234+I234)</f>
        <v>16218242</v>
      </c>
      <c r="K234" s="156" t="b">
        <f>+J234=I195</f>
        <v>1</v>
      </c>
      <c r="Q234" s="5"/>
    </row>
    <row r="235" spans="1:17">
      <c r="A235" s="130" t="str">
        <f t="shared" ref="A235" si="145">+A234</f>
        <v>NOVEMBRE</v>
      </c>
      <c r="B235" s="38" t="s">
        <v>64</v>
      </c>
      <c r="C235" s="133">
        <f>+C196</f>
        <v>9538949</v>
      </c>
      <c r="D235" s="51">
        <f>+G196</f>
        <v>0</v>
      </c>
      <c r="E235" s="50"/>
      <c r="F235" s="50"/>
      <c r="G235" s="50"/>
      <c r="H235" s="33">
        <f>+F196</f>
        <v>0</v>
      </c>
      <c r="I235" s="52">
        <f>+E196</f>
        <v>3917785</v>
      </c>
      <c r="J235" s="46">
        <f>SUM(C235:G235)-(H235+I235)</f>
        <v>5621164</v>
      </c>
      <c r="K235" s="156" t="b">
        <f>+J235=I196</f>
        <v>1</v>
      </c>
      <c r="Q235" s="5"/>
    </row>
    <row r="236" spans="1:17" ht="15.75">
      <c r="C236" s="151">
        <f>SUM(C220:C235)</f>
        <v>22002193</v>
      </c>
      <c r="I236" s="149">
        <f>SUM(I220:I235)</f>
        <v>8309501</v>
      </c>
      <c r="J236" s="111">
        <f>+SUM(J220:J235)</f>
        <v>26480645</v>
      </c>
      <c r="K236" s="5" t="b">
        <f>J236=I209</f>
        <v>1</v>
      </c>
      <c r="Q236" s="5"/>
    </row>
    <row r="237" spans="1:17" ht="15.75">
      <c r="C237" s="151"/>
      <c r="I237" s="149"/>
      <c r="J237" s="111"/>
      <c r="Q237" s="5"/>
    </row>
    <row r="238" spans="1:17" ht="15.75">
      <c r="A238" s="189"/>
      <c r="B238" s="189"/>
      <c r="C238" s="190"/>
      <c r="D238" s="189"/>
      <c r="E238" s="189"/>
      <c r="F238" s="189"/>
      <c r="G238" s="189"/>
      <c r="H238" s="189"/>
      <c r="I238" s="191"/>
      <c r="J238" s="192"/>
      <c r="K238" s="189"/>
      <c r="L238" s="193"/>
      <c r="M238" s="193"/>
      <c r="N238" s="193"/>
      <c r="O238" s="193"/>
      <c r="P238" s="189"/>
      <c r="Q238" s="5"/>
    </row>
    <row r="241" spans="1:17" ht="15.75">
      <c r="A241" s="6" t="s">
        <v>36</v>
      </c>
      <c r="B241" s="6" t="s">
        <v>1</v>
      </c>
      <c r="C241" s="6">
        <v>44835</v>
      </c>
      <c r="D241" s="7" t="s">
        <v>37</v>
      </c>
      <c r="E241" s="7" t="s">
        <v>38</v>
      </c>
      <c r="F241" s="7" t="s">
        <v>39</v>
      </c>
      <c r="G241" s="7" t="s">
        <v>40</v>
      </c>
      <c r="H241" s="6">
        <v>44865</v>
      </c>
      <c r="I241" s="7" t="s">
        <v>41</v>
      </c>
      <c r="K241" s="47"/>
      <c r="L241" s="47" t="s">
        <v>42</v>
      </c>
      <c r="M241" s="47" t="s">
        <v>43</v>
      </c>
      <c r="N241" s="47" t="s">
        <v>44</v>
      </c>
      <c r="O241" s="47" t="s">
        <v>45</v>
      </c>
      <c r="Q241" s="5"/>
    </row>
    <row r="242" spans="1:17" ht="16.5">
      <c r="A242" s="60" t="str">
        <f>K242</f>
        <v>BCI</v>
      </c>
      <c r="B242" s="61" t="s">
        <v>46</v>
      </c>
      <c r="C242" s="63">
        <v>14237475</v>
      </c>
      <c r="D242" s="63">
        <f>+L242</f>
        <v>0</v>
      </c>
      <c r="E242" s="63">
        <f>+N242</f>
        <v>633748</v>
      </c>
      <c r="F242" s="63">
        <f>+M242</f>
        <v>4000000</v>
      </c>
      <c r="G242" s="63">
        <f t="shared" ref="G242:G255" si="146">+O242</f>
        <v>0</v>
      </c>
      <c r="H242" s="63">
        <v>9603727</v>
      </c>
      <c r="I242" s="63">
        <f>+C242+D242-E242-F242+G242</f>
        <v>9603727</v>
      </c>
      <c r="J242" s="9">
        <f>I242-H242</f>
        <v>0</v>
      </c>
      <c r="K242" s="47" t="s">
        <v>24</v>
      </c>
      <c r="L242" s="49">
        <v>0</v>
      </c>
      <c r="M242" s="49">
        <v>4000000</v>
      </c>
      <c r="N242" s="49">
        <v>633748</v>
      </c>
      <c r="O242" s="49">
        <v>0</v>
      </c>
      <c r="Q242" s="5"/>
    </row>
    <row r="243" spans="1:17" ht="16.5">
      <c r="A243" s="60" t="str">
        <f t="shared" ref="A243:A255" si="147">K243</f>
        <v>BCI-Sous Compte</v>
      </c>
      <c r="B243" s="61" t="s">
        <v>46</v>
      </c>
      <c r="C243" s="63">
        <v>8844061</v>
      </c>
      <c r="D243" s="63">
        <f t="shared" ref="D243:D255" si="148">+L243</f>
        <v>0</v>
      </c>
      <c r="E243" s="63">
        <f t="shared" ref="E243:E247" si="149">+N243</f>
        <v>4731844</v>
      </c>
      <c r="F243" s="63">
        <f t="shared" ref="F243:F249" si="150">+M243</f>
        <v>0</v>
      </c>
      <c r="G243" s="63">
        <f t="shared" si="146"/>
        <v>5426732</v>
      </c>
      <c r="H243" s="63">
        <v>9538949</v>
      </c>
      <c r="I243" s="63">
        <f>+C243+D243-E243-F243+G243</f>
        <v>9538949</v>
      </c>
      <c r="J243" s="9">
        <f>I243-H243</f>
        <v>0</v>
      </c>
      <c r="K243" s="47" t="s">
        <v>155</v>
      </c>
      <c r="L243" s="48">
        <v>0</v>
      </c>
      <c r="M243" s="49">
        <v>0</v>
      </c>
      <c r="N243" s="49">
        <v>4731844</v>
      </c>
      <c r="O243" s="49">
        <v>5426732</v>
      </c>
      <c r="Q243" s="5"/>
    </row>
    <row r="244" spans="1:17" ht="16.5">
      <c r="A244" s="60" t="str">
        <f t="shared" si="147"/>
        <v>Caisse</v>
      </c>
      <c r="B244" s="61" t="s">
        <v>25</v>
      </c>
      <c r="C244" s="63">
        <v>1081474</v>
      </c>
      <c r="D244" s="63">
        <f t="shared" si="148"/>
        <v>4595950</v>
      </c>
      <c r="E244" s="63">
        <f t="shared" si="149"/>
        <v>2106393</v>
      </c>
      <c r="F244" s="63">
        <f t="shared" si="150"/>
        <v>1465700</v>
      </c>
      <c r="G244" s="63">
        <f t="shared" si="146"/>
        <v>0</v>
      </c>
      <c r="H244" s="63">
        <v>2105331</v>
      </c>
      <c r="I244" s="63">
        <f>+C244+D244-E244-F244+G244</f>
        <v>2105331</v>
      </c>
      <c r="J244" s="108">
        <f t="shared" ref="J244:J250" si="151">I244-H244</f>
        <v>0</v>
      </c>
      <c r="K244" s="47" t="s">
        <v>25</v>
      </c>
      <c r="L244" s="49">
        <v>4595950</v>
      </c>
      <c r="M244" s="49">
        <v>1465700</v>
      </c>
      <c r="N244" s="49">
        <v>2106393</v>
      </c>
      <c r="O244" s="49">
        <v>0</v>
      </c>
      <c r="Q244" s="5"/>
    </row>
    <row r="245" spans="1:17" ht="16.5">
      <c r="A245" s="60" t="str">
        <f t="shared" si="147"/>
        <v>Crépin</v>
      </c>
      <c r="B245" s="61" t="s">
        <v>161</v>
      </c>
      <c r="C245" s="63">
        <v>483330</v>
      </c>
      <c r="D245" s="63">
        <f t="shared" si="148"/>
        <v>552500</v>
      </c>
      <c r="E245" s="63">
        <f t="shared" si="149"/>
        <v>521900</v>
      </c>
      <c r="F245" s="63">
        <f t="shared" si="150"/>
        <v>400000</v>
      </c>
      <c r="G245" s="63">
        <f t="shared" si="146"/>
        <v>0</v>
      </c>
      <c r="H245" s="63">
        <v>113930</v>
      </c>
      <c r="I245" s="63">
        <f>+C245+D245-E245-F245+G245</f>
        <v>113930</v>
      </c>
      <c r="J245" s="9">
        <f t="shared" si="151"/>
        <v>0</v>
      </c>
      <c r="K245" s="47" t="s">
        <v>47</v>
      </c>
      <c r="L245" s="49">
        <v>552500</v>
      </c>
      <c r="M245" s="49">
        <v>400000</v>
      </c>
      <c r="N245" s="49">
        <v>521900</v>
      </c>
      <c r="O245" s="49">
        <v>0</v>
      </c>
      <c r="Q245" s="5"/>
    </row>
    <row r="246" spans="1:17" ht="16.5">
      <c r="A246" s="60" t="str">
        <f t="shared" si="147"/>
        <v>Donald</v>
      </c>
      <c r="B246" s="61" t="s">
        <v>161</v>
      </c>
      <c r="C246" s="63">
        <v>0</v>
      </c>
      <c r="D246" s="63">
        <f t="shared" si="148"/>
        <v>20000</v>
      </c>
      <c r="E246" s="63">
        <f t="shared" si="149"/>
        <v>7000</v>
      </c>
      <c r="F246" s="63">
        <f t="shared" si="150"/>
        <v>0</v>
      </c>
      <c r="G246" s="63">
        <f t="shared" si="146"/>
        <v>0</v>
      </c>
      <c r="H246" s="63">
        <v>13000</v>
      </c>
      <c r="I246" s="63">
        <f t="shared" ref="I246:I247" si="152">+C246+D246-E246-F246+G246</f>
        <v>13000</v>
      </c>
      <c r="J246" s="9">
        <f t="shared" si="151"/>
        <v>0</v>
      </c>
      <c r="K246" s="47" t="s">
        <v>263</v>
      </c>
      <c r="L246" s="49">
        <v>20000</v>
      </c>
      <c r="M246" s="49">
        <v>0</v>
      </c>
      <c r="N246" s="49">
        <v>7000</v>
      </c>
      <c r="O246" s="49">
        <v>0</v>
      </c>
      <c r="Q246" s="5"/>
    </row>
    <row r="247" spans="1:17" ht="16.5">
      <c r="A247" s="60" t="str">
        <f t="shared" si="147"/>
        <v>Evariste</v>
      </c>
      <c r="B247" s="61" t="s">
        <v>162</v>
      </c>
      <c r="C247" s="63">
        <v>76225</v>
      </c>
      <c r="D247" s="63">
        <f t="shared" si="148"/>
        <v>15000</v>
      </c>
      <c r="E247" s="63">
        <f t="shared" si="149"/>
        <v>34650</v>
      </c>
      <c r="F247" s="63">
        <f t="shared" si="150"/>
        <v>45000</v>
      </c>
      <c r="G247" s="63">
        <f t="shared" si="146"/>
        <v>0</v>
      </c>
      <c r="H247" s="63">
        <v>11575</v>
      </c>
      <c r="I247" s="63">
        <f t="shared" si="152"/>
        <v>11575</v>
      </c>
      <c r="J247" s="9">
        <f t="shared" si="151"/>
        <v>0</v>
      </c>
      <c r="K247" s="47" t="s">
        <v>31</v>
      </c>
      <c r="L247" s="49">
        <v>15000</v>
      </c>
      <c r="M247" s="49">
        <v>45000</v>
      </c>
      <c r="N247" s="49">
        <v>34650</v>
      </c>
      <c r="O247" s="49">
        <v>0</v>
      </c>
      <c r="Q247" s="5"/>
    </row>
    <row r="248" spans="1:17" ht="16.5">
      <c r="A248" s="60" t="str">
        <f t="shared" si="147"/>
        <v>I55S</v>
      </c>
      <c r="B248" s="124" t="s">
        <v>4</v>
      </c>
      <c r="C248" s="126">
        <v>233614</v>
      </c>
      <c r="D248" s="126">
        <f t="shared" si="148"/>
        <v>0</v>
      </c>
      <c r="E248" s="126">
        <f>+N248</f>
        <v>0</v>
      </c>
      <c r="F248" s="126">
        <f t="shared" si="150"/>
        <v>0</v>
      </c>
      <c r="G248" s="126">
        <f t="shared" si="146"/>
        <v>0</v>
      </c>
      <c r="H248" s="126">
        <v>233614</v>
      </c>
      <c r="I248" s="126">
        <f>+C248+D248-E248-F248+G248</f>
        <v>233614</v>
      </c>
      <c r="J248" s="9">
        <f t="shared" si="151"/>
        <v>0</v>
      </c>
      <c r="K248" s="47" t="s">
        <v>84</v>
      </c>
      <c r="L248" s="49">
        <v>0</v>
      </c>
      <c r="M248" s="49">
        <v>0</v>
      </c>
      <c r="N248" s="49">
        <v>0</v>
      </c>
      <c r="O248" s="49">
        <v>0</v>
      </c>
      <c r="Q248" s="5"/>
    </row>
    <row r="249" spans="1:17" ht="16.5">
      <c r="A249" s="60" t="str">
        <f t="shared" si="147"/>
        <v>I73X</v>
      </c>
      <c r="B249" s="124" t="s">
        <v>4</v>
      </c>
      <c r="C249" s="126">
        <v>249769</v>
      </c>
      <c r="D249" s="126">
        <f t="shared" si="148"/>
        <v>0</v>
      </c>
      <c r="E249" s="126">
        <f>+N249</f>
        <v>0</v>
      </c>
      <c r="F249" s="126">
        <f t="shared" si="150"/>
        <v>0</v>
      </c>
      <c r="G249" s="126">
        <f t="shared" si="146"/>
        <v>0</v>
      </c>
      <c r="H249" s="126">
        <v>249769</v>
      </c>
      <c r="I249" s="126">
        <f t="shared" ref="I249:I252" si="153">+C249+D249-E249-F249+G249</f>
        <v>249769</v>
      </c>
      <c r="J249" s="9">
        <f t="shared" si="151"/>
        <v>0</v>
      </c>
      <c r="K249" s="47" t="s">
        <v>83</v>
      </c>
      <c r="L249" s="49">
        <v>0</v>
      </c>
      <c r="M249" s="49">
        <v>0</v>
      </c>
      <c r="N249" s="49">
        <v>0</v>
      </c>
      <c r="O249" s="49">
        <v>0</v>
      </c>
      <c r="Q249" s="5"/>
    </row>
    <row r="250" spans="1:17" ht="16.5">
      <c r="A250" s="60" t="str">
        <f t="shared" si="147"/>
        <v>Hurielle</v>
      </c>
      <c r="B250" s="104" t="s">
        <v>161</v>
      </c>
      <c r="C250" s="63">
        <v>41200</v>
      </c>
      <c r="D250" s="63">
        <f t="shared" si="148"/>
        <v>294000</v>
      </c>
      <c r="E250" s="63">
        <f>+N250</f>
        <v>258300</v>
      </c>
      <c r="F250" s="63">
        <f>+M250</f>
        <v>30000</v>
      </c>
      <c r="G250" s="63">
        <f t="shared" si="146"/>
        <v>0</v>
      </c>
      <c r="H250" s="63">
        <v>46900</v>
      </c>
      <c r="I250" s="63">
        <f t="shared" si="153"/>
        <v>46900</v>
      </c>
      <c r="J250" s="9">
        <f t="shared" si="151"/>
        <v>0</v>
      </c>
      <c r="K250" s="47" t="s">
        <v>204</v>
      </c>
      <c r="L250" s="49">
        <v>294000</v>
      </c>
      <c r="M250" s="49">
        <v>30000</v>
      </c>
      <c r="N250" s="49">
        <v>258300</v>
      </c>
      <c r="O250" s="49">
        <v>0</v>
      </c>
      <c r="Q250" s="5"/>
    </row>
    <row r="251" spans="1:17" s="296" customFormat="1" ht="16.5">
      <c r="A251" s="60" t="str">
        <f t="shared" si="147"/>
        <v>Merveille</v>
      </c>
      <c r="B251" s="291" t="s">
        <v>2</v>
      </c>
      <c r="C251" s="292">
        <v>98100</v>
      </c>
      <c r="D251" s="63">
        <f t="shared" si="148"/>
        <v>0</v>
      </c>
      <c r="E251" s="63">
        <f t="shared" ref="E251:E255" si="154">+N251</f>
        <v>24000</v>
      </c>
      <c r="F251" s="63">
        <f t="shared" ref="F251:F255" si="155">+M251</f>
        <v>60000</v>
      </c>
      <c r="G251" s="63">
        <f t="shared" si="146"/>
        <v>0</v>
      </c>
      <c r="H251" s="292">
        <v>14100</v>
      </c>
      <c r="I251" s="292">
        <f t="shared" si="153"/>
        <v>14100</v>
      </c>
      <c r="J251" s="293">
        <f>I251-H251</f>
        <v>0</v>
      </c>
      <c r="K251" s="294" t="s">
        <v>93</v>
      </c>
      <c r="L251" s="295">
        <v>0</v>
      </c>
      <c r="M251" s="295">
        <v>60000</v>
      </c>
      <c r="N251" s="49">
        <v>24000</v>
      </c>
      <c r="O251" s="295">
        <v>0</v>
      </c>
    </row>
    <row r="252" spans="1:17" ht="16.5">
      <c r="A252" s="60" t="str">
        <f t="shared" si="147"/>
        <v>P10</v>
      </c>
      <c r="B252" s="227" t="s">
        <v>4</v>
      </c>
      <c r="C252" s="63">
        <v>0</v>
      </c>
      <c r="D252" s="63">
        <f t="shared" si="148"/>
        <v>105000</v>
      </c>
      <c r="E252" s="63">
        <f t="shared" si="154"/>
        <v>98000</v>
      </c>
      <c r="F252" s="63">
        <f t="shared" si="155"/>
        <v>10000</v>
      </c>
      <c r="G252" s="63">
        <f t="shared" si="146"/>
        <v>0</v>
      </c>
      <c r="H252" s="63">
        <v>-3000</v>
      </c>
      <c r="I252" s="63">
        <f t="shared" si="153"/>
        <v>-3000</v>
      </c>
      <c r="J252" s="9">
        <f t="shared" ref="J252:J253" si="156">I252-H252</f>
        <v>0</v>
      </c>
      <c r="K252" s="47" t="s">
        <v>262</v>
      </c>
      <c r="L252" s="49">
        <v>105000</v>
      </c>
      <c r="M252" s="49">
        <v>10000</v>
      </c>
      <c r="N252" s="49">
        <v>98000</v>
      </c>
      <c r="O252" s="49">
        <v>0</v>
      </c>
      <c r="Q252" s="5"/>
    </row>
    <row r="253" spans="1:17" ht="16.5">
      <c r="A253" s="60" t="str">
        <f t="shared" si="147"/>
        <v>P29</v>
      </c>
      <c r="B253" s="227" t="s">
        <v>4</v>
      </c>
      <c r="C253" s="63">
        <v>60950</v>
      </c>
      <c r="D253" s="63">
        <f>+L253</f>
        <v>315000</v>
      </c>
      <c r="E253" s="63">
        <f t="shared" si="154"/>
        <v>259000</v>
      </c>
      <c r="F253" s="63">
        <f t="shared" si="155"/>
        <v>60950</v>
      </c>
      <c r="G253" s="63">
        <f t="shared" si="146"/>
        <v>0</v>
      </c>
      <c r="H253" s="63">
        <v>56000</v>
      </c>
      <c r="I253" s="63">
        <f>+C253+D253-E253-F253+G253</f>
        <v>56000</v>
      </c>
      <c r="J253" s="9">
        <f t="shared" si="156"/>
        <v>0</v>
      </c>
      <c r="K253" s="47" t="s">
        <v>29</v>
      </c>
      <c r="L253" s="49">
        <v>315000</v>
      </c>
      <c r="M253" s="49">
        <v>60950</v>
      </c>
      <c r="N253" s="295">
        <v>259000</v>
      </c>
      <c r="O253" s="49">
        <v>0</v>
      </c>
      <c r="Q253" s="5"/>
    </row>
    <row r="254" spans="1:17" ht="16.5">
      <c r="A254" s="60" t="str">
        <f t="shared" si="147"/>
        <v>Tiffany</v>
      </c>
      <c r="B254" s="227" t="s">
        <v>2</v>
      </c>
      <c r="C254" s="63">
        <v>26298</v>
      </c>
      <c r="D254" s="63">
        <f t="shared" si="148"/>
        <v>150000</v>
      </c>
      <c r="E254" s="63">
        <f t="shared" si="154"/>
        <v>158000</v>
      </c>
      <c r="F254" s="63">
        <f t="shared" si="155"/>
        <v>0</v>
      </c>
      <c r="G254" s="63">
        <f t="shared" si="146"/>
        <v>0</v>
      </c>
      <c r="H254" s="63">
        <v>18298</v>
      </c>
      <c r="I254" s="63">
        <f>+C254+D254-E254-F254+G254</f>
        <v>18298</v>
      </c>
      <c r="J254" s="9">
        <f>I254-H254</f>
        <v>0</v>
      </c>
      <c r="K254" s="47" t="s">
        <v>113</v>
      </c>
      <c r="L254" s="49">
        <v>150000</v>
      </c>
      <c r="M254" s="49">
        <v>0</v>
      </c>
      <c r="N254" s="49">
        <v>158000</v>
      </c>
      <c r="O254" s="49">
        <v>0</v>
      </c>
      <c r="Q254" s="5"/>
    </row>
    <row r="255" spans="1:17" ht="16.5">
      <c r="A255" s="60" t="str">
        <f t="shared" si="147"/>
        <v>Yan</v>
      </c>
      <c r="B255" s="61" t="s">
        <v>161</v>
      </c>
      <c r="C255" s="63">
        <v>-1700</v>
      </c>
      <c r="D255" s="63">
        <f t="shared" si="148"/>
        <v>24200</v>
      </c>
      <c r="E255" s="63">
        <f t="shared" si="154"/>
        <v>22500</v>
      </c>
      <c r="F255" s="63">
        <f t="shared" si="155"/>
        <v>0</v>
      </c>
      <c r="G255" s="63">
        <f t="shared" si="146"/>
        <v>0</v>
      </c>
      <c r="H255" s="63">
        <v>0</v>
      </c>
      <c r="I255" s="63">
        <f t="shared" ref="I255" si="157">+C255+D255-E255-F255+G255</f>
        <v>0</v>
      </c>
      <c r="J255" s="9">
        <f t="shared" ref="J255" si="158">I255-H255</f>
        <v>0</v>
      </c>
      <c r="K255" s="47" t="s">
        <v>219</v>
      </c>
      <c r="L255" s="49">
        <v>24200</v>
      </c>
      <c r="M255" s="49">
        <v>0</v>
      </c>
      <c r="N255" s="49">
        <v>22500</v>
      </c>
      <c r="O255" s="49">
        <v>0</v>
      </c>
      <c r="Q255" s="5"/>
    </row>
    <row r="256" spans="1:17" ht="16.5">
      <c r="A256" s="10" t="s">
        <v>50</v>
      </c>
      <c r="B256" s="11"/>
      <c r="C256" s="12">
        <f t="shared" ref="C256:G256" si="159">SUM(C242:C255)</f>
        <v>25430796</v>
      </c>
      <c r="D256" s="59">
        <f t="shared" si="159"/>
        <v>6071650</v>
      </c>
      <c r="E256" s="59">
        <f t="shared" si="159"/>
        <v>8855335</v>
      </c>
      <c r="F256" s="59">
        <f t="shared" si="159"/>
        <v>6071650</v>
      </c>
      <c r="G256" s="59">
        <f t="shared" si="159"/>
        <v>5426732</v>
      </c>
      <c r="H256" s="59">
        <f>SUM(H242:H255)</f>
        <v>22002193</v>
      </c>
      <c r="I256" s="59">
        <f t="shared" ref="I256" si="160">SUM(I242:I255)</f>
        <v>22002193</v>
      </c>
      <c r="J256" s="9">
        <f>I256-H256</f>
        <v>0</v>
      </c>
      <c r="K256" s="3"/>
      <c r="L256" s="49">
        <f>+SUM(L242:L255)</f>
        <v>6071650</v>
      </c>
      <c r="M256" s="49">
        <f>+SUM(M242:M255)</f>
        <v>6071650</v>
      </c>
      <c r="N256" s="49">
        <f>+SUM(N242:N255)</f>
        <v>8855335</v>
      </c>
      <c r="O256" s="49">
        <f>+SUM(O242:O255)</f>
        <v>5426732</v>
      </c>
      <c r="Q256" s="5"/>
    </row>
    <row r="257" spans="1:17" ht="16.5">
      <c r="A257" s="10"/>
      <c r="B257" s="11"/>
      <c r="C257" s="12"/>
      <c r="D257" s="13"/>
      <c r="E257" s="12"/>
      <c r="F257" s="13"/>
      <c r="G257" s="12"/>
      <c r="H257" s="12"/>
      <c r="I257" s="143" t="b">
        <f>I256=D259</f>
        <v>1</v>
      </c>
      <c r="J257" s="9">
        <f>H256-I256</f>
        <v>0</v>
      </c>
      <c r="L257" s="5"/>
      <c r="M257" s="5"/>
      <c r="N257" s="5"/>
      <c r="O257" s="5"/>
      <c r="Q257" s="5"/>
    </row>
    <row r="258" spans="1:17" ht="16.5">
      <c r="A258" s="10" t="s">
        <v>255</v>
      </c>
      <c r="B258" s="11" t="s">
        <v>256</v>
      </c>
      <c r="C258" s="12" t="s">
        <v>257</v>
      </c>
      <c r="D258" s="12" t="s">
        <v>258</v>
      </c>
      <c r="E258" s="12" t="s">
        <v>51</v>
      </c>
      <c r="F258" s="12"/>
      <c r="G258" s="12">
        <f>+D256-F256</f>
        <v>0</v>
      </c>
      <c r="H258" s="12"/>
      <c r="I258" s="12"/>
      <c r="Q258" s="5"/>
    </row>
    <row r="259" spans="1:17" ht="16.5">
      <c r="A259" s="14">
        <f>C256</f>
        <v>25430796</v>
      </c>
      <c r="B259" s="15">
        <f>G256</f>
        <v>5426732</v>
      </c>
      <c r="C259" s="12">
        <f>E256</f>
        <v>8855335</v>
      </c>
      <c r="D259" s="12">
        <f>A259+B259-C259</f>
        <v>22002193</v>
      </c>
      <c r="E259" s="13">
        <f>I256-D259</f>
        <v>0</v>
      </c>
      <c r="F259" s="12"/>
      <c r="G259" s="12"/>
      <c r="H259" s="12"/>
      <c r="I259" s="12"/>
      <c r="Q259" s="5"/>
    </row>
    <row r="260" spans="1:17" ht="16.5">
      <c r="A260" s="14"/>
      <c r="B260" s="15"/>
      <c r="C260" s="12"/>
      <c r="D260" s="12"/>
      <c r="E260" s="13"/>
      <c r="F260" s="12"/>
      <c r="G260" s="12"/>
      <c r="H260" s="12"/>
      <c r="I260" s="12"/>
      <c r="Q260" s="5"/>
    </row>
    <row r="261" spans="1:17">
      <c r="A261" s="16" t="s">
        <v>52</v>
      </c>
      <c r="B261" s="16"/>
      <c r="C261" s="16"/>
      <c r="D261" s="17"/>
      <c r="E261" s="17"/>
      <c r="F261" s="17"/>
      <c r="G261" s="17"/>
      <c r="H261" s="17"/>
      <c r="I261" s="17"/>
      <c r="Q261" s="5"/>
    </row>
    <row r="262" spans="1:17">
      <c r="A262" s="18" t="s">
        <v>261</v>
      </c>
      <c r="B262" s="18"/>
      <c r="C262" s="18"/>
      <c r="D262" s="18"/>
      <c r="E262" s="18"/>
      <c r="F262" s="18"/>
      <c r="G262" s="18"/>
      <c r="H262" s="18"/>
      <c r="I262" s="18"/>
      <c r="J262" s="18"/>
      <c r="Q262" s="5"/>
    </row>
    <row r="263" spans="1:17">
      <c r="A263" s="19"/>
      <c r="B263" s="20"/>
      <c r="C263" s="21"/>
      <c r="D263" s="21"/>
      <c r="E263" s="21"/>
      <c r="F263" s="21"/>
      <c r="G263" s="21"/>
      <c r="H263" s="20"/>
      <c r="I263" s="20"/>
      <c r="Q263" s="5"/>
    </row>
    <row r="264" spans="1:17" ht="45" customHeight="1">
      <c r="A264" s="362" t="s">
        <v>53</v>
      </c>
      <c r="B264" s="364" t="s">
        <v>54</v>
      </c>
      <c r="C264" s="366" t="s">
        <v>259</v>
      </c>
      <c r="D264" s="368" t="s">
        <v>55</v>
      </c>
      <c r="E264" s="369"/>
      <c r="F264" s="369"/>
      <c r="G264" s="370"/>
      <c r="H264" s="371" t="s">
        <v>56</v>
      </c>
      <c r="I264" s="358" t="s">
        <v>57</v>
      </c>
      <c r="J264" s="20"/>
      <c r="Q264" s="5"/>
    </row>
    <row r="265" spans="1:17" ht="28.5" customHeight="1">
      <c r="A265" s="363"/>
      <c r="B265" s="365"/>
      <c r="C265" s="367"/>
      <c r="D265" s="22" t="s">
        <v>24</v>
      </c>
      <c r="E265" s="22" t="s">
        <v>25</v>
      </c>
      <c r="F265" s="367" t="s">
        <v>123</v>
      </c>
      <c r="G265" s="22" t="s">
        <v>58</v>
      </c>
      <c r="H265" s="372"/>
      <c r="I265" s="359"/>
      <c r="J265" s="360" t="s">
        <v>260</v>
      </c>
      <c r="K265" s="155"/>
      <c r="Q265" s="5"/>
    </row>
    <row r="266" spans="1:17">
      <c r="A266" s="24"/>
      <c r="B266" s="25" t="s">
        <v>59</v>
      </c>
      <c r="C266" s="26"/>
      <c r="D266" s="26"/>
      <c r="E266" s="26"/>
      <c r="F266" s="26"/>
      <c r="G266" s="26"/>
      <c r="H266" s="26"/>
      <c r="I266" s="27"/>
      <c r="J266" s="361"/>
      <c r="K266" s="155"/>
      <c r="Q266" s="5"/>
    </row>
    <row r="267" spans="1:17">
      <c r="A267" s="130" t="s">
        <v>90</v>
      </c>
      <c r="B267" s="135" t="s">
        <v>47</v>
      </c>
      <c r="C267" s="33">
        <f>+C245</f>
        <v>483330</v>
      </c>
      <c r="D267" s="32"/>
      <c r="E267" s="33">
        <f>+D245</f>
        <v>552500</v>
      </c>
      <c r="F267" s="33"/>
      <c r="G267" s="33"/>
      <c r="H267" s="57">
        <f>+F245</f>
        <v>400000</v>
      </c>
      <c r="I267" s="33">
        <f>+E245</f>
        <v>521900</v>
      </c>
      <c r="J267" s="31">
        <f t="shared" ref="J267" si="161">+SUM(C267:G267)-(H267+I267)</f>
        <v>113930</v>
      </c>
      <c r="K267" s="156" t="b">
        <f>J267=I245</f>
        <v>1</v>
      </c>
      <c r="Q267" s="5"/>
    </row>
    <row r="268" spans="1:17">
      <c r="A268" s="130" t="str">
        <f>+A267</f>
        <v>OCTOBRE</v>
      </c>
      <c r="B268" s="135" t="s">
        <v>263</v>
      </c>
      <c r="C268" s="33">
        <f>+C246</f>
        <v>0</v>
      </c>
      <c r="D268" s="32"/>
      <c r="E268" s="33">
        <f>+D246</f>
        <v>20000</v>
      </c>
      <c r="F268" s="33"/>
      <c r="G268" s="33"/>
      <c r="H268" s="57">
        <f>+F246</f>
        <v>0</v>
      </c>
      <c r="I268" s="33">
        <f>+E246</f>
        <v>7000</v>
      </c>
      <c r="J268" s="107">
        <f>+SUM(C268:G268)-(H268+I268)</f>
        <v>13000</v>
      </c>
      <c r="K268" s="156" t="b">
        <f>J268=I246</f>
        <v>1</v>
      </c>
      <c r="Q268" s="5"/>
    </row>
    <row r="269" spans="1:17">
      <c r="A269" s="130" t="str">
        <f t="shared" ref="A269:A273" si="162">+A268</f>
        <v>OCTOBRE</v>
      </c>
      <c r="B269" s="137" t="s">
        <v>84</v>
      </c>
      <c r="C269" s="128">
        <f t="shared" ref="C269:C270" si="163">+C248</f>
        <v>233614</v>
      </c>
      <c r="D269" s="131"/>
      <c r="E269" s="128">
        <f t="shared" ref="E269:E270" si="164">+D248</f>
        <v>0</v>
      </c>
      <c r="F269" s="146"/>
      <c r="G269" s="146"/>
      <c r="H269" s="178">
        <f t="shared" ref="H269:H270" si="165">+F248</f>
        <v>0</v>
      </c>
      <c r="I269" s="128">
        <f t="shared" ref="I269:I270" si="166">+E248</f>
        <v>0</v>
      </c>
      <c r="J269" s="129">
        <f>+SUM(C269:G269)-(H269+I269)</f>
        <v>233614</v>
      </c>
      <c r="K269" s="156" t="b">
        <f t="shared" ref="K269:K270" si="167">J269=I248</f>
        <v>1</v>
      </c>
      <c r="Q269" s="5"/>
    </row>
    <row r="270" spans="1:17">
      <c r="A270" s="130" t="str">
        <f t="shared" si="162"/>
        <v>OCTOBRE</v>
      </c>
      <c r="B270" s="137" t="s">
        <v>83</v>
      </c>
      <c r="C270" s="128">
        <f t="shared" si="163"/>
        <v>249769</v>
      </c>
      <c r="D270" s="131"/>
      <c r="E270" s="128">
        <f t="shared" si="164"/>
        <v>0</v>
      </c>
      <c r="F270" s="146"/>
      <c r="G270" s="146"/>
      <c r="H270" s="178">
        <f t="shared" si="165"/>
        <v>0</v>
      </c>
      <c r="I270" s="128">
        <f t="shared" si="166"/>
        <v>0</v>
      </c>
      <c r="J270" s="129">
        <f t="shared" ref="J270:J277" si="168">+SUM(C270:G270)-(H270+I270)</f>
        <v>249769</v>
      </c>
      <c r="K270" s="156" t="b">
        <f t="shared" si="167"/>
        <v>1</v>
      </c>
      <c r="Q270" s="5"/>
    </row>
    <row r="271" spans="1:17">
      <c r="A271" s="130" t="str">
        <f t="shared" si="162"/>
        <v>OCTOBRE</v>
      </c>
      <c r="B271" s="135" t="s">
        <v>31</v>
      </c>
      <c r="C271" s="33">
        <f>C247</f>
        <v>76225</v>
      </c>
      <c r="D271" s="32"/>
      <c r="E271" s="33">
        <f>+D247</f>
        <v>15000</v>
      </c>
      <c r="F271" s="33"/>
      <c r="G271" s="110"/>
      <c r="H271" s="57">
        <f>+F247</f>
        <v>45000</v>
      </c>
      <c r="I271" s="33">
        <f>+E247</f>
        <v>34650</v>
      </c>
      <c r="J271" s="31">
        <f t="shared" si="168"/>
        <v>11575</v>
      </c>
      <c r="K271" s="156" t="b">
        <f>J271=I247</f>
        <v>1</v>
      </c>
      <c r="Q271" s="5"/>
    </row>
    <row r="272" spans="1:17">
      <c r="A272" s="130" t="str">
        <f t="shared" si="162"/>
        <v>OCTOBRE</v>
      </c>
      <c r="B272" s="135" t="s">
        <v>204</v>
      </c>
      <c r="C272" s="33">
        <f>C250</f>
        <v>41200</v>
      </c>
      <c r="D272" s="32"/>
      <c r="E272" s="33">
        <f>+D250</f>
        <v>294000</v>
      </c>
      <c r="F272" s="33"/>
      <c r="G272" s="110"/>
      <c r="H272" s="57">
        <f>+F250</f>
        <v>30000</v>
      </c>
      <c r="I272" s="33">
        <f>+E250</f>
        <v>258300</v>
      </c>
      <c r="J272" s="31">
        <f t="shared" si="168"/>
        <v>46900</v>
      </c>
      <c r="K272" s="156" t="b">
        <f>J272=I250</f>
        <v>1</v>
      </c>
      <c r="Q272" s="5"/>
    </row>
    <row r="273" spans="1:17">
      <c r="A273" s="130" t="str">
        <f t="shared" si="162"/>
        <v>OCTOBRE</v>
      </c>
      <c r="B273" s="135" t="s">
        <v>93</v>
      </c>
      <c r="C273" s="33">
        <f t="shared" ref="C273:C277" si="169">C251</f>
        <v>98100</v>
      </c>
      <c r="D273" s="32"/>
      <c r="E273" s="33">
        <f t="shared" ref="E273:E277" si="170">+D251</f>
        <v>0</v>
      </c>
      <c r="F273" s="33"/>
      <c r="G273" s="110"/>
      <c r="H273" s="57">
        <f t="shared" ref="H273:H277" si="171">+F251</f>
        <v>60000</v>
      </c>
      <c r="I273" s="33">
        <f t="shared" ref="I273:I277" si="172">+E251</f>
        <v>24000</v>
      </c>
      <c r="J273" s="31">
        <f t="shared" si="168"/>
        <v>14100</v>
      </c>
      <c r="K273" s="156" t="b">
        <f t="shared" ref="K273:K277" si="173">J273=I251</f>
        <v>1</v>
      </c>
      <c r="Q273" s="5"/>
    </row>
    <row r="274" spans="1:17">
      <c r="A274" s="130" t="str">
        <f>+A272</f>
        <v>OCTOBRE</v>
      </c>
      <c r="B274" s="135" t="s">
        <v>262</v>
      </c>
      <c r="C274" s="33">
        <f t="shared" si="169"/>
        <v>0</v>
      </c>
      <c r="D274" s="32"/>
      <c r="E274" s="33">
        <f t="shared" si="170"/>
        <v>105000</v>
      </c>
      <c r="F274" s="33"/>
      <c r="G274" s="110"/>
      <c r="H274" s="57">
        <f t="shared" si="171"/>
        <v>10000</v>
      </c>
      <c r="I274" s="33">
        <f t="shared" si="172"/>
        <v>98000</v>
      </c>
      <c r="J274" s="31">
        <f t="shared" si="168"/>
        <v>-3000</v>
      </c>
      <c r="K274" s="156" t="b">
        <f t="shared" si="173"/>
        <v>1</v>
      </c>
      <c r="Q274" s="5"/>
    </row>
    <row r="275" spans="1:17">
      <c r="A275" s="130" t="str">
        <f t="shared" ref="A275:A277" si="174">+A273</f>
        <v>OCTOBRE</v>
      </c>
      <c r="B275" s="135" t="s">
        <v>29</v>
      </c>
      <c r="C275" s="33">
        <f t="shared" si="169"/>
        <v>60950</v>
      </c>
      <c r="D275" s="32"/>
      <c r="E275" s="33">
        <f t="shared" si="170"/>
        <v>315000</v>
      </c>
      <c r="F275" s="33"/>
      <c r="G275" s="110"/>
      <c r="H275" s="57">
        <f t="shared" si="171"/>
        <v>60950</v>
      </c>
      <c r="I275" s="33">
        <f t="shared" si="172"/>
        <v>259000</v>
      </c>
      <c r="J275" s="31">
        <f t="shared" si="168"/>
        <v>56000</v>
      </c>
      <c r="K275" s="156" t="b">
        <f t="shared" si="173"/>
        <v>1</v>
      </c>
      <c r="Q275" s="5"/>
    </row>
    <row r="276" spans="1:17">
      <c r="A276" s="130" t="str">
        <f t="shared" si="174"/>
        <v>OCTOBRE</v>
      </c>
      <c r="B276" s="136" t="s">
        <v>113</v>
      </c>
      <c r="C276" s="33">
        <f t="shared" si="169"/>
        <v>26298</v>
      </c>
      <c r="D276" s="127"/>
      <c r="E276" s="33">
        <f t="shared" si="170"/>
        <v>150000</v>
      </c>
      <c r="F276" s="53"/>
      <c r="G276" s="147"/>
      <c r="H276" s="57">
        <f t="shared" si="171"/>
        <v>0</v>
      </c>
      <c r="I276" s="33">
        <f t="shared" si="172"/>
        <v>158000</v>
      </c>
      <c r="J276" s="31">
        <f t="shared" si="168"/>
        <v>18298</v>
      </c>
      <c r="K276" s="156" t="b">
        <f t="shared" si="173"/>
        <v>1</v>
      </c>
      <c r="Q276" s="5"/>
    </row>
    <row r="277" spans="1:17">
      <c r="A277" s="130" t="str">
        <f t="shared" si="174"/>
        <v>OCTOBRE</v>
      </c>
      <c r="B277" s="136" t="s">
        <v>219</v>
      </c>
      <c r="C277" s="33">
        <f t="shared" si="169"/>
        <v>-1700</v>
      </c>
      <c r="D277" s="127"/>
      <c r="E277" s="33">
        <f t="shared" si="170"/>
        <v>24200</v>
      </c>
      <c r="F277" s="53"/>
      <c r="G277" s="147"/>
      <c r="H277" s="57">
        <f t="shared" si="171"/>
        <v>0</v>
      </c>
      <c r="I277" s="33">
        <f t="shared" si="172"/>
        <v>22500</v>
      </c>
      <c r="J277" s="31">
        <f t="shared" si="168"/>
        <v>0</v>
      </c>
      <c r="K277" s="156" t="b">
        <f t="shared" si="173"/>
        <v>1</v>
      </c>
      <c r="Q277" s="5"/>
    </row>
    <row r="278" spans="1:17">
      <c r="A278" s="35" t="s">
        <v>60</v>
      </c>
      <c r="B278" s="36"/>
      <c r="C278" s="36"/>
      <c r="D278" s="36"/>
      <c r="E278" s="36"/>
      <c r="F278" s="36"/>
      <c r="G278" s="36"/>
      <c r="H278" s="36"/>
      <c r="I278" s="36"/>
      <c r="J278" s="37"/>
      <c r="K278" s="155"/>
      <c r="Q278" s="5"/>
    </row>
    <row r="279" spans="1:17">
      <c r="A279" s="130" t="str">
        <f>A277</f>
        <v>OCTOBRE</v>
      </c>
      <c r="B279" s="38" t="s">
        <v>61</v>
      </c>
      <c r="C279" s="39">
        <f>+C244</f>
        <v>1081474</v>
      </c>
      <c r="D279" s="51"/>
      <c r="E279" s="51">
        <f>D244</f>
        <v>4595950</v>
      </c>
      <c r="F279" s="51"/>
      <c r="G279" s="133"/>
      <c r="H279" s="53">
        <f>+F244</f>
        <v>1465700</v>
      </c>
      <c r="I279" s="134">
        <f>+E244</f>
        <v>2106393</v>
      </c>
      <c r="J279" s="46">
        <f>+SUM(C279:G279)-(H279+I279)</f>
        <v>2105331</v>
      </c>
      <c r="K279" s="156" t="b">
        <f>J279=I244</f>
        <v>1</v>
      </c>
      <c r="Q279" s="5"/>
    </row>
    <row r="280" spans="1:17">
      <c r="A280" s="44" t="s">
        <v>62</v>
      </c>
      <c r="B280" s="25"/>
      <c r="C280" s="36"/>
      <c r="D280" s="25"/>
      <c r="E280" s="25"/>
      <c r="F280" s="25"/>
      <c r="G280" s="25"/>
      <c r="H280" s="25"/>
      <c r="I280" s="25"/>
      <c r="J280" s="37"/>
      <c r="K280" s="155"/>
      <c r="Q280" s="5"/>
    </row>
    <row r="281" spans="1:17">
      <c r="A281" s="130" t="str">
        <f>+A279</f>
        <v>OCTOBRE</v>
      </c>
      <c r="B281" s="38" t="s">
        <v>163</v>
      </c>
      <c r="C281" s="133">
        <f>+C242</f>
        <v>14237475</v>
      </c>
      <c r="D281" s="140">
        <f>+G242</f>
        <v>0</v>
      </c>
      <c r="E281" s="51"/>
      <c r="F281" s="51"/>
      <c r="G281" s="51"/>
      <c r="H281" s="53">
        <f>+F242</f>
        <v>4000000</v>
      </c>
      <c r="I281" s="55">
        <f>+E242</f>
        <v>633748</v>
      </c>
      <c r="J281" s="46">
        <f>+SUM(C281:G281)-(H281+I281)</f>
        <v>9603727</v>
      </c>
      <c r="K281" s="156" t="b">
        <f>+J281=I242</f>
        <v>1</v>
      </c>
      <c r="Q281" s="5"/>
    </row>
    <row r="282" spans="1:17">
      <c r="A282" s="130" t="str">
        <f t="shared" ref="A282" si="175">+A281</f>
        <v>OCTOBRE</v>
      </c>
      <c r="B282" s="38" t="s">
        <v>64</v>
      </c>
      <c r="C282" s="133">
        <f>+C243</f>
        <v>8844061</v>
      </c>
      <c r="D282" s="51">
        <f>+G243</f>
        <v>5426732</v>
      </c>
      <c r="E282" s="50"/>
      <c r="F282" s="50"/>
      <c r="G282" s="50"/>
      <c r="H282" s="33">
        <f>+F243</f>
        <v>0</v>
      </c>
      <c r="I282" s="52">
        <f>+E243</f>
        <v>4731844</v>
      </c>
      <c r="J282" s="46">
        <f>SUM(C282:G282)-(H282+I282)</f>
        <v>9538949</v>
      </c>
      <c r="K282" s="156" t="b">
        <f>+J282=I243</f>
        <v>1</v>
      </c>
      <c r="Q282" s="5"/>
    </row>
    <row r="283" spans="1:17" ht="15.75">
      <c r="C283" s="151">
        <f>SUM(C267:C282)</f>
        <v>25430796</v>
      </c>
      <c r="I283" s="149">
        <f>SUM(I267:I282)</f>
        <v>8855335</v>
      </c>
      <c r="J283" s="111">
        <f>+SUM(J267:J282)</f>
        <v>22002193</v>
      </c>
      <c r="K283" s="5" t="b">
        <f>J283=I256</f>
        <v>1</v>
      </c>
      <c r="Q283" s="5"/>
    </row>
    <row r="284" spans="1:17" ht="15.75">
      <c r="A284" s="189"/>
      <c r="B284" s="189"/>
      <c r="C284" s="190"/>
      <c r="D284" s="189"/>
      <c r="E284" s="189"/>
      <c r="F284" s="189"/>
      <c r="G284" s="189"/>
      <c r="H284" s="189"/>
      <c r="I284" s="191"/>
      <c r="J284" s="192"/>
      <c r="K284" s="189"/>
      <c r="L284" s="193"/>
      <c r="M284" s="193"/>
      <c r="N284" s="193"/>
      <c r="O284" s="193"/>
      <c r="P284" s="189"/>
      <c r="Q284" s="5"/>
    </row>
    <row r="285" spans="1:17" ht="15.75">
      <c r="C285" s="151"/>
      <c r="I285" s="149"/>
      <c r="J285" s="111"/>
      <c r="Q285" s="5"/>
    </row>
    <row r="288" spans="1:17" ht="15.75">
      <c r="A288" s="6" t="s">
        <v>36</v>
      </c>
      <c r="B288" s="6" t="s">
        <v>1</v>
      </c>
      <c r="C288" s="6">
        <v>44805</v>
      </c>
      <c r="D288" s="7" t="s">
        <v>37</v>
      </c>
      <c r="E288" s="7" t="s">
        <v>38</v>
      </c>
      <c r="F288" s="7" t="s">
        <v>39</v>
      </c>
      <c r="G288" s="7" t="s">
        <v>40</v>
      </c>
      <c r="H288" s="6" t="s">
        <v>247</v>
      </c>
      <c r="I288" s="7" t="s">
        <v>41</v>
      </c>
      <c r="K288" s="47"/>
      <c r="L288" s="47" t="s">
        <v>42</v>
      </c>
      <c r="M288" s="47" t="s">
        <v>43</v>
      </c>
      <c r="N288" s="47" t="s">
        <v>44</v>
      </c>
      <c r="O288" s="47" t="s">
        <v>45</v>
      </c>
      <c r="Q288" s="5"/>
    </row>
    <row r="289" spans="1:17" ht="16.5">
      <c r="A289" s="60" t="str">
        <f>K289</f>
        <v>BCI</v>
      </c>
      <c r="B289" s="61" t="s">
        <v>46</v>
      </c>
      <c r="C289" s="63">
        <v>23820820</v>
      </c>
      <c r="D289" s="63">
        <f>+L289</f>
        <v>0</v>
      </c>
      <c r="E289" s="63">
        <f>+N289</f>
        <v>583345</v>
      </c>
      <c r="F289" s="63">
        <f>+M289</f>
        <v>9000000</v>
      </c>
      <c r="G289" s="63">
        <f t="shared" ref="G289:G301" si="176">+O289</f>
        <v>0</v>
      </c>
      <c r="H289" s="63">
        <v>14237475</v>
      </c>
      <c r="I289" s="63">
        <f>+C289+D289-E289-F289+G289</f>
        <v>14237475</v>
      </c>
      <c r="J289" s="9">
        <f>I289-H289</f>
        <v>0</v>
      </c>
      <c r="K289" s="47" t="s">
        <v>24</v>
      </c>
      <c r="L289" s="49">
        <v>0</v>
      </c>
      <c r="M289" s="49">
        <v>9000000</v>
      </c>
      <c r="N289" s="49">
        <v>583345</v>
      </c>
      <c r="O289" s="49">
        <v>0</v>
      </c>
      <c r="Q289" s="5"/>
    </row>
    <row r="290" spans="1:17" ht="16.5">
      <c r="A290" s="60" t="str">
        <f t="shared" ref="A290:A301" si="177">K290</f>
        <v>BCI-Sous Compte</v>
      </c>
      <c r="B290" s="61" t="s">
        <v>46</v>
      </c>
      <c r="C290" s="63">
        <v>14424581</v>
      </c>
      <c r="D290" s="63">
        <f t="shared" ref="D290:D301" si="178">+L290</f>
        <v>0</v>
      </c>
      <c r="E290" s="63">
        <f t="shared" ref="E290:E301" si="179">+N290</f>
        <v>5580520</v>
      </c>
      <c r="F290" s="63">
        <f t="shared" ref="F290:F301" si="180">+M290</f>
        <v>0</v>
      </c>
      <c r="G290" s="63">
        <f t="shared" si="176"/>
        <v>0</v>
      </c>
      <c r="H290" s="63">
        <v>8844061</v>
      </c>
      <c r="I290" s="63">
        <f>+C290+D290-E290-F290+G290</f>
        <v>8844061</v>
      </c>
      <c r="J290" s="9">
        <f t="shared" ref="J290:J296" si="181">I290-H290</f>
        <v>0</v>
      </c>
      <c r="K290" s="47" t="s">
        <v>155</v>
      </c>
      <c r="L290" s="48">
        <v>0</v>
      </c>
      <c r="M290" s="49">
        <v>0</v>
      </c>
      <c r="N290" s="49">
        <v>5580520</v>
      </c>
      <c r="O290" s="49">
        <v>0</v>
      </c>
      <c r="Q290" s="5"/>
    </row>
    <row r="291" spans="1:17" ht="16.5">
      <c r="A291" s="60" t="str">
        <f t="shared" si="177"/>
        <v>Caisse</v>
      </c>
      <c r="B291" s="61" t="s">
        <v>25</v>
      </c>
      <c r="C291" s="63">
        <v>980042</v>
      </c>
      <c r="D291" s="63">
        <f t="shared" si="178"/>
        <v>9476115</v>
      </c>
      <c r="E291" s="63">
        <f t="shared" si="179"/>
        <v>2448183</v>
      </c>
      <c r="F291" s="63">
        <f t="shared" si="180"/>
        <v>6926500</v>
      </c>
      <c r="G291" s="63">
        <f t="shared" si="176"/>
        <v>0</v>
      </c>
      <c r="H291" s="63">
        <v>1081474</v>
      </c>
      <c r="I291" s="63">
        <f>+C291+D291-E291-F291+G291</f>
        <v>1081474</v>
      </c>
      <c r="J291" s="108">
        <f t="shared" si="181"/>
        <v>0</v>
      </c>
      <c r="K291" s="47" t="s">
        <v>25</v>
      </c>
      <c r="L291" s="49">
        <v>9476115</v>
      </c>
      <c r="M291" s="49">
        <v>6926500</v>
      </c>
      <c r="N291" s="49">
        <v>2448183</v>
      </c>
      <c r="O291" s="49">
        <v>0</v>
      </c>
      <c r="Q291" s="5"/>
    </row>
    <row r="292" spans="1:17" ht="16.5">
      <c r="A292" s="60" t="str">
        <f t="shared" si="177"/>
        <v>Crépin</v>
      </c>
      <c r="B292" s="61" t="s">
        <v>161</v>
      </c>
      <c r="C292" s="63">
        <v>65910</v>
      </c>
      <c r="D292" s="63">
        <f t="shared" si="178"/>
        <v>2886000</v>
      </c>
      <c r="E292" s="63">
        <f t="shared" si="179"/>
        <v>1968580</v>
      </c>
      <c r="F292" s="63">
        <f t="shared" si="180"/>
        <v>500000</v>
      </c>
      <c r="G292" s="63">
        <f t="shared" si="176"/>
        <v>0</v>
      </c>
      <c r="H292" s="63">
        <v>483330</v>
      </c>
      <c r="I292" s="63">
        <f>+C292+D292-E292-F292+G292</f>
        <v>483330</v>
      </c>
      <c r="J292" s="9">
        <f t="shared" si="181"/>
        <v>0</v>
      </c>
      <c r="K292" s="47" t="s">
        <v>47</v>
      </c>
      <c r="L292" s="49">
        <v>2886000</v>
      </c>
      <c r="M292" s="49">
        <v>500000</v>
      </c>
      <c r="N292" s="49">
        <v>1968580</v>
      </c>
      <c r="O292" s="49">
        <v>0</v>
      </c>
      <c r="Q292" s="5"/>
    </row>
    <row r="293" spans="1:17" ht="16.5">
      <c r="A293" s="60" t="str">
        <f t="shared" si="177"/>
        <v>Evariste</v>
      </c>
      <c r="B293" s="61" t="s">
        <v>162</v>
      </c>
      <c r="C293" s="63">
        <v>4795</v>
      </c>
      <c r="D293" s="63">
        <f t="shared" si="178"/>
        <v>782000</v>
      </c>
      <c r="E293" s="63">
        <f t="shared" si="179"/>
        <v>710570</v>
      </c>
      <c r="F293" s="63">
        <f t="shared" si="180"/>
        <v>0</v>
      </c>
      <c r="G293" s="63">
        <f t="shared" si="176"/>
        <v>0</v>
      </c>
      <c r="H293" s="63">
        <v>76225</v>
      </c>
      <c r="I293" s="63">
        <f t="shared" ref="I293" si="182">+C293+D293-E293-F293+G293</f>
        <v>76225</v>
      </c>
      <c r="J293" s="9">
        <f t="shared" si="181"/>
        <v>0</v>
      </c>
      <c r="K293" s="47" t="s">
        <v>31</v>
      </c>
      <c r="L293" s="49">
        <v>782000</v>
      </c>
      <c r="M293" s="49">
        <v>0</v>
      </c>
      <c r="N293" s="49">
        <v>710570</v>
      </c>
      <c r="O293" s="49">
        <v>0</v>
      </c>
      <c r="Q293" s="5"/>
    </row>
    <row r="294" spans="1:17" ht="16.5">
      <c r="A294" s="60" t="str">
        <f t="shared" si="177"/>
        <v>I55S</v>
      </c>
      <c r="B294" s="124" t="s">
        <v>4</v>
      </c>
      <c r="C294" s="126">
        <v>233614</v>
      </c>
      <c r="D294" s="126">
        <f t="shared" si="178"/>
        <v>0</v>
      </c>
      <c r="E294" s="126">
        <f t="shared" si="179"/>
        <v>0</v>
      </c>
      <c r="F294" s="126">
        <f t="shared" si="180"/>
        <v>0</v>
      </c>
      <c r="G294" s="126">
        <f t="shared" si="176"/>
        <v>0</v>
      </c>
      <c r="H294" s="126">
        <v>233614</v>
      </c>
      <c r="I294" s="126">
        <f>+C294+D294-E294-F294+G294</f>
        <v>233614</v>
      </c>
      <c r="J294" s="9">
        <f t="shared" si="181"/>
        <v>0</v>
      </c>
      <c r="K294" s="47" t="s">
        <v>84</v>
      </c>
      <c r="L294" s="49">
        <v>0</v>
      </c>
      <c r="M294" s="49">
        <v>0</v>
      </c>
      <c r="N294" s="49">
        <v>0</v>
      </c>
      <c r="O294" s="49">
        <v>0</v>
      </c>
      <c r="Q294" s="5"/>
    </row>
    <row r="295" spans="1:17" ht="16.5">
      <c r="A295" s="60" t="str">
        <f t="shared" si="177"/>
        <v>I73X</v>
      </c>
      <c r="B295" s="124" t="s">
        <v>4</v>
      </c>
      <c r="C295" s="126">
        <v>249769</v>
      </c>
      <c r="D295" s="126">
        <f t="shared" si="178"/>
        <v>0</v>
      </c>
      <c r="E295" s="126">
        <f t="shared" si="179"/>
        <v>0</v>
      </c>
      <c r="F295" s="126">
        <f t="shared" si="180"/>
        <v>0</v>
      </c>
      <c r="G295" s="126">
        <f t="shared" si="176"/>
        <v>0</v>
      </c>
      <c r="H295" s="126">
        <v>249769</v>
      </c>
      <c r="I295" s="126">
        <f t="shared" ref="I295:I298" si="183">+C295+D295-E295-F295+G295</f>
        <v>249769</v>
      </c>
      <c r="J295" s="9">
        <f t="shared" si="181"/>
        <v>0</v>
      </c>
      <c r="K295" s="47" t="s">
        <v>83</v>
      </c>
      <c r="L295" s="49">
        <v>0</v>
      </c>
      <c r="M295" s="49">
        <v>0</v>
      </c>
      <c r="N295" s="49">
        <v>0</v>
      </c>
      <c r="O295" s="49">
        <v>0</v>
      </c>
      <c r="Q295" s="5"/>
    </row>
    <row r="296" spans="1:17" ht="16.5">
      <c r="A296" s="60" t="str">
        <f t="shared" si="177"/>
        <v>Grace</v>
      </c>
      <c r="B296" s="104" t="s">
        <v>2</v>
      </c>
      <c r="C296" s="63">
        <v>116815</v>
      </c>
      <c r="D296" s="63">
        <f t="shared" si="178"/>
        <v>1388000</v>
      </c>
      <c r="E296" s="63">
        <f t="shared" si="179"/>
        <v>228700</v>
      </c>
      <c r="F296" s="63">
        <f t="shared" si="180"/>
        <v>1276115</v>
      </c>
      <c r="G296" s="63">
        <f t="shared" si="176"/>
        <v>0</v>
      </c>
      <c r="H296" s="63">
        <v>0</v>
      </c>
      <c r="I296" s="63">
        <f t="shared" si="183"/>
        <v>0</v>
      </c>
      <c r="J296" s="9">
        <f t="shared" si="181"/>
        <v>0</v>
      </c>
      <c r="K296" s="47" t="s">
        <v>150</v>
      </c>
      <c r="L296" s="49">
        <v>1388000</v>
      </c>
      <c r="M296" s="49">
        <v>1276115</v>
      </c>
      <c r="N296" s="49">
        <v>228700</v>
      </c>
      <c r="O296" s="49">
        <v>0</v>
      </c>
      <c r="Q296" s="5"/>
    </row>
    <row r="297" spans="1:17" s="296" customFormat="1" ht="16.5">
      <c r="A297" s="60" t="str">
        <f t="shared" si="177"/>
        <v>Hurielle</v>
      </c>
      <c r="B297" s="291" t="s">
        <v>161</v>
      </c>
      <c r="C297" s="292">
        <v>700</v>
      </c>
      <c r="D297" s="63">
        <f t="shared" si="178"/>
        <v>629000</v>
      </c>
      <c r="E297" s="63">
        <f t="shared" si="179"/>
        <v>513500</v>
      </c>
      <c r="F297" s="63">
        <f t="shared" si="180"/>
        <v>75000</v>
      </c>
      <c r="G297" s="63">
        <f t="shared" si="176"/>
        <v>0</v>
      </c>
      <c r="H297" s="292">
        <f>5000+36200</f>
        <v>41200</v>
      </c>
      <c r="I297" s="292">
        <f t="shared" si="183"/>
        <v>41200</v>
      </c>
      <c r="J297" s="293">
        <f>I297-H297</f>
        <v>0</v>
      </c>
      <c r="K297" s="294" t="s">
        <v>204</v>
      </c>
      <c r="L297" s="295">
        <v>629000</v>
      </c>
      <c r="M297" s="295">
        <v>75000</v>
      </c>
      <c r="N297" s="295">
        <v>513500</v>
      </c>
      <c r="O297" s="295">
        <v>0</v>
      </c>
    </row>
    <row r="298" spans="1:17" ht="16.5">
      <c r="A298" s="60" t="str">
        <f t="shared" si="177"/>
        <v>Merveille</v>
      </c>
      <c r="B298" s="228" t="s">
        <v>2</v>
      </c>
      <c r="C298" s="63">
        <v>6900</v>
      </c>
      <c r="D298" s="63">
        <f t="shared" si="178"/>
        <v>521000</v>
      </c>
      <c r="E298" s="63">
        <f>+N298</f>
        <v>394800</v>
      </c>
      <c r="F298" s="63">
        <f t="shared" si="180"/>
        <v>35000</v>
      </c>
      <c r="G298" s="63">
        <f t="shared" si="176"/>
        <v>0</v>
      </c>
      <c r="H298" s="63">
        <f>97600+500</f>
        <v>98100</v>
      </c>
      <c r="I298" s="63">
        <f t="shared" si="183"/>
        <v>98100</v>
      </c>
      <c r="J298" s="9">
        <f t="shared" ref="J298:J299" si="184">I298-H298</f>
        <v>0</v>
      </c>
      <c r="K298" s="47" t="s">
        <v>93</v>
      </c>
      <c r="L298" s="49">
        <v>521000</v>
      </c>
      <c r="M298" s="49">
        <v>35000</v>
      </c>
      <c r="N298" s="49">
        <f>395300-500</f>
        <v>394800</v>
      </c>
      <c r="O298" s="49">
        <v>0</v>
      </c>
      <c r="Q298" s="5"/>
    </row>
    <row r="299" spans="1:17" ht="16.5">
      <c r="A299" s="60" t="str">
        <f t="shared" si="177"/>
        <v>P29</v>
      </c>
      <c r="B299" s="227" t="s">
        <v>4</v>
      </c>
      <c r="C299" s="63">
        <v>24050</v>
      </c>
      <c r="D299" s="63">
        <f t="shared" si="178"/>
        <v>885000</v>
      </c>
      <c r="E299" s="63">
        <f t="shared" si="179"/>
        <v>798100</v>
      </c>
      <c r="F299" s="63">
        <f t="shared" si="180"/>
        <v>50000</v>
      </c>
      <c r="G299" s="63">
        <f t="shared" si="176"/>
        <v>0</v>
      </c>
      <c r="H299" s="63">
        <v>60950</v>
      </c>
      <c r="I299" s="63">
        <f>+C299+D299-E299-F299+G299</f>
        <v>60950</v>
      </c>
      <c r="J299" s="9">
        <f t="shared" si="184"/>
        <v>0</v>
      </c>
      <c r="K299" s="47" t="s">
        <v>29</v>
      </c>
      <c r="L299" s="49">
        <v>885000</v>
      </c>
      <c r="M299" s="49">
        <v>50000</v>
      </c>
      <c r="N299" s="49">
        <v>798100</v>
      </c>
      <c r="O299" s="49">
        <v>0</v>
      </c>
      <c r="Q299" s="5"/>
    </row>
    <row r="300" spans="1:17" ht="16.5">
      <c r="A300" s="60" t="str">
        <f t="shared" si="177"/>
        <v>Tiffany</v>
      </c>
      <c r="B300" s="227" t="s">
        <v>2</v>
      </c>
      <c r="C300" s="63">
        <v>-653702</v>
      </c>
      <c r="D300" s="63">
        <f t="shared" si="178"/>
        <v>731000</v>
      </c>
      <c r="E300" s="63">
        <f t="shared" si="179"/>
        <v>51000</v>
      </c>
      <c r="F300" s="63">
        <f t="shared" si="180"/>
        <v>0</v>
      </c>
      <c r="G300" s="63">
        <f t="shared" si="176"/>
        <v>0</v>
      </c>
      <c r="H300" s="63">
        <v>26298</v>
      </c>
      <c r="I300" s="63">
        <f>+C300+D300-E300-F300+G300</f>
        <v>26298</v>
      </c>
      <c r="J300" s="9">
        <f>I300-H300</f>
        <v>0</v>
      </c>
      <c r="K300" s="47" t="s">
        <v>113</v>
      </c>
      <c r="L300" s="49">
        <v>731000</v>
      </c>
      <c r="M300" s="49">
        <v>0</v>
      </c>
      <c r="N300" s="49">
        <v>51000</v>
      </c>
      <c r="O300" s="49">
        <v>0</v>
      </c>
      <c r="Q300" s="5"/>
    </row>
    <row r="301" spans="1:17" ht="16.5">
      <c r="A301" s="60" t="str">
        <f t="shared" si="177"/>
        <v>Yan</v>
      </c>
      <c r="B301" s="61" t="s">
        <v>161</v>
      </c>
      <c r="C301" s="63">
        <v>0</v>
      </c>
      <c r="D301" s="63">
        <f t="shared" si="178"/>
        <v>599500</v>
      </c>
      <c r="E301" s="63">
        <f t="shared" si="179"/>
        <v>566200</v>
      </c>
      <c r="F301" s="63">
        <f t="shared" si="180"/>
        <v>35000</v>
      </c>
      <c r="G301" s="63">
        <f t="shared" si="176"/>
        <v>0</v>
      </c>
      <c r="H301" s="63">
        <v>-1700</v>
      </c>
      <c r="I301" s="63">
        <f t="shared" ref="I301" si="185">+C301+D301-E301-F301+G301</f>
        <v>-1700</v>
      </c>
      <c r="J301" s="9">
        <f t="shared" ref="J301" si="186">I301-H301</f>
        <v>0</v>
      </c>
      <c r="K301" s="47" t="s">
        <v>219</v>
      </c>
      <c r="L301" s="49">
        <v>599500</v>
      </c>
      <c r="M301" s="49">
        <v>35000</v>
      </c>
      <c r="N301" s="49">
        <v>566200</v>
      </c>
      <c r="O301" s="49">
        <v>0</v>
      </c>
      <c r="Q301" s="5"/>
    </row>
    <row r="302" spans="1:17" ht="16.5">
      <c r="A302" s="10" t="s">
        <v>50</v>
      </c>
      <c r="B302" s="11"/>
      <c r="C302" s="12">
        <f t="shared" ref="C302:I302" si="187">SUM(C289:C301)</f>
        <v>39274294</v>
      </c>
      <c r="D302" s="59">
        <f t="shared" si="187"/>
        <v>17897615</v>
      </c>
      <c r="E302" s="59">
        <f t="shared" si="187"/>
        <v>13843498</v>
      </c>
      <c r="F302" s="59">
        <f t="shared" si="187"/>
        <v>17897615</v>
      </c>
      <c r="G302" s="59">
        <f t="shared" si="187"/>
        <v>0</v>
      </c>
      <c r="H302" s="59">
        <f>SUM(H289:H301)</f>
        <v>25430796</v>
      </c>
      <c r="I302" s="59">
        <f t="shared" si="187"/>
        <v>25430796</v>
      </c>
      <c r="J302" s="9">
        <f>I302-H302</f>
        <v>0</v>
      </c>
      <c r="K302" s="3"/>
      <c r="L302" s="49">
        <f>+SUM(L289:L301)</f>
        <v>17897615</v>
      </c>
      <c r="M302" s="49">
        <f>+SUM(M289:M301)</f>
        <v>17897615</v>
      </c>
      <c r="N302" s="49">
        <f>+SUM(N289:N301)</f>
        <v>13843498</v>
      </c>
      <c r="O302" s="49">
        <f>+SUM(O289:O301)</f>
        <v>0</v>
      </c>
      <c r="Q302" s="5"/>
    </row>
    <row r="303" spans="1:17" ht="16.5">
      <c r="A303" s="10"/>
      <c r="B303" s="11"/>
      <c r="C303" s="12"/>
      <c r="D303" s="13"/>
      <c r="E303" s="12"/>
      <c r="F303" s="13"/>
      <c r="G303" s="12"/>
      <c r="H303" s="12"/>
      <c r="I303" s="143" t="b">
        <f>I302=D305</f>
        <v>1</v>
      </c>
      <c r="J303" s="9">
        <f>H302-I302</f>
        <v>0</v>
      </c>
      <c r="L303" s="5"/>
      <c r="M303" s="5"/>
      <c r="N303" s="5"/>
      <c r="O303" s="5"/>
      <c r="Q303" s="5"/>
    </row>
    <row r="304" spans="1:17" ht="16.5">
      <c r="A304" s="10" t="s">
        <v>251</v>
      </c>
      <c r="B304" s="11" t="s">
        <v>250</v>
      </c>
      <c r="C304" s="12" t="s">
        <v>249</v>
      </c>
      <c r="D304" s="12" t="s">
        <v>248</v>
      </c>
      <c r="E304" s="12" t="s">
        <v>51</v>
      </c>
      <c r="F304" s="12"/>
      <c r="G304" s="12">
        <f>+D302-F302</f>
        <v>0</v>
      </c>
      <c r="H304" s="12"/>
      <c r="I304" s="12"/>
      <c r="Q304" s="5"/>
    </row>
    <row r="305" spans="1:17" ht="16.5">
      <c r="A305" s="14">
        <f>C302</f>
        <v>39274294</v>
      </c>
      <c r="B305" s="15">
        <f>G302</f>
        <v>0</v>
      </c>
      <c r="C305" s="12">
        <f>E302</f>
        <v>13843498</v>
      </c>
      <c r="D305" s="12">
        <f>A305+B305-C305</f>
        <v>25430796</v>
      </c>
      <c r="E305" s="13">
        <f>I302-D305</f>
        <v>0</v>
      </c>
      <c r="F305" s="12"/>
      <c r="G305" s="12"/>
      <c r="H305" s="12"/>
      <c r="I305" s="12"/>
      <c r="Q305" s="5"/>
    </row>
    <row r="306" spans="1:17" ht="16.5">
      <c r="A306" s="14"/>
      <c r="B306" s="15"/>
      <c r="C306" s="12"/>
      <c r="D306" s="12"/>
      <c r="E306" s="13"/>
      <c r="F306" s="12"/>
      <c r="G306" s="12"/>
      <c r="H306" s="12"/>
      <c r="I306" s="12"/>
      <c r="Q306" s="5"/>
    </row>
    <row r="307" spans="1:17">
      <c r="A307" s="16" t="s">
        <v>52</v>
      </c>
      <c r="B307" s="16"/>
      <c r="C307" s="16"/>
      <c r="D307" s="17"/>
      <c r="E307" s="17"/>
      <c r="F307" s="17"/>
      <c r="G307" s="17"/>
      <c r="H307" s="17"/>
      <c r="I307" s="17"/>
      <c r="Q307" s="5"/>
    </row>
    <row r="308" spans="1:17">
      <c r="A308" s="18" t="s">
        <v>252</v>
      </c>
      <c r="B308" s="18"/>
      <c r="C308" s="18"/>
      <c r="D308" s="18"/>
      <c r="E308" s="18"/>
      <c r="F308" s="18"/>
      <c r="G308" s="18"/>
      <c r="H308" s="18"/>
      <c r="I308" s="18"/>
      <c r="J308" s="18"/>
      <c r="Q308" s="5"/>
    </row>
    <row r="309" spans="1:17">
      <c r="A309" s="19"/>
      <c r="B309" s="20"/>
      <c r="C309" s="21"/>
      <c r="D309" s="21"/>
      <c r="E309" s="21"/>
      <c r="F309" s="21"/>
      <c r="G309" s="21"/>
      <c r="H309" s="20"/>
      <c r="I309" s="20"/>
      <c r="Q309" s="5"/>
    </row>
    <row r="310" spans="1:17" ht="45" customHeight="1">
      <c r="A310" s="362" t="s">
        <v>53</v>
      </c>
      <c r="B310" s="364" t="s">
        <v>54</v>
      </c>
      <c r="C310" s="366" t="s">
        <v>253</v>
      </c>
      <c r="D310" s="368" t="s">
        <v>55</v>
      </c>
      <c r="E310" s="369"/>
      <c r="F310" s="369"/>
      <c r="G310" s="370"/>
      <c r="H310" s="371" t="s">
        <v>56</v>
      </c>
      <c r="I310" s="358" t="s">
        <v>57</v>
      </c>
      <c r="J310" s="20"/>
      <c r="Q310" s="5"/>
    </row>
    <row r="311" spans="1:17" ht="28.5" customHeight="1">
      <c r="A311" s="363"/>
      <c r="B311" s="365"/>
      <c r="C311" s="367"/>
      <c r="D311" s="22" t="s">
        <v>24</v>
      </c>
      <c r="E311" s="22" t="s">
        <v>25</v>
      </c>
      <c r="F311" s="367" t="s">
        <v>123</v>
      </c>
      <c r="G311" s="22" t="s">
        <v>58</v>
      </c>
      <c r="H311" s="372"/>
      <c r="I311" s="359"/>
      <c r="J311" s="360" t="s">
        <v>254</v>
      </c>
      <c r="K311" s="155"/>
      <c r="Q311" s="5"/>
    </row>
    <row r="312" spans="1:17">
      <c r="A312" s="24"/>
      <c r="B312" s="25" t="s">
        <v>59</v>
      </c>
      <c r="C312" s="26"/>
      <c r="D312" s="26"/>
      <c r="E312" s="26"/>
      <c r="F312" s="26"/>
      <c r="G312" s="26"/>
      <c r="H312" s="26"/>
      <c r="I312" s="27"/>
      <c r="J312" s="361"/>
      <c r="K312" s="155"/>
      <c r="Q312" s="5"/>
    </row>
    <row r="313" spans="1:17">
      <c r="A313" s="130" t="s">
        <v>79</v>
      </c>
      <c r="B313" s="135" t="s">
        <v>47</v>
      </c>
      <c r="C313" s="33">
        <f t="shared" ref="C313:C322" si="188">+C292</f>
        <v>65910</v>
      </c>
      <c r="D313" s="32"/>
      <c r="E313" s="33">
        <f t="shared" ref="E313:E322" si="189">+D292</f>
        <v>2886000</v>
      </c>
      <c r="F313" s="33"/>
      <c r="G313" s="33"/>
      <c r="H313" s="57">
        <f t="shared" ref="H313:H322" si="190">+F292</f>
        <v>500000</v>
      </c>
      <c r="I313" s="33">
        <f t="shared" ref="I313:I322" si="191">+E292</f>
        <v>1968580</v>
      </c>
      <c r="J313" s="31">
        <f t="shared" ref="J313:J314" si="192">+SUM(C313:G313)-(H313+I313)</f>
        <v>483330</v>
      </c>
      <c r="K313" s="156" t="b">
        <f t="shared" ref="K313:K322" si="193">J313=I292</f>
        <v>1</v>
      </c>
      <c r="Q313" s="5"/>
    </row>
    <row r="314" spans="1:17">
      <c r="A314" s="130" t="str">
        <f>+A313</f>
        <v>SEPTEMBRE</v>
      </c>
      <c r="B314" s="135" t="s">
        <v>31</v>
      </c>
      <c r="C314" s="33">
        <f t="shared" si="188"/>
        <v>4795</v>
      </c>
      <c r="D314" s="32"/>
      <c r="E314" s="33">
        <f t="shared" si="189"/>
        <v>782000</v>
      </c>
      <c r="F314" s="33"/>
      <c r="G314" s="33"/>
      <c r="H314" s="57">
        <f t="shared" si="190"/>
        <v>0</v>
      </c>
      <c r="I314" s="33">
        <f t="shared" si="191"/>
        <v>710570</v>
      </c>
      <c r="J314" s="107">
        <f t="shared" si="192"/>
        <v>76225</v>
      </c>
      <c r="K314" s="156" t="b">
        <f t="shared" si="193"/>
        <v>1</v>
      </c>
      <c r="Q314" s="5"/>
    </row>
    <row r="315" spans="1:17">
      <c r="A315" s="130" t="str">
        <f t="shared" ref="A315:A319" si="194">+A314</f>
        <v>SEPTEMBRE</v>
      </c>
      <c r="B315" s="137" t="s">
        <v>84</v>
      </c>
      <c r="C315" s="128">
        <f t="shared" si="188"/>
        <v>233614</v>
      </c>
      <c r="D315" s="131"/>
      <c r="E315" s="128">
        <f t="shared" si="189"/>
        <v>0</v>
      </c>
      <c r="F315" s="146"/>
      <c r="G315" s="146"/>
      <c r="H315" s="178">
        <f t="shared" si="190"/>
        <v>0</v>
      </c>
      <c r="I315" s="128">
        <f t="shared" si="191"/>
        <v>0</v>
      </c>
      <c r="J315" s="129">
        <f>+SUM(C315:G315)-(H315+I315)</f>
        <v>233614</v>
      </c>
      <c r="K315" s="156" t="b">
        <f t="shared" si="193"/>
        <v>1</v>
      </c>
      <c r="Q315" s="5"/>
    </row>
    <row r="316" spans="1:17">
      <c r="A316" s="130" t="str">
        <f t="shared" si="194"/>
        <v>SEPTEMBRE</v>
      </c>
      <c r="B316" s="137" t="s">
        <v>83</v>
      </c>
      <c r="C316" s="128">
        <f t="shared" si="188"/>
        <v>249769</v>
      </c>
      <c r="D316" s="131"/>
      <c r="E316" s="128">
        <f t="shared" si="189"/>
        <v>0</v>
      </c>
      <c r="F316" s="146"/>
      <c r="G316" s="146"/>
      <c r="H316" s="178">
        <f t="shared" si="190"/>
        <v>0</v>
      </c>
      <c r="I316" s="128">
        <f t="shared" si="191"/>
        <v>0</v>
      </c>
      <c r="J316" s="129">
        <f t="shared" ref="J316:J322" si="195">+SUM(C316:G316)-(H316+I316)</f>
        <v>249769</v>
      </c>
      <c r="K316" s="156" t="b">
        <f t="shared" si="193"/>
        <v>1</v>
      </c>
      <c r="Q316" s="5"/>
    </row>
    <row r="317" spans="1:17">
      <c r="A317" s="130" t="str">
        <f t="shared" si="194"/>
        <v>SEPTEMBRE</v>
      </c>
      <c r="B317" s="135" t="s">
        <v>150</v>
      </c>
      <c r="C317" s="33">
        <f t="shared" si="188"/>
        <v>116815</v>
      </c>
      <c r="D317" s="32"/>
      <c r="E317" s="33">
        <f t="shared" si="189"/>
        <v>1388000</v>
      </c>
      <c r="F317" s="33"/>
      <c r="G317" s="110"/>
      <c r="H317" s="57">
        <f t="shared" si="190"/>
        <v>1276115</v>
      </c>
      <c r="I317" s="33">
        <f t="shared" si="191"/>
        <v>228700</v>
      </c>
      <c r="J317" s="31">
        <f t="shared" si="195"/>
        <v>0</v>
      </c>
      <c r="K317" s="156" t="b">
        <f t="shared" si="193"/>
        <v>1</v>
      </c>
      <c r="Q317" s="5"/>
    </row>
    <row r="318" spans="1:17">
      <c r="A318" s="130" t="str">
        <f t="shared" si="194"/>
        <v>SEPTEMBRE</v>
      </c>
      <c r="B318" s="135" t="s">
        <v>204</v>
      </c>
      <c r="C318" s="33">
        <f t="shared" si="188"/>
        <v>700</v>
      </c>
      <c r="D318" s="32"/>
      <c r="E318" s="33">
        <f t="shared" si="189"/>
        <v>629000</v>
      </c>
      <c r="F318" s="33"/>
      <c r="G318" s="110"/>
      <c r="H318" s="57">
        <f t="shared" si="190"/>
        <v>75000</v>
      </c>
      <c r="I318" s="33">
        <f t="shared" si="191"/>
        <v>513500</v>
      </c>
      <c r="J318" s="31">
        <f t="shared" si="195"/>
        <v>41200</v>
      </c>
      <c r="K318" s="156" t="b">
        <f t="shared" si="193"/>
        <v>1</v>
      </c>
      <c r="Q318" s="5"/>
    </row>
    <row r="319" spans="1:17">
      <c r="A319" s="130" t="str">
        <f t="shared" si="194"/>
        <v>SEPTEMBRE</v>
      </c>
      <c r="B319" s="135" t="s">
        <v>93</v>
      </c>
      <c r="C319" s="33">
        <f t="shared" si="188"/>
        <v>6900</v>
      </c>
      <c r="D319" s="32"/>
      <c r="E319" s="33">
        <f t="shared" si="189"/>
        <v>521000</v>
      </c>
      <c r="F319" s="33"/>
      <c r="G319" s="110"/>
      <c r="H319" s="57">
        <f t="shared" si="190"/>
        <v>35000</v>
      </c>
      <c r="I319" s="33">
        <f t="shared" si="191"/>
        <v>394800</v>
      </c>
      <c r="J319" s="31">
        <f t="shared" si="195"/>
        <v>98100</v>
      </c>
      <c r="K319" s="156" t="b">
        <f t="shared" si="193"/>
        <v>1</v>
      </c>
      <c r="Q319" s="5"/>
    </row>
    <row r="320" spans="1:17">
      <c r="A320" s="130" t="str">
        <f>+A318</f>
        <v>SEPTEMBRE</v>
      </c>
      <c r="B320" s="135" t="s">
        <v>29</v>
      </c>
      <c r="C320" s="33">
        <f t="shared" si="188"/>
        <v>24050</v>
      </c>
      <c r="D320" s="32"/>
      <c r="E320" s="33">
        <f t="shared" si="189"/>
        <v>885000</v>
      </c>
      <c r="F320" s="33"/>
      <c r="G320" s="110"/>
      <c r="H320" s="57">
        <f t="shared" si="190"/>
        <v>50000</v>
      </c>
      <c r="I320" s="33">
        <f t="shared" si="191"/>
        <v>798100</v>
      </c>
      <c r="J320" s="31">
        <f t="shared" si="195"/>
        <v>60950</v>
      </c>
      <c r="K320" s="156" t="b">
        <f t="shared" si="193"/>
        <v>1</v>
      </c>
      <c r="Q320" s="5"/>
    </row>
    <row r="321" spans="1:17">
      <c r="A321" s="130" t="str">
        <f>+A319</f>
        <v>SEPTEMBRE</v>
      </c>
      <c r="B321" s="135" t="s">
        <v>113</v>
      </c>
      <c r="C321" s="33">
        <f t="shared" si="188"/>
        <v>-653702</v>
      </c>
      <c r="D321" s="32"/>
      <c r="E321" s="33">
        <f t="shared" si="189"/>
        <v>731000</v>
      </c>
      <c r="F321" s="33"/>
      <c r="G321" s="110"/>
      <c r="H321" s="57">
        <f t="shared" si="190"/>
        <v>0</v>
      </c>
      <c r="I321" s="33">
        <f t="shared" si="191"/>
        <v>51000</v>
      </c>
      <c r="J321" s="31">
        <f t="shared" si="195"/>
        <v>26298</v>
      </c>
      <c r="K321" s="156" t="b">
        <f t="shared" si="193"/>
        <v>1</v>
      </c>
      <c r="Q321" s="5"/>
    </row>
    <row r="322" spans="1:17">
      <c r="A322" s="130" t="str">
        <f>+A320</f>
        <v>SEPTEMBRE</v>
      </c>
      <c r="B322" s="136" t="s">
        <v>219</v>
      </c>
      <c r="C322" s="33">
        <f t="shared" si="188"/>
        <v>0</v>
      </c>
      <c r="D322" s="127"/>
      <c r="E322" s="33">
        <f t="shared" si="189"/>
        <v>599500</v>
      </c>
      <c r="F322" s="53"/>
      <c r="G322" s="147"/>
      <c r="H322" s="57">
        <f t="shared" si="190"/>
        <v>35000</v>
      </c>
      <c r="I322" s="33">
        <f t="shared" si="191"/>
        <v>566200</v>
      </c>
      <c r="J322" s="31">
        <f t="shared" si="195"/>
        <v>-1700</v>
      </c>
      <c r="K322" s="156" t="b">
        <f t="shared" si="193"/>
        <v>1</v>
      </c>
      <c r="Q322" s="5"/>
    </row>
    <row r="323" spans="1:17">
      <c r="A323" s="35" t="s">
        <v>60</v>
      </c>
      <c r="B323" s="36"/>
      <c r="C323" s="36"/>
      <c r="D323" s="36"/>
      <c r="E323" s="36"/>
      <c r="F323" s="36"/>
      <c r="G323" s="36"/>
      <c r="H323" s="36"/>
      <c r="I323" s="36"/>
      <c r="J323" s="37"/>
      <c r="K323" s="155"/>
      <c r="Q323" s="5"/>
    </row>
    <row r="324" spans="1:17">
      <c r="A324" s="130" t="str">
        <f>A322</f>
        <v>SEPTEMBRE</v>
      </c>
      <c r="B324" s="38" t="s">
        <v>61</v>
      </c>
      <c r="C324" s="39">
        <f>+C291</f>
        <v>980042</v>
      </c>
      <c r="D324" s="51"/>
      <c r="E324" s="51">
        <f>D291</f>
        <v>9476115</v>
      </c>
      <c r="F324" s="51"/>
      <c r="G324" s="133"/>
      <c r="H324" s="53">
        <f>+F291</f>
        <v>6926500</v>
      </c>
      <c r="I324" s="134">
        <f>+E291</f>
        <v>2448183</v>
      </c>
      <c r="J324" s="46">
        <f>+SUM(C324:G324)-(H324+I324)</f>
        <v>1081474</v>
      </c>
      <c r="K324" s="156" t="b">
        <f>J324=I291</f>
        <v>1</v>
      </c>
      <c r="Q324" s="5"/>
    </row>
    <row r="325" spans="1:17">
      <c r="A325" s="44" t="s">
        <v>62</v>
      </c>
      <c r="B325" s="25"/>
      <c r="C325" s="36"/>
      <c r="D325" s="25"/>
      <c r="E325" s="25"/>
      <c r="F325" s="25"/>
      <c r="G325" s="25"/>
      <c r="H325" s="25"/>
      <c r="I325" s="25"/>
      <c r="J325" s="37"/>
      <c r="K325" s="155"/>
      <c r="Q325" s="5"/>
    </row>
    <row r="326" spans="1:17">
      <c r="A326" s="130" t="str">
        <f>+A324</f>
        <v>SEPTEMBRE</v>
      </c>
      <c r="B326" s="38" t="s">
        <v>163</v>
      </c>
      <c r="C326" s="133">
        <f>+C289</f>
        <v>23820820</v>
      </c>
      <c r="D326" s="140">
        <f>+G289</f>
        <v>0</v>
      </c>
      <c r="E326" s="51"/>
      <c r="F326" s="51"/>
      <c r="G326" s="51"/>
      <c r="H326" s="53">
        <f>+F289</f>
        <v>9000000</v>
      </c>
      <c r="I326" s="55">
        <f>+E289</f>
        <v>583345</v>
      </c>
      <c r="J326" s="46">
        <f>+SUM(C326:G326)-(H326+I326)</f>
        <v>14237475</v>
      </c>
      <c r="K326" s="156" t="b">
        <f>+J326=I289</f>
        <v>1</v>
      </c>
      <c r="Q326" s="5"/>
    </row>
    <row r="327" spans="1:17">
      <c r="A327" s="130" t="str">
        <f t="shared" ref="A327" si="196">+A326</f>
        <v>SEPTEMBRE</v>
      </c>
      <c r="B327" s="38" t="s">
        <v>64</v>
      </c>
      <c r="C327" s="133">
        <f>+C290</f>
        <v>14424581</v>
      </c>
      <c r="D327" s="51">
        <f>+G290</f>
        <v>0</v>
      </c>
      <c r="E327" s="50"/>
      <c r="F327" s="50"/>
      <c r="G327" s="50"/>
      <c r="H327" s="33">
        <f>+F290</f>
        <v>0</v>
      </c>
      <c r="I327" s="52">
        <f>+E290</f>
        <v>5580520</v>
      </c>
      <c r="J327" s="46">
        <f>SUM(C327:G327)-(H327+I327)</f>
        <v>8844061</v>
      </c>
      <c r="K327" s="156" t="b">
        <f>+J327=I290</f>
        <v>1</v>
      </c>
      <c r="Q327" s="5"/>
    </row>
    <row r="328" spans="1:17" ht="15.75">
      <c r="C328" s="151">
        <f>SUM(C313:C327)</f>
        <v>39274294</v>
      </c>
      <c r="I328" s="149">
        <f>SUM(I313:I327)</f>
        <v>13843498</v>
      </c>
      <c r="J328" s="111">
        <f>+SUM(J313:J327)</f>
        <v>25430796</v>
      </c>
      <c r="K328" s="5" t="b">
        <f>J328=I302</f>
        <v>1</v>
      </c>
      <c r="Q328" s="5"/>
    </row>
    <row r="329" spans="1:17" ht="15.75">
      <c r="A329" s="189"/>
      <c r="B329" s="189"/>
      <c r="C329" s="190"/>
      <c r="D329" s="189"/>
      <c r="E329" s="189"/>
      <c r="F329" s="189"/>
      <c r="G329" s="189"/>
      <c r="H329" s="189"/>
      <c r="I329" s="191"/>
      <c r="J329" s="192"/>
      <c r="K329" s="189"/>
      <c r="L329" s="193"/>
      <c r="M329" s="193"/>
      <c r="N329" s="193"/>
      <c r="O329" s="193"/>
      <c r="P329" s="189"/>
      <c r="Q329" s="5"/>
    </row>
    <row r="330" spans="1:17" ht="15.75">
      <c r="C330" s="151"/>
      <c r="I330" s="149"/>
      <c r="J330" s="111"/>
      <c r="Q330" s="5"/>
    </row>
    <row r="331" spans="1:17" ht="15.75">
      <c r="C331" s="151"/>
      <c r="I331" s="149"/>
      <c r="J331" s="111"/>
      <c r="Q331" s="5"/>
    </row>
    <row r="332" spans="1:17" ht="15.75">
      <c r="A332" s="6" t="s">
        <v>36</v>
      </c>
      <c r="B332" s="6" t="s">
        <v>1</v>
      </c>
      <c r="C332" s="6">
        <v>44774</v>
      </c>
      <c r="D332" s="7" t="s">
        <v>37</v>
      </c>
      <c r="E332" s="7" t="s">
        <v>38</v>
      </c>
      <c r="F332" s="7" t="s">
        <v>39</v>
      </c>
      <c r="G332" s="7" t="s">
        <v>40</v>
      </c>
      <c r="H332" s="6">
        <v>44804</v>
      </c>
      <c r="I332" s="7" t="s">
        <v>41</v>
      </c>
      <c r="K332" s="47"/>
      <c r="L332" s="47" t="s">
        <v>42</v>
      </c>
      <c r="M332" s="47" t="s">
        <v>43</v>
      </c>
      <c r="N332" s="47" t="s">
        <v>44</v>
      </c>
      <c r="O332" s="47" t="s">
        <v>45</v>
      </c>
      <c r="Q332" s="5"/>
    </row>
    <row r="333" spans="1:17" ht="16.5">
      <c r="A333" s="60" t="str">
        <f>K333</f>
        <v>BCI</v>
      </c>
      <c r="B333" s="61" t="s">
        <v>46</v>
      </c>
      <c r="C333" s="63">
        <v>168348</v>
      </c>
      <c r="D333" s="63">
        <f>+L333</f>
        <v>0</v>
      </c>
      <c r="E333" s="63">
        <f>+N333</f>
        <v>286008</v>
      </c>
      <c r="F333" s="63">
        <f>+M333</f>
        <v>1000000</v>
      </c>
      <c r="G333" s="63">
        <f t="shared" ref="G333:G343" si="197">+O333</f>
        <v>24938480</v>
      </c>
      <c r="H333" s="63">
        <v>23820820</v>
      </c>
      <c r="I333" s="63">
        <f>+C333+D333-E333-F333+G333</f>
        <v>23820820</v>
      </c>
      <c r="J333" s="9">
        <f>I333-H333</f>
        <v>0</v>
      </c>
      <c r="K333" s="47" t="s">
        <v>24</v>
      </c>
      <c r="L333" s="49">
        <v>0</v>
      </c>
      <c r="M333" s="49">
        <v>1000000</v>
      </c>
      <c r="N333" s="49">
        <v>286008</v>
      </c>
      <c r="O333" s="49">
        <v>24938480</v>
      </c>
      <c r="Q333" s="5"/>
    </row>
    <row r="334" spans="1:17" ht="16.5">
      <c r="A334" s="60" t="str">
        <f t="shared" ref="A334:A345" si="198">K334</f>
        <v>BCI-Sous Compte</v>
      </c>
      <c r="B334" s="61" t="s">
        <v>46</v>
      </c>
      <c r="C334" s="63">
        <v>21477810</v>
      </c>
      <c r="D334" s="63">
        <f t="shared" ref="D334:D345" si="199">+L334</f>
        <v>0</v>
      </c>
      <c r="E334" s="63">
        <f t="shared" ref="E334:E345" si="200">+N334</f>
        <v>4453229</v>
      </c>
      <c r="F334" s="63">
        <f t="shared" ref="F334:F345" si="201">+M334</f>
        <v>2600000</v>
      </c>
      <c r="G334" s="63">
        <f t="shared" si="197"/>
        <v>0</v>
      </c>
      <c r="H334" s="63">
        <v>14424581</v>
      </c>
      <c r="I334" s="63">
        <f>+C334+D334-E334-F334+G334</f>
        <v>14424581</v>
      </c>
      <c r="J334" s="9">
        <f t="shared" ref="J334:J340" si="202">I334-H334</f>
        <v>0</v>
      </c>
      <c r="K334" s="47" t="s">
        <v>155</v>
      </c>
      <c r="L334" s="48">
        <v>0</v>
      </c>
      <c r="M334" s="49">
        <v>2600000</v>
      </c>
      <c r="N334" s="49">
        <v>4453229</v>
      </c>
      <c r="O334" s="49">
        <v>0</v>
      </c>
      <c r="Q334" s="5"/>
    </row>
    <row r="335" spans="1:17" ht="16.5">
      <c r="A335" s="60" t="str">
        <f t="shared" si="198"/>
        <v>Caisse</v>
      </c>
      <c r="B335" s="61" t="s">
        <v>25</v>
      </c>
      <c r="C335" s="63">
        <v>103032</v>
      </c>
      <c r="D335" s="63">
        <f t="shared" si="199"/>
        <v>3946550</v>
      </c>
      <c r="E335" s="63">
        <f t="shared" si="200"/>
        <v>994290</v>
      </c>
      <c r="F335" s="63">
        <f t="shared" si="201"/>
        <v>2075250</v>
      </c>
      <c r="G335" s="63">
        <f t="shared" si="197"/>
        <v>0</v>
      </c>
      <c r="H335" s="63">
        <v>980042</v>
      </c>
      <c r="I335" s="63">
        <f>+C335+D335-E335-F335+G335</f>
        <v>980042</v>
      </c>
      <c r="J335" s="108">
        <f t="shared" si="202"/>
        <v>0</v>
      </c>
      <c r="K335" s="47" t="s">
        <v>25</v>
      </c>
      <c r="L335" s="49">
        <v>3946550</v>
      </c>
      <c r="M335" s="49">
        <v>2075250</v>
      </c>
      <c r="N335" s="49">
        <v>994290</v>
      </c>
      <c r="O335" s="49">
        <v>0</v>
      </c>
      <c r="Q335" s="5"/>
    </row>
    <row r="336" spans="1:17" ht="16.5">
      <c r="A336" s="60" t="str">
        <f t="shared" si="198"/>
        <v>Crépin</v>
      </c>
      <c r="B336" s="61" t="s">
        <v>161</v>
      </c>
      <c r="C336" s="63">
        <v>-5640</v>
      </c>
      <c r="D336" s="63">
        <f t="shared" si="199"/>
        <v>600250</v>
      </c>
      <c r="E336" s="63">
        <f t="shared" si="200"/>
        <v>421700</v>
      </c>
      <c r="F336" s="63">
        <f t="shared" si="201"/>
        <v>107000</v>
      </c>
      <c r="G336" s="63">
        <f t="shared" si="197"/>
        <v>0</v>
      </c>
      <c r="H336" s="63">
        <v>65910</v>
      </c>
      <c r="I336" s="63">
        <f>+C336+D336-E336-F336+G336</f>
        <v>65910</v>
      </c>
      <c r="J336" s="9">
        <f t="shared" si="202"/>
        <v>0</v>
      </c>
      <c r="K336" s="47" t="s">
        <v>47</v>
      </c>
      <c r="L336" s="49">
        <v>600250</v>
      </c>
      <c r="M336" s="49">
        <v>107000</v>
      </c>
      <c r="N336" s="49">
        <v>421700</v>
      </c>
      <c r="O336" s="49">
        <v>0</v>
      </c>
      <c r="Q336" s="5"/>
    </row>
    <row r="337" spans="1:17" ht="16.5">
      <c r="A337" s="60" t="str">
        <f t="shared" si="198"/>
        <v>Evariste</v>
      </c>
      <c r="B337" s="61" t="s">
        <v>162</v>
      </c>
      <c r="C337" s="63">
        <v>4795</v>
      </c>
      <c r="D337" s="63">
        <f t="shared" si="199"/>
        <v>0</v>
      </c>
      <c r="E337" s="63">
        <f t="shared" si="200"/>
        <v>0</v>
      </c>
      <c r="F337" s="63">
        <f t="shared" si="201"/>
        <v>0</v>
      </c>
      <c r="G337" s="63">
        <f t="shared" si="197"/>
        <v>0</v>
      </c>
      <c r="H337" s="63">
        <v>4795</v>
      </c>
      <c r="I337" s="63">
        <f t="shared" ref="I337" si="203">+C337+D337-E337-F337+G337</f>
        <v>4795</v>
      </c>
      <c r="J337" s="9">
        <f t="shared" si="202"/>
        <v>0</v>
      </c>
      <c r="K337" s="47" t="s">
        <v>31</v>
      </c>
      <c r="L337" s="49">
        <v>0</v>
      </c>
      <c r="M337" s="49">
        <v>0</v>
      </c>
      <c r="N337" s="49">
        <v>0</v>
      </c>
      <c r="O337" s="49">
        <v>0</v>
      </c>
      <c r="Q337" s="5"/>
    </row>
    <row r="338" spans="1:17" ht="16.5">
      <c r="A338" s="60" t="str">
        <f t="shared" si="198"/>
        <v>I55S</v>
      </c>
      <c r="B338" s="124" t="s">
        <v>4</v>
      </c>
      <c r="C338" s="126">
        <v>233614</v>
      </c>
      <c r="D338" s="126">
        <f t="shared" si="199"/>
        <v>0</v>
      </c>
      <c r="E338" s="126">
        <f t="shared" si="200"/>
        <v>0</v>
      </c>
      <c r="F338" s="126">
        <f t="shared" si="201"/>
        <v>0</v>
      </c>
      <c r="G338" s="126">
        <f t="shared" si="197"/>
        <v>0</v>
      </c>
      <c r="H338" s="126">
        <v>233614</v>
      </c>
      <c r="I338" s="126">
        <f>+C338+D338-E338-F338+G338</f>
        <v>233614</v>
      </c>
      <c r="J338" s="9">
        <f t="shared" si="202"/>
        <v>0</v>
      </c>
      <c r="K338" s="47" t="s">
        <v>84</v>
      </c>
      <c r="L338" s="49">
        <v>0</v>
      </c>
      <c r="M338" s="49">
        <v>0</v>
      </c>
      <c r="N338" s="49">
        <v>0</v>
      </c>
      <c r="O338" s="49">
        <v>0</v>
      </c>
      <c r="Q338" s="5"/>
    </row>
    <row r="339" spans="1:17" ht="16.5">
      <c r="A339" s="60" t="str">
        <f t="shared" si="198"/>
        <v>I73X</v>
      </c>
      <c r="B339" s="124" t="s">
        <v>4</v>
      </c>
      <c r="C339" s="126">
        <v>249769</v>
      </c>
      <c r="D339" s="126">
        <f t="shared" si="199"/>
        <v>0</v>
      </c>
      <c r="E339" s="126">
        <f t="shared" si="200"/>
        <v>0</v>
      </c>
      <c r="F339" s="126">
        <f t="shared" si="201"/>
        <v>0</v>
      </c>
      <c r="G339" s="126">
        <f t="shared" si="197"/>
        <v>0</v>
      </c>
      <c r="H339" s="126">
        <v>249769</v>
      </c>
      <c r="I339" s="126">
        <f t="shared" ref="I339:I342" si="204">+C339+D339-E339-F339+G339</f>
        <v>249769</v>
      </c>
      <c r="J339" s="9">
        <f t="shared" si="202"/>
        <v>0</v>
      </c>
      <c r="K339" s="47" t="s">
        <v>83</v>
      </c>
      <c r="L339" s="49">
        <v>0</v>
      </c>
      <c r="M339" s="49">
        <v>0</v>
      </c>
      <c r="N339" s="49">
        <v>0</v>
      </c>
      <c r="O339" s="49">
        <v>0</v>
      </c>
      <c r="Q339" s="5"/>
    </row>
    <row r="340" spans="1:17" ht="16.5">
      <c r="A340" s="60" t="str">
        <f t="shared" si="198"/>
        <v>Grace</v>
      </c>
      <c r="B340" s="104" t="s">
        <v>2</v>
      </c>
      <c r="C340" s="63">
        <v>18815</v>
      </c>
      <c r="D340" s="63">
        <f t="shared" si="199"/>
        <v>105000</v>
      </c>
      <c r="E340" s="63">
        <f t="shared" si="200"/>
        <v>7000</v>
      </c>
      <c r="F340" s="63">
        <f t="shared" si="201"/>
        <v>0</v>
      </c>
      <c r="G340" s="63">
        <f t="shared" si="197"/>
        <v>0</v>
      </c>
      <c r="H340" s="63">
        <v>116815</v>
      </c>
      <c r="I340" s="63">
        <f t="shared" si="204"/>
        <v>116815</v>
      </c>
      <c r="J340" s="9">
        <f t="shared" si="202"/>
        <v>0</v>
      </c>
      <c r="K340" s="47" t="s">
        <v>150</v>
      </c>
      <c r="L340" s="49">
        <v>105000</v>
      </c>
      <c r="M340" s="49">
        <v>0</v>
      </c>
      <c r="N340" s="49">
        <v>7000</v>
      </c>
      <c r="O340" s="49">
        <v>0</v>
      </c>
      <c r="Q340" s="5"/>
    </row>
    <row r="341" spans="1:17" s="296" customFormat="1" ht="15.75">
      <c r="A341" s="290" t="str">
        <f t="shared" si="198"/>
        <v>Hurielle</v>
      </c>
      <c r="B341" s="291" t="s">
        <v>161</v>
      </c>
      <c r="C341" s="292">
        <v>36500</v>
      </c>
      <c r="D341" s="292">
        <f t="shared" si="199"/>
        <v>266000</v>
      </c>
      <c r="E341" s="292">
        <f t="shared" si="200"/>
        <v>213800</v>
      </c>
      <c r="F341" s="292">
        <f t="shared" si="201"/>
        <v>88000</v>
      </c>
      <c r="G341" s="292">
        <f t="shared" si="197"/>
        <v>0</v>
      </c>
      <c r="H341" s="292">
        <v>700</v>
      </c>
      <c r="I341" s="292">
        <f t="shared" si="204"/>
        <v>700</v>
      </c>
      <c r="J341" s="293">
        <f>I341-H341</f>
        <v>0</v>
      </c>
      <c r="K341" s="294" t="s">
        <v>204</v>
      </c>
      <c r="L341" s="295">
        <v>266000</v>
      </c>
      <c r="M341" s="295">
        <v>88000</v>
      </c>
      <c r="N341" s="295">
        <v>213800</v>
      </c>
      <c r="O341" s="295">
        <v>0</v>
      </c>
    </row>
    <row r="342" spans="1:17" ht="16.5">
      <c r="A342" s="60" t="str">
        <f t="shared" si="198"/>
        <v>I23C</v>
      </c>
      <c r="B342" s="228" t="s">
        <v>4</v>
      </c>
      <c r="C342" s="63">
        <v>79550</v>
      </c>
      <c r="D342" s="63">
        <f t="shared" si="199"/>
        <v>506000</v>
      </c>
      <c r="E342" s="63">
        <f t="shared" si="200"/>
        <v>484000</v>
      </c>
      <c r="F342" s="63">
        <f t="shared" si="201"/>
        <v>101550</v>
      </c>
      <c r="G342" s="63">
        <f t="shared" si="197"/>
        <v>0</v>
      </c>
      <c r="H342" s="63">
        <v>0</v>
      </c>
      <c r="I342" s="63">
        <f t="shared" si="204"/>
        <v>0</v>
      </c>
      <c r="J342" s="9">
        <f t="shared" ref="J342:J343" si="205">I342-H342</f>
        <v>0</v>
      </c>
      <c r="K342" s="47" t="s">
        <v>30</v>
      </c>
      <c r="L342" s="49">
        <v>506000</v>
      </c>
      <c r="M342" s="49">
        <v>101550</v>
      </c>
      <c r="N342" s="49">
        <v>484000</v>
      </c>
      <c r="O342" s="49">
        <v>0</v>
      </c>
      <c r="Q342" s="5"/>
    </row>
    <row r="343" spans="1:17" ht="16.5">
      <c r="A343" s="60" t="str">
        <f t="shared" si="198"/>
        <v>Merveille</v>
      </c>
      <c r="B343" s="227" t="s">
        <v>2</v>
      </c>
      <c r="C343" s="63">
        <v>5900</v>
      </c>
      <c r="D343" s="63">
        <f t="shared" si="199"/>
        <v>20000</v>
      </c>
      <c r="E343" s="63">
        <f t="shared" si="200"/>
        <v>19000</v>
      </c>
      <c r="F343" s="63">
        <f t="shared" si="201"/>
        <v>0</v>
      </c>
      <c r="G343" s="63">
        <f t="shared" si="197"/>
        <v>0</v>
      </c>
      <c r="H343" s="63">
        <v>6900</v>
      </c>
      <c r="I343" s="63">
        <f>+C343+D343-E343-F343+G343</f>
        <v>6900</v>
      </c>
      <c r="J343" s="9">
        <f t="shared" si="205"/>
        <v>0</v>
      </c>
      <c r="K343" s="47" t="s">
        <v>93</v>
      </c>
      <c r="L343" s="49">
        <v>20000</v>
      </c>
      <c r="M343" s="49">
        <v>0</v>
      </c>
      <c r="N343" s="49">
        <v>19000</v>
      </c>
      <c r="O343" s="49">
        <v>0</v>
      </c>
      <c r="Q343" s="5"/>
    </row>
    <row r="344" spans="1:17" ht="16.5">
      <c r="A344" s="60" t="str">
        <f t="shared" si="198"/>
        <v>P29</v>
      </c>
      <c r="B344" s="227" t="s">
        <v>4</v>
      </c>
      <c r="C344" s="63">
        <v>29850</v>
      </c>
      <c r="D344" s="63">
        <f t="shared" si="199"/>
        <v>578000</v>
      </c>
      <c r="E344" s="63">
        <f t="shared" si="200"/>
        <v>533800</v>
      </c>
      <c r="F344" s="63">
        <f t="shared" si="201"/>
        <v>50000</v>
      </c>
      <c r="G344" s="63">
        <f>+O344</f>
        <v>0</v>
      </c>
      <c r="H344" s="63">
        <v>24050</v>
      </c>
      <c r="I344" s="63">
        <f>+C344+D344-E344-F344+G344</f>
        <v>24050</v>
      </c>
      <c r="J344" s="9">
        <f>I344-H344</f>
        <v>0</v>
      </c>
      <c r="K344" s="47" t="s">
        <v>29</v>
      </c>
      <c r="L344" s="49">
        <v>578000</v>
      </c>
      <c r="M344" s="49">
        <v>50000</v>
      </c>
      <c r="N344" s="49">
        <v>533800</v>
      </c>
      <c r="O344" s="49">
        <v>0</v>
      </c>
      <c r="Q344" s="5"/>
    </row>
    <row r="345" spans="1:17" ht="16.5">
      <c r="A345" s="60" t="str">
        <f t="shared" si="198"/>
        <v>Tiffany</v>
      </c>
      <c r="B345" s="61" t="s">
        <v>2</v>
      </c>
      <c r="C345" s="63">
        <v>1123541</v>
      </c>
      <c r="D345" s="63">
        <f t="shared" si="199"/>
        <v>0</v>
      </c>
      <c r="E345" s="63">
        <f t="shared" si="200"/>
        <v>1777243</v>
      </c>
      <c r="F345" s="63">
        <f t="shared" si="201"/>
        <v>0</v>
      </c>
      <c r="G345" s="63">
        <f t="shared" ref="G345" si="206">+O345</f>
        <v>0</v>
      </c>
      <c r="H345" s="63">
        <v>-653702</v>
      </c>
      <c r="I345" s="63">
        <f t="shared" ref="I345" si="207">+C345+D345-E345-F345+G345</f>
        <v>-653702</v>
      </c>
      <c r="J345" s="9">
        <f t="shared" ref="J345" si="208">I345-H345</f>
        <v>0</v>
      </c>
      <c r="K345" s="47" t="s">
        <v>113</v>
      </c>
      <c r="L345" s="49">
        <v>0</v>
      </c>
      <c r="M345" s="49">
        <v>0</v>
      </c>
      <c r="N345" s="49">
        <v>1777243</v>
      </c>
      <c r="O345" s="49">
        <v>0</v>
      </c>
      <c r="Q345" s="5"/>
    </row>
    <row r="346" spans="1:17" ht="16.5">
      <c r="A346" s="10" t="s">
        <v>50</v>
      </c>
      <c r="B346" s="11"/>
      <c r="C346" s="12">
        <f t="shared" ref="C346:I346" si="209">SUM(C333:C345)</f>
        <v>23525884</v>
      </c>
      <c r="D346" s="59">
        <f t="shared" si="209"/>
        <v>6021800</v>
      </c>
      <c r="E346" s="59">
        <f t="shared" si="209"/>
        <v>9190070</v>
      </c>
      <c r="F346" s="59">
        <f t="shared" si="209"/>
        <v>6021800</v>
      </c>
      <c r="G346" s="59">
        <f t="shared" si="209"/>
        <v>24938480</v>
      </c>
      <c r="H346" s="59">
        <f t="shared" si="209"/>
        <v>39274294</v>
      </c>
      <c r="I346" s="59">
        <f t="shared" si="209"/>
        <v>39274294</v>
      </c>
      <c r="J346" s="9">
        <f>I346-H346</f>
        <v>0</v>
      </c>
      <c r="K346" s="3"/>
      <c r="L346" s="49">
        <f>+SUM(L333:L345)</f>
        <v>6021800</v>
      </c>
      <c r="M346" s="49">
        <f>+SUM(M333:M345)</f>
        <v>6021800</v>
      </c>
      <c r="N346" s="49">
        <f>+SUM(N333:N345)</f>
        <v>9190070</v>
      </c>
      <c r="O346" s="49">
        <f>+SUM(O333:O345)</f>
        <v>24938480</v>
      </c>
      <c r="Q346" s="5"/>
    </row>
    <row r="347" spans="1:17" ht="16.5">
      <c r="A347" s="10"/>
      <c r="B347" s="11"/>
      <c r="C347" s="12"/>
      <c r="D347" s="13"/>
      <c r="E347" s="12"/>
      <c r="F347" s="13"/>
      <c r="G347" s="12"/>
      <c r="H347" s="12"/>
      <c r="I347" s="143" t="b">
        <f>I346=D349</f>
        <v>1</v>
      </c>
      <c r="L347" s="5"/>
      <c r="M347" s="5"/>
      <c r="N347" s="5"/>
      <c r="O347" s="5"/>
      <c r="Q347" s="5"/>
    </row>
    <row r="348" spans="1:17" ht="16.5">
      <c r="A348" s="10" t="s">
        <v>238</v>
      </c>
      <c r="B348" s="11" t="s">
        <v>239</v>
      </c>
      <c r="C348" s="12" t="s">
        <v>240</v>
      </c>
      <c r="D348" s="12" t="s">
        <v>241</v>
      </c>
      <c r="E348" s="12" t="s">
        <v>51</v>
      </c>
      <c r="F348" s="12"/>
      <c r="G348" s="12">
        <f>+D346-F346</f>
        <v>0</v>
      </c>
      <c r="H348" s="12"/>
      <c r="I348" s="12"/>
      <c r="Q348" s="5"/>
    </row>
    <row r="349" spans="1:17" ht="16.5">
      <c r="A349" s="14">
        <f>C346</f>
        <v>23525884</v>
      </c>
      <c r="B349" s="15">
        <f>G346</f>
        <v>24938480</v>
      </c>
      <c r="C349" s="12">
        <f>E346</f>
        <v>9190070</v>
      </c>
      <c r="D349" s="12">
        <f>A349+B349-C349</f>
        <v>39274294</v>
      </c>
      <c r="E349" s="13">
        <f>I346-D349</f>
        <v>0</v>
      </c>
      <c r="F349" s="12"/>
      <c r="G349" s="12"/>
      <c r="H349" s="12"/>
      <c r="I349" s="12"/>
      <c r="Q349" s="5"/>
    </row>
    <row r="350" spans="1:17" ht="16.5">
      <c r="A350" s="14"/>
      <c r="B350" s="15"/>
      <c r="C350" s="12"/>
      <c r="D350" s="12"/>
      <c r="E350" s="13"/>
      <c r="F350" s="12"/>
      <c r="G350" s="12"/>
      <c r="H350" s="12"/>
      <c r="I350" s="12"/>
      <c r="Q350" s="5"/>
    </row>
    <row r="351" spans="1:17">
      <c r="A351" s="16" t="s">
        <v>52</v>
      </c>
      <c r="B351" s="16"/>
      <c r="C351" s="16"/>
      <c r="D351" s="17"/>
      <c r="E351" s="17"/>
      <c r="F351" s="17"/>
      <c r="G351" s="17"/>
      <c r="H351" s="17"/>
      <c r="I351" s="17"/>
      <c r="Q351" s="5"/>
    </row>
    <row r="352" spans="1:17">
      <c r="A352" s="18" t="s">
        <v>243</v>
      </c>
      <c r="B352" s="18"/>
      <c r="C352" s="18"/>
      <c r="D352" s="18"/>
      <c r="E352" s="18"/>
      <c r="F352" s="18"/>
      <c r="G352" s="18"/>
      <c r="H352" s="18"/>
      <c r="I352" s="18"/>
      <c r="J352" s="18"/>
      <c r="Q352" s="5"/>
    </row>
    <row r="353" spans="1:17">
      <c r="A353" s="19"/>
      <c r="B353" s="20"/>
      <c r="C353" s="21"/>
      <c r="D353" s="21"/>
      <c r="E353" s="21"/>
      <c r="F353" s="21"/>
      <c r="G353" s="21"/>
      <c r="H353" s="20"/>
      <c r="I353" s="20"/>
      <c r="Q353" s="5"/>
    </row>
    <row r="354" spans="1:17">
      <c r="A354" s="278" t="s">
        <v>53</v>
      </c>
      <c r="B354" s="280" t="s">
        <v>54</v>
      </c>
      <c r="C354" s="282" t="s">
        <v>244</v>
      </c>
      <c r="D354" s="284" t="s">
        <v>55</v>
      </c>
      <c r="E354" s="285"/>
      <c r="F354" s="285"/>
      <c r="G354" s="286"/>
      <c r="H354" s="287" t="s">
        <v>56</v>
      </c>
      <c r="I354" s="274" t="s">
        <v>57</v>
      </c>
      <c r="J354" s="20"/>
      <c r="Q354" s="5"/>
    </row>
    <row r="355" spans="1:17" ht="28.5" customHeight="1">
      <c r="A355" s="279"/>
      <c r="B355" s="281"/>
      <c r="C355" s="283"/>
      <c r="D355" s="22" t="s">
        <v>24</v>
      </c>
      <c r="E355" s="22" t="s">
        <v>25</v>
      </c>
      <c r="F355" s="283" t="s">
        <v>123</v>
      </c>
      <c r="G355" s="22" t="s">
        <v>58</v>
      </c>
      <c r="H355" s="288"/>
      <c r="I355" s="275"/>
      <c r="J355" s="276" t="s">
        <v>245</v>
      </c>
      <c r="K355" s="155"/>
      <c r="Q355" s="5"/>
    </row>
    <row r="356" spans="1:17">
      <c r="A356" s="24"/>
      <c r="B356" s="25" t="s">
        <v>59</v>
      </c>
      <c r="C356" s="26"/>
      <c r="D356" s="26"/>
      <c r="E356" s="26"/>
      <c r="F356" s="26"/>
      <c r="G356" s="26"/>
      <c r="H356" s="26"/>
      <c r="I356" s="27"/>
      <c r="J356" s="277"/>
      <c r="K356" s="155"/>
      <c r="Q356" s="5"/>
    </row>
    <row r="357" spans="1:17">
      <c r="A357" s="130" t="s">
        <v>146</v>
      </c>
      <c r="B357" s="135" t="s">
        <v>47</v>
      </c>
      <c r="C357" s="33">
        <f t="shared" ref="C357:C366" si="210">+C336</f>
        <v>-5640</v>
      </c>
      <c r="D357" s="32"/>
      <c r="E357" s="33">
        <f t="shared" ref="E357:E366" si="211">+D336</f>
        <v>600250</v>
      </c>
      <c r="F357" s="33"/>
      <c r="G357" s="33"/>
      <c r="H357" s="57">
        <f t="shared" ref="H357:H366" si="212">+F336</f>
        <v>107000</v>
      </c>
      <c r="I357" s="33">
        <f t="shared" ref="I357:I366" si="213">+E336</f>
        <v>421700</v>
      </c>
      <c r="J357" s="31">
        <f t="shared" ref="J357:J358" si="214">+SUM(C357:G357)-(H357+I357)</f>
        <v>65910</v>
      </c>
      <c r="K357" s="156" t="b">
        <f t="shared" ref="K357:K366" si="215">J357=I336</f>
        <v>1</v>
      </c>
      <c r="Q357" s="5"/>
    </row>
    <row r="358" spans="1:17">
      <c r="A358" s="130" t="str">
        <f>+A357</f>
        <v>AOUT</v>
      </c>
      <c r="B358" s="135" t="s">
        <v>31</v>
      </c>
      <c r="C358" s="33">
        <f t="shared" si="210"/>
        <v>4795</v>
      </c>
      <c r="D358" s="32"/>
      <c r="E358" s="33">
        <f t="shared" si="211"/>
        <v>0</v>
      </c>
      <c r="F358" s="33"/>
      <c r="G358" s="33"/>
      <c r="H358" s="57">
        <f t="shared" si="212"/>
        <v>0</v>
      </c>
      <c r="I358" s="33">
        <f t="shared" si="213"/>
        <v>0</v>
      </c>
      <c r="J358" s="107">
        <f t="shared" si="214"/>
        <v>4795</v>
      </c>
      <c r="K358" s="156" t="b">
        <f t="shared" si="215"/>
        <v>1</v>
      </c>
      <c r="Q358" s="5"/>
    </row>
    <row r="359" spans="1:17">
      <c r="A359" s="130" t="str">
        <f t="shared" ref="A359:A363" si="216">+A358</f>
        <v>AOUT</v>
      </c>
      <c r="B359" s="137" t="s">
        <v>84</v>
      </c>
      <c r="C359" s="128">
        <f t="shared" si="210"/>
        <v>233614</v>
      </c>
      <c r="D359" s="131"/>
      <c r="E359" s="128">
        <f t="shared" si="211"/>
        <v>0</v>
      </c>
      <c r="F359" s="146"/>
      <c r="G359" s="146"/>
      <c r="H359" s="178">
        <f t="shared" si="212"/>
        <v>0</v>
      </c>
      <c r="I359" s="128">
        <f t="shared" si="213"/>
        <v>0</v>
      </c>
      <c r="J359" s="129">
        <f>+SUM(C359:G359)-(H359+I359)</f>
        <v>233614</v>
      </c>
      <c r="K359" s="156" t="b">
        <f t="shared" si="215"/>
        <v>1</v>
      </c>
      <c r="Q359" s="5"/>
    </row>
    <row r="360" spans="1:17">
      <c r="A360" s="130" t="str">
        <f t="shared" si="216"/>
        <v>AOUT</v>
      </c>
      <c r="B360" s="137" t="s">
        <v>83</v>
      </c>
      <c r="C360" s="128">
        <f t="shared" si="210"/>
        <v>249769</v>
      </c>
      <c r="D360" s="131"/>
      <c r="E360" s="128">
        <f t="shared" si="211"/>
        <v>0</v>
      </c>
      <c r="F360" s="146"/>
      <c r="G360" s="146"/>
      <c r="H360" s="178">
        <f t="shared" si="212"/>
        <v>0</v>
      </c>
      <c r="I360" s="128">
        <f t="shared" si="213"/>
        <v>0</v>
      </c>
      <c r="J360" s="129">
        <f t="shared" ref="J360:J366" si="217">+SUM(C360:G360)-(H360+I360)</f>
        <v>249769</v>
      </c>
      <c r="K360" s="156" t="b">
        <f t="shared" si="215"/>
        <v>1</v>
      </c>
      <c r="Q360" s="5"/>
    </row>
    <row r="361" spans="1:17">
      <c r="A361" s="130" t="str">
        <f t="shared" si="216"/>
        <v>AOUT</v>
      </c>
      <c r="B361" s="135" t="s">
        <v>150</v>
      </c>
      <c r="C361" s="33">
        <f t="shared" si="210"/>
        <v>18815</v>
      </c>
      <c r="D361" s="32"/>
      <c r="E361" s="33">
        <f t="shared" si="211"/>
        <v>105000</v>
      </c>
      <c r="F361" s="33"/>
      <c r="G361" s="110"/>
      <c r="H361" s="57">
        <f t="shared" si="212"/>
        <v>0</v>
      </c>
      <c r="I361" s="33">
        <f t="shared" si="213"/>
        <v>7000</v>
      </c>
      <c r="J361" s="31">
        <f t="shared" si="217"/>
        <v>116815</v>
      </c>
      <c r="K361" s="156" t="b">
        <f t="shared" si="215"/>
        <v>1</v>
      </c>
      <c r="Q361" s="5"/>
    </row>
    <row r="362" spans="1:17">
      <c r="A362" s="130" t="str">
        <f t="shared" si="216"/>
        <v>AOUT</v>
      </c>
      <c r="B362" s="135" t="s">
        <v>204</v>
      </c>
      <c r="C362" s="33">
        <f t="shared" si="210"/>
        <v>36500</v>
      </c>
      <c r="D362" s="32"/>
      <c r="E362" s="33">
        <f t="shared" si="211"/>
        <v>266000</v>
      </c>
      <c r="F362" s="33"/>
      <c r="G362" s="110"/>
      <c r="H362" s="57">
        <f t="shared" si="212"/>
        <v>88000</v>
      </c>
      <c r="I362" s="33">
        <f t="shared" si="213"/>
        <v>213800</v>
      </c>
      <c r="J362" s="31">
        <f t="shared" si="217"/>
        <v>700</v>
      </c>
      <c r="K362" s="156" t="b">
        <f t="shared" si="215"/>
        <v>1</v>
      </c>
      <c r="Q362" s="5"/>
    </row>
    <row r="363" spans="1:17">
      <c r="A363" s="130" t="str">
        <f t="shared" si="216"/>
        <v>AOUT</v>
      </c>
      <c r="B363" s="135" t="s">
        <v>30</v>
      </c>
      <c r="C363" s="33">
        <f t="shared" si="210"/>
        <v>79550</v>
      </c>
      <c r="D363" s="32"/>
      <c r="E363" s="33">
        <f t="shared" si="211"/>
        <v>506000</v>
      </c>
      <c r="F363" s="33"/>
      <c r="G363" s="110"/>
      <c r="H363" s="57">
        <f t="shared" si="212"/>
        <v>101550</v>
      </c>
      <c r="I363" s="33">
        <f t="shared" si="213"/>
        <v>484000</v>
      </c>
      <c r="J363" s="31">
        <f t="shared" si="217"/>
        <v>0</v>
      </c>
      <c r="K363" s="156" t="b">
        <f t="shared" si="215"/>
        <v>1</v>
      </c>
      <c r="Q363" s="5"/>
    </row>
    <row r="364" spans="1:17">
      <c r="A364" s="130" t="str">
        <f>+A362</f>
        <v>AOUT</v>
      </c>
      <c r="B364" s="135" t="s">
        <v>93</v>
      </c>
      <c r="C364" s="33">
        <f t="shared" si="210"/>
        <v>5900</v>
      </c>
      <c r="D364" s="32"/>
      <c r="E364" s="33">
        <f t="shared" si="211"/>
        <v>20000</v>
      </c>
      <c r="F364" s="33"/>
      <c r="G364" s="110"/>
      <c r="H364" s="57">
        <f t="shared" si="212"/>
        <v>0</v>
      </c>
      <c r="I364" s="33">
        <f t="shared" si="213"/>
        <v>19000</v>
      </c>
      <c r="J364" s="31">
        <f t="shared" si="217"/>
        <v>6900</v>
      </c>
      <c r="K364" s="156" t="b">
        <f t="shared" si="215"/>
        <v>1</v>
      </c>
      <c r="Q364" s="5"/>
    </row>
    <row r="365" spans="1:17">
      <c r="A365" s="130" t="str">
        <f>+A363</f>
        <v>AOUT</v>
      </c>
      <c r="B365" s="135" t="s">
        <v>29</v>
      </c>
      <c r="C365" s="33">
        <f t="shared" si="210"/>
        <v>29850</v>
      </c>
      <c r="D365" s="32"/>
      <c r="E365" s="33">
        <f t="shared" si="211"/>
        <v>578000</v>
      </c>
      <c r="F365" s="33"/>
      <c r="G365" s="110"/>
      <c r="H365" s="57">
        <f t="shared" si="212"/>
        <v>50000</v>
      </c>
      <c r="I365" s="33">
        <f t="shared" si="213"/>
        <v>533800</v>
      </c>
      <c r="J365" s="31">
        <f t="shared" si="217"/>
        <v>24050</v>
      </c>
      <c r="K365" s="156" t="b">
        <f t="shared" si="215"/>
        <v>1</v>
      </c>
      <c r="Q365" s="5"/>
    </row>
    <row r="366" spans="1:17">
      <c r="A366" s="130" t="str">
        <f>+A364</f>
        <v>AOUT</v>
      </c>
      <c r="B366" s="136" t="s">
        <v>113</v>
      </c>
      <c r="C366" s="33">
        <f t="shared" si="210"/>
        <v>1123541</v>
      </c>
      <c r="D366" s="127"/>
      <c r="E366" s="33">
        <f t="shared" si="211"/>
        <v>0</v>
      </c>
      <c r="F366" s="53"/>
      <c r="G366" s="147"/>
      <c r="H366" s="57">
        <f t="shared" si="212"/>
        <v>0</v>
      </c>
      <c r="I366" s="33">
        <f t="shared" si="213"/>
        <v>1777243</v>
      </c>
      <c r="J366" s="31">
        <f t="shared" si="217"/>
        <v>-653702</v>
      </c>
      <c r="K366" s="156" t="b">
        <f t="shared" si="215"/>
        <v>1</v>
      </c>
      <c r="Q366" s="5"/>
    </row>
    <row r="367" spans="1:17">
      <c r="A367" s="35" t="s">
        <v>60</v>
      </c>
      <c r="B367" s="36"/>
      <c r="C367" s="36"/>
      <c r="D367" s="36"/>
      <c r="E367" s="36"/>
      <c r="F367" s="36"/>
      <c r="G367" s="36"/>
      <c r="H367" s="36"/>
      <c r="I367" s="36"/>
      <c r="J367" s="37"/>
      <c r="K367" s="155"/>
      <c r="Q367" s="5"/>
    </row>
    <row r="368" spans="1:17">
      <c r="A368" s="130" t="str">
        <f>A366</f>
        <v>AOUT</v>
      </c>
      <c r="B368" s="38" t="s">
        <v>61</v>
      </c>
      <c r="C368" s="39">
        <f>+C335</f>
        <v>103032</v>
      </c>
      <c r="D368" s="51"/>
      <c r="E368" s="51">
        <f>D335</f>
        <v>3946550</v>
      </c>
      <c r="F368" s="51"/>
      <c r="G368" s="133"/>
      <c r="H368" s="53">
        <f>+F335</f>
        <v>2075250</v>
      </c>
      <c r="I368" s="134">
        <f>+E335</f>
        <v>994290</v>
      </c>
      <c r="J368" s="46">
        <f>+SUM(C368:G368)-(H368+I368)</f>
        <v>980042</v>
      </c>
      <c r="K368" s="156" t="b">
        <f>J368=I335</f>
        <v>1</v>
      </c>
      <c r="Q368" s="5"/>
    </row>
    <row r="369" spans="1:17">
      <c r="A369" s="44" t="s">
        <v>62</v>
      </c>
      <c r="B369" s="25"/>
      <c r="C369" s="36"/>
      <c r="D369" s="25"/>
      <c r="E369" s="25"/>
      <c r="F369" s="25"/>
      <c r="G369" s="25"/>
      <c r="H369" s="25"/>
      <c r="I369" s="25"/>
      <c r="J369" s="37"/>
      <c r="K369" s="155"/>
      <c r="Q369" s="5"/>
    </row>
    <row r="370" spans="1:17">
      <c r="A370" s="130" t="str">
        <f>+A368</f>
        <v>AOUT</v>
      </c>
      <c r="B370" s="38" t="s">
        <v>163</v>
      </c>
      <c r="C370" s="133">
        <f>+C333</f>
        <v>168348</v>
      </c>
      <c r="D370" s="140">
        <f>+G333</f>
        <v>24938480</v>
      </c>
      <c r="E370" s="51"/>
      <c r="F370" s="51"/>
      <c r="G370" s="51"/>
      <c r="H370" s="53">
        <f>+F333</f>
        <v>1000000</v>
      </c>
      <c r="I370" s="55">
        <f>+E333</f>
        <v>286008</v>
      </c>
      <c r="J370" s="46">
        <f>+SUM(C370:G370)-(H370+I370)</f>
        <v>23820820</v>
      </c>
      <c r="K370" s="156" t="b">
        <f>+J370=I333</f>
        <v>1</v>
      </c>
      <c r="Q370" s="5"/>
    </row>
    <row r="371" spans="1:17">
      <c r="A371" s="130" t="str">
        <f t="shared" ref="A371" si="218">+A370</f>
        <v>AOUT</v>
      </c>
      <c r="B371" s="38" t="s">
        <v>64</v>
      </c>
      <c r="C371" s="133">
        <f>+C334</f>
        <v>21477810</v>
      </c>
      <c r="D371" s="51">
        <f>+G334</f>
        <v>0</v>
      </c>
      <c r="E371" s="50"/>
      <c r="F371" s="50"/>
      <c r="G371" s="50"/>
      <c r="H371" s="33">
        <f>+F334</f>
        <v>2600000</v>
      </c>
      <c r="I371" s="52">
        <f>+E334</f>
        <v>4453229</v>
      </c>
      <c r="J371" s="46">
        <f>SUM(C371:G371)-(H371+I371)</f>
        <v>14424581</v>
      </c>
      <c r="K371" s="156" t="b">
        <f>+J371=I334</f>
        <v>1</v>
      </c>
      <c r="Q371" s="5"/>
    </row>
    <row r="372" spans="1:17" ht="15.75">
      <c r="C372" s="151">
        <f>SUM(C357:C371)</f>
        <v>23525884</v>
      </c>
      <c r="I372" s="149">
        <f>SUM(I357:I371)</f>
        <v>9190070</v>
      </c>
      <c r="J372" s="111">
        <f>+SUM(J357:J371)</f>
        <v>39274294</v>
      </c>
      <c r="K372" s="5" t="b">
        <f>J372=I346</f>
        <v>1</v>
      </c>
      <c r="Q372" s="5"/>
    </row>
    <row r="373" spans="1:17" ht="15.75">
      <c r="A373" s="189"/>
      <c r="B373" s="189"/>
      <c r="C373" s="190"/>
      <c r="D373" s="189"/>
      <c r="E373" s="189"/>
      <c r="F373" s="189"/>
      <c r="G373" s="189"/>
      <c r="H373" s="189"/>
      <c r="I373" s="191"/>
      <c r="J373" s="192"/>
      <c r="K373" s="189"/>
      <c r="L373" s="193"/>
      <c r="M373" s="193"/>
      <c r="N373" s="193"/>
      <c r="O373" s="193"/>
      <c r="P373" s="189"/>
      <c r="Q373" s="5"/>
    </row>
    <row r="375" spans="1:17" ht="15.75">
      <c r="A375" s="6" t="s">
        <v>36</v>
      </c>
      <c r="B375" s="6" t="s">
        <v>1</v>
      </c>
      <c r="C375" s="6">
        <v>44743</v>
      </c>
      <c r="D375" s="7" t="s">
        <v>37</v>
      </c>
      <c r="E375" s="7" t="s">
        <v>38</v>
      </c>
      <c r="F375" s="7" t="s">
        <v>39</v>
      </c>
      <c r="G375" s="7" t="s">
        <v>40</v>
      </c>
      <c r="H375" s="6">
        <v>44773</v>
      </c>
      <c r="I375" s="7" t="s">
        <v>41</v>
      </c>
      <c r="K375" s="47"/>
      <c r="L375" s="47" t="s">
        <v>42</v>
      </c>
      <c r="M375" s="47" t="s">
        <v>43</v>
      </c>
      <c r="N375" s="47" t="s">
        <v>44</v>
      </c>
      <c r="O375" s="47" t="s">
        <v>45</v>
      </c>
      <c r="Q375" s="5"/>
    </row>
    <row r="376" spans="1:17" ht="16.5">
      <c r="A376" s="60" t="str">
        <f>K376</f>
        <v>BCI</v>
      </c>
      <c r="B376" s="61" t="s">
        <v>46</v>
      </c>
      <c r="C376" s="63">
        <v>4291693</v>
      </c>
      <c r="D376" s="63">
        <f>+L376</f>
        <v>0</v>
      </c>
      <c r="E376" s="63">
        <f>+N376</f>
        <v>23345</v>
      </c>
      <c r="F376" s="63">
        <f>+M376</f>
        <v>4100000</v>
      </c>
      <c r="G376" s="63">
        <f t="shared" ref="G376:G386" si="219">+O376</f>
        <v>0</v>
      </c>
      <c r="H376" s="63">
        <v>168348</v>
      </c>
      <c r="I376" s="63">
        <f>+C376+D376-E376-F376+G376</f>
        <v>168348</v>
      </c>
      <c r="J376" s="9">
        <f>I376-H376</f>
        <v>0</v>
      </c>
      <c r="K376" s="47" t="s">
        <v>24</v>
      </c>
      <c r="L376" s="49">
        <v>0</v>
      </c>
      <c r="M376" s="49">
        <v>4100000</v>
      </c>
      <c r="N376" s="49">
        <v>23345</v>
      </c>
      <c r="O376" s="49">
        <v>0</v>
      </c>
      <c r="Q376" s="5"/>
    </row>
    <row r="377" spans="1:17" ht="16.5">
      <c r="A377" s="60" t="str">
        <f t="shared" ref="A377:A389" si="220">K377</f>
        <v>BCI-Sous Compte</v>
      </c>
      <c r="B377" s="61" t="s">
        <v>46</v>
      </c>
      <c r="C377" s="63">
        <v>4852627</v>
      </c>
      <c r="D377" s="63">
        <f t="shared" ref="D377:D380" si="221">+L377</f>
        <v>0</v>
      </c>
      <c r="E377" s="63">
        <f t="shared" ref="E377:E389" si="222">+N377</f>
        <v>3777704</v>
      </c>
      <c r="F377" s="63">
        <f t="shared" ref="F377:F389" si="223">+M377</f>
        <v>0</v>
      </c>
      <c r="G377" s="63">
        <f t="shared" si="219"/>
        <v>20402887</v>
      </c>
      <c r="H377" s="63">
        <v>21477810</v>
      </c>
      <c r="I377" s="63">
        <f>+C377+D377-E377-F377+G377</f>
        <v>21477810</v>
      </c>
      <c r="J377" s="9">
        <f t="shared" ref="J377:J383" si="224">I377-H377</f>
        <v>0</v>
      </c>
      <c r="K377" s="47" t="s">
        <v>155</v>
      </c>
      <c r="L377" s="48">
        <v>0</v>
      </c>
      <c r="M377" s="49">
        <v>0</v>
      </c>
      <c r="N377" s="49">
        <v>3777704</v>
      </c>
      <c r="O377" s="49">
        <v>20402887</v>
      </c>
      <c r="Q377" s="5"/>
    </row>
    <row r="378" spans="1:17" ht="16.5">
      <c r="A378" s="60" t="str">
        <f t="shared" si="220"/>
        <v>Caisse</v>
      </c>
      <c r="B378" s="61" t="s">
        <v>25</v>
      </c>
      <c r="C378" s="63">
        <v>1696326</v>
      </c>
      <c r="D378" s="63">
        <f t="shared" si="221"/>
        <v>4430000</v>
      </c>
      <c r="E378" s="63">
        <f t="shared" si="222"/>
        <v>1453294</v>
      </c>
      <c r="F378" s="63">
        <f t="shared" si="223"/>
        <v>4570000</v>
      </c>
      <c r="G378" s="63">
        <f t="shared" si="219"/>
        <v>0</v>
      </c>
      <c r="H378" s="63">
        <v>103032</v>
      </c>
      <c r="I378" s="63">
        <f>+C378+D378-E378-F378+G378</f>
        <v>103032</v>
      </c>
      <c r="J378" s="108">
        <f t="shared" si="224"/>
        <v>0</v>
      </c>
      <c r="K378" s="47" t="s">
        <v>25</v>
      </c>
      <c r="L378" s="49">
        <v>4430000</v>
      </c>
      <c r="M378" s="49">
        <v>4570000</v>
      </c>
      <c r="N378" s="49">
        <v>1453294</v>
      </c>
      <c r="O378" s="49">
        <v>0</v>
      </c>
      <c r="Q378" s="5"/>
    </row>
    <row r="379" spans="1:17" ht="16.5">
      <c r="A379" s="60" t="str">
        <f t="shared" si="220"/>
        <v>Crépin</v>
      </c>
      <c r="B379" s="61" t="s">
        <v>161</v>
      </c>
      <c r="C379" s="63">
        <v>9800</v>
      </c>
      <c r="D379" s="63">
        <f t="shared" si="221"/>
        <v>1043000</v>
      </c>
      <c r="E379" s="63">
        <f t="shared" si="222"/>
        <v>975940</v>
      </c>
      <c r="F379" s="63">
        <f t="shared" si="223"/>
        <v>82500</v>
      </c>
      <c r="G379" s="63">
        <f t="shared" si="219"/>
        <v>0</v>
      </c>
      <c r="H379" s="63">
        <v>-5640</v>
      </c>
      <c r="I379" s="63">
        <f>+C379+D379-E379-F379+G379</f>
        <v>-5640</v>
      </c>
      <c r="J379" s="9">
        <f t="shared" si="224"/>
        <v>0</v>
      </c>
      <c r="K379" s="47" t="s">
        <v>47</v>
      </c>
      <c r="L379" s="49">
        <v>1043000</v>
      </c>
      <c r="M379" s="49">
        <v>82500</v>
      </c>
      <c r="N379" s="49">
        <v>975940</v>
      </c>
      <c r="O379" s="49">
        <v>0</v>
      </c>
      <c r="Q379" s="5"/>
    </row>
    <row r="380" spans="1:17" ht="16.5">
      <c r="A380" s="60" t="str">
        <f t="shared" si="220"/>
        <v>Evariste</v>
      </c>
      <c r="B380" s="61" t="s">
        <v>162</v>
      </c>
      <c r="C380" s="63">
        <v>2295</v>
      </c>
      <c r="D380" s="63">
        <f t="shared" si="221"/>
        <v>242500</v>
      </c>
      <c r="E380" s="63">
        <f t="shared" si="222"/>
        <v>240000</v>
      </c>
      <c r="F380" s="63">
        <f t="shared" si="223"/>
        <v>0</v>
      </c>
      <c r="G380" s="63">
        <f t="shared" si="219"/>
        <v>0</v>
      </c>
      <c r="H380" s="63">
        <v>4795</v>
      </c>
      <c r="I380" s="63">
        <f t="shared" ref="I380" si="225">+C380+D380-E380-F380+G380</f>
        <v>4795</v>
      </c>
      <c r="J380" s="9">
        <f t="shared" si="224"/>
        <v>0</v>
      </c>
      <c r="K380" s="47" t="s">
        <v>31</v>
      </c>
      <c r="L380" s="49">
        <v>242500</v>
      </c>
      <c r="M380" s="49">
        <v>0</v>
      </c>
      <c r="N380" s="49">
        <v>240000</v>
      </c>
      <c r="O380" s="49">
        <v>0</v>
      </c>
      <c r="Q380" s="5"/>
    </row>
    <row r="381" spans="1:17" ht="16.5">
      <c r="A381" s="60" t="str">
        <f t="shared" si="220"/>
        <v>I55S</v>
      </c>
      <c r="B381" s="124" t="s">
        <v>4</v>
      </c>
      <c r="C381" s="126">
        <v>233614</v>
      </c>
      <c r="D381" s="126">
        <f t="shared" ref="D381:D389" si="226">+L381</f>
        <v>0</v>
      </c>
      <c r="E381" s="126">
        <f t="shared" si="222"/>
        <v>0</v>
      </c>
      <c r="F381" s="126">
        <f t="shared" si="223"/>
        <v>0</v>
      </c>
      <c r="G381" s="126">
        <f t="shared" si="219"/>
        <v>0</v>
      </c>
      <c r="H381" s="126">
        <v>233614</v>
      </c>
      <c r="I381" s="126">
        <f>+C381+D381-E381-F381+G381</f>
        <v>233614</v>
      </c>
      <c r="J381" s="9">
        <f t="shared" si="224"/>
        <v>0</v>
      </c>
      <c r="K381" s="47" t="s">
        <v>84</v>
      </c>
      <c r="L381" s="49">
        <v>0</v>
      </c>
      <c r="M381" s="49">
        <v>0</v>
      </c>
      <c r="N381" s="49">
        <v>0</v>
      </c>
      <c r="O381" s="49">
        <v>0</v>
      </c>
      <c r="Q381" s="5"/>
    </row>
    <row r="382" spans="1:17" ht="16.5">
      <c r="A382" s="60" t="str">
        <f t="shared" si="220"/>
        <v>I73X</v>
      </c>
      <c r="B382" s="124" t="s">
        <v>4</v>
      </c>
      <c r="C382" s="126">
        <v>249769</v>
      </c>
      <c r="D382" s="126">
        <f t="shared" si="226"/>
        <v>0</v>
      </c>
      <c r="E382" s="126">
        <f t="shared" si="222"/>
        <v>0</v>
      </c>
      <c r="F382" s="126">
        <f t="shared" si="223"/>
        <v>0</v>
      </c>
      <c r="G382" s="126">
        <f t="shared" si="219"/>
        <v>0</v>
      </c>
      <c r="H382" s="126">
        <v>249769</v>
      </c>
      <c r="I382" s="126">
        <f t="shared" ref="I382:I385" si="227">+C382+D382-E382-F382+G382</f>
        <v>249769</v>
      </c>
      <c r="J382" s="9">
        <f t="shared" si="224"/>
        <v>0</v>
      </c>
      <c r="K382" s="47" t="s">
        <v>83</v>
      </c>
      <c r="L382" s="49">
        <v>0</v>
      </c>
      <c r="M382" s="49">
        <v>0</v>
      </c>
      <c r="N382" s="49">
        <v>0</v>
      </c>
      <c r="O382" s="49">
        <v>0</v>
      </c>
      <c r="Q382" s="5"/>
    </row>
    <row r="383" spans="1:17" ht="16.5">
      <c r="A383" s="60" t="str">
        <f t="shared" si="220"/>
        <v>Grace</v>
      </c>
      <c r="B383" s="104" t="s">
        <v>2</v>
      </c>
      <c r="C383" s="63">
        <v>28600</v>
      </c>
      <c r="D383" s="63">
        <f t="shared" si="226"/>
        <v>389000</v>
      </c>
      <c r="E383" s="63">
        <f t="shared" si="222"/>
        <v>87785</v>
      </c>
      <c r="F383" s="63">
        <f t="shared" si="223"/>
        <v>311000</v>
      </c>
      <c r="G383" s="63">
        <f t="shared" si="219"/>
        <v>0</v>
      </c>
      <c r="H383" s="63">
        <v>18815</v>
      </c>
      <c r="I383" s="63">
        <f t="shared" si="227"/>
        <v>18815</v>
      </c>
      <c r="J383" s="9">
        <f t="shared" si="224"/>
        <v>0</v>
      </c>
      <c r="K383" s="47" t="s">
        <v>150</v>
      </c>
      <c r="L383" s="49">
        <v>389000</v>
      </c>
      <c r="M383" s="49">
        <v>311000</v>
      </c>
      <c r="N383" s="49">
        <v>87785</v>
      </c>
      <c r="O383" s="49">
        <v>0</v>
      </c>
      <c r="Q383" s="5"/>
    </row>
    <row r="384" spans="1:17" ht="16.5">
      <c r="A384" s="60" t="str">
        <f t="shared" si="220"/>
        <v>Hurielle</v>
      </c>
      <c r="B384" s="227" t="s">
        <v>161</v>
      </c>
      <c r="C384" s="63">
        <v>18000</v>
      </c>
      <c r="D384" s="63">
        <f t="shared" si="226"/>
        <v>354000</v>
      </c>
      <c r="E384" s="63">
        <f t="shared" si="222"/>
        <v>335500</v>
      </c>
      <c r="F384" s="63">
        <f t="shared" si="223"/>
        <v>0</v>
      </c>
      <c r="G384" s="63">
        <f t="shared" si="219"/>
        <v>0</v>
      </c>
      <c r="H384" s="63">
        <v>36500</v>
      </c>
      <c r="I384" s="63">
        <f t="shared" si="227"/>
        <v>36500</v>
      </c>
      <c r="J384" s="9">
        <f>I384-H384</f>
        <v>0</v>
      </c>
      <c r="K384" s="47" t="s">
        <v>204</v>
      </c>
      <c r="L384" s="49">
        <v>354000</v>
      </c>
      <c r="M384" s="49">
        <v>0</v>
      </c>
      <c r="N384" s="49">
        <v>335500</v>
      </c>
      <c r="O384" s="49">
        <v>0</v>
      </c>
      <c r="Q384" s="5"/>
    </row>
    <row r="385" spans="1:17" ht="16.5">
      <c r="A385" s="60" t="str">
        <f t="shared" si="220"/>
        <v>I23C</v>
      </c>
      <c r="B385" s="228" t="s">
        <v>4</v>
      </c>
      <c r="C385" s="63">
        <v>262050</v>
      </c>
      <c r="D385" s="63">
        <f t="shared" si="226"/>
        <v>602000</v>
      </c>
      <c r="E385" s="63">
        <f t="shared" si="222"/>
        <v>784500</v>
      </c>
      <c r="F385" s="63">
        <f t="shared" si="223"/>
        <v>0</v>
      </c>
      <c r="G385" s="63">
        <f t="shared" si="219"/>
        <v>0</v>
      </c>
      <c r="H385" s="63">
        <v>79550</v>
      </c>
      <c r="I385" s="63">
        <f t="shared" si="227"/>
        <v>79550</v>
      </c>
      <c r="J385" s="9">
        <f t="shared" ref="J385:J386" si="228">I385-H385</f>
        <v>0</v>
      </c>
      <c r="K385" s="47" t="s">
        <v>30</v>
      </c>
      <c r="L385" s="49">
        <v>602000</v>
      </c>
      <c r="M385" s="49">
        <v>0</v>
      </c>
      <c r="N385" s="49">
        <v>784500</v>
      </c>
      <c r="O385" s="49">
        <v>0</v>
      </c>
      <c r="Q385" s="5"/>
    </row>
    <row r="386" spans="1:17" ht="16.5">
      <c r="A386" s="60" t="str">
        <f t="shared" si="220"/>
        <v>Merveille</v>
      </c>
      <c r="B386" s="227" t="s">
        <v>2</v>
      </c>
      <c r="C386" s="63">
        <v>11900</v>
      </c>
      <c r="D386" s="63">
        <f t="shared" si="226"/>
        <v>96000</v>
      </c>
      <c r="E386" s="63">
        <f t="shared" si="222"/>
        <v>72000</v>
      </c>
      <c r="F386" s="63">
        <f t="shared" si="223"/>
        <v>30000</v>
      </c>
      <c r="G386" s="63">
        <f t="shared" si="219"/>
        <v>0</v>
      </c>
      <c r="H386" s="63">
        <v>5900</v>
      </c>
      <c r="I386" s="63">
        <f>+C386+D386-E386-F386+G386</f>
        <v>5900</v>
      </c>
      <c r="J386" s="9">
        <f t="shared" si="228"/>
        <v>0</v>
      </c>
      <c r="K386" s="47" t="s">
        <v>93</v>
      </c>
      <c r="L386" s="49">
        <v>96000</v>
      </c>
      <c r="M386" s="49">
        <v>30000</v>
      </c>
      <c r="N386" s="49">
        <v>72000</v>
      </c>
      <c r="O386" s="49">
        <v>0</v>
      </c>
      <c r="Q386" s="5"/>
    </row>
    <row r="387" spans="1:17" ht="16.5">
      <c r="A387" s="60" t="str">
        <f t="shared" si="220"/>
        <v>P29</v>
      </c>
      <c r="B387" s="227" t="s">
        <v>4</v>
      </c>
      <c r="C387" s="63">
        <v>221050</v>
      </c>
      <c r="D387" s="63">
        <f t="shared" si="226"/>
        <v>608500</v>
      </c>
      <c r="E387" s="63">
        <f t="shared" si="222"/>
        <v>799700</v>
      </c>
      <c r="F387" s="63">
        <f t="shared" si="223"/>
        <v>0</v>
      </c>
      <c r="G387" s="63">
        <f>+O387</f>
        <v>0</v>
      </c>
      <c r="H387" s="63">
        <v>29850</v>
      </c>
      <c r="I387" s="63">
        <f>+C387+D387-E387-F387+G387</f>
        <v>29850</v>
      </c>
      <c r="J387" s="9">
        <f>I387-H387</f>
        <v>0</v>
      </c>
      <c r="K387" s="47" t="s">
        <v>29</v>
      </c>
      <c r="L387" s="49">
        <v>608500</v>
      </c>
      <c r="M387" s="49">
        <v>0</v>
      </c>
      <c r="N387" s="49">
        <v>799700</v>
      </c>
      <c r="O387" s="49">
        <v>0</v>
      </c>
      <c r="Q387" s="5"/>
    </row>
    <row r="388" spans="1:17" ht="16.5">
      <c r="A388" s="60" t="str">
        <f t="shared" si="220"/>
        <v>Tiffany</v>
      </c>
      <c r="B388" s="61" t="s">
        <v>2</v>
      </c>
      <c r="C388" s="63">
        <v>-3959</v>
      </c>
      <c r="D388" s="63">
        <f t="shared" si="226"/>
        <v>1340000</v>
      </c>
      <c r="E388" s="63">
        <f t="shared" si="222"/>
        <v>12500</v>
      </c>
      <c r="F388" s="63">
        <f t="shared" si="223"/>
        <v>200000</v>
      </c>
      <c r="G388" s="63">
        <f t="shared" ref="G388:G389" si="229">+O388</f>
        <v>0</v>
      </c>
      <c r="H388" s="63">
        <v>1123541</v>
      </c>
      <c r="I388" s="63">
        <f t="shared" ref="I388" si="230">+C388+D388-E388-F388+G388</f>
        <v>1123541</v>
      </c>
      <c r="J388" s="9">
        <f t="shared" ref="J388" si="231">I388-H388</f>
        <v>0</v>
      </c>
      <c r="K388" s="47" t="s">
        <v>113</v>
      </c>
      <c r="L388" s="49">
        <v>1340000</v>
      </c>
      <c r="M388" s="49">
        <v>200000</v>
      </c>
      <c r="N388" s="49">
        <v>12500</v>
      </c>
      <c r="O388" s="49">
        <v>0</v>
      </c>
      <c r="Q388" s="5"/>
    </row>
    <row r="389" spans="1:17" ht="16.5">
      <c r="A389" s="60" t="str">
        <f t="shared" si="220"/>
        <v>Yan</v>
      </c>
      <c r="B389" s="61" t="s">
        <v>161</v>
      </c>
      <c r="C389" s="63">
        <v>95000</v>
      </c>
      <c r="D389" s="63">
        <f t="shared" si="226"/>
        <v>248500</v>
      </c>
      <c r="E389" s="63">
        <f t="shared" si="222"/>
        <v>283500</v>
      </c>
      <c r="F389" s="63">
        <f t="shared" si="223"/>
        <v>60000</v>
      </c>
      <c r="G389" s="63">
        <f t="shared" si="229"/>
        <v>0</v>
      </c>
      <c r="H389" s="63">
        <v>0</v>
      </c>
      <c r="I389" s="63">
        <f>+C389+D389-E389-F389+G389</f>
        <v>0</v>
      </c>
      <c r="J389" s="9">
        <f>I389-H389</f>
        <v>0</v>
      </c>
      <c r="K389" s="47" t="s">
        <v>219</v>
      </c>
      <c r="L389" s="49">
        <v>248500</v>
      </c>
      <c r="M389" s="49">
        <v>60000</v>
      </c>
      <c r="N389" s="49">
        <v>283500</v>
      </c>
      <c r="O389" s="49">
        <v>0</v>
      </c>
      <c r="Q389" s="5"/>
    </row>
    <row r="390" spans="1:17" ht="16.5">
      <c r="A390" s="10" t="s">
        <v>50</v>
      </c>
      <c r="B390" s="11"/>
      <c r="C390" s="12">
        <f t="shared" ref="C390:I390" si="232">SUM(C376:C389)</f>
        <v>11968765</v>
      </c>
      <c r="D390" s="59">
        <f t="shared" si="232"/>
        <v>9353500</v>
      </c>
      <c r="E390" s="59">
        <f t="shared" si="232"/>
        <v>8845768</v>
      </c>
      <c r="F390" s="59">
        <f t="shared" si="232"/>
        <v>9353500</v>
      </c>
      <c r="G390" s="59">
        <f t="shared" si="232"/>
        <v>20402887</v>
      </c>
      <c r="H390" s="59">
        <f t="shared" si="232"/>
        <v>23525884</v>
      </c>
      <c r="I390" s="59">
        <f t="shared" si="232"/>
        <v>23525884</v>
      </c>
      <c r="J390" s="9">
        <f>I390-H390</f>
        <v>0</v>
      </c>
      <c r="K390" s="3"/>
      <c r="L390" s="49">
        <f>+SUM(L376:L389)</f>
        <v>9353500</v>
      </c>
      <c r="M390" s="49">
        <f>+SUM(M376:M389)</f>
        <v>9353500</v>
      </c>
      <c r="N390" s="49">
        <f>+SUM(N376:N389)</f>
        <v>8845768</v>
      </c>
      <c r="O390" s="49">
        <f>+SUM(O376:O388)</f>
        <v>20402887</v>
      </c>
      <c r="Q390" s="5"/>
    </row>
    <row r="391" spans="1:17" ht="16.5">
      <c r="A391" s="10"/>
      <c r="B391" s="11"/>
      <c r="C391" s="12"/>
      <c r="D391" s="13"/>
      <c r="E391" s="12"/>
      <c r="F391" s="13"/>
      <c r="G391" s="12"/>
      <c r="H391" s="12"/>
      <c r="I391" s="143" t="b">
        <f>I390=D393</f>
        <v>1</v>
      </c>
      <c r="L391" s="5"/>
      <c r="M391" s="5"/>
      <c r="N391" s="5"/>
      <c r="O391" s="5"/>
      <c r="Q391" s="5"/>
    </row>
    <row r="392" spans="1:17" ht="16.5">
      <c r="A392" s="10" t="s">
        <v>234</v>
      </c>
      <c r="B392" s="11" t="s">
        <v>242</v>
      </c>
      <c r="C392" s="12" t="s">
        <v>235</v>
      </c>
      <c r="D392" s="12" t="s">
        <v>236</v>
      </c>
      <c r="E392" s="12" t="s">
        <v>51</v>
      </c>
      <c r="F392" s="12"/>
      <c r="G392" s="12">
        <f>+D390-F390</f>
        <v>0</v>
      </c>
      <c r="H392" s="12"/>
      <c r="I392" s="12"/>
      <c r="Q392" s="5"/>
    </row>
    <row r="393" spans="1:17" ht="16.5">
      <c r="A393" s="14">
        <f>C390</f>
        <v>11968765</v>
      </c>
      <c r="B393" s="15">
        <f>G390</f>
        <v>20402887</v>
      </c>
      <c r="C393" s="12">
        <f>E390</f>
        <v>8845768</v>
      </c>
      <c r="D393" s="12">
        <f>A393+B393-C393</f>
        <v>23525884</v>
      </c>
      <c r="E393" s="13">
        <f>I390-D393</f>
        <v>0</v>
      </c>
      <c r="F393" s="12"/>
      <c r="G393" s="12"/>
      <c r="H393" s="12"/>
      <c r="I393" s="12"/>
      <c r="Q393" s="5"/>
    </row>
    <row r="394" spans="1:17" ht="16.5">
      <c r="A394" s="14"/>
      <c r="B394" s="15"/>
      <c r="C394" s="12"/>
      <c r="D394" s="12"/>
      <c r="E394" s="13"/>
      <c r="F394" s="12"/>
      <c r="G394" s="12"/>
      <c r="H394" s="12"/>
      <c r="I394" s="12"/>
      <c r="Q394" s="5"/>
    </row>
    <row r="395" spans="1:17">
      <c r="A395" s="16" t="s">
        <v>52</v>
      </c>
      <c r="B395" s="16"/>
      <c r="C395" s="16"/>
      <c r="D395" s="17"/>
      <c r="E395" s="17"/>
      <c r="F395" s="17"/>
      <c r="G395" s="17"/>
      <c r="H395" s="17"/>
      <c r="I395" s="17"/>
      <c r="Q395" s="5"/>
    </row>
    <row r="396" spans="1:17">
      <c r="A396" s="18" t="s">
        <v>233</v>
      </c>
      <c r="B396" s="18"/>
      <c r="C396" s="18"/>
      <c r="D396" s="18"/>
      <c r="E396" s="18"/>
      <c r="F396" s="18"/>
      <c r="G396" s="18"/>
      <c r="H396" s="18"/>
      <c r="I396" s="18"/>
      <c r="J396" s="18"/>
      <c r="Q396" s="5"/>
    </row>
    <row r="397" spans="1:17">
      <c r="A397" s="19"/>
      <c r="B397" s="20"/>
      <c r="C397" s="21"/>
      <c r="D397" s="21"/>
      <c r="E397" s="21"/>
      <c r="F397" s="21"/>
      <c r="G397" s="21"/>
      <c r="H397" s="20"/>
      <c r="I397" s="20"/>
      <c r="Q397" s="5"/>
    </row>
    <row r="398" spans="1:17">
      <c r="A398" s="259" t="s">
        <v>53</v>
      </c>
      <c r="B398" s="261" t="s">
        <v>54</v>
      </c>
      <c r="C398" s="263" t="s">
        <v>231</v>
      </c>
      <c r="D398" s="265" t="s">
        <v>55</v>
      </c>
      <c r="E398" s="266"/>
      <c r="F398" s="266"/>
      <c r="G398" s="267"/>
      <c r="H398" s="268" t="s">
        <v>56</v>
      </c>
      <c r="I398" s="270" t="s">
        <v>57</v>
      </c>
      <c r="J398" s="20"/>
      <c r="Q398" s="5"/>
    </row>
    <row r="399" spans="1:17" ht="28.5" customHeight="1">
      <c r="A399" s="260"/>
      <c r="B399" s="262"/>
      <c r="C399" s="264"/>
      <c r="D399" s="22" t="s">
        <v>24</v>
      </c>
      <c r="E399" s="22" t="s">
        <v>25</v>
      </c>
      <c r="F399" s="264" t="s">
        <v>123</v>
      </c>
      <c r="G399" s="22" t="s">
        <v>58</v>
      </c>
      <c r="H399" s="269"/>
      <c r="I399" s="271"/>
      <c r="J399" s="272" t="s">
        <v>232</v>
      </c>
      <c r="K399" s="155"/>
      <c r="Q399" s="5"/>
    </row>
    <row r="400" spans="1:17">
      <c r="A400" s="24"/>
      <c r="B400" s="25" t="s">
        <v>59</v>
      </c>
      <c r="C400" s="26"/>
      <c r="D400" s="26"/>
      <c r="E400" s="26"/>
      <c r="F400" s="26"/>
      <c r="G400" s="26"/>
      <c r="H400" s="26"/>
      <c r="I400" s="27"/>
      <c r="J400" s="273"/>
      <c r="K400" s="155"/>
      <c r="Q400" s="5"/>
    </row>
    <row r="401" spans="1:17">
      <c r="A401" s="130" t="s">
        <v>72</v>
      </c>
      <c r="B401" s="135" t="s">
        <v>47</v>
      </c>
      <c r="C401" s="33">
        <f>+C379</f>
        <v>9800</v>
      </c>
      <c r="D401" s="32"/>
      <c r="E401" s="33">
        <f t="shared" ref="E401:E411" si="233">+D379</f>
        <v>1043000</v>
      </c>
      <c r="F401" s="33"/>
      <c r="G401" s="33"/>
      <c r="H401" s="57">
        <f t="shared" ref="H401:H411" si="234">+F379</f>
        <v>82500</v>
      </c>
      <c r="I401" s="33">
        <f t="shared" ref="I401:I411" si="235">+E379</f>
        <v>975940</v>
      </c>
      <c r="J401" s="31">
        <f t="shared" ref="J401:J402" si="236">+SUM(C401:G401)-(H401+I401)</f>
        <v>-5640</v>
      </c>
      <c r="K401" s="156" t="b">
        <f t="shared" ref="K401:K411" si="237">J401=I379</f>
        <v>1</v>
      </c>
      <c r="Q401" s="5"/>
    </row>
    <row r="402" spans="1:17">
      <c r="A402" s="130" t="str">
        <f>+A401</f>
        <v>JUILLET</v>
      </c>
      <c r="B402" s="135" t="s">
        <v>31</v>
      </c>
      <c r="C402" s="33">
        <f>+C380</f>
        <v>2295</v>
      </c>
      <c r="D402" s="32"/>
      <c r="E402" s="33">
        <f t="shared" si="233"/>
        <v>242500</v>
      </c>
      <c r="F402" s="33"/>
      <c r="G402" s="33"/>
      <c r="H402" s="57">
        <f t="shared" si="234"/>
        <v>0</v>
      </c>
      <c r="I402" s="33">
        <f t="shared" si="235"/>
        <v>240000</v>
      </c>
      <c r="J402" s="107">
        <f t="shared" si="236"/>
        <v>4795</v>
      </c>
      <c r="K402" s="156" t="b">
        <f t="shared" si="237"/>
        <v>1</v>
      </c>
      <c r="Q402" s="5"/>
    </row>
    <row r="403" spans="1:17">
      <c r="A403" s="130" t="str">
        <f t="shared" ref="A403:A407" si="238">+A402</f>
        <v>JUILLET</v>
      </c>
      <c r="B403" s="137" t="s">
        <v>84</v>
      </c>
      <c r="C403" s="128">
        <f>+C381</f>
        <v>233614</v>
      </c>
      <c r="D403" s="131"/>
      <c r="E403" s="128">
        <f t="shared" si="233"/>
        <v>0</v>
      </c>
      <c r="F403" s="146"/>
      <c r="G403" s="146"/>
      <c r="H403" s="178">
        <f t="shared" si="234"/>
        <v>0</v>
      </c>
      <c r="I403" s="128">
        <f t="shared" si="235"/>
        <v>0</v>
      </c>
      <c r="J403" s="129">
        <f>+SUM(C403:G403)-(H403+I403)</f>
        <v>233614</v>
      </c>
      <c r="K403" s="156" t="b">
        <f t="shared" si="237"/>
        <v>1</v>
      </c>
      <c r="Q403" s="5"/>
    </row>
    <row r="404" spans="1:17">
      <c r="A404" s="130" t="str">
        <f t="shared" si="238"/>
        <v>JUILLET</v>
      </c>
      <c r="B404" s="137" t="s">
        <v>83</v>
      </c>
      <c r="C404" s="128">
        <f>+C382</f>
        <v>249769</v>
      </c>
      <c r="D404" s="131"/>
      <c r="E404" s="128">
        <f t="shared" si="233"/>
        <v>0</v>
      </c>
      <c r="F404" s="146"/>
      <c r="G404" s="146"/>
      <c r="H404" s="178">
        <f t="shared" si="234"/>
        <v>0</v>
      </c>
      <c r="I404" s="128">
        <f t="shared" si="235"/>
        <v>0</v>
      </c>
      <c r="J404" s="129">
        <f t="shared" ref="J404:J411" si="239">+SUM(C404:G404)-(H404+I404)</f>
        <v>249769</v>
      </c>
      <c r="K404" s="156" t="b">
        <f t="shared" si="237"/>
        <v>1</v>
      </c>
      <c r="Q404" s="5"/>
    </row>
    <row r="405" spans="1:17">
      <c r="A405" s="130" t="str">
        <f t="shared" si="238"/>
        <v>JUILLET</v>
      </c>
      <c r="B405" s="135" t="s">
        <v>150</v>
      </c>
      <c r="C405" s="33">
        <f>+C383</f>
        <v>28600</v>
      </c>
      <c r="D405" s="32"/>
      <c r="E405" s="33">
        <f t="shared" si="233"/>
        <v>389000</v>
      </c>
      <c r="F405" s="33"/>
      <c r="G405" s="110"/>
      <c r="H405" s="57">
        <f t="shared" si="234"/>
        <v>311000</v>
      </c>
      <c r="I405" s="33">
        <f t="shared" si="235"/>
        <v>87785</v>
      </c>
      <c r="J405" s="31">
        <f t="shared" si="239"/>
        <v>18815</v>
      </c>
      <c r="K405" s="156" t="b">
        <f t="shared" si="237"/>
        <v>1</v>
      </c>
      <c r="Q405" s="5"/>
    </row>
    <row r="406" spans="1:17">
      <c r="A406" s="130" t="str">
        <f t="shared" si="238"/>
        <v>JUILLET</v>
      </c>
      <c r="B406" s="135" t="s">
        <v>204</v>
      </c>
      <c r="C406" s="33">
        <f t="shared" ref="C406:C411" si="240">+C384</f>
        <v>18000</v>
      </c>
      <c r="D406" s="32"/>
      <c r="E406" s="33">
        <f t="shared" si="233"/>
        <v>354000</v>
      </c>
      <c r="F406" s="33"/>
      <c r="G406" s="110"/>
      <c r="H406" s="57">
        <f t="shared" si="234"/>
        <v>0</v>
      </c>
      <c r="I406" s="33">
        <f t="shared" si="235"/>
        <v>335500</v>
      </c>
      <c r="J406" s="31">
        <f t="shared" si="239"/>
        <v>36500</v>
      </c>
      <c r="K406" s="156" t="b">
        <f t="shared" si="237"/>
        <v>1</v>
      </c>
      <c r="Q406" s="5"/>
    </row>
    <row r="407" spans="1:17">
      <c r="A407" s="130" t="str">
        <f t="shared" si="238"/>
        <v>JUILLET</v>
      </c>
      <c r="B407" s="135" t="s">
        <v>30</v>
      </c>
      <c r="C407" s="33">
        <f t="shared" si="240"/>
        <v>262050</v>
      </c>
      <c r="D407" s="32"/>
      <c r="E407" s="33">
        <f t="shared" si="233"/>
        <v>602000</v>
      </c>
      <c r="F407" s="33"/>
      <c r="G407" s="110"/>
      <c r="H407" s="57">
        <f t="shared" si="234"/>
        <v>0</v>
      </c>
      <c r="I407" s="33">
        <f t="shared" si="235"/>
        <v>784500</v>
      </c>
      <c r="J407" s="31">
        <f t="shared" si="239"/>
        <v>79550</v>
      </c>
      <c r="K407" s="156" t="b">
        <f t="shared" si="237"/>
        <v>1</v>
      </c>
      <c r="Q407" s="5"/>
    </row>
    <row r="408" spans="1:17">
      <c r="A408" s="130" t="str">
        <f>+A406</f>
        <v>JUILLET</v>
      </c>
      <c r="B408" s="135" t="s">
        <v>93</v>
      </c>
      <c r="C408" s="33">
        <f t="shared" si="240"/>
        <v>11900</v>
      </c>
      <c r="D408" s="32"/>
      <c r="E408" s="33">
        <f t="shared" si="233"/>
        <v>96000</v>
      </c>
      <c r="F408" s="33"/>
      <c r="G408" s="110"/>
      <c r="H408" s="57">
        <f t="shared" si="234"/>
        <v>30000</v>
      </c>
      <c r="I408" s="33">
        <f t="shared" si="235"/>
        <v>72000</v>
      </c>
      <c r="J408" s="31">
        <f t="shared" si="239"/>
        <v>5900</v>
      </c>
      <c r="K408" s="156" t="b">
        <f t="shared" si="237"/>
        <v>1</v>
      </c>
      <c r="Q408" s="5"/>
    </row>
    <row r="409" spans="1:17">
      <c r="A409" s="130" t="str">
        <f>+A407</f>
        <v>JUILLET</v>
      </c>
      <c r="B409" s="135" t="s">
        <v>29</v>
      </c>
      <c r="C409" s="33">
        <f t="shared" si="240"/>
        <v>221050</v>
      </c>
      <c r="D409" s="32"/>
      <c r="E409" s="33">
        <f t="shared" si="233"/>
        <v>608500</v>
      </c>
      <c r="F409" s="33"/>
      <c r="G409" s="110"/>
      <c r="H409" s="57">
        <f t="shared" si="234"/>
        <v>0</v>
      </c>
      <c r="I409" s="33">
        <f t="shared" si="235"/>
        <v>799700</v>
      </c>
      <c r="J409" s="31">
        <f t="shared" si="239"/>
        <v>29850</v>
      </c>
      <c r="K409" s="156" t="b">
        <f t="shared" si="237"/>
        <v>1</v>
      </c>
      <c r="Q409" s="5"/>
    </row>
    <row r="410" spans="1:17">
      <c r="A410" s="130" t="str">
        <f>+A408</f>
        <v>JUILLET</v>
      </c>
      <c r="B410" s="136" t="s">
        <v>113</v>
      </c>
      <c r="C410" s="33">
        <f t="shared" si="240"/>
        <v>-3959</v>
      </c>
      <c r="D410" s="127"/>
      <c r="E410" s="33">
        <f t="shared" si="233"/>
        <v>1340000</v>
      </c>
      <c r="F410" s="53"/>
      <c r="G410" s="147"/>
      <c r="H410" s="57">
        <f t="shared" si="234"/>
        <v>200000</v>
      </c>
      <c r="I410" s="33">
        <f t="shared" si="235"/>
        <v>12500</v>
      </c>
      <c r="J410" s="31">
        <f t="shared" si="239"/>
        <v>1123541</v>
      </c>
      <c r="K410" s="156" t="b">
        <f t="shared" si="237"/>
        <v>1</v>
      </c>
      <c r="Q410" s="5"/>
    </row>
    <row r="411" spans="1:17">
      <c r="A411" s="130" t="str">
        <f>+A409</f>
        <v>JUILLET</v>
      </c>
      <c r="B411" s="136" t="s">
        <v>219</v>
      </c>
      <c r="C411" s="33">
        <f t="shared" si="240"/>
        <v>95000</v>
      </c>
      <c r="D411" s="127"/>
      <c r="E411" s="33">
        <f t="shared" si="233"/>
        <v>248500</v>
      </c>
      <c r="F411" s="53"/>
      <c r="G411" s="147"/>
      <c r="H411" s="57">
        <f t="shared" si="234"/>
        <v>60000</v>
      </c>
      <c r="I411" s="33">
        <f t="shared" si="235"/>
        <v>283500</v>
      </c>
      <c r="J411" s="31">
        <f t="shared" si="239"/>
        <v>0</v>
      </c>
      <c r="K411" s="156" t="b">
        <f t="shared" si="237"/>
        <v>1</v>
      </c>
      <c r="Q411" s="5"/>
    </row>
    <row r="412" spans="1:17">
      <c r="A412" s="35" t="s">
        <v>60</v>
      </c>
      <c r="B412" s="36"/>
      <c r="C412" s="36"/>
      <c r="D412" s="36"/>
      <c r="E412" s="36"/>
      <c r="F412" s="36"/>
      <c r="G412" s="36"/>
      <c r="H412" s="36"/>
      <c r="I412" s="36"/>
      <c r="J412" s="37"/>
      <c r="K412" s="155"/>
      <c r="Q412" s="5"/>
    </row>
    <row r="413" spans="1:17">
      <c r="A413" s="130" t="str">
        <f>+A411</f>
        <v>JUILLET</v>
      </c>
      <c r="B413" s="38" t="s">
        <v>61</v>
      </c>
      <c r="C413" s="39">
        <f>+C378</f>
        <v>1696326</v>
      </c>
      <c r="D413" s="51"/>
      <c r="E413" s="51">
        <f>D378</f>
        <v>4430000</v>
      </c>
      <c r="F413" s="51"/>
      <c r="G413" s="133"/>
      <c r="H413" s="53">
        <f>+F378</f>
        <v>4570000</v>
      </c>
      <c r="I413" s="134">
        <f>+E378</f>
        <v>1453294</v>
      </c>
      <c r="J413" s="46">
        <f>+SUM(C413:G413)-(H413+I413)</f>
        <v>103032</v>
      </c>
      <c r="K413" s="156" t="b">
        <f>J413=I378</f>
        <v>1</v>
      </c>
      <c r="Q413" s="5"/>
    </row>
    <row r="414" spans="1:17">
      <c r="A414" s="44" t="s">
        <v>62</v>
      </c>
      <c r="B414" s="25"/>
      <c r="C414" s="36"/>
      <c r="D414" s="25"/>
      <c r="E414" s="25"/>
      <c r="F414" s="25"/>
      <c r="G414" s="25"/>
      <c r="H414" s="25"/>
      <c r="I414" s="25"/>
      <c r="J414" s="37"/>
      <c r="K414" s="155"/>
      <c r="Q414" s="5"/>
    </row>
    <row r="415" spans="1:17">
      <c r="A415" s="130" t="str">
        <f>+A413</f>
        <v>JUILLET</v>
      </c>
      <c r="B415" s="38" t="s">
        <v>163</v>
      </c>
      <c r="C415" s="133">
        <f>+C376</f>
        <v>4291693</v>
      </c>
      <c r="D415" s="140">
        <f>+G376</f>
        <v>0</v>
      </c>
      <c r="E415" s="51"/>
      <c r="F415" s="51"/>
      <c r="G415" s="51"/>
      <c r="H415" s="53">
        <f>+F376</f>
        <v>4100000</v>
      </c>
      <c r="I415" s="55">
        <f>+E376</f>
        <v>23345</v>
      </c>
      <c r="J415" s="46">
        <f>+SUM(C415:G415)-(H415+I415)</f>
        <v>168348</v>
      </c>
      <c r="K415" s="156" t="b">
        <f>+J415=I376</f>
        <v>1</v>
      </c>
      <c r="Q415" s="5"/>
    </row>
    <row r="416" spans="1:17">
      <c r="A416" s="130" t="str">
        <f t="shared" ref="A416" si="241">+A415</f>
        <v>JUILLET</v>
      </c>
      <c r="B416" s="38" t="s">
        <v>64</v>
      </c>
      <c r="C416" s="133">
        <f>+C377</f>
        <v>4852627</v>
      </c>
      <c r="D416" s="51">
        <f>+G377</f>
        <v>20402887</v>
      </c>
      <c r="E416" s="50"/>
      <c r="F416" s="50"/>
      <c r="G416" s="50"/>
      <c r="H416" s="33">
        <f>+F377</f>
        <v>0</v>
      </c>
      <c r="I416" s="52">
        <f>+E377</f>
        <v>3777704</v>
      </c>
      <c r="J416" s="46">
        <f>SUM(C416:G416)-(H416+I416)</f>
        <v>21477810</v>
      </c>
      <c r="K416" s="156" t="b">
        <f>+J416=I377</f>
        <v>1</v>
      </c>
      <c r="Q416" s="5"/>
    </row>
    <row r="417" spans="1:17" ht="15.75">
      <c r="C417" s="151">
        <f>SUM(C401:C416)</f>
        <v>11968765</v>
      </c>
      <c r="I417" s="149">
        <f>SUM(I401:I416)</f>
        <v>8845768</v>
      </c>
      <c r="J417" s="111">
        <f>+SUM(J401:J416)</f>
        <v>23525884</v>
      </c>
      <c r="K417" s="5" t="b">
        <f>J417=I390</f>
        <v>1</v>
      </c>
      <c r="Q417" s="5"/>
    </row>
    <row r="418" spans="1:17" ht="15.75">
      <c r="A418" s="189"/>
      <c r="B418" s="189"/>
      <c r="C418" s="190"/>
      <c r="D418" s="189"/>
      <c r="E418" s="189"/>
      <c r="F418" s="189"/>
      <c r="G418" s="189"/>
      <c r="H418" s="189"/>
      <c r="I418" s="191"/>
      <c r="J418" s="192"/>
      <c r="K418" s="189"/>
      <c r="L418" s="193"/>
      <c r="M418" s="193"/>
      <c r="N418" s="193"/>
      <c r="O418" s="193"/>
      <c r="P418" s="189"/>
      <c r="Q418" s="5"/>
    </row>
    <row r="421" spans="1:17" ht="15.75">
      <c r="A421" s="6" t="s">
        <v>36</v>
      </c>
      <c r="B421" s="6" t="s">
        <v>1</v>
      </c>
      <c r="C421" s="6">
        <v>44713</v>
      </c>
      <c r="D421" s="7" t="s">
        <v>37</v>
      </c>
      <c r="E421" s="7" t="s">
        <v>38</v>
      </c>
      <c r="F421" s="7" t="s">
        <v>39</v>
      </c>
      <c r="G421" s="7" t="s">
        <v>40</v>
      </c>
      <c r="H421" s="6">
        <v>44742</v>
      </c>
      <c r="I421" s="7" t="s">
        <v>41</v>
      </c>
      <c r="K421" s="47"/>
      <c r="L421" s="47" t="s">
        <v>42</v>
      </c>
      <c r="M421" s="47" t="s">
        <v>43</v>
      </c>
      <c r="N421" s="47" t="s">
        <v>44</v>
      </c>
      <c r="O421" s="47" t="s">
        <v>45</v>
      </c>
      <c r="Q421" s="5"/>
    </row>
    <row r="422" spans="1:17" ht="16.5">
      <c r="A422" s="60" t="str">
        <f>K422</f>
        <v>BCI</v>
      </c>
      <c r="B422" s="61" t="s">
        <v>46</v>
      </c>
      <c r="C422" s="63">
        <v>8575038</v>
      </c>
      <c r="D422" s="63">
        <f>+L422</f>
        <v>0</v>
      </c>
      <c r="E422" s="63">
        <f>+N422</f>
        <v>283345</v>
      </c>
      <c r="F422" s="63">
        <f>+M422</f>
        <v>4000000</v>
      </c>
      <c r="G422" s="63">
        <f t="shared" ref="G422:G432" si="242">+O422</f>
        <v>0</v>
      </c>
      <c r="H422" s="63">
        <v>4291693</v>
      </c>
      <c r="I422" s="63">
        <f>+C422+D422-E422-F422+G422</f>
        <v>4291693</v>
      </c>
      <c r="J422" s="9">
        <f>I422-H422</f>
        <v>0</v>
      </c>
      <c r="K422" s="47" t="s">
        <v>24</v>
      </c>
      <c r="L422" s="49">
        <v>0</v>
      </c>
      <c r="M422" s="49">
        <v>4000000</v>
      </c>
      <c r="N422" s="49">
        <v>283345</v>
      </c>
      <c r="O422" s="49">
        <v>0</v>
      </c>
      <c r="Q422" s="5"/>
    </row>
    <row r="423" spans="1:17" ht="16.5">
      <c r="A423" s="60" t="str">
        <f t="shared" ref="A423:A435" si="243">K423</f>
        <v>BCI-Sous Compte</v>
      </c>
      <c r="B423" s="61" t="s">
        <v>46</v>
      </c>
      <c r="C423" s="63">
        <v>12231533</v>
      </c>
      <c r="D423" s="63">
        <f t="shared" ref="D423:D435" si="244">+L423</f>
        <v>0</v>
      </c>
      <c r="E423" s="63">
        <f t="shared" ref="E423:E435" si="245">+N423</f>
        <v>5378906</v>
      </c>
      <c r="F423" s="63">
        <f t="shared" ref="F423:F435" si="246">+M423</f>
        <v>2000000</v>
      </c>
      <c r="G423" s="63">
        <f t="shared" si="242"/>
        <v>0</v>
      </c>
      <c r="H423" s="63">
        <v>4852627</v>
      </c>
      <c r="I423" s="63">
        <f>+C423+D423-E423-F423+G423</f>
        <v>4852627</v>
      </c>
      <c r="J423" s="9">
        <f t="shared" ref="J423:J429" si="247">I423-H423</f>
        <v>0</v>
      </c>
      <c r="K423" s="47" t="s">
        <v>155</v>
      </c>
      <c r="L423" s="49">
        <v>0</v>
      </c>
      <c r="M423" s="49">
        <v>2000000</v>
      </c>
      <c r="N423" s="49">
        <v>5378906</v>
      </c>
      <c r="O423" s="49">
        <v>0</v>
      </c>
      <c r="Q423" s="5"/>
    </row>
    <row r="424" spans="1:17" ht="16.5">
      <c r="A424" s="60" t="str">
        <f t="shared" si="243"/>
        <v>Caisse</v>
      </c>
      <c r="B424" s="61" t="s">
        <v>25</v>
      </c>
      <c r="C424" s="63">
        <v>1700406</v>
      </c>
      <c r="D424" s="63">
        <f t="shared" si="244"/>
        <v>6172450</v>
      </c>
      <c r="E424" s="63">
        <f t="shared" si="245"/>
        <v>2587130</v>
      </c>
      <c r="F424" s="63">
        <f t="shared" si="246"/>
        <v>3589400</v>
      </c>
      <c r="G424" s="63">
        <f t="shared" si="242"/>
        <v>0</v>
      </c>
      <c r="H424" s="63">
        <v>1696326</v>
      </c>
      <c r="I424" s="63">
        <f>+C424+D424-E424-F424+G424</f>
        <v>1696326</v>
      </c>
      <c r="J424" s="108">
        <f t="shared" si="247"/>
        <v>0</v>
      </c>
      <c r="K424" s="47" t="s">
        <v>25</v>
      </c>
      <c r="L424" s="49">
        <v>6172450</v>
      </c>
      <c r="M424" s="49">
        <v>3589400</v>
      </c>
      <c r="N424" s="49">
        <v>2587130</v>
      </c>
      <c r="O424" s="49">
        <v>0</v>
      </c>
      <c r="Q424" s="5"/>
    </row>
    <row r="425" spans="1:17" ht="16.5">
      <c r="A425" s="60" t="str">
        <f t="shared" si="243"/>
        <v>Crépin</v>
      </c>
      <c r="B425" s="61" t="s">
        <v>161</v>
      </c>
      <c r="C425" s="63">
        <v>15750</v>
      </c>
      <c r="D425" s="63">
        <f t="shared" si="244"/>
        <v>1223400</v>
      </c>
      <c r="E425" s="63">
        <f t="shared" si="245"/>
        <v>1184350</v>
      </c>
      <c r="F425" s="63">
        <f t="shared" si="246"/>
        <v>45000</v>
      </c>
      <c r="G425" s="63">
        <f t="shared" si="242"/>
        <v>0</v>
      </c>
      <c r="H425" s="63">
        <v>9800</v>
      </c>
      <c r="I425" s="63">
        <f>+C425+D425-E425-F425+G425</f>
        <v>9800</v>
      </c>
      <c r="J425" s="9">
        <f t="shared" si="247"/>
        <v>0</v>
      </c>
      <c r="K425" s="47" t="s">
        <v>47</v>
      </c>
      <c r="L425" s="49">
        <v>1223400</v>
      </c>
      <c r="M425" s="49">
        <v>45000</v>
      </c>
      <c r="N425" s="49">
        <v>1184350</v>
      </c>
      <c r="O425" s="49">
        <v>0</v>
      </c>
      <c r="Q425" s="5"/>
    </row>
    <row r="426" spans="1:17" ht="16.5">
      <c r="A426" s="60" t="str">
        <f t="shared" si="243"/>
        <v>Evariste</v>
      </c>
      <c r="B426" s="61" t="s">
        <v>162</v>
      </c>
      <c r="C426" s="63">
        <v>8795</v>
      </c>
      <c r="D426" s="63">
        <f t="shared" si="244"/>
        <v>248000</v>
      </c>
      <c r="E426" s="63">
        <f t="shared" si="245"/>
        <v>254500</v>
      </c>
      <c r="F426" s="63">
        <f t="shared" si="246"/>
        <v>0</v>
      </c>
      <c r="G426" s="63">
        <f t="shared" si="242"/>
        <v>0</v>
      </c>
      <c r="H426" s="63">
        <v>2295</v>
      </c>
      <c r="I426" s="63">
        <f t="shared" ref="I426" si="248">+C426+D426-E426-F426+G426</f>
        <v>2295</v>
      </c>
      <c r="J426" s="9">
        <f t="shared" si="247"/>
        <v>0</v>
      </c>
      <c r="K426" s="47" t="s">
        <v>31</v>
      </c>
      <c r="L426" s="49">
        <v>248000</v>
      </c>
      <c r="M426" s="49">
        <v>0</v>
      </c>
      <c r="N426" s="49">
        <v>254500</v>
      </c>
      <c r="O426" s="49">
        <v>0</v>
      </c>
      <c r="Q426" s="5"/>
    </row>
    <row r="427" spans="1:17" ht="16.5">
      <c r="A427" s="60" t="str">
        <f t="shared" si="243"/>
        <v>I55S</v>
      </c>
      <c r="B427" s="124" t="s">
        <v>4</v>
      </c>
      <c r="C427" s="126">
        <v>233614</v>
      </c>
      <c r="D427" s="126">
        <f t="shared" si="244"/>
        <v>0</v>
      </c>
      <c r="E427" s="126">
        <f t="shared" si="245"/>
        <v>0</v>
      </c>
      <c r="F427" s="126">
        <f t="shared" si="246"/>
        <v>0</v>
      </c>
      <c r="G427" s="126">
        <f t="shared" si="242"/>
        <v>0</v>
      </c>
      <c r="H427" s="126">
        <v>233614</v>
      </c>
      <c r="I427" s="126">
        <f>+C427+D427-E427-F427+G427</f>
        <v>233614</v>
      </c>
      <c r="J427" s="9">
        <f t="shared" si="247"/>
        <v>0</v>
      </c>
      <c r="K427" s="47" t="s">
        <v>84</v>
      </c>
      <c r="L427" s="49">
        <v>0</v>
      </c>
      <c r="M427" s="49">
        <v>0</v>
      </c>
      <c r="N427" s="49">
        <v>0</v>
      </c>
      <c r="O427" s="49">
        <v>0</v>
      </c>
      <c r="Q427" s="5"/>
    </row>
    <row r="428" spans="1:17" ht="16.5">
      <c r="A428" s="60" t="str">
        <f t="shared" si="243"/>
        <v>I73X</v>
      </c>
      <c r="B428" s="124" t="s">
        <v>4</v>
      </c>
      <c r="C428" s="126">
        <v>249769</v>
      </c>
      <c r="D428" s="126">
        <f t="shared" si="244"/>
        <v>0</v>
      </c>
      <c r="E428" s="126">
        <f t="shared" si="245"/>
        <v>0</v>
      </c>
      <c r="F428" s="126">
        <f t="shared" si="246"/>
        <v>0</v>
      </c>
      <c r="G428" s="126">
        <f t="shared" si="242"/>
        <v>0</v>
      </c>
      <c r="H428" s="126">
        <v>249769</v>
      </c>
      <c r="I428" s="126">
        <f t="shared" ref="I428:I431" si="249">+C428+D428-E428-F428+G428</f>
        <v>249769</v>
      </c>
      <c r="J428" s="9">
        <f t="shared" si="247"/>
        <v>0</v>
      </c>
      <c r="K428" s="47" t="s">
        <v>83</v>
      </c>
      <c r="L428" s="49">
        <v>0</v>
      </c>
      <c r="M428" s="49">
        <v>0</v>
      </c>
      <c r="N428" s="49">
        <v>0</v>
      </c>
      <c r="O428" s="49">
        <v>0</v>
      </c>
      <c r="Q428" s="5"/>
    </row>
    <row r="429" spans="1:17" ht="16.5">
      <c r="A429" s="60" t="str">
        <f t="shared" si="243"/>
        <v>Grace</v>
      </c>
      <c r="B429" s="104" t="s">
        <v>2</v>
      </c>
      <c r="C429" s="63">
        <v>14700</v>
      </c>
      <c r="D429" s="63">
        <f t="shared" si="244"/>
        <v>994000</v>
      </c>
      <c r="E429" s="63">
        <f t="shared" si="245"/>
        <v>220100</v>
      </c>
      <c r="F429" s="63">
        <f t="shared" si="246"/>
        <v>760000</v>
      </c>
      <c r="G429" s="63">
        <f t="shared" si="242"/>
        <v>0</v>
      </c>
      <c r="H429" s="63">
        <v>28600</v>
      </c>
      <c r="I429" s="63">
        <f t="shared" si="249"/>
        <v>28600</v>
      </c>
      <c r="J429" s="9">
        <f t="shared" si="247"/>
        <v>0</v>
      </c>
      <c r="K429" s="47" t="s">
        <v>150</v>
      </c>
      <c r="L429" s="49">
        <v>994000</v>
      </c>
      <c r="M429" s="49">
        <v>760000</v>
      </c>
      <c r="N429" s="49">
        <v>220100</v>
      </c>
      <c r="O429" s="49">
        <v>0</v>
      </c>
      <c r="Q429" s="5"/>
    </row>
    <row r="430" spans="1:17" ht="16.5">
      <c r="A430" s="60" t="str">
        <f t="shared" si="243"/>
        <v>Hurielle</v>
      </c>
      <c r="B430" s="227" t="s">
        <v>161</v>
      </c>
      <c r="C430" s="63">
        <v>46950</v>
      </c>
      <c r="D430" s="63">
        <f t="shared" si="244"/>
        <v>254000</v>
      </c>
      <c r="E430" s="63">
        <f t="shared" si="245"/>
        <v>245500</v>
      </c>
      <c r="F430" s="63">
        <f t="shared" si="246"/>
        <v>37450</v>
      </c>
      <c r="G430" s="63">
        <f t="shared" si="242"/>
        <v>0</v>
      </c>
      <c r="H430" s="63">
        <v>18000</v>
      </c>
      <c r="I430" s="63">
        <f t="shared" si="249"/>
        <v>18000</v>
      </c>
      <c r="J430" s="9">
        <f>I430-H430</f>
        <v>0</v>
      </c>
      <c r="K430" s="47" t="s">
        <v>204</v>
      </c>
      <c r="L430" s="49">
        <v>254000</v>
      </c>
      <c r="M430" s="49">
        <v>37450</v>
      </c>
      <c r="N430" s="49">
        <v>245500</v>
      </c>
      <c r="O430" s="49">
        <v>0</v>
      </c>
      <c r="Q430" s="5"/>
    </row>
    <row r="431" spans="1:17" ht="16.5">
      <c r="A431" s="60" t="str">
        <f t="shared" si="243"/>
        <v>I23C</v>
      </c>
      <c r="B431" s="228" t="s">
        <v>4</v>
      </c>
      <c r="C431" s="63">
        <v>112050</v>
      </c>
      <c r="D431" s="63">
        <f t="shared" si="244"/>
        <v>584000</v>
      </c>
      <c r="E431" s="63">
        <f t="shared" si="245"/>
        <v>434000</v>
      </c>
      <c r="F431" s="63">
        <f t="shared" si="246"/>
        <v>0</v>
      </c>
      <c r="G431" s="63">
        <f t="shared" si="242"/>
        <v>0</v>
      </c>
      <c r="H431" s="63">
        <v>262050</v>
      </c>
      <c r="I431" s="63">
        <f t="shared" si="249"/>
        <v>262050</v>
      </c>
      <c r="J431" s="9">
        <f t="shared" ref="J431:J432" si="250">I431-H431</f>
        <v>0</v>
      </c>
      <c r="K431" s="47" t="s">
        <v>30</v>
      </c>
      <c r="L431" s="49">
        <v>584000</v>
      </c>
      <c r="M431" s="49">
        <v>0</v>
      </c>
      <c r="N431" s="49">
        <v>434000</v>
      </c>
      <c r="O431" s="49">
        <v>0</v>
      </c>
      <c r="Q431" s="5"/>
    </row>
    <row r="432" spans="1:17" ht="16.5">
      <c r="A432" s="60" t="str">
        <f t="shared" si="243"/>
        <v>Merveille</v>
      </c>
      <c r="B432" s="227" t="s">
        <v>2</v>
      </c>
      <c r="C432" s="63">
        <v>2900</v>
      </c>
      <c r="D432" s="63">
        <f t="shared" si="244"/>
        <v>40000</v>
      </c>
      <c r="E432" s="63">
        <f t="shared" si="245"/>
        <v>31000</v>
      </c>
      <c r="F432" s="63">
        <f t="shared" si="246"/>
        <v>0</v>
      </c>
      <c r="G432" s="63">
        <f t="shared" si="242"/>
        <v>0</v>
      </c>
      <c r="H432" s="63">
        <v>11900</v>
      </c>
      <c r="I432" s="63">
        <f>+C432+D432-E432-F432+G432</f>
        <v>11900</v>
      </c>
      <c r="J432" s="9">
        <f t="shared" si="250"/>
        <v>0</v>
      </c>
      <c r="K432" s="47" t="s">
        <v>93</v>
      </c>
      <c r="L432" s="49">
        <v>40000</v>
      </c>
      <c r="M432" s="49">
        <v>0</v>
      </c>
      <c r="N432" s="49">
        <v>31000</v>
      </c>
      <c r="O432" s="49">
        <v>0</v>
      </c>
      <c r="Q432" s="5"/>
    </row>
    <row r="433" spans="1:17" ht="16.5">
      <c r="A433" s="60" t="str">
        <f t="shared" si="243"/>
        <v>P29</v>
      </c>
      <c r="B433" s="227" t="s">
        <v>4</v>
      </c>
      <c r="C433" s="63">
        <v>140700</v>
      </c>
      <c r="D433" s="63">
        <f t="shared" si="244"/>
        <v>638000</v>
      </c>
      <c r="E433" s="63">
        <f t="shared" si="245"/>
        <v>507650</v>
      </c>
      <c r="F433" s="63">
        <f t="shared" si="246"/>
        <v>50000</v>
      </c>
      <c r="G433" s="63">
        <f>+O433</f>
        <v>0</v>
      </c>
      <c r="H433" s="63">
        <v>221050</v>
      </c>
      <c r="I433" s="63">
        <f>+C433+D433-E433-F433+G433</f>
        <v>221050</v>
      </c>
      <c r="J433" s="9">
        <f>I433-H433</f>
        <v>0</v>
      </c>
      <c r="K433" s="47" t="s">
        <v>29</v>
      </c>
      <c r="L433" s="49">
        <v>638000</v>
      </c>
      <c r="M433" s="49">
        <v>50000</v>
      </c>
      <c r="N433" s="49">
        <v>507650</v>
      </c>
      <c r="O433" s="49">
        <v>0</v>
      </c>
      <c r="Q433" s="5"/>
    </row>
    <row r="434" spans="1:17" ht="16.5">
      <c r="A434" s="60" t="str">
        <f t="shared" si="243"/>
        <v>Tiffany</v>
      </c>
      <c r="B434" s="61" t="s">
        <v>2</v>
      </c>
      <c r="C434" s="63">
        <v>2241</v>
      </c>
      <c r="D434" s="63">
        <f t="shared" si="244"/>
        <v>0</v>
      </c>
      <c r="E434" s="63">
        <f t="shared" si="245"/>
        <v>6200</v>
      </c>
      <c r="F434" s="63">
        <f t="shared" si="246"/>
        <v>0</v>
      </c>
      <c r="G434" s="63">
        <f t="shared" ref="G434:G435" si="251">+O434</f>
        <v>0</v>
      </c>
      <c r="H434" s="63">
        <v>-3959</v>
      </c>
      <c r="I434" s="63">
        <f t="shared" ref="I434" si="252">+C434+D434-E434-F434+G434</f>
        <v>-3959</v>
      </c>
      <c r="J434" s="9">
        <f t="shared" ref="J434" si="253">I434-H434</f>
        <v>0</v>
      </c>
      <c r="K434" s="47" t="s">
        <v>113</v>
      </c>
      <c r="L434" s="49">
        <v>0</v>
      </c>
      <c r="M434" s="49">
        <v>0</v>
      </c>
      <c r="N434" s="49">
        <v>6200</v>
      </c>
      <c r="O434" s="49">
        <v>0</v>
      </c>
      <c r="Q434" s="5"/>
    </row>
    <row r="435" spans="1:17" ht="16.5">
      <c r="A435" s="60" t="str">
        <f t="shared" si="243"/>
        <v>Yan</v>
      </c>
      <c r="B435" s="61" t="s">
        <v>161</v>
      </c>
      <c r="C435" s="63">
        <v>10500</v>
      </c>
      <c r="D435" s="63">
        <f t="shared" si="244"/>
        <v>368000</v>
      </c>
      <c r="E435" s="63">
        <f t="shared" si="245"/>
        <v>243500</v>
      </c>
      <c r="F435" s="63">
        <f t="shared" si="246"/>
        <v>40000</v>
      </c>
      <c r="G435" s="63">
        <f t="shared" si="251"/>
        <v>0</v>
      </c>
      <c r="H435" s="63">
        <v>95000</v>
      </c>
      <c r="I435" s="63">
        <f>+C435+D435-E435-F435+G435</f>
        <v>95000</v>
      </c>
      <c r="J435" s="9">
        <f>I435-H435</f>
        <v>0</v>
      </c>
      <c r="K435" s="47" t="s">
        <v>219</v>
      </c>
      <c r="L435" s="49">
        <v>368000</v>
      </c>
      <c r="M435" s="49">
        <v>40000</v>
      </c>
      <c r="N435" s="49">
        <v>243500</v>
      </c>
      <c r="O435" s="49">
        <v>0</v>
      </c>
      <c r="Q435" s="5"/>
    </row>
    <row r="436" spans="1:17" ht="16.5">
      <c r="A436" s="10" t="s">
        <v>50</v>
      </c>
      <c r="B436" s="11"/>
      <c r="C436" s="12">
        <f t="shared" ref="C436:I436" si="254">SUM(C422:C435)</f>
        <v>23344946</v>
      </c>
      <c r="D436" s="59">
        <f t="shared" si="254"/>
        <v>10521850</v>
      </c>
      <c r="E436" s="59">
        <f t="shared" si="254"/>
        <v>11376181</v>
      </c>
      <c r="F436" s="59">
        <f t="shared" si="254"/>
        <v>10521850</v>
      </c>
      <c r="G436" s="59">
        <f t="shared" si="254"/>
        <v>0</v>
      </c>
      <c r="H436" s="59">
        <f t="shared" si="254"/>
        <v>11968765</v>
      </c>
      <c r="I436" s="59">
        <f t="shared" si="254"/>
        <v>11968765</v>
      </c>
      <c r="J436" s="9">
        <f>I436-H436</f>
        <v>0</v>
      </c>
      <c r="K436" s="3"/>
      <c r="L436" s="49">
        <f>+SUM(L422:L435)</f>
        <v>10521850</v>
      </c>
      <c r="M436" s="49">
        <f>+SUM(M422:M435)</f>
        <v>10521850</v>
      </c>
      <c r="N436" s="49">
        <f>+SUM(N422:N435)</f>
        <v>11376181</v>
      </c>
      <c r="O436" s="49">
        <f>+SUM(O422:O434)</f>
        <v>0</v>
      </c>
      <c r="Q436" s="5"/>
    </row>
    <row r="437" spans="1:17" ht="16.5">
      <c r="A437" s="10"/>
      <c r="B437" s="11"/>
      <c r="C437" s="12"/>
      <c r="D437" s="13"/>
      <c r="E437" s="12"/>
      <c r="F437" s="13"/>
      <c r="G437" s="12"/>
      <c r="H437" s="12"/>
      <c r="I437" s="143" t="b">
        <f>I436=D439</f>
        <v>1</v>
      </c>
      <c r="L437" s="5"/>
      <c r="M437" s="5"/>
      <c r="N437" s="5"/>
      <c r="O437" s="5"/>
      <c r="Q437" s="5"/>
    </row>
    <row r="438" spans="1:17" ht="16.5">
      <c r="A438" s="10" t="s">
        <v>224</v>
      </c>
      <c r="B438" s="11" t="s">
        <v>225</v>
      </c>
      <c r="C438" s="12" t="s">
        <v>226</v>
      </c>
      <c r="D438" s="12" t="s">
        <v>228</v>
      </c>
      <c r="E438" s="12" t="s">
        <v>51</v>
      </c>
      <c r="F438" s="12"/>
      <c r="G438" s="12">
        <f>+D436-F436</f>
        <v>0</v>
      </c>
      <c r="H438" s="12"/>
      <c r="I438" s="12"/>
      <c r="Q438" s="5"/>
    </row>
    <row r="439" spans="1:17" ht="16.5">
      <c r="A439" s="14">
        <f>C436</f>
        <v>23344946</v>
      </c>
      <c r="B439" s="15">
        <f>G436</f>
        <v>0</v>
      </c>
      <c r="C439" s="12">
        <f>E436</f>
        <v>11376181</v>
      </c>
      <c r="D439" s="12">
        <f>A439+B439-C439</f>
        <v>11968765</v>
      </c>
      <c r="E439" s="13">
        <f>I436-D439</f>
        <v>0</v>
      </c>
      <c r="F439" s="12"/>
      <c r="G439" s="12"/>
      <c r="H439" s="12"/>
      <c r="I439" s="12"/>
      <c r="Q439" s="5"/>
    </row>
    <row r="440" spans="1:17" ht="16.5">
      <c r="A440" s="14"/>
      <c r="B440" s="15"/>
      <c r="C440" s="12"/>
      <c r="D440" s="12"/>
      <c r="E440" s="13"/>
      <c r="F440" s="12"/>
      <c r="G440" s="12"/>
      <c r="H440" s="12"/>
      <c r="I440" s="12"/>
      <c r="Q440" s="5"/>
    </row>
    <row r="441" spans="1:17">
      <c r="A441" s="16" t="s">
        <v>52</v>
      </c>
      <c r="B441" s="16"/>
      <c r="C441" s="16"/>
      <c r="D441" s="17"/>
      <c r="E441" s="17"/>
      <c r="F441" s="17"/>
      <c r="G441" s="17"/>
      <c r="H441" s="17"/>
      <c r="I441" s="17"/>
      <c r="Q441" s="5"/>
    </row>
    <row r="442" spans="1:17">
      <c r="A442" s="18" t="s">
        <v>227</v>
      </c>
      <c r="B442" s="18"/>
      <c r="C442" s="18"/>
      <c r="D442" s="18"/>
      <c r="E442" s="18"/>
      <c r="F442" s="18"/>
      <c r="G442" s="18"/>
      <c r="H442" s="18"/>
      <c r="I442" s="18"/>
      <c r="J442" s="18"/>
      <c r="Q442" s="5"/>
    </row>
    <row r="443" spans="1:17">
      <c r="A443" s="19"/>
      <c r="B443" s="20"/>
      <c r="C443" s="21"/>
      <c r="D443" s="21"/>
      <c r="E443" s="21"/>
      <c r="F443" s="21"/>
      <c r="G443" s="21"/>
      <c r="H443" s="20"/>
      <c r="I443" s="20"/>
      <c r="Q443" s="5"/>
    </row>
    <row r="444" spans="1:17">
      <c r="A444" s="248" t="s">
        <v>53</v>
      </c>
      <c r="B444" s="250" t="s">
        <v>54</v>
      </c>
      <c r="C444" s="252" t="s">
        <v>229</v>
      </c>
      <c r="D444" s="254" t="s">
        <v>55</v>
      </c>
      <c r="E444" s="255"/>
      <c r="F444" s="255"/>
      <c r="G444" s="256"/>
      <c r="H444" s="257" t="s">
        <v>56</v>
      </c>
      <c r="I444" s="244" t="s">
        <v>57</v>
      </c>
      <c r="J444" s="20"/>
      <c r="Q444" s="5"/>
    </row>
    <row r="445" spans="1:17" ht="28.5" customHeight="1">
      <c r="A445" s="249"/>
      <c r="B445" s="251"/>
      <c r="C445" s="253"/>
      <c r="D445" s="22" t="s">
        <v>24</v>
      </c>
      <c r="E445" s="22" t="s">
        <v>25</v>
      </c>
      <c r="F445" s="253" t="s">
        <v>123</v>
      </c>
      <c r="G445" s="22" t="s">
        <v>58</v>
      </c>
      <c r="H445" s="258"/>
      <c r="I445" s="245"/>
      <c r="J445" s="246" t="s">
        <v>230</v>
      </c>
      <c r="K445" s="155"/>
      <c r="Q445" s="5"/>
    </row>
    <row r="446" spans="1:17">
      <c r="A446" s="24"/>
      <c r="B446" s="25" t="s">
        <v>59</v>
      </c>
      <c r="C446" s="26"/>
      <c r="D446" s="26"/>
      <c r="E446" s="26"/>
      <c r="F446" s="26"/>
      <c r="G446" s="26"/>
      <c r="H446" s="26"/>
      <c r="I446" s="27"/>
      <c r="J446" s="247"/>
      <c r="K446" s="155"/>
      <c r="Q446" s="5"/>
    </row>
    <row r="447" spans="1:17">
      <c r="A447" s="130" t="s">
        <v>142</v>
      </c>
      <c r="B447" s="135" t="s">
        <v>47</v>
      </c>
      <c r="C447" s="33">
        <f>+C425</f>
        <v>15750</v>
      </c>
      <c r="D447" s="32"/>
      <c r="E447" s="33">
        <f t="shared" ref="E447:E455" si="255">+D425</f>
        <v>1223400</v>
      </c>
      <c r="F447" s="33"/>
      <c r="G447" s="33"/>
      <c r="H447" s="57">
        <f t="shared" ref="H447:H455" si="256">+F425</f>
        <v>45000</v>
      </c>
      <c r="I447" s="33">
        <f t="shared" ref="I447:I455" si="257">+E425</f>
        <v>1184350</v>
      </c>
      <c r="J447" s="31">
        <f t="shared" ref="J447:J448" si="258">+SUM(C447:G447)-(H447+I447)</f>
        <v>9800</v>
      </c>
      <c r="K447" s="156" t="b">
        <f t="shared" ref="K447:K457" si="259">J447=I425</f>
        <v>1</v>
      </c>
      <c r="Q447" s="5"/>
    </row>
    <row r="448" spans="1:17">
      <c r="A448" s="130" t="str">
        <f>+A447</f>
        <v>JUIN</v>
      </c>
      <c r="B448" s="135" t="s">
        <v>31</v>
      </c>
      <c r="C448" s="33">
        <f>+C426</f>
        <v>8795</v>
      </c>
      <c r="D448" s="32"/>
      <c r="E448" s="33">
        <f t="shared" si="255"/>
        <v>248000</v>
      </c>
      <c r="F448" s="33"/>
      <c r="G448" s="33"/>
      <c r="H448" s="57">
        <f t="shared" si="256"/>
        <v>0</v>
      </c>
      <c r="I448" s="33">
        <f t="shared" si="257"/>
        <v>254500</v>
      </c>
      <c r="J448" s="107">
        <f t="shared" si="258"/>
        <v>2295</v>
      </c>
      <c r="K448" s="156" t="b">
        <f t="shared" si="259"/>
        <v>1</v>
      </c>
      <c r="Q448" s="5"/>
    </row>
    <row r="449" spans="1:17">
      <c r="A449" s="130" t="str">
        <f t="shared" ref="A449:A450" si="260">+A448</f>
        <v>JUIN</v>
      </c>
      <c r="B449" s="137" t="s">
        <v>84</v>
      </c>
      <c r="C449" s="128">
        <f>+C427</f>
        <v>233614</v>
      </c>
      <c r="D449" s="131"/>
      <c r="E449" s="128">
        <f t="shared" si="255"/>
        <v>0</v>
      </c>
      <c r="F449" s="146"/>
      <c r="G449" s="146"/>
      <c r="H449" s="178">
        <f t="shared" si="256"/>
        <v>0</v>
      </c>
      <c r="I449" s="128">
        <f t="shared" si="257"/>
        <v>0</v>
      </c>
      <c r="J449" s="129">
        <f>+SUM(C449:G449)-(H449+I449)</f>
        <v>233614</v>
      </c>
      <c r="K449" s="156" t="b">
        <f t="shared" si="259"/>
        <v>1</v>
      </c>
      <c r="Q449" s="5"/>
    </row>
    <row r="450" spans="1:17">
      <c r="A450" s="130" t="str">
        <f t="shared" si="260"/>
        <v>JUIN</v>
      </c>
      <c r="B450" s="137" t="s">
        <v>83</v>
      </c>
      <c r="C450" s="128">
        <f>+C428</f>
        <v>249769</v>
      </c>
      <c r="D450" s="131"/>
      <c r="E450" s="128">
        <f t="shared" si="255"/>
        <v>0</v>
      </c>
      <c r="F450" s="146"/>
      <c r="G450" s="146"/>
      <c r="H450" s="178">
        <f t="shared" si="256"/>
        <v>0</v>
      </c>
      <c r="I450" s="128">
        <f t="shared" si="257"/>
        <v>0</v>
      </c>
      <c r="J450" s="129">
        <f t="shared" ref="J450:J457" si="261">+SUM(C450:G450)-(H450+I450)</f>
        <v>249769</v>
      </c>
      <c r="K450" s="156" t="b">
        <f t="shared" si="259"/>
        <v>1</v>
      </c>
      <c r="Q450" s="5"/>
    </row>
    <row r="451" spans="1:17">
      <c r="A451" s="130" t="str">
        <f t="shared" ref="A451:A453" si="262">+A450</f>
        <v>JUIN</v>
      </c>
      <c r="B451" s="135" t="s">
        <v>150</v>
      </c>
      <c r="C451" s="33">
        <f>+C429</f>
        <v>14700</v>
      </c>
      <c r="D451" s="32"/>
      <c r="E451" s="33">
        <f t="shared" si="255"/>
        <v>994000</v>
      </c>
      <c r="F451" s="33"/>
      <c r="G451" s="110"/>
      <c r="H451" s="57">
        <f t="shared" si="256"/>
        <v>760000</v>
      </c>
      <c r="I451" s="33">
        <f t="shared" si="257"/>
        <v>220100</v>
      </c>
      <c r="J451" s="31">
        <f t="shared" si="261"/>
        <v>28600</v>
      </c>
      <c r="K451" s="156" t="b">
        <f t="shared" si="259"/>
        <v>1</v>
      </c>
      <c r="Q451" s="5"/>
    </row>
    <row r="452" spans="1:17">
      <c r="A452" s="130" t="str">
        <f t="shared" si="262"/>
        <v>JUIN</v>
      </c>
      <c r="B452" s="135" t="s">
        <v>204</v>
      </c>
      <c r="C452" s="33">
        <f t="shared" ref="C452:C455" si="263">+C430</f>
        <v>46950</v>
      </c>
      <c r="D452" s="32"/>
      <c r="E452" s="33">
        <f t="shared" si="255"/>
        <v>254000</v>
      </c>
      <c r="F452" s="33"/>
      <c r="G452" s="110"/>
      <c r="H452" s="57">
        <f t="shared" si="256"/>
        <v>37450</v>
      </c>
      <c r="I452" s="33">
        <f t="shared" si="257"/>
        <v>245500</v>
      </c>
      <c r="J452" s="31">
        <f t="shared" si="261"/>
        <v>18000</v>
      </c>
      <c r="K452" s="156" t="b">
        <f t="shared" si="259"/>
        <v>1</v>
      </c>
      <c r="Q452" s="5"/>
    </row>
    <row r="453" spans="1:17">
      <c r="A453" s="130" t="str">
        <f t="shared" si="262"/>
        <v>JUIN</v>
      </c>
      <c r="B453" s="135" t="s">
        <v>30</v>
      </c>
      <c r="C453" s="33">
        <f t="shared" si="263"/>
        <v>112050</v>
      </c>
      <c r="D453" s="32"/>
      <c r="E453" s="33">
        <f t="shared" si="255"/>
        <v>584000</v>
      </c>
      <c r="F453" s="33"/>
      <c r="G453" s="110"/>
      <c r="H453" s="57">
        <f t="shared" si="256"/>
        <v>0</v>
      </c>
      <c r="I453" s="33">
        <f t="shared" si="257"/>
        <v>434000</v>
      </c>
      <c r="J453" s="31">
        <f t="shared" si="261"/>
        <v>262050</v>
      </c>
      <c r="K453" s="156" t="b">
        <f t="shared" si="259"/>
        <v>1</v>
      </c>
      <c r="Q453" s="5"/>
    </row>
    <row r="454" spans="1:17">
      <c r="A454" s="130" t="str">
        <f>+A452</f>
        <v>JUIN</v>
      </c>
      <c r="B454" s="135" t="s">
        <v>93</v>
      </c>
      <c r="C454" s="33">
        <f t="shared" si="263"/>
        <v>2900</v>
      </c>
      <c r="D454" s="32"/>
      <c r="E454" s="33">
        <f t="shared" si="255"/>
        <v>40000</v>
      </c>
      <c r="F454" s="33"/>
      <c r="G454" s="110"/>
      <c r="H454" s="57">
        <f t="shared" si="256"/>
        <v>0</v>
      </c>
      <c r="I454" s="33">
        <f t="shared" si="257"/>
        <v>31000</v>
      </c>
      <c r="J454" s="31">
        <f t="shared" si="261"/>
        <v>11900</v>
      </c>
      <c r="K454" s="156" t="b">
        <f t="shared" si="259"/>
        <v>1</v>
      </c>
      <c r="Q454" s="5"/>
    </row>
    <row r="455" spans="1:17">
      <c r="A455" s="130" t="str">
        <f>+A453</f>
        <v>JUIN</v>
      </c>
      <c r="B455" s="135" t="s">
        <v>29</v>
      </c>
      <c r="C455" s="33">
        <f t="shared" si="263"/>
        <v>140700</v>
      </c>
      <c r="D455" s="32"/>
      <c r="E455" s="33">
        <f t="shared" si="255"/>
        <v>638000</v>
      </c>
      <c r="F455" s="33"/>
      <c r="G455" s="110"/>
      <c r="H455" s="57">
        <f t="shared" si="256"/>
        <v>50000</v>
      </c>
      <c r="I455" s="33">
        <f t="shared" si="257"/>
        <v>507650</v>
      </c>
      <c r="J455" s="31">
        <f t="shared" si="261"/>
        <v>221050</v>
      </c>
      <c r="K455" s="156" t="b">
        <f t="shared" si="259"/>
        <v>1</v>
      </c>
      <c r="Q455" s="5"/>
    </row>
    <row r="456" spans="1:17">
      <c r="A456" s="130" t="str">
        <f>+A454</f>
        <v>JUIN</v>
      </c>
      <c r="B456" s="136" t="s">
        <v>113</v>
      </c>
      <c r="C456" s="33">
        <f t="shared" ref="C456:C457" si="264">+C434</f>
        <v>2241</v>
      </c>
      <c r="D456" s="127"/>
      <c r="E456" s="33">
        <f t="shared" ref="E456:E457" si="265">+D434</f>
        <v>0</v>
      </c>
      <c r="F456" s="53"/>
      <c r="G456" s="147"/>
      <c r="H456" s="57">
        <f t="shared" ref="H456:H457" si="266">+F434</f>
        <v>0</v>
      </c>
      <c r="I456" s="33">
        <f t="shared" ref="I456:I457" si="267">+E434</f>
        <v>6200</v>
      </c>
      <c r="J456" s="31">
        <f t="shared" si="261"/>
        <v>-3959</v>
      </c>
      <c r="K456" s="156" t="b">
        <f t="shared" si="259"/>
        <v>1</v>
      </c>
      <c r="Q456" s="5"/>
    </row>
    <row r="457" spans="1:17">
      <c r="A457" s="130" t="str">
        <f>+A455</f>
        <v>JUIN</v>
      </c>
      <c r="B457" s="136" t="s">
        <v>219</v>
      </c>
      <c r="C457" s="33">
        <f t="shared" si="264"/>
        <v>10500</v>
      </c>
      <c r="D457" s="127"/>
      <c r="E457" s="33">
        <f t="shared" si="265"/>
        <v>368000</v>
      </c>
      <c r="F457" s="53"/>
      <c r="G457" s="147"/>
      <c r="H457" s="57">
        <f t="shared" si="266"/>
        <v>40000</v>
      </c>
      <c r="I457" s="33">
        <f t="shared" si="267"/>
        <v>243500</v>
      </c>
      <c r="J457" s="31">
        <f t="shared" si="261"/>
        <v>95000</v>
      </c>
      <c r="K457" s="156" t="b">
        <f t="shared" si="259"/>
        <v>1</v>
      </c>
      <c r="Q457" s="5"/>
    </row>
    <row r="458" spans="1:17">
      <c r="A458" s="35" t="s">
        <v>60</v>
      </c>
      <c r="B458" s="36"/>
      <c r="C458" s="36"/>
      <c r="D458" s="36"/>
      <c r="E458" s="36"/>
      <c r="F458" s="36"/>
      <c r="G458" s="36"/>
      <c r="H458" s="36"/>
      <c r="I458" s="36"/>
      <c r="J458" s="37"/>
      <c r="K458" s="155"/>
      <c r="Q458" s="5"/>
    </row>
    <row r="459" spans="1:17">
      <c r="A459" s="130" t="str">
        <f>+A457</f>
        <v>JUIN</v>
      </c>
      <c r="B459" s="38" t="s">
        <v>61</v>
      </c>
      <c r="C459" s="39">
        <f>+C424</f>
        <v>1700406</v>
      </c>
      <c r="D459" s="51"/>
      <c r="E459" s="51">
        <f>D424</f>
        <v>6172450</v>
      </c>
      <c r="F459" s="51"/>
      <c r="G459" s="133"/>
      <c r="H459" s="53">
        <f>+F424</f>
        <v>3589400</v>
      </c>
      <c r="I459" s="134">
        <f>+E424</f>
        <v>2587130</v>
      </c>
      <c r="J459" s="46">
        <f>+SUM(C459:G459)-(H459+I459)</f>
        <v>1696326</v>
      </c>
      <c r="K459" s="156" t="b">
        <f>J459=I424</f>
        <v>1</v>
      </c>
      <c r="Q459" s="5"/>
    </row>
    <row r="460" spans="1:17">
      <c r="A460" s="44" t="s">
        <v>62</v>
      </c>
      <c r="B460" s="25"/>
      <c r="C460" s="36"/>
      <c r="D460" s="25"/>
      <c r="E460" s="25"/>
      <c r="F460" s="25"/>
      <c r="G460" s="25"/>
      <c r="H460" s="25"/>
      <c r="I460" s="25"/>
      <c r="J460" s="37"/>
      <c r="K460" s="155"/>
      <c r="Q460" s="5"/>
    </row>
    <row r="461" spans="1:17">
      <c r="A461" s="130" t="str">
        <f>+A459</f>
        <v>JUIN</v>
      </c>
      <c r="B461" s="38" t="s">
        <v>163</v>
      </c>
      <c r="C461" s="133">
        <f>+C422</f>
        <v>8575038</v>
      </c>
      <c r="D461" s="140">
        <f>+G422</f>
        <v>0</v>
      </c>
      <c r="E461" s="51"/>
      <c r="F461" s="51"/>
      <c r="G461" s="51"/>
      <c r="H461" s="53">
        <f>+F422</f>
        <v>4000000</v>
      </c>
      <c r="I461" s="55">
        <f>+E422</f>
        <v>283345</v>
      </c>
      <c r="J461" s="46">
        <f>+SUM(C461:G461)-(H461+I461)</f>
        <v>4291693</v>
      </c>
      <c r="K461" s="156" t="b">
        <f>+J461=I422</f>
        <v>1</v>
      </c>
      <c r="Q461" s="5"/>
    </row>
    <row r="462" spans="1:17">
      <c r="A462" s="130" t="str">
        <f t="shared" ref="A462" si="268">+A461</f>
        <v>JUIN</v>
      </c>
      <c r="B462" s="38" t="s">
        <v>64</v>
      </c>
      <c r="C462" s="133">
        <f>+C423</f>
        <v>12231533</v>
      </c>
      <c r="D462" s="51">
        <f>+G423</f>
        <v>0</v>
      </c>
      <c r="E462" s="50"/>
      <c r="F462" s="50"/>
      <c r="G462" s="50"/>
      <c r="H462" s="33">
        <f>+F423</f>
        <v>2000000</v>
      </c>
      <c r="I462" s="52">
        <f>+E423</f>
        <v>5378906</v>
      </c>
      <c r="J462" s="46">
        <f>SUM(C462:G462)-(H462+I462)</f>
        <v>4852627</v>
      </c>
      <c r="K462" s="156" t="b">
        <f>+J462=I423</f>
        <v>1</v>
      </c>
      <c r="Q462" s="5"/>
    </row>
    <row r="463" spans="1:17" ht="15.75">
      <c r="C463" s="151">
        <f>SUM(C447:C462)</f>
        <v>23344946</v>
      </c>
      <c r="I463" s="149">
        <f>SUM(I447:I462)</f>
        <v>11376181</v>
      </c>
      <c r="J463" s="111">
        <f>+SUM(J447:J462)</f>
        <v>11968765</v>
      </c>
      <c r="K463" s="5" t="b">
        <f>J463=I436</f>
        <v>1</v>
      </c>
      <c r="Q463" s="5"/>
    </row>
    <row r="464" spans="1:17" ht="15.75">
      <c r="A464" s="189"/>
      <c r="B464" s="189"/>
      <c r="C464" s="190"/>
      <c r="D464" s="189"/>
      <c r="E464" s="189"/>
      <c r="F464" s="189"/>
      <c r="G464" s="189"/>
      <c r="H464" s="189"/>
      <c r="I464" s="191"/>
      <c r="J464" s="192"/>
      <c r="K464" s="189"/>
      <c r="L464" s="193"/>
      <c r="M464" s="193"/>
      <c r="N464" s="193"/>
      <c r="O464" s="193"/>
      <c r="P464" s="189"/>
      <c r="Q464" s="5"/>
    </row>
    <row r="466" spans="1:17" ht="15.75">
      <c r="A466" s="6" t="s">
        <v>36</v>
      </c>
      <c r="B466" s="6" t="s">
        <v>1</v>
      </c>
      <c r="C466" s="6">
        <v>44682</v>
      </c>
      <c r="D466" s="7" t="s">
        <v>37</v>
      </c>
      <c r="E466" s="7" t="s">
        <v>38</v>
      </c>
      <c r="F466" s="7" t="s">
        <v>39</v>
      </c>
      <c r="G466" s="7" t="s">
        <v>40</v>
      </c>
      <c r="H466" s="6">
        <v>44712</v>
      </c>
      <c r="I466" s="7" t="s">
        <v>41</v>
      </c>
      <c r="K466" s="47"/>
      <c r="L466" s="47" t="s">
        <v>42</v>
      </c>
      <c r="M466" s="47" t="s">
        <v>43</v>
      </c>
      <c r="N466" s="47" t="s">
        <v>44</v>
      </c>
      <c r="O466" s="47" t="s">
        <v>45</v>
      </c>
      <c r="Q466" s="5"/>
    </row>
    <row r="467" spans="1:17" ht="16.5">
      <c r="A467" s="60" t="str">
        <f>K467</f>
        <v>BCI</v>
      </c>
      <c r="B467" s="61" t="s">
        <v>46</v>
      </c>
      <c r="C467" s="63">
        <v>4154435</v>
      </c>
      <c r="D467" s="63">
        <f>+L467</f>
        <v>0</v>
      </c>
      <c r="E467" s="63">
        <f>+N467</f>
        <v>543345</v>
      </c>
      <c r="F467" s="63">
        <f>+M467</f>
        <v>7000000</v>
      </c>
      <c r="G467" s="63">
        <f t="shared" ref="G467:G478" si="269">+O467</f>
        <v>11963948</v>
      </c>
      <c r="H467" s="63">
        <v>8575038</v>
      </c>
      <c r="I467" s="63">
        <f>+C467+D467-E467-F467+G467</f>
        <v>8575038</v>
      </c>
      <c r="J467" s="9">
        <f>I467-H467</f>
        <v>0</v>
      </c>
      <c r="K467" s="47" t="s">
        <v>24</v>
      </c>
      <c r="L467" s="49">
        <v>0</v>
      </c>
      <c r="M467" s="49">
        <v>7000000</v>
      </c>
      <c r="N467" s="49">
        <v>543345</v>
      </c>
      <c r="O467" s="49">
        <v>11963948</v>
      </c>
      <c r="Q467" s="5"/>
    </row>
    <row r="468" spans="1:17" ht="16.5">
      <c r="A468" s="60" t="str">
        <f t="shared" ref="A468:A481" si="270">K468</f>
        <v>BCI-Sous Compte</v>
      </c>
      <c r="B468" s="61" t="s">
        <v>46</v>
      </c>
      <c r="C468" s="63">
        <v>16450956</v>
      </c>
      <c r="D468" s="63">
        <f t="shared" ref="D468:D481" si="271">+L468</f>
        <v>0</v>
      </c>
      <c r="E468" s="63">
        <f t="shared" ref="E468:E481" si="272">+N468</f>
        <v>4219423</v>
      </c>
      <c r="F468" s="63">
        <f t="shared" ref="F468:F481" si="273">+M468</f>
        <v>0</v>
      </c>
      <c r="G468" s="63">
        <f t="shared" si="269"/>
        <v>0</v>
      </c>
      <c r="H468" s="63">
        <v>12231533</v>
      </c>
      <c r="I468" s="63">
        <f>+C468+D468-E468-F468+G468</f>
        <v>12231533</v>
      </c>
      <c r="J468" s="9">
        <f t="shared" ref="J468:J475" si="274">I468-H468</f>
        <v>0</v>
      </c>
      <c r="K468" s="47" t="s">
        <v>155</v>
      </c>
      <c r="L468" s="49">
        <v>0</v>
      </c>
      <c r="M468" s="49">
        <v>0</v>
      </c>
      <c r="N468" s="49">
        <v>4219423</v>
      </c>
      <c r="O468" s="49">
        <v>0</v>
      </c>
      <c r="Q468" s="5"/>
    </row>
    <row r="469" spans="1:17" ht="16.5">
      <c r="A469" s="60" t="str">
        <f t="shared" si="270"/>
        <v>Caisse</v>
      </c>
      <c r="B469" s="61" t="s">
        <v>25</v>
      </c>
      <c r="C469" s="63">
        <v>963113</v>
      </c>
      <c r="D469" s="63">
        <f t="shared" si="271"/>
        <v>7684335</v>
      </c>
      <c r="E469" s="63">
        <f t="shared" si="272"/>
        <v>2033042</v>
      </c>
      <c r="F469" s="63">
        <f t="shared" si="273"/>
        <v>4914000</v>
      </c>
      <c r="G469" s="63">
        <f t="shared" si="269"/>
        <v>0</v>
      </c>
      <c r="H469" s="63">
        <v>1700406</v>
      </c>
      <c r="I469" s="63">
        <f>+C469+D469-E469-F469+G469</f>
        <v>1700406</v>
      </c>
      <c r="J469" s="108">
        <f t="shared" si="274"/>
        <v>0</v>
      </c>
      <c r="K469" s="47" t="s">
        <v>25</v>
      </c>
      <c r="L469" s="49">
        <v>7684335</v>
      </c>
      <c r="M469" s="49">
        <v>4914000</v>
      </c>
      <c r="N469" s="49">
        <v>2033042</v>
      </c>
      <c r="O469" s="49">
        <v>0</v>
      </c>
      <c r="Q469" s="5"/>
    </row>
    <row r="470" spans="1:17" ht="16.5">
      <c r="A470" s="60" t="str">
        <f t="shared" si="270"/>
        <v>Crépin</v>
      </c>
      <c r="B470" s="61" t="s">
        <v>161</v>
      </c>
      <c r="C470" s="63">
        <v>21850</v>
      </c>
      <c r="D470" s="63">
        <f t="shared" si="271"/>
        <v>1282000</v>
      </c>
      <c r="E470" s="63">
        <f t="shared" si="272"/>
        <v>1288100</v>
      </c>
      <c r="F470" s="63">
        <f t="shared" si="273"/>
        <v>0</v>
      </c>
      <c r="G470" s="63">
        <f t="shared" si="269"/>
        <v>0</v>
      </c>
      <c r="H470" s="63">
        <v>15750</v>
      </c>
      <c r="I470" s="63">
        <f>+C470+D470-E470-F470+G470</f>
        <v>15750</v>
      </c>
      <c r="J470" s="9">
        <f t="shared" si="274"/>
        <v>0</v>
      </c>
      <c r="K470" s="47" t="s">
        <v>47</v>
      </c>
      <c r="L470" s="49">
        <v>1282000</v>
      </c>
      <c r="M470" s="49">
        <v>0</v>
      </c>
      <c r="N470" s="49">
        <v>1288100</v>
      </c>
      <c r="O470" s="49">
        <v>0</v>
      </c>
      <c r="Q470" s="5"/>
    </row>
    <row r="471" spans="1:17" ht="16.5">
      <c r="A471" s="60" t="str">
        <f t="shared" si="270"/>
        <v>Evariste</v>
      </c>
      <c r="B471" s="61" t="s">
        <v>162</v>
      </c>
      <c r="C471" s="63">
        <v>7995</v>
      </c>
      <c r="D471" s="63">
        <f t="shared" si="271"/>
        <v>262000</v>
      </c>
      <c r="E471" s="63">
        <f t="shared" si="272"/>
        <v>261200</v>
      </c>
      <c r="F471" s="63">
        <f t="shared" si="273"/>
        <v>0</v>
      </c>
      <c r="G471" s="63">
        <f t="shared" si="269"/>
        <v>0</v>
      </c>
      <c r="H471" s="63">
        <v>8795</v>
      </c>
      <c r="I471" s="63">
        <f t="shared" ref="I471" si="275">+C471+D471-E471-F471+G471</f>
        <v>8795</v>
      </c>
      <c r="J471" s="9">
        <f t="shared" si="274"/>
        <v>0</v>
      </c>
      <c r="K471" s="47" t="s">
        <v>31</v>
      </c>
      <c r="L471" s="49">
        <v>262000</v>
      </c>
      <c r="M471" s="49">
        <v>0</v>
      </c>
      <c r="N471" s="49">
        <v>261200</v>
      </c>
      <c r="O471" s="49">
        <v>0</v>
      </c>
      <c r="Q471" s="5"/>
    </row>
    <row r="472" spans="1:17" ht="16.5">
      <c r="A472" s="60" t="str">
        <f t="shared" si="270"/>
        <v>Godfré</v>
      </c>
      <c r="B472" s="61" t="s">
        <v>161</v>
      </c>
      <c r="C472" s="63">
        <v>156335</v>
      </c>
      <c r="D472" s="63">
        <f t="shared" si="271"/>
        <v>307000</v>
      </c>
      <c r="E472" s="63">
        <f t="shared" si="272"/>
        <v>308500</v>
      </c>
      <c r="F472" s="63">
        <f t="shared" si="273"/>
        <v>154835</v>
      </c>
      <c r="G472" s="63">
        <f t="shared" si="269"/>
        <v>0</v>
      </c>
      <c r="H472" s="63">
        <v>0</v>
      </c>
      <c r="I472" s="63">
        <f>+C472+D472-E472-F472+G472</f>
        <v>0</v>
      </c>
      <c r="J472" s="9">
        <f t="shared" si="274"/>
        <v>0</v>
      </c>
      <c r="K472" s="47" t="s">
        <v>151</v>
      </c>
      <c r="L472" s="49">
        <v>307000</v>
      </c>
      <c r="M472" s="49">
        <v>154835</v>
      </c>
      <c r="N472" s="49">
        <v>308500</v>
      </c>
      <c r="O472" s="49">
        <v>0</v>
      </c>
      <c r="Q472" s="5"/>
    </row>
    <row r="473" spans="1:17" ht="16.5">
      <c r="A473" s="60" t="str">
        <f t="shared" si="270"/>
        <v>I55S</v>
      </c>
      <c r="B473" s="124" t="s">
        <v>4</v>
      </c>
      <c r="C473" s="126">
        <v>233614</v>
      </c>
      <c r="D473" s="126">
        <f t="shared" si="271"/>
        <v>0</v>
      </c>
      <c r="E473" s="126">
        <f t="shared" si="272"/>
        <v>0</v>
      </c>
      <c r="F473" s="126">
        <f t="shared" si="273"/>
        <v>0</v>
      </c>
      <c r="G473" s="126">
        <f t="shared" si="269"/>
        <v>0</v>
      </c>
      <c r="H473" s="126">
        <v>233614</v>
      </c>
      <c r="I473" s="126">
        <f>+C473+D473-E473-F473+G473</f>
        <v>233614</v>
      </c>
      <c r="J473" s="9">
        <f t="shared" si="274"/>
        <v>0</v>
      </c>
      <c r="K473" s="47" t="s">
        <v>84</v>
      </c>
      <c r="L473" s="49">
        <v>0</v>
      </c>
      <c r="M473" s="49">
        <v>0</v>
      </c>
      <c r="N473" s="49">
        <v>0</v>
      </c>
      <c r="O473" s="49">
        <v>0</v>
      </c>
      <c r="Q473" s="5"/>
    </row>
    <row r="474" spans="1:17" ht="16.5">
      <c r="A474" s="60" t="str">
        <f t="shared" si="270"/>
        <v>I73X</v>
      </c>
      <c r="B474" s="124" t="s">
        <v>4</v>
      </c>
      <c r="C474" s="126">
        <v>249769</v>
      </c>
      <c r="D474" s="126">
        <f t="shared" si="271"/>
        <v>0</v>
      </c>
      <c r="E474" s="126">
        <f t="shared" si="272"/>
        <v>0</v>
      </c>
      <c r="F474" s="126">
        <f t="shared" si="273"/>
        <v>0</v>
      </c>
      <c r="G474" s="126">
        <f t="shared" si="269"/>
        <v>0</v>
      </c>
      <c r="H474" s="126">
        <v>249769</v>
      </c>
      <c r="I474" s="126">
        <f t="shared" ref="I474:I477" si="276">+C474+D474-E474-F474+G474</f>
        <v>249769</v>
      </c>
      <c r="J474" s="9">
        <f t="shared" si="274"/>
        <v>0</v>
      </c>
      <c r="K474" s="47" t="s">
        <v>83</v>
      </c>
      <c r="L474" s="49">
        <v>0</v>
      </c>
      <c r="M474" s="49">
        <v>0</v>
      </c>
      <c r="N474" s="49">
        <v>0</v>
      </c>
      <c r="O474" s="49">
        <v>0</v>
      </c>
      <c r="Q474" s="5"/>
    </row>
    <row r="475" spans="1:17" ht="16.5">
      <c r="A475" s="60" t="str">
        <f t="shared" si="270"/>
        <v>Grace</v>
      </c>
      <c r="B475" s="104" t="s">
        <v>2</v>
      </c>
      <c r="C475" s="63">
        <v>10200</v>
      </c>
      <c r="D475" s="63">
        <f t="shared" si="271"/>
        <v>25000</v>
      </c>
      <c r="E475" s="63">
        <f t="shared" si="272"/>
        <v>20500</v>
      </c>
      <c r="F475" s="63">
        <f t="shared" si="273"/>
        <v>0</v>
      </c>
      <c r="G475" s="63">
        <f t="shared" si="269"/>
        <v>0</v>
      </c>
      <c r="H475" s="63">
        <v>14700</v>
      </c>
      <c r="I475" s="63">
        <f t="shared" si="276"/>
        <v>14700</v>
      </c>
      <c r="J475" s="9">
        <f t="shared" si="274"/>
        <v>0</v>
      </c>
      <c r="K475" s="47" t="s">
        <v>150</v>
      </c>
      <c r="L475" s="49">
        <v>25000</v>
      </c>
      <c r="M475" s="49">
        <v>0</v>
      </c>
      <c r="N475" s="49">
        <v>20500</v>
      </c>
      <c r="O475" s="49">
        <v>0</v>
      </c>
      <c r="Q475" s="5"/>
    </row>
    <row r="476" spans="1:17" ht="16.5">
      <c r="A476" s="60" t="str">
        <f t="shared" si="270"/>
        <v>Hurielle</v>
      </c>
      <c r="B476" s="227" t="s">
        <v>161</v>
      </c>
      <c r="C476" s="63">
        <v>43500</v>
      </c>
      <c r="D476" s="63">
        <f t="shared" si="271"/>
        <v>701000</v>
      </c>
      <c r="E476" s="63">
        <f t="shared" si="272"/>
        <v>697550</v>
      </c>
      <c r="F476" s="63">
        <f t="shared" si="273"/>
        <v>0</v>
      </c>
      <c r="G476" s="63">
        <f t="shared" si="269"/>
        <v>0</v>
      </c>
      <c r="H476" s="63">
        <v>46950</v>
      </c>
      <c r="I476" s="63">
        <f t="shared" si="276"/>
        <v>46950</v>
      </c>
      <c r="J476" s="9">
        <f>I476-H476</f>
        <v>0</v>
      </c>
      <c r="K476" s="47" t="s">
        <v>204</v>
      </c>
      <c r="L476" s="49">
        <v>701000</v>
      </c>
      <c r="M476" s="49">
        <v>0</v>
      </c>
      <c r="N476" s="49">
        <v>697550</v>
      </c>
      <c r="O476" s="49">
        <v>0</v>
      </c>
      <c r="Q476" s="5"/>
    </row>
    <row r="477" spans="1:17" ht="16.5">
      <c r="A477" s="60" t="str">
        <f t="shared" si="270"/>
        <v>I23C</v>
      </c>
      <c r="B477" s="228" t="s">
        <v>4</v>
      </c>
      <c r="C477" s="63">
        <v>177550</v>
      </c>
      <c r="D477" s="63">
        <f t="shared" si="271"/>
        <v>969000</v>
      </c>
      <c r="E477" s="63">
        <f t="shared" si="272"/>
        <v>814500</v>
      </c>
      <c r="F477" s="63">
        <f t="shared" si="273"/>
        <v>220000</v>
      </c>
      <c r="G477" s="63">
        <f t="shared" si="269"/>
        <v>0</v>
      </c>
      <c r="H477" s="63">
        <v>112050</v>
      </c>
      <c r="I477" s="63">
        <f t="shared" si="276"/>
        <v>112050</v>
      </c>
      <c r="J477" s="9">
        <f t="shared" ref="J477:J478" si="277">I477-H477</f>
        <v>0</v>
      </c>
      <c r="K477" s="47" t="s">
        <v>30</v>
      </c>
      <c r="L477" s="49">
        <v>969000</v>
      </c>
      <c r="M477" s="49">
        <v>220000</v>
      </c>
      <c r="N477" s="49">
        <v>814500</v>
      </c>
      <c r="O477" s="49">
        <v>0</v>
      </c>
      <c r="Q477" s="5"/>
    </row>
    <row r="478" spans="1:17" ht="16.5">
      <c r="A478" s="60" t="str">
        <f t="shared" si="270"/>
        <v>Merveille</v>
      </c>
      <c r="B478" s="227" t="s">
        <v>2</v>
      </c>
      <c r="C478" s="63">
        <v>4400</v>
      </c>
      <c r="D478" s="63">
        <f t="shared" si="271"/>
        <v>170000</v>
      </c>
      <c r="E478" s="63">
        <f t="shared" si="272"/>
        <v>161500</v>
      </c>
      <c r="F478" s="63">
        <f t="shared" si="273"/>
        <v>10000</v>
      </c>
      <c r="G478" s="63">
        <f t="shared" si="269"/>
        <v>0</v>
      </c>
      <c r="H478" s="63">
        <v>2900</v>
      </c>
      <c r="I478" s="63">
        <f>+C478+D478-E478-F478+G478</f>
        <v>2900</v>
      </c>
      <c r="J478" s="9">
        <f t="shared" si="277"/>
        <v>0</v>
      </c>
      <c r="K478" s="47" t="s">
        <v>93</v>
      </c>
      <c r="L478" s="49">
        <v>170000</v>
      </c>
      <c r="M478" s="49">
        <v>10000</v>
      </c>
      <c r="N478" s="49">
        <v>161500</v>
      </c>
      <c r="O478" s="49">
        <v>0</v>
      </c>
      <c r="Q478" s="5"/>
    </row>
    <row r="479" spans="1:17" ht="16.5">
      <c r="A479" s="60" t="str">
        <f t="shared" si="270"/>
        <v>P29</v>
      </c>
      <c r="B479" s="227" t="s">
        <v>4</v>
      </c>
      <c r="C479" s="63">
        <v>294700</v>
      </c>
      <c r="D479" s="63">
        <f t="shared" si="271"/>
        <v>671000</v>
      </c>
      <c r="E479" s="63">
        <f t="shared" si="272"/>
        <v>525000</v>
      </c>
      <c r="F479" s="63">
        <f t="shared" si="273"/>
        <v>300000</v>
      </c>
      <c r="G479" s="63">
        <f>+O479</f>
        <v>0</v>
      </c>
      <c r="H479" s="63">
        <v>140700</v>
      </c>
      <c r="I479" s="63">
        <f>+C479+D479-E479-F479+G479</f>
        <v>140700</v>
      </c>
      <c r="J479" s="9">
        <f>I479-H479</f>
        <v>0</v>
      </c>
      <c r="K479" s="47" t="s">
        <v>29</v>
      </c>
      <c r="L479" s="49">
        <v>671000</v>
      </c>
      <c r="M479" s="49">
        <v>300000</v>
      </c>
      <c r="N479" s="49">
        <v>525000</v>
      </c>
      <c r="O479" s="49">
        <v>0</v>
      </c>
      <c r="Q479" s="5"/>
    </row>
    <row r="480" spans="1:17" ht="16.5">
      <c r="A480" s="60" t="str">
        <f t="shared" si="270"/>
        <v>Paule</v>
      </c>
      <c r="B480" s="61" t="s">
        <v>161</v>
      </c>
      <c r="C480" s="63">
        <v>13500</v>
      </c>
      <c r="D480" s="63">
        <f t="shared" si="271"/>
        <v>85000</v>
      </c>
      <c r="E480" s="63">
        <f t="shared" si="272"/>
        <v>89000</v>
      </c>
      <c r="F480" s="63">
        <f t="shared" si="273"/>
        <v>9500</v>
      </c>
      <c r="G480" s="63">
        <f>+O480</f>
        <v>0</v>
      </c>
      <c r="H480" s="63">
        <v>0</v>
      </c>
      <c r="I480" s="63">
        <f>+C480+D480-E480-F480+G480</f>
        <v>0</v>
      </c>
      <c r="J480" s="9">
        <f>I480-H480</f>
        <v>0</v>
      </c>
      <c r="K480" s="47" t="s">
        <v>203</v>
      </c>
      <c r="L480" s="49">
        <v>85000</v>
      </c>
      <c r="M480" s="49">
        <v>9500</v>
      </c>
      <c r="N480" s="49">
        <v>89000</v>
      </c>
      <c r="O480" s="49">
        <v>0</v>
      </c>
      <c r="Q480" s="5"/>
    </row>
    <row r="481" spans="1:17" ht="16.5">
      <c r="A481" s="60" t="str">
        <f t="shared" si="270"/>
        <v>Tiffany</v>
      </c>
      <c r="B481" s="61" t="s">
        <v>2</v>
      </c>
      <c r="C481" s="63">
        <v>-7259</v>
      </c>
      <c r="D481" s="63">
        <f t="shared" si="271"/>
        <v>329000</v>
      </c>
      <c r="E481" s="63">
        <f t="shared" si="272"/>
        <v>93500</v>
      </c>
      <c r="F481" s="63">
        <f t="shared" si="273"/>
        <v>226000</v>
      </c>
      <c r="G481" s="63">
        <f t="shared" ref="G481" si="278">+O481</f>
        <v>0</v>
      </c>
      <c r="H481" s="63">
        <v>2241</v>
      </c>
      <c r="I481" s="63">
        <f t="shared" ref="I481" si="279">+C481+D481-E481-F481+G481</f>
        <v>2241</v>
      </c>
      <c r="J481" s="9">
        <f t="shared" ref="J481" si="280">I481-H481</f>
        <v>0</v>
      </c>
      <c r="K481" s="47" t="s">
        <v>113</v>
      </c>
      <c r="L481" s="49">
        <v>329000</v>
      </c>
      <c r="M481" s="49">
        <v>226000</v>
      </c>
      <c r="N481" s="49">
        <v>93500</v>
      </c>
      <c r="O481" s="49">
        <v>0</v>
      </c>
      <c r="Q481" s="5"/>
    </row>
    <row r="482" spans="1:17" ht="16.5">
      <c r="A482" s="60" t="str">
        <f t="shared" ref="A482" si="281">K482</f>
        <v>Yan</v>
      </c>
      <c r="B482" s="61" t="s">
        <v>161</v>
      </c>
      <c r="C482" s="63">
        <v>0</v>
      </c>
      <c r="D482" s="63">
        <f t="shared" ref="D482" si="282">+L482</f>
        <v>349000</v>
      </c>
      <c r="E482" s="63">
        <f t="shared" ref="E482" si="283">+N482</f>
        <v>338500</v>
      </c>
      <c r="F482" s="63">
        <f t="shared" ref="F482" si="284">+M482</f>
        <v>0</v>
      </c>
      <c r="G482" s="63">
        <f t="shared" ref="G482" si="285">+O482</f>
        <v>0</v>
      </c>
      <c r="H482" s="63">
        <v>10500</v>
      </c>
      <c r="I482" s="63">
        <f>+C482+D482-E482-F482+G482</f>
        <v>10500</v>
      </c>
      <c r="J482" s="9">
        <f>I482-H482</f>
        <v>0</v>
      </c>
      <c r="K482" s="47" t="s">
        <v>219</v>
      </c>
      <c r="L482" s="49">
        <v>349000</v>
      </c>
      <c r="M482" s="49">
        <v>0</v>
      </c>
      <c r="N482" s="49">
        <v>338500</v>
      </c>
      <c r="O482" s="49">
        <v>0</v>
      </c>
      <c r="Q482" s="5"/>
    </row>
    <row r="483" spans="1:17" ht="16.5">
      <c r="A483" s="10" t="s">
        <v>50</v>
      </c>
      <c r="B483" s="11"/>
      <c r="C483" s="12">
        <f t="shared" ref="C483:I483" si="286">SUM(C467:C482)</f>
        <v>22774658</v>
      </c>
      <c r="D483" s="59">
        <f t="shared" si="286"/>
        <v>12834335</v>
      </c>
      <c r="E483" s="59">
        <f t="shared" si="286"/>
        <v>11393660</v>
      </c>
      <c r="F483" s="59">
        <f t="shared" si="286"/>
        <v>12834335</v>
      </c>
      <c r="G483" s="59">
        <f t="shared" si="286"/>
        <v>11963948</v>
      </c>
      <c r="H483" s="59">
        <f t="shared" si="286"/>
        <v>23344946</v>
      </c>
      <c r="I483" s="59">
        <f t="shared" si="286"/>
        <v>23344946</v>
      </c>
      <c r="J483" s="9">
        <f>I483-H483</f>
        <v>0</v>
      </c>
      <c r="K483" s="3"/>
      <c r="L483" s="49">
        <f>+SUM(L467:L482)</f>
        <v>12834335</v>
      </c>
      <c r="M483" s="49">
        <f>+SUM(M467:M482)</f>
        <v>12834335</v>
      </c>
      <c r="N483" s="49">
        <f>+SUM(N467:N482)</f>
        <v>11393660</v>
      </c>
      <c r="O483" s="49">
        <f>+SUM(O467:O481)</f>
        <v>11963948</v>
      </c>
      <c r="Q483" s="5"/>
    </row>
    <row r="484" spans="1:17" ht="16.5">
      <c r="A484" s="10"/>
      <c r="B484" s="11"/>
      <c r="C484" s="12"/>
      <c r="D484" s="13"/>
      <c r="E484" s="12"/>
      <c r="F484" s="13"/>
      <c r="G484" s="12"/>
      <c r="H484" s="12"/>
      <c r="I484" s="143" t="b">
        <f>I483=D486</f>
        <v>1</v>
      </c>
      <c r="L484" s="5"/>
      <c r="M484" s="5"/>
      <c r="N484" s="5"/>
      <c r="O484" s="5"/>
      <c r="Q484" s="5"/>
    </row>
    <row r="485" spans="1:17" ht="16.5">
      <c r="A485" s="10" t="s">
        <v>217</v>
      </c>
      <c r="B485" s="11" t="s">
        <v>216</v>
      </c>
      <c r="C485" s="12" t="s">
        <v>215</v>
      </c>
      <c r="D485" s="12" t="s">
        <v>222</v>
      </c>
      <c r="E485" s="12" t="s">
        <v>51</v>
      </c>
      <c r="F485" s="12"/>
      <c r="G485" s="12">
        <f>+D483-F483</f>
        <v>0</v>
      </c>
      <c r="H485" s="12"/>
      <c r="I485" s="12"/>
      <c r="Q485" s="5"/>
    </row>
    <row r="486" spans="1:17" ht="16.5">
      <c r="A486" s="14">
        <f>C483</f>
        <v>22774658</v>
      </c>
      <c r="B486" s="15">
        <f>G483</f>
        <v>11963948</v>
      </c>
      <c r="C486" s="12">
        <f>E483</f>
        <v>11393660</v>
      </c>
      <c r="D486" s="12">
        <f>A486+B486-C486</f>
        <v>23344946</v>
      </c>
      <c r="E486" s="13">
        <f>I483-D486</f>
        <v>0</v>
      </c>
      <c r="F486" s="12"/>
      <c r="G486" s="12"/>
      <c r="H486" s="12"/>
      <c r="I486" s="12"/>
      <c r="Q486" s="5"/>
    </row>
    <row r="487" spans="1:17" ht="16.5">
      <c r="A487" s="14"/>
      <c r="B487" s="15"/>
      <c r="C487" s="12"/>
      <c r="D487" s="12"/>
      <c r="E487" s="13"/>
      <c r="F487" s="12"/>
      <c r="G487" s="12"/>
      <c r="H487" s="12"/>
      <c r="I487" s="12"/>
      <c r="Q487" s="5"/>
    </row>
    <row r="488" spans="1:17">
      <c r="A488" s="16" t="s">
        <v>52</v>
      </c>
      <c r="B488" s="16"/>
      <c r="C488" s="16"/>
      <c r="D488" s="17"/>
      <c r="E488" s="17"/>
      <c r="F488" s="17"/>
      <c r="G488" s="17"/>
      <c r="H488" s="17"/>
      <c r="I488" s="17"/>
      <c r="Q488" s="5"/>
    </row>
    <row r="489" spans="1:17">
      <c r="A489" s="18" t="s">
        <v>223</v>
      </c>
      <c r="B489" s="18"/>
      <c r="C489" s="18"/>
      <c r="D489" s="18"/>
      <c r="E489" s="18"/>
      <c r="F489" s="18"/>
      <c r="G489" s="18"/>
      <c r="H489" s="18"/>
      <c r="I489" s="18"/>
      <c r="J489" s="18"/>
      <c r="Q489" s="5"/>
    </row>
    <row r="490" spans="1:17">
      <c r="A490" s="19"/>
      <c r="B490" s="20"/>
      <c r="C490" s="21"/>
      <c r="D490" s="21"/>
      <c r="E490" s="21"/>
      <c r="F490" s="21"/>
      <c r="G490" s="21"/>
      <c r="H490" s="20"/>
      <c r="I490" s="20"/>
      <c r="Q490" s="5"/>
    </row>
    <row r="491" spans="1:17">
      <c r="A491" s="229" t="s">
        <v>53</v>
      </c>
      <c r="B491" s="231" t="s">
        <v>54</v>
      </c>
      <c r="C491" s="233" t="s">
        <v>218</v>
      </c>
      <c r="D491" s="235" t="s">
        <v>55</v>
      </c>
      <c r="E491" s="236"/>
      <c r="F491" s="236"/>
      <c r="G491" s="237"/>
      <c r="H491" s="238" t="s">
        <v>56</v>
      </c>
      <c r="I491" s="240" t="s">
        <v>57</v>
      </c>
      <c r="J491" s="20"/>
      <c r="Q491" s="5"/>
    </row>
    <row r="492" spans="1:17" ht="28.5" customHeight="1">
      <c r="A492" s="230"/>
      <c r="B492" s="232"/>
      <c r="C492" s="234"/>
      <c r="D492" s="22" t="s">
        <v>24</v>
      </c>
      <c r="E492" s="22" t="s">
        <v>25</v>
      </c>
      <c r="F492" s="234" t="s">
        <v>123</v>
      </c>
      <c r="G492" s="22" t="s">
        <v>58</v>
      </c>
      <c r="H492" s="239"/>
      <c r="I492" s="241"/>
      <c r="J492" s="243" t="s">
        <v>221</v>
      </c>
      <c r="K492" s="155"/>
      <c r="Q492" s="5"/>
    </row>
    <row r="493" spans="1:17">
      <c r="A493" s="24"/>
      <c r="B493" s="25" t="s">
        <v>59</v>
      </c>
      <c r="C493" s="26"/>
      <c r="D493" s="26"/>
      <c r="E493" s="26"/>
      <c r="F493" s="26"/>
      <c r="G493" s="26"/>
      <c r="H493" s="26"/>
      <c r="I493" s="27"/>
      <c r="J493" s="242"/>
      <c r="K493" s="155"/>
      <c r="Q493" s="5"/>
    </row>
    <row r="494" spans="1:17">
      <c r="A494" s="130" t="s">
        <v>134</v>
      </c>
      <c r="B494" s="135" t="s">
        <v>47</v>
      </c>
      <c r="C494" s="33">
        <f>+C470</f>
        <v>21850</v>
      </c>
      <c r="D494" s="32"/>
      <c r="E494" s="33">
        <f>+D470</f>
        <v>1282000</v>
      </c>
      <c r="F494" s="33"/>
      <c r="G494" s="33"/>
      <c r="H494" s="57">
        <f t="shared" ref="H494:H506" si="287">+F470</f>
        <v>0</v>
      </c>
      <c r="I494" s="33">
        <f t="shared" ref="I494:I506" si="288">+E470</f>
        <v>1288100</v>
      </c>
      <c r="J494" s="31">
        <f t="shared" ref="J494:J495" si="289">+SUM(C494:G494)-(H494+I494)</f>
        <v>15750</v>
      </c>
      <c r="K494" s="156" t="b">
        <f t="shared" ref="K494:K506" si="290">J494=I470</f>
        <v>1</v>
      </c>
      <c r="Q494" s="5"/>
    </row>
    <row r="495" spans="1:17">
      <c r="A495" s="130" t="str">
        <f>+A494</f>
        <v>MAI</v>
      </c>
      <c r="B495" s="135" t="s">
        <v>31</v>
      </c>
      <c r="C495" s="33">
        <f t="shared" ref="C495:C496" si="291">+C471</f>
        <v>7995</v>
      </c>
      <c r="D495" s="32"/>
      <c r="E495" s="33">
        <f t="shared" ref="E495:E496" si="292">+D471</f>
        <v>262000</v>
      </c>
      <c r="F495" s="33"/>
      <c r="G495" s="33"/>
      <c r="H495" s="57">
        <f t="shared" si="287"/>
        <v>0</v>
      </c>
      <c r="I495" s="33">
        <f t="shared" si="288"/>
        <v>261200</v>
      </c>
      <c r="J495" s="107">
        <f t="shared" si="289"/>
        <v>8795</v>
      </c>
      <c r="K495" s="156" t="b">
        <f t="shared" si="290"/>
        <v>1</v>
      </c>
      <c r="Q495" s="5"/>
    </row>
    <row r="496" spans="1:17">
      <c r="A496" s="130" t="str">
        <f t="shared" ref="A496:A501" si="293">+A495</f>
        <v>MAI</v>
      </c>
      <c r="B496" s="136" t="s">
        <v>151</v>
      </c>
      <c r="C496" s="33">
        <f t="shared" si="291"/>
        <v>156335</v>
      </c>
      <c r="D496" s="127"/>
      <c r="E496" s="33">
        <f t="shared" si="292"/>
        <v>307000</v>
      </c>
      <c r="F496" s="53"/>
      <c r="G496" s="53"/>
      <c r="H496" s="57">
        <f t="shared" si="287"/>
        <v>154835</v>
      </c>
      <c r="I496" s="33">
        <f t="shared" si="288"/>
        <v>308500</v>
      </c>
      <c r="J496" s="132">
        <f>+SUM(C496:G496)-(H496+I496)</f>
        <v>0</v>
      </c>
      <c r="K496" s="156" t="b">
        <f t="shared" si="290"/>
        <v>1</v>
      </c>
      <c r="Q496" s="5"/>
    </row>
    <row r="497" spans="1:17">
      <c r="A497" s="130" t="str">
        <f t="shared" si="293"/>
        <v>MAI</v>
      </c>
      <c r="B497" s="137" t="s">
        <v>84</v>
      </c>
      <c r="C497" s="128">
        <f>+C473</f>
        <v>233614</v>
      </c>
      <c r="D497" s="131"/>
      <c r="E497" s="128">
        <f>+D473</f>
        <v>0</v>
      </c>
      <c r="F497" s="146"/>
      <c r="G497" s="146"/>
      <c r="H497" s="178">
        <f t="shared" si="287"/>
        <v>0</v>
      </c>
      <c r="I497" s="128">
        <f t="shared" si="288"/>
        <v>0</v>
      </c>
      <c r="J497" s="129">
        <f>+SUM(C497:G497)-(H497+I497)</f>
        <v>233614</v>
      </c>
      <c r="K497" s="156" t="b">
        <f t="shared" si="290"/>
        <v>1</v>
      </c>
      <c r="Q497" s="5"/>
    </row>
    <row r="498" spans="1:17">
      <c r="A498" s="130" t="str">
        <f t="shared" si="293"/>
        <v>MAI</v>
      </c>
      <c r="B498" s="137" t="s">
        <v>83</v>
      </c>
      <c r="C498" s="128">
        <f>+C474</f>
        <v>249769</v>
      </c>
      <c r="D498" s="131"/>
      <c r="E498" s="128">
        <f>+D474</f>
        <v>0</v>
      </c>
      <c r="F498" s="146"/>
      <c r="G498" s="146"/>
      <c r="H498" s="178">
        <f t="shared" si="287"/>
        <v>0</v>
      </c>
      <c r="I498" s="128">
        <f t="shared" si="288"/>
        <v>0</v>
      </c>
      <c r="J498" s="129">
        <f t="shared" ref="J498:J506" si="294">+SUM(C498:G498)-(H498+I498)</f>
        <v>249769</v>
      </c>
      <c r="K498" s="156" t="b">
        <f t="shared" si="290"/>
        <v>1</v>
      </c>
      <c r="Q498" s="5"/>
    </row>
    <row r="499" spans="1:17">
      <c r="A499" s="130" t="str">
        <f t="shared" si="293"/>
        <v>MAI</v>
      </c>
      <c r="B499" s="135" t="s">
        <v>150</v>
      </c>
      <c r="C499" s="33">
        <f>+C475</f>
        <v>10200</v>
      </c>
      <c r="D499" s="32"/>
      <c r="E499" s="33">
        <f>+D475</f>
        <v>25000</v>
      </c>
      <c r="F499" s="33"/>
      <c r="G499" s="110"/>
      <c r="H499" s="57">
        <f t="shared" si="287"/>
        <v>0</v>
      </c>
      <c r="I499" s="33">
        <f t="shared" si="288"/>
        <v>20500</v>
      </c>
      <c r="J499" s="31">
        <f t="shared" si="294"/>
        <v>14700</v>
      </c>
      <c r="K499" s="156" t="b">
        <f t="shared" si="290"/>
        <v>1</v>
      </c>
      <c r="Q499" s="5"/>
    </row>
    <row r="500" spans="1:17">
      <c r="A500" s="130" t="str">
        <f t="shared" si="293"/>
        <v>MAI</v>
      </c>
      <c r="B500" s="135" t="s">
        <v>204</v>
      </c>
      <c r="C500" s="33">
        <f t="shared" ref="C500:C503" si="295">+C476</f>
        <v>43500</v>
      </c>
      <c r="D500" s="32"/>
      <c r="E500" s="33">
        <f t="shared" ref="E500:E506" si="296">+D476</f>
        <v>701000</v>
      </c>
      <c r="F500" s="33"/>
      <c r="G500" s="110"/>
      <c r="H500" s="57">
        <f t="shared" si="287"/>
        <v>0</v>
      </c>
      <c r="I500" s="33">
        <f t="shared" si="288"/>
        <v>697550</v>
      </c>
      <c r="J500" s="31">
        <f t="shared" si="294"/>
        <v>46950</v>
      </c>
      <c r="K500" s="156" t="b">
        <f t="shared" si="290"/>
        <v>1</v>
      </c>
      <c r="Q500" s="5"/>
    </row>
    <row r="501" spans="1:17">
      <c r="A501" s="130" t="str">
        <f t="shared" si="293"/>
        <v>MAI</v>
      </c>
      <c r="B501" s="135" t="s">
        <v>30</v>
      </c>
      <c r="C501" s="33">
        <f t="shared" si="295"/>
        <v>177550</v>
      </c>
      <c r="D501" s="32"/>
      <c r="E501" s="33">
        <f t="shared" si="296"/>
        <v>969000</v>
      </c>
      <c r="F501" s="33"/>
      <c r="G501" s="110"/>
      <c r="H501" s="57">
        <f t="shared" si="287"/>
        <v>220000</v>
      </c>
      <c r="I501" s="33">
        <f t="shared" si="288"/>
        <v>814500</v>
      </c>
      <c r="J501" s="31">
        <f t="shared" si="294"/>
        <v>112050</v>
      </c>
      <c r="K501" s="156" t="b">
        <f t="shared" si="290"/>
        <v>1</v>
      </c>
      <c r="Q501" s="5"/>
    </row>
    <row r="502" spans="1:17">
      <c r="A502" s="130" t="str">
        <f>+A500</f>
        <v>MAI</v>
      </c>
      <c r="B502" s="135" t="s">
        <v>93</v>
      </c>
      <c r="C502" s="33">
        <f t="shared" si="295"/>
        <v>4400</v>
      </c>
      <c r="D502" s="32"/>
      <c r="E502" s="33">
        <f t="shared" si="296"/>
        <v>170000</v>
      </c>
      <c r="F502" s="33"/>
      <c r="G502" s="110"/>
      <c r="H502" s="57">
        <f t="shared" si="287"/>
        <v>10000</v>
      </c>
      <c r="I502" s="33">
        <f t="shared" si="288"/>
        <v>161500</v>
      </c>
      <c r="J502" s="31">
        <f t="shared" si="294"/>
        <v>2900</v>
      </c>
      <c r="K502" s="156" t="b">
        <f t="shared" si="290"/>
        <v>1</v>
      </c>
      <c r="Q502" s="5"/>
    </row>
    <row r="503" spans="1:17">
      <c r="A503" s="130" t="str">
        <f>+A501</f>
        <v>MAI</v>
      </c>
      <c r="B503" s="135" t="s">
        <v>29</v>
      </c>
      <c r="C503" s="33">
        <f t="shared" si="295"/>
        <v>294700</v>
      </c>
      <c r="D503" s="32"/>
      <c r="E503" s="33">
        <f t="shared" si="296"/>
        <v>671000</v>
      </c>
      <c r="F503" s="33"/>
      <c r="G503" s="110"/>
      <c r="H503" s="57">
        <f t="shared" si="287"/>
        <v>300000</v>
      </c>
      <c r="I503" s="33">
        <f t="shared" si="288"/>
        <v>525000</v>
      </c>
      <c r="J503" s="31">
        <f t="shared" si="294"/>
        <v>140700</v>
      </c>
      <c r="K503" s="156" t="b">
        <f t="shared" si="290"/>
        <v>1</v>
      </c>
      <c r="Q503" s="5"/>
    </row>
    <row r="504" spans="1:17">
      <c r="A504" s="130" t="str">
        <f>+A502</f>
        <v>MAI</v>
      </c>
      <c r="B504" s="135" t="s">
        <v>203</v>
      </c>
      <c r="C504" s="33">
        <f>+C480</f>
        <v>13500</v>
      </c>
      <c r="D504" s="32"/>
      <c r="E504" s="33">
        <f t="shared" si="296"/>
        <v>85000</v>
      </c>
      <c r="F504" s="33"/>
      <c r="G504" s="110"/>
      <c r="H504" s="57">
        <f t="shared" si="287"/>
        <v>9500</v>
      </c>
      <c r="I504" s="33">
        <f t="shared" si="288"/>
        <v>89000</v>
      </c>
      <c r="J504" s="31">
        <f t="shared" si="294"/>
        <v>0</v>
      </c>
      <c r="K504" s="156" t="b">
        <f t="shared" si="290"/>
        <v>1</v>
      </c>
      <c r="Q504" s="5"/>
    </row>
    <row r="505" spans="1:17">
      <c r="A505" s="130" t="str">
        <f>+A502</f>
        <v>MAI</v>
      </c>
      <c r="B505" s="136" t="s">
        <v>113</v>
      </c>
      <c r="C505" s="33">
        <f t="shared" ref="C505:C506" si="297">+C481</f>
        <v>-7259</v>
      </c>
      <c r="D505" s="127"/>
      <c r="E505" s="33">
        <f t="shared" si="296"/>
        <v>329000</v>
      </c>
      <c r="F505" s="53"/>
      <c r="G505" s="147"/>
      <c r="H505" s="57">
        <f t="shared" si="287"/>
        <v>226000</v>
      </c>
      <c r="I505" s="33">
        <f t="shared" si="288"/>
        <v>93500</v>
      </c>
      <c r="J505" s="31">
        <f t="shared" si="294"/>
        <v>2241</v>
      </c>
      <c r="K505" s="156" t="b">
        <f t="shared" si="290"/>
        <v>1</v>
      </c>
      <c r="Q505" s="5"/>
    </row>
    <row r="506" spans="1:17">
      <c r="A506" s="130" t="str">
        <f>+A503</f>
        <v>MAI</v>
      </c>
      <c r="B506" s="136" t="s">
        <v>219</v>
      </c>
      <c r="C506" s="33">
        <f t="shared" si="297"/>
        <v>0</v>
      </c>
      <c r="D506" s="127"/>
      <c r="E506" s="33">
        <f t="shared" si="296"/>
        <v>349000</v>
      </c>
      <c r="F506" s="53"/>
      <c r="G506" s="147"/>
      <c r="H506" s="57">
        <f t="shared" si="287"/>
        <v>0</v>
      </c>
      <c r="I506" s="33">
        <f t="shared" si="288"/>
        <v>338500</v>
      </c>
      <c r="J506" s="31">
        <f t="shared" si="294"/>
        <v>10500</v>
      </c>
      <c r="K506" s="156" t="b">
        <f t="shared" si="290"/>
        <v>1</v>
      </c>
      <c r="Q506" s="5"/>
    </row>
    <row r="507" spans="1:17">
      <c r="A507" s="35" t="s">
        <v>60</v>
      </c>
      <c r="B507" s="36"/>
      <c r="C507" s="36"/>
      <c r="D507" s="36"/>
      <c r="E507" s="36"/>
      <c r="F507" s="36"/>
      <c r="G507" s="36"/>
      <c r="H507" s="36"/>
      <c r="I507" s="36"/>
      <c r="J507" s="37"/>
      <c r="K507" s="155"/>
      <c r="Q507" s="5"/>
    </row>
    <row r="508" spans="1:17">
      <c r="A508" s="130" t="str">
        <f>+A506</f>
        <v>MAI</v>
      </c>
      <c r="B508" s="38" t="s">
        <v>61</v>
      </c>
      <c r="C508" s="39">
        <f>+C469</f>
        <v>963113</v>
      </c>
      <c r="D508" s="51"/>
      <c r="E508" s="51">
        <f>D469</f>
        <v>7684335</v>
      </c>
      <c r="F508" s="51"/>
      <c r="G508" s="133"/>
      <c r="H508" s="53">
        <f>+F469</f>
        <v>4914000</v>
      </c>
      <c r="I508" s="134">
        <f>+E469</f>
        <v>2033042</v>
      </c>
      <c r="J508" s="46">
        <f>+SUM(C508:G508)-(H508+I508)</f>
        <v>1700406</v>
      </c>
      <c r="K508" s="156" t="b">
        <f>J508=I469</f>
        <v>1</v>
      </c>
      <c r="Q508" s="5"/>
    </row>
    <row r="509" spans="1:17">
      <c r="A509" s="44" t="s">
        <v>62</v>
      </c>
      <c r="B509" s="25"/>
      <c r="C509" s="36"/>
      <c r="D509" s="25"/>
      <c r="E509" s="25"/>
      <c r="F509" s="25"/>
      <c r="G509" s="25"/>
      <c r="H509" s="25"/>
      <c r="I509" s="25"/>
      <c r="J509" s="37"/>
      <c r="K509" s="155"/>
      <c r="Q509" s="5"/>
    </row>
    <row r="510" spans="1:17">
      <c r="A510" s="130" t="str">
        <f>+A508</f>
        <v>MAI</v>
      </c>
      <c r="B510" s="38" t="s">
        <v>163</v>
      </c>
      <c r="C510" s="133">
        <f>+C467</f>
        <v>4154435</v>
      </c>
      <c r="D510" s="140">
        <f>+G467</f>
        <v>11963948</v>
      </c>
      <c r="E510" s="51"/>
      <c r="F510" s="51"/>
      <c r="G510" s="51"/>
      <c r="H510" s="53">
        <f>+F467</f>
        <v>7000000</v>
      </c>
      <c r="I510" s="55">
        <f>+E467</f>
        <v>543345</v>
      </c>
      <c r="J510" s="46">
        <f>+SUM(C510:G510)-(H510+I510)</f>
        <v>8575038</v>
      </c>
      <c r="K510" s="156" t="b">
        <f>+J510=I467</f>
        <v>1</v>
      </c>
      <c r="Q510" s="5"/>
    </row>
    <row r="511" spans="1:17">
      <c r="A511" s="130" t="str">
        <f t="shared" ref="A511" si="298">+A510</f>
        <v>MAI</v>
      </c>
      <c r="B511" s="38" t="s">
        <v>64</v>
      </c>
      <c r="C511" s="133">
        <f>+C468</f>
        <v>16450956</v>
      </c>
      <c r="D511" s="51">
        <f>+G468</f>
        <v>0</v>
      </c>
      <c r="E511" s="50"/>
      <c r="F511" s="50"/>
      <c r="G511" s="50"/>
      <c r="H511" s="33">
        <f>+F468</f>
        <v>0</v>
      </c>
      <c r="I511" s="52">
        <f>+E468</f>
        <v>4219423</v>
      </c>
      <c r="J511" s="46">
        <f>SUM(C511:G511)-(H511+I511)</f>
        <v>12231533</v>
      </c>
      <c r="K511" s="156" t="b">
        <f>+J511=I468</f>
        <v>1</v>
      </c>
      <c r="Q511" s="5"/>
    </row>
    <row r="512" spans="1:17" ht="15.75">
      <c r="C512" s="151">
        <f>SUM(C494:C511)</f>
        <v>22774658</v>
      </c>
      <c r="I512" s="149">
        <f>SUM(I494:I511)</f>
        <v>11393660</v>
      </c>
      <c r="J512" s="111">
        <f>+SUM(J494:J511)</f>
        <v>23344946</v>
      </c>
      <c r="K512" s="5" t="b">
        <f>J512=I483</f>
        <v>1</v>
      </c>
      <c r="Q512" s="5"/>
    </row>
    <row r="513" spans="1:17" ht="15.75">
      <c r="A513" s="189"/>
      <c r="B513" s="189"/>
      <c r="C513" s="190"/>
      <c r="D513" s="189"/>
      <c r="E513" s="189"/>
      <c r="F513" s="189"/>
      <c r="G513" s="189"/>
      <c r="H513" s="189"/>
      <c r="I513" s="191"/>
      <c r="J513" s="192"/>
      <c r="K513" s="189"/>
      <c r="L513" s="193"/>
      <c r="M513" s="193"/>
      <c r="N513" s="193"/>
      <c r="O513" s="193"/>
      <c r="P513" s="189"/>
      <c r="Q513" s="5"/>
    </row>
    <row r="515" spans="1:17" ht="15.75">
      <c r="A515" s="6" t="s">
        <v>36</v>
      </c>
      <c r="B515" s="6" t="s">
        <v>1</v>
      </c>
      <c r="C515" s="6">
        <v>44652</v>
      </c>
      <c r="D515" s="7" t="s">
        <v>37</v>
      </c>
      <c r="E515" s="7" t="s">
        <v>38</v>
      </c>
      <c r="F515" s="7" t="s">
        <v>39</v>
      </c>
      <c r="G515" s="7" t="s">
        <v>40</v>
      </c>
      <c r="H515" s="6">
        <v>44681</v>
      </c>
      <c r="I515" s="7" t="s">
        <v>41</v>
      </c>
      <c r="K515" s="47"/>
      <c r="L515" s="47" t="s">
        <v>42</v>
      </c>
      <c r="M515" s="47" t="s">
        <v>43</v>
      </c>
      <c r="N515" s="47" t="s">
        <v>44</v>
      </c>
      <c r="O515" s="47" t="s">
        <v>45</v>
      </c>
      <c r="Q515" s="5"/>
    </row>
    <row r="516" spans="1:17" ht="16.5">
      <c r="A516" s="60" t="str">
        <f>K516</f>
        <v>BCI</v>
      </c>
      <c r="B516" s="61" t="s">
        <v>46</v>
      </c>
      <c r="C516" s="63">
        <v>9177780</v>
      </c>
      <c r="D516" s="63">
        <f>+L516</f>
        <v>0</v>
      </c>
      <c r="E516" s="63">
        <f>+N516</f>
        <v>23345</v>
      </c>
      <c r="F516" s="63">
        <f>+M516</f>
        <v>5000000</v>
      </c>
      <c r="G516" s="63">
        <f t="shared" ref="G516:G527" si="299">+O516</f>
        <v>0</v>
      </c>
      <c r="H516" s="63">
        <v>4154435</v>
      </c>
      <c r="I516" s="63">
        <f>+C516+D516-E516-F516+G516</f>
        <v>4154435</v>
      </c>
      <c r="J516" s="9">
        <f>I516-H516</f>
        <v>0</v>
      </c>
      <c r="K516" s="47" t="s">
        <v>24</v>
      </c>
      <c r="L516" s="49">
        <v>0</v>
      </c>
      <c r="M516" s="49">
        <v>5000000</v>
      </c>
      <c r="N516" s="49">
        <v>23345</v>
      </c>
      <c r="O516" s="49">
        <v>0</v>
      </c>
      <c r="Q516" s="5"/>
    </row>
    <row r="517" spans="1:17" ht="16.5">
      <c r="A517" s="60" t="str">
        <f t="shared" ref="A517:A530" si="300">K517</f>
        <v>BCI-Sous Compte</v>
      </c>
      <c r="B517" s="61" t="s">
        <v>46</v>
      </c>
      <c r="C517" s="63">
        <v>21521261</v>
      </c>
      <c r="D517" s="63">
        <f t="shared" ref="D517:D530" si="301">+L517</f>
        <v>0</v>
      </c>
      <c r="E517" s="63">
        <f t="shared" ref="E517:E530" si="302">+N517</f>
        <v>5070305</v>
      </c>
      <c r="F517" s="63">
        <f t="shared" ref="F517:F530" si="303">+M517</f>
        <v>0</v>
      </c>
      <c r="G517" s="63">
        <f t="shared" si="299"/>
        <v>0</v>
      </c>
      <c r="H517" s="63">
        <v>16450956</v>
      </c>
      <c r="I517" s="63">
        <f>+C517+D517-E517-F517+G517</f>
        <v>16450956</v>
      </c>
      <c r="J517" s="9">
        <f t="shared" ref="J517:J524" si="304">I517-H517</f>
        <v>0</v>
      </c>
      <c r="K517" s="47" t="s">
        <v>155</v>
      </c>
      <c r="L517" s="49">
        <v>0</v>
      </c>
      <c r="M517" s="49">
        <v>0</v>
      </c>
      <c r="N517" s="49">
        <v>5070305</v>
      </c>
      <c r="O517" s="49">
        <v>0</v>
      </c>
      <c r="Q517" s="5"/>
    </row>
    <row r="518" spans="1:17" ht="16.5">
      <c r="A518" s="60" t="str">
        <f t="shared" si="300"/>
        <v>Caisse</v>
      </c>
      <c r="B518" s="61" t="s">
        <v>25</v>
      </c>
      <c r="C518" s="63">
        <v>1160022</v>
      </c>
      <c r="D518" s="63">
        <f t="shared" si="301"/>
        <v>5100000</v>
      </c>
      <c r="E518" s="63">
        <f t="shared" si="302"/>
        <v>1822909</v>
      </c>
      <c r="F518" s="63">
        <f t="shared" si="303"/>
        <v>3474000</v>
      </c>
      <c r="G518" s="63">
        <f t="shared" si="299"/>
        <v>0</v>
      </c>
      <c r="H518" s="63">
        <v>963113</v>
      </c>
      <c r="I518" s="63">
        <f>+C518+D518-E518-F518+G518</f>
        <v>963113</v>
      </c>
      <c r="J518" s="108">
        <f t="shared" si="304"/>
        <v>0</v>
      </c>
      <c r="K518" s="47" t="s">
        <v>25</v>
      </c>
      <c r="L518" s="49">
        <v>5100000</v>
      </c>
      <c r="M518" s="49">
        <v>3474000</v>
      </c>
      <c r="N518" s="49">
        <v>1822909</v>
      </c>
      <c r="O518" s="49">
        <v>0</v>
      </c>
      <c r="Q518" s="5"/>
    </row>
    <row r="519" spans="1:17" ht="16.5">
      <c r="A519" s="60" t="str">
        <f t="shared" si="300"/>
        <v>Crépin</v>
      </c>
      <c r="B519" s="61" t="s">
        <v>161</v>
      </c>
      <c r="C519" s="63">
        <v>22050</v>
      </c>
      <c r="D519" s="63">
        <f t="shared" si="301"/>
        <v>462000</v>
      </c>
      <c r="E519" s="63">
        <f t="shared" si="302"/>
        <v>462200</v>
      </c>
      <c r="F519" s="63">
        <f t="shared" si="303"/>
        <v>0</v>
      </c>
      <c r="G519" s="63">
        <f t="shared" si="299"/>
        <v>0</v>
      </c>
      <c r="H519" s="63">
        <v>21850</v>
      </c>
      <c r="I519" s="63">
        <f>+C519+D519-E519-F519+G519</f>
        <v>21850</v>
      </c>
      <c r="J519" s="9">
        <f t="shared" si="304"/>
        <v>0</v>
      </c>
      <c r="K519" s="47" t="s">
        <v>47</v>
      </c>
      <c r="L519" s="49">
        <v>462000</v>
      </c>
      <c r="M519" s="49">
        <v>0</v>
      </c>
      <c r="N519" s="49">
        <v>462200</v>
      </c>
      <c r="O519" s="49">
        <v>0</v>
      </c>
      <c r="Q519" s="5"/>
    </row>
    <row r="520" spans="1:17" ht="16.5">
      <c r="A520" s="60" t="str">
        <f t="shared" si="300"/>
        <v>Evariste</v>
      </c>
      <c r="B520" s="61" t="s">
        <v>162</v>
      </c>
      <c r="C520" s="63">
        <v>13995</v>
      </c>
      <c r="D520" s="63">
        <f t="shared" si="301"/>
        <v>30000</v>
      </c>
      <c r="E520" s="63">
        <f t="shared" si="302"/>
        <v>36000</v>
      </c>
      <c r="F520" s="63">
        <f t="shared" si="303"/>
        <v>0</v>
      </c>
      <c r="G520" s="63">
        <f t="shared" si="299"/>
        <v>0</v>
      </c>
      <c r="H520" s="63">
        <v>7995</v>
      </c>
      <c r="I520" s="63">
        <f t="shared" ref="I520" si="305">+C520+D520-E520-F520+G520</f>
        <v>7995</v>
      </c>
      <c r="J520" s="9">
        <f t="shared" si="304"/>
        <v>0</v>
      </c>
      <c r="K520" s="47" t="s">
        <v>31</v>
      </c>
      <c r="L520" s="49">
        <v>30000</v>
      </c>
      <c r="M520" s="49">
        <v>0</v>
      </c>
      <c r="N520" s="49">
        <v>36000</v>
      </c>
      <c r="O520" s="49">
        <v>0</v>
      </c>
      <c r="Q520" s="5"/>
    </row>
    <row r="521" spans="1:17" ht="16.5">
      <c r="A521" s="60" t="str">
        <f t="shared" si="300"/>
        <v>Godfré</v>
      </c>
      <c r="B521" s="61" t="s">
        <v>161</v>
      </c>
      <c r="C521" s="63">
        <v>36485</v>
      </c>
      <c r="D521" s="63">
        <f t="shared" si="301"/>
        <v>486000</v>
      </c>
      <c r="E521" s="63">
        <f t="shared" si="302"/>
        <v>366150</v>
      </c>
      <c r="F521" s="63">
        <f t="shared" si="303"/>
        <v>0</v>
      </c>
      <c r="G521" s="63">
        <f t="shared" si="299"/>
        <v>0</v>
      </c>
      <c r="H521" s="63">
        <v>156335</v>
      </c>
      <c r="I521" s="63">
        <f>+C521+D521-E521-F521+G521</f>
        <v>156335</v>
      </c>
      <c r="J521" s="9">
        <f t="shared" si="304"/>
        <v>0</v>
      </c>
      <c r="K521" s="47" t="s">
        <v>151</v>
      </c>
      <c r="L521" s="49">
        <v>486000</v>
      </c>
      <c r="M521" s="49">
        <v>0</v>
      </c>
      <c r="N521" s="49">
        <v>366150</v>
      </c>
      <c r="O521" s="49">
        <v>0</v>
      </c>
      <c r="Q521" s="5"/>
    </row>
    <row r="522" spans="1:17" ht="16.5">
      <c r="A522" s="60" t="str">
        <f t="shared" si="300"/>
        <v>I55S</v>
      </c>
      <c r="B522" s="124" t="s">
        <v>4</v>
      </c>
      <c r="C522" s="126">
        <v>233614</v>
      </c>
      <c r="D522" s="126">
        <f t="shared" si="301"/>
        <v>0</v>
      </c>
      <c r="E522" s="126">
        <f t="shared" si="302"/>
        <v>0</v>
      </c>
      <c r="F522" s="126">
        <f t="shared" si="303"/>
        <v>0</v>
      </c>
      <c r="G522" s="126">
        <f t="shared" si="299"/>
        <v>0</v>
      </c>
      <c r="H522" s="126">
        <v>233614</v>
      </c>
      <c r="I522" s="126">
        <f>+C522+D522-E522-F522+G522</f>
        <v>233614</v>
      </c>
      <c r="J522" s="9">
        <f t="shared" si="304"/>
        <v>0</v>
      </c>
      <c r="K522" s="47" t="s">
        <v>84</v>
      </c>
      <c r="L522" s="49">
        <v>0</v>
      </c>
      <c r="M522" s="49">
        <v>0</v>
      </c>
      <c r="N522" s="49">
        <v>0</v>
      </c>
      <c r="O522" s="49">
        <v>0</v>
      </c>
      <c r="Q522" s="5"/>
    </row>
    <row r="523" spans="1:17" ht="16.5">
      <c r="A523" s="60" t="str">
        <f t="shared" si="300"/>
        <v>I73X</v>
      </c>
      <c r="B523" s="124" t="s">
        <v>4</v>
      </c>
      <c r="C523" s="126">
        <v>249769</v>
      </c>
      <c r="D523" s="126">
        <f t="shared" si="301"/>
        <v>0</v>
      </c>
      <c r="E523" s="126">
        <f t="shared" si="302"/>
        <v>0</v>
      </c>
      <c r="F523" s="126">
        <f t="shared" si="303"/>
        <v>0</v>
      </c>
      <c r="G523" s="126">
        <f t="shared" si="299"/>
        <v>0</v>
      </c>
      <c r="H523" s="126">
        <v>249769</v>
      </c>
      <c r="I523" s="126">
        <f t="shared" ref="I523:I526" si="306">+C523+D523-E523-F523+G523</f>
        <v>249769</v>
      </c>
      <c r="J523" s="9">
        <f t="shared" si="304"/>
        <v>0</v>
      </c>
      <c r="K523" s="47" t="s">
        <v>83</v>
      </c>
      <c r="L523" s="49">
        <v>0</v>
      </c>
      <c r="M523" s="49">
        <v>0</v>
      </c>
      <c r="N523" s="49">
        <v>0</v>
      </c>
      <c r="O523" s="49">
        <v>0</v>
      </c>
      <c r="Q523" s="5"/>
    </row>
    <row r="524" spans="1:17" ht="16.5">
      <c r="A524" s="60" t="str">
        <f t="shared" si="300"/>
        <v>Grace</v>
      </c>
      <c r="B524" s="104" t="s">
        <v>2</v>
      </c>
      <c r="C524" s="63">
        <v>10700</v>
      </c>
      <c r="D524" s="63">
        <f t="shared" si="301"/>
        <v>10000</v>
      </c>
      <c r="E524" s="63">
        <f t="shared" si="302"/>
        <v>10500</v>
      </c>
      <c r="F524" s="63">
        <f t="shared" si="303"/>
        <v>0</v>
      </c>
      <c r="G524" s="63">
        <f t="shared" si="299"/>
        <v>0</v>
      </c>
      <c r="H524" s="63">
        <v>10200</v>
      </c>
      <c r="I524" s="63">
        <f t="shared" si="306"/>
        <v>10200</v>
      </c>
      <c r="J524" s="9">
        <f t="shared" si="304"/>
        <v>0</v>
      </c>
      <c r="K524" s="47" t="s">
        <v>150</v>
      </c>
      <c r="L524" s="49">
        <v>10000</v>
      </c>
      <c r="M524" s="49">
        <v>0</v>
      </c>
      <c r="N524" s="49">
        <v>10500</v>
      </c>
      <c r="O524" s="49">
        <v>0</v>
      </c>
      <c r="Q524" s="5"/>
    </row>
    <row r="525" spans="1:17" ht="16.5">
      <c r="A525" s="60" t="str">
        <f t="shared" si="300"/>
        <v>Hurielle</v>
      </c>
      <c r="B525" s="227" t="s">
        <v>161</v>
      </c>
      <c r="C525" s="63">
        <v>52000</v>
      </c>
      <c r="D525" s="63">
        <f t="shared" si="301"/>
        <v>113000</v>
      </c>
      <c r="E525" s="63">
        <f t="shared" si="302"/>
        <v>121500</v>
      </c>
      <c r="F525" s="63">
        <f t="shared" si="303"/>
        <v>0</v>
      </c>
      <c r="G525" s="63">
        <f t="shared" si="299"/>
        <v>0</v>
      </c>
      <c r="H525" s="63">
        <v>43500</v>
      </c>
      <c r="I525" s="63">
        <f t="shared" si="306"/>
        <v>43500</v>
      </c>
      <c r="J525" s="9">
        <f>I525-H525</f>
        <v>0</v>
      </c>
      <c r="K525" s="47" t="s">
        <v>204</v>
      </c>
      <c r="L525" s="49">
        <v>113000</v>
      </c>
      <c r="M525" s="49">
        <v>0</v>
      </c>
      <c r="N525" s="49">
        <v>121500</v>
      </c>
      <c r="O525" s="49">
        <v>0</v>
      </c>
      <c r="Q525" s="5"/>
    </row>
    <row r="526" spans="1:17" ht="16.5">
      <c r="A526" s="60" t="str">
        <f t="shared" si="300"/>
        <v>I23C</v>
      </c>
      <c r="B526" s="228" t="s">
        <v>4</v>
      </c>
      <c r="C526" s="63">
        <v>116050</v>
      </c>
      <c r="D526" s="63">
        <f t="shared" si="301"/>
        <v>599000</v>
      </c>
      <c r="E526" s="63">
        <f t="shared" si="302"/>
        <v>537500</v>
      </c>
      <c r="F526" s="63">
        <f t="shared" si="303"/>
        <v>0</v>
      </c>
      <c r="G526" s="63">
        <f t="shared" si="299"/>
        <v>0</v>
      </c>
      <c r="H526" s="63">
        <v>177550</v>
      </c>
      <c r="I526" s="63">
        <f t="shared" si="306"/>
        <v>177550</v>
      </c>
      <c r="J526" s="9">
        <f t="shared" ref="J526:J527" si="307">I526-H526</f>
        <v>0</v>
      </c>
      <c r="K526" s="47" t="s">
        <v>30</v>
      </c>
      <c r="L526" s="49">
        <v>599000</v>
      </c>
      <c r="M526" s="49">
        <v>0</v>
      </c>
      <c r="N526" s="49">
        <v>537500</v>
      </c>
      <c r="O526" s="49">
        <v>0</v>
      </c>
      <c r="Q526" s="5"/>
    </row>
    <row r="527" spans="1:17" ht="16.5">
      <c r="A527" s="60" t="str">
        <f t="shared" si="300"/>
        <v>Merveille</v>
      </c>
      <c r="B527" s="227" t="s">
        <v>2</v>
      </c>
      <c r="C527" s="63">
        <v>4400</v>
      </c>
      <c r="D527" s="63">
        <f t="shared" si="301"/>
        <v>20000</v>
      </c>
      <c r="E527" s="63">
        <f t="shared" si="302"/>
        <v>20000</v>
      </c>
      <c r="F527" s="63">
        <f t="shared" si="303"/>
        <v>0</v>
      </c>
      <c r="G527" s="63">
        <f t="shared" si="299"/>
        <v>0</v>
      </c>
      <c r="H527" s="63">
        <v>4400</v>
      </c>
      <c r="I527" s="63">
        <f>+C527+D527-E527-F527+G527</f>
        <v>4400</v>
      </c>
      <c r="J527" s="9">
        <f t="shared" si="307"/>
        <v>0</v>
      </c>
      <c r="K527" s="47" t="s">
        <v>93</v>
      </c>
      <c r="L527" s="49">
        <v>20000</v>
      </c>
      <c r="M527" s="49">
        <v>0</v>
      </c>
      <c r="N527" s="49">
        <v>20000</v>
      </c>
      <c r="O527" s="49">
        <v>0</v>
      </c>
      <c r="Q527" s="5"/>
    </row>
    <row r="528" spans="1:17" ht="16.5">
      <c r="A528" s="60" t="str">
        <f t="shared" si="300"/>
        <v>P29</v>
      </c>
      <c r="B528" s="227" t="s">
        <v>4</v>
      </c>
      <c r="C528" s="63">
        <v>16200</v>
      </c>
      <c r="D528" s="63">
        <f t="shared" si="301"/>
        <v>874000</v>
      </c>
      <c r="E528" s="63">
        <f t="shared" si="302"/>
        <v>495500</v>
      </c>
      <c r="F528" s="63">
        <f t="shared" si="303"/>
        <v>100000</v>
      </c>
      <c r="G528" s="63">
        <f>+O528</f>
        <v>0</v>
      </c>
      <c r="H528" s="63">
        <v>294700</v>
      </c>
      <c r="I528" s="63">
        <f>+C528+D528-E528-F528+G528</f>
        <v>294700</v>
      </c>
      <c r="J528" s="9">
        <f>I528-H528</f>
        <v>0</v>
      </c>
      <c r="K528" s="47" t="s">
        <v>29</v>
      </c>
      <c r="L528" s="49">
        <v>874000</v>
      </c>
      <c r="M528" s="49">
        <v>100000</v>
      </c>
      <c r="N528" s="49">
        <v>495500</v>
      </c>
      <c r="O528" s="49">
        <v>0</v>
      </c>
      <c r="Q528" s="5"/>
    </row>
    <row r="529" spans="1:17" ht="16.5">
      <c r="A529" s="60" t="str">
        <f t="shared" si="300"/>
        <v>Paule</v>
      </c>
      <c r="B529" s="61" t="s">
        <v>161</v>
      </c>
      <c r="C529" s="63">
        <v>6000</v>
      </c>
      <c r="D529" s="63">
        <f t="shared" si="301"/>
        <v>80000</v>
      </c>
      <c r="E529" s="63">
        <f t="shared" si="302"/>
        <v>72500</v>
      </c>
      <c r="F529" s="63">
        <f t="shared" si="303"/>
        <v>0</v>
      </c>
      <c r="G529" s="63">
        <f>+O529</f>
        <v>0</v>
      </c>
      <c r="H529" s="63">
        <v>13500</v>
      </c>
      <c r="I529" s="63">
        <f>+C529+D529-E529-F529+G529</f>
        <v>13500</v>
      </c>
      <c r="J529" s="9">
        <f>I529-H529</f>
        <v>0</v>
      </c>
      <c r="K529" s="47" t="s">
        <v>203</v>
      </c>
      <c r="L529" s="49">
        <v>80000</v>
      </c>
      <c r="M529" s="49">
        <v>0</v>
      </c>
      <c r="N529" s="49">
        <v>72500</v>
      </c>
      <c r="O529" s="49">
        <v>0</v>
      </c>
      <c r="Q529" s="5"/>
    </row>
    <row r="530" spans="1:17" ht="16.5">
      <c r="A530" s="60" t="str">
        <f t="shared" si="300"/>
        <v>Tiffany</v>
      </c>
      <c r="B530" s="61" t="s">
        <v>2</v>
      </c>
      <c r="C530" s="63">
        <v>-790759</v>
      </c>
      <c r="D530" s="63">
        <f t="shared" si="301"/>
        <v>800000</v>
      </c>
      <c r="E530" s="63">
        <f t="shared" si="302"/>
        <v>16500</v>
      </c>
      <c r="F530" s="63">
        <f t="shared" si="303"/>
        <v>0</v>
      </c>
      <c r="G530" s="63">
        <f t="shared" ref="G530" si="308">+O530</f>
        <v>0</v>
      </c>
      <c r="H530" s="63">
        <v>-7259</v>
      </c>
      <c r="I530" s="63">
        <f t="shared" ref="I530" si="309">+C530+D530-E530-F530+G530</f>
        <v>-7259</v>
      </c>
      <c r="J530" s="9">
        <f t="shared" ref="J530" si="310">I530-H530</f>
        <v>0</v>
      </c>
      <c r="K530" s="47" t="s">
        <v>113</v>
      </c>
      <c r="L530" s="49">
        <v>800000</v>
      </c>
      <c r="M530" s="49">
        <v>0</v>
      </c>
      <c r="N530" s="49">
        <v>16500</v>
      </c>
      <c r="O530" s="49">
        <v>0</v>
      </c>
      <c r="Q530" s="5"/>
    </row>
    <row r="531" spans="1:17" ht="16.5">
      <c r="A531" s="10" t="s">
        <v>50</v>
      </c>
      <c r="B531" s="11"/>
      <c r="C531" s="12">
        <f t="shared" ref="C531:I531" si="311">SUM(C516:C530)</f>
        <v>31829567</v>
      </c>
      <c r="D531" s="59">
        <f t="shared" si="311"/>
        <v>8574000</v>
      </c>
      <c r="E531" s="59">
        <f t="shared" si="311"/>
        <v>9054909</v>
      </c>
      <c r="F531" s="59">
        <f t="shared" si="311"/>
        <v>8574000</v>
      </c>
      <c r="G531" s="59">
        <f t="shared" si="311"/>
        <v>0</v>
      </c>
      <c r="H531" s="59">
        <f t="shared" si="311"/>
        <v>22774658</v>
      </c>
      <c r="I531" s="59">
        <f t="shared" si="311"/>
        <v>22774658</v>
      </c>
      <c r="J531" s="9">
        <f>I531-H531</f>
        <v>0</v>
      </c>
      <c r="K531" s="3"/>
      <c r="L531" s="49">
        <f>+SUM(L516:L530)</f>
        <v>8574000</v>
      </c>
      <c r="M531" s="49">
        <f>+SUM(M516:M530)</f>
        <v>8574000</v>
      </c>
      <c r="N531" s="49">
        <f>+SUM(N516:N530)</f>
        <v>9054909</v>
      </c>
      <c r="O531" s="49">
        <f>+SUM(O516:O530)</f>
        <v>0</v>
      </c>
      <c r="Q531" s="5"/>
    </row>
    <row r="532" spans="1:17" ht="16.5">
      <c r="A532" s="10"/>
      <c r="B532" s="11"/>
      <c r="C532" s="12"/>
      <c r="D532" s="13"/>
      <c r="E532" s="12"/>
      <c r="F532" s="13"/>
      <c r="G532" s="12"/>
      <c r="H532" s="12"/>
      <c r="I532" s="143" t="b">
        <f>I531=D534</f>
        <v>1</v>
      </c>
      <c r="L532" s="5"/>
      <c r="M532" s="5"/>
      <c r="N532" s="5"/>
      <c r="O532" s="5"/>
      <c r="Q532" s="5"/>
    </row>
    <row r="533" spans="1:17" ht="16.5">
      <c r="A533" s="10" t="s">
        <v>208</v>
      </c>
      <c r="B533" s="11" t="s">
        <v>209</v>
      </c>
      <c r="C533" s="12" t="s">
        <v>210</v>
      </c>
      <c r="D533" s="12" t="s">
        <v>211</v>
      </c>
      <c r="E533" s="12" t="s">
        <v>51</v>
      </c>
      <c r="F533" s="12"/>
      <c r="G533" s="12">
        <f>+D531-F531</f>
        <v>0</v>
      </c>
      <c r="H533" s="12"/>
      <c r="I533" s="12"/>
      <c r="Q533" s="5"/>
    </row>
    <row r="534" spans="1:17" ht="16.5">
      <c r="A534" s="14">
        <f>C531</f>
        <v>31829567</v>
      </c>
      <c r="B534" s="15">
        <f>G531</f>
        <v>0</v>
      </c>
      <c r="C534" s="12">
        <f>E531</f>
        <v>9054909</v>
      </c>
      <c r="D534" s="12">
        <f>A534+B534-C534</f>
        <v>22774658</v>
      </c>
      <c r="E534" s="13">
        <f>I531-D534</f>
        <v>0</v>
      </c>
      <c r="F534" s="12"/>
      <c r="G534" s="12"/>
      <c r="H534" s="12"/>
      <c r="I534" s="12"/>
      <c r="Q534" s="5"/>
    </row>
    <row r="535" spans="1:17" ht="16.5">
      <c r="A535" s="14"/>
      <c r="B535" s="15"/>
      <c r="C535" s="12"/>
      <c r="D535" s="12"/>
      <c r="E535" s="13"/>
      <c r="F535" s="12"/>
      <c r="G535" s="12"/>
      <c r="H535" s="12"/>
      <c r="I535" s="12"/>
      <c r="Q535" s="5"/>
    </row>
    <row r="536" spans="1:17">
      <c r="A536" s="16" t="s">
        <v>52</v>
      </c>
      <c r="B536" s="16"/>
      <c r="C536" s="16"/>
      <c r="D536" s="17"/>
      <c r="E536" s="17"/>
      <c r="F536" s="17"/>
      <c r="G536" s="17"/>
      <c r="H536" s="17"/>
      <c r="I536" s="17"/>
      <c r="Q536" s="5"/>
    </row>
    <row r="537" spans="1:17">
      <c r="A537" s="18" t="s">
        <v>212</v>
      </c>
      <c r="B537" s="18"/>
      <c r="C537" s="18"/>
      <c r="D537" s="18"/>
      <c r="E537" s="18"/>
      <c r="F537" s="18"/>
      <c r="G537" s="18"/>
      <c r="H537" s="18"/>
      <c r="I537" s="18"/>
      <c r="J537" s="18"/>
      <c r="Q537" s="5"/>
    </row>
    <row r="538" spans="1:17">
      <c r="A538" s="19"/>
      <c r="B538" s="20"/>
      <c r="C538" s="21"/>
      <c r="D538" s="21"/>
      <c r="E538" s="21"/>
      <c r="F538" s="21"/>
      <c r="G538" s="21"/>
      <c r="H538" s="20"/>
      <c r="I538" s="20"/>
      <c r="Q538" s="5"/>
    </row>
    <row r="539" spans="1:17">
      <c r="A539" s="212" t="s">
        <v>53</v>
      </c>
      <c r="B539" s="214" t="s">
        <v>54</v>
      </c>
      <c r="C539" s="216" t="s">
        <v>213</v>
      </c>
      <c r="D539" s="218" t="s">
        <v>55</v>
      </c>
      <c r="E539" s="219"/>
      <c r="F539" s="219"/>
      <c r="G539" s="220"/>
      <c r="H539" s="221" t="s">
        <v>56</v>
      </c>
      <c r="I539" s="223" t="s">
        <v>57</v>
      </c>
      <c r="J539" s="20"/>
      <c r="Q539" s="5"/>
    </row>
    <row r="540" spans="1:17" ht="28.5" customHeight="1">
      <c r="A540" s="213"/>
      <c r="B540" s="215"/>
      <c r="C540" s="217"/>
      <c r="D540" s="22" t="s">
        <v>24</v>
      </c>
      <c r="E540" s="22" t="s">
        <v>25</v>
      </c>
      <c r="F540" s="217" t="s">
        <v>123</v>
      </c>
      <c r="G540" s="22" t="s">
        <v>58</v>
      </c>
      <c r="H540" s="222"/>
      <c r="I540" s="224"/>
      <c r="J540" s="225" t="s">
        <v>214</v>
      </c>
      <c r="K540" s="155"/>
      <c r="Q540" s="5"/>
    </row>
    <row r="541" spans="1:17">
      <c r="A541" s="24"/>
      <c r="B541" s="25" t="s">
        <v>59</v>
      </c>
      <c r="C541" s="26"/>
      <c r="D541" s="26"/>
      <c r="E541" s="26"/>
      <c r="F541" s="26"/>
      <c r="G541" s="26"/>
      <c r="H541" s="26"/>
      <c r="I541" s="27"/>
      <c r="J541" s="226"/>
      <c r="K541" s="155"/>
      <c r="Q541" s="5"/>
    </row>
    <row r="542" spans="1:17">
      <c r="A542" s="130" t="s">
        <v>127</v>
      </c>
      <c r="B542" s="135" t="s">
        <v>47</v>
      </c>
      <c r="C542" s="33">
        <f>+C519</f>
        <v>22050</v>
      </c>
      <c r="D542" s="32"/>
      <c r="E542" s="33">
        <f>+D519</f>
        <v>462000</v>
      </c>
      <c r="F542" s="33"/>
      <c r="G542" s="33"/>
      <c r="H542" s="57">
        <f t="shared" ref="H542:H553" si="312">+F519</f>
        <v>0</v>
      </c>
      <c r="I542" s="33">
        <f t="shared" ref="I542:I553" si="313">+E519</f>
        <v>462200</v>
      </c>
      <c r="J542" s="31">
        <f t="shared" ref="J542:J543" si="314">+SUM(C542:G542)-(H542+I542)</f>
        <v>21850</v>
      </c>
      <c r="K542" s="156" t="b">
        <f t="shared" ref="K542:K553" si="315">J542=I519</f>
        <v>1</v>
      </c>
      <c r="Q542" s="5"/>
    </row>
    <row r="543" spans="1:17">
      <c r="A543" s="130" t="str">
        <f>+A542</f>
        <v>AVRIL</v>
      </c>
      <c r="B543" s="135" t="s">
        <v>31</v>
      </c>
      <c r="C543" s="33">
        <f t="shared" ref="C543:C544" si="316">+C520</f>
        <v>13995</v>
      </c>
      <c r="D543" s="32"/>
      <c r="E543" s="33">
        <f t="shared" ref="E543:E544" si="317">+D520</f>
        <v>30000</v>
      </c>
      <c r="F543" s="33"/>
      <c r="G543" s="33"/>
      <c r="H543" s="57">
        <f t="shared" si="312"/>
        <v>0</v>
      </c>
      <c r="I543" s="33">
        <f t="shared" si="313"/>
        <v>36000</v>
      </c>
      <c r="J543" s="107">
        <f t="shared" si="314"/>
        <v>7995</v>
      </c>
      <c r="K543" s="156" t="b">
        <f t="shared" si="315"/>
        <v>1</v>
      </c>
      <c r="Q543" s="5"/>
    </row>
    <row r="544" spans="1:17">
      <c r="A544" s="130" t="str">
        <f t="shared" ref="A544:A549" si="318">+A543</f>
        <v>AVRIL</v>
      </c>
      <c r="B544" s="136" t="s">
        <v>151</v>
      </c>
      <c r="C544" s="33">
        <f t="shared" si="316"/>
        <v>36485</v>
      </c>
      <c r="D544" s="127"/>
      <c r="E544" s="33">
        <f t="shared" si="317"/>
        <v>486000</v>
      </c>
      <c r="F544" s="53"/>
      <c r="G544" s="53"/>
      <c r="H544" s="57">
        <f t="shared" si="312"/>
        <v>0</v>
      </c>
      <c r="I544" s="33">
        <f t="shared" si="313"/>
        <v>366150</v>
      </c>
      <c r="J544" s="132">
        <f>+SUM(C544:G544)-(H544+I544)</f>
        <v>156335</v>
      </c>
      <c r="K544" s="156" t="b">
        <f t="shared" si="315"/>
        <v>1</v>
      </c>
      <c r="Q544" s="5"/>
    </row>
    <row r="545" spans="1:17">
      <c r="A545" s="130" t="str">
        <f t="shared" si="318"/>
        <v>AVRIL</v>
      </c>
      <c r="B545" s="137" t="s">
        <v>84</v>
      </c>
      <c r="C545" s="128">
        <f>+C522</f>
        <v>233614</v>
      </c>
      <c r="D545" s="131"/>
      <c r="E545" s="128">
        <f>+D522</f>
        <v>0</v>
      </c>
      <c r="F545" s="146"/>
      <c r="G545" s="146"/>
      <c r="H545" s="178">
        <f t="shared" si="312"/>
        <v>0</v>
      </c>
      <c r="I545" s="128">
        <f t="shared" si="313"/>
        <v>0</v>
      </c>
      <c r="J545" s="129">
        <f>+SUM(C545:G545)-(H545+I545)</f>
        <v>233614</v>
      </c>
      <c r="K545" s="156" t="b">
        <f t="shared" si="315"/>
        <v>1</v>
      </c>
      <c r="Q545" s="5"/>
    </row>
    <row r="546" spans="1:17">
      <c r="A546" s="130" t="str">
        <f t="shared" si="318"/>
        <v>AVRIL</v>
      </c>
      <c r="B546" s="137" t="s">
        <v>83</v>
      </c>
      <c r="C546" s="128">
        <f>+C523</f>
        <v>249769</v>
      </c>
      <c r="D546" s="131"/>
      <c r="E546" s="128">
        <f>+D523</f>
        <v>0</v>
      </c>
      <c r="F546" s="146"/>
      <c r="G546" s="146"/>
      <c r="H546" s="178">
        <f t="shared" si="312"/>
        <v>0</v>
      </c>
      <c r="I546" s="128">
        <f t="shared" si="313"/>
        <v>0</v>
      </c>
      <c r="J546" s="129">
        <f t="shared" ref="J546:J553" si="319">+SUM(C546:G546)-(H546+I546)</f>
        <v>249769</v>
      </c>
      <c r="K546" s="156" t="b">
        <f t="shared" si="315"/>
        <v>1</v>
      </c>
      <c r="Q546" s="5"/>
    </row>
    <row r="547" spans="1:17">
      <c r="A547" s="130" t="str">
        <f t="shared" si="318"/>
        <v>AVRIL</v>
      </c>
      <c r="B547" s="135" t="s">
        <v>150</v>
      </c>
      <c r="C547" s="33">
        <f>+C524</f>
        <v>10700</v>
      </c>
      <c r="D547" s="32"/>
      <c r="E547" s="33">
        <f>+D524</f>
        <v>10000</v>
      </c>
      <c r="F547" s="33"/>
      <c r="G547" s="110"/>
      <c r="H547" s="57">
        <f t="shared" si="312"/>
        <v>0</v>
      </c>
      <c r="I547" s="33">
        <f t="shared" si="313"/>
        <v>10500</v>
      </c>
      <c r="J547" s="31">
        <f t="shared" si="319"/>
        <v>10200</v>
      </c>
      <c r="K547" s="156" t="b">
        <f t="shared" si="315"/>
        <v>1</v>
      </c>
      <c r="Q547" s="5"/>
    </row>
    <row r="548" spans="1:17">
      <c r="A548" s="130" t="str">
        <f t="shared" si="318"/>
        <v>AVRIL</v>
      </c>
      <c r="B548" s="135" t="s">
        <v>204</v>
      </c>
      <c r="C548" s="33">
        <f t="shared" ref="C548:C551" si="320">+C525</f>
        <v>52000</v>
      </c>
      <c r="D548" s="32"/>
      <c r="E548" s="33">
        <f t="shared" ref="E548:E553" si="321">+D525</f>
        <v>113000</v>
      </c>
      <c r="F548" s="33"/>
      <c r="G548" s="110"/>
      <c r="H548" s="57">
        <f t="shared" si="312"/>
        <v>0</v>
      </c>
      <c r="I548" s="33">
        <f t="shared" si="313"/>
        <v>121500</v>
      </c>
      <c r="J548" s="31">
        <f t="shared" si="319"/>
        <v>43500</v>
      </c>
      <c r="K548" s="156" t="b">
        <f t="shared" si="315"/>
        <v>1</v>
      </c>
      <c r="Q548" s="5"/>
    </row>
    <row r="549" spans="1:17">
      <c r="A549" s="130" t="str">
        <f t="shared" si="318"/>
        <v>AVRIL</v>
      </c>
      <c r="B549" s="135" t="s">
        <v>30</v>
      </c>
      <c r="C549" s="33">
        <f t="shared" si="320"/>
        <v>116050</v>
      </c>
      <c r="D549" s="32"/>
      <c r="E549" s="33">
        <f t="shared" si="321"/>
        <v>599000</v>
      </c>
      <c r="F549" s="33"/>
      <c r="G549" s="110"/>
      <c r="H549" s="57">
        <f t="shared" si="312"/>
        <v>0</v>
      </c>
      <c r="I549" s="33">
        <f t="shared" si="313"/>
        <v>537500</v>
      </c>
      <c r="J549" s="31">
        <f t="shared" si="319"/>
        <v>177550</v>
      </c>
      <c r="K549" s="156" t="b">
        <f t="shared" si="315"/>
        <v>1</v>
      </c>
      <c r="Q549" s="5"/>
    </row>
    <row r="550" spans="1:17">
      <c r="A550" s="130" t="str">
        <f>+A548</f>
        <v>AVRIL</v>
      </c>
      <c r="B550" s="135" t="s">
        <v>93</v>
      </c>
      <c r="C550" s="33">
        <f t="shared" si="320"/>
        <v>4400</v>
      </c>
      <c r="D550" s="32"/>
      <c r="E550" s="33">
        <f t="shared" si="321"/>
        <v>20000</v>
      </c>
      <c r="F550" s="33"/>
      <c r="G550" s="110"/>
      <c r="H550" s="57">
        <f t="shared" si="312"/>
        <v>0</v>
      </c>
      <c r="I550" s="33">
        <f t="shared" si="313"/>
        <v>20000</v>
      </c>
      <c r="J550" s="31">
        <f t="shared" si="319"/>
        <v>4400</v>
      </c>
      <c r="K550" s="156" t="b">
        <f t="shared" si="315"/>
        <v>1</v>
      </c>
      <c r="Q550" s="5"/>
    </row>
    <row r="551" spans="1:17">
      <c r="A551" s="130" t="str">
        <f>+A549</f>
        <v>AVRIL</v>
      </c>
      <c r="B551" s="135" t="s">
        <v>29</v>
      </c>
      <c r="C551" s="33">
        <f t="shared" si="320"/>
        <v>16200</v>
      </c>
      <c r="D551" s="32"/>
      <c r="E551" s="33">
        <f t="shared" si="321"/>
        <v>874000</v>
      </c>
      <c r="F551" s="33"/>
      <c r="G551" s="110"/>
      <c r="H551" s="57">
        <f t="shared" si="312"/>
        <v>100000</v>
      </c>
      <c r="I551" s="33">
        <f t="shared" si="313"/>
        <v>495500</v>
      </c>
      <c r="J551" s="31">
        <f t="shared" si="319"/>
        <v>294700</v>
      </c>
      <c r="K551" s="156" t="b">
        <f t="shared" si="315"/>
        <v>1</v>
      </c>
      <c r="Q551" s="5"/>
    </row>
    <row r="552" spans="1:17">
      <c r="A552" s="130" t="str">
        <f>+A550</f>
        <v>AVRIL</v>
      </c>
      <c r="B552" s="135" t="s">
        <v>203</v>
      </c>
      <c r="C552" s="33">
        <f>+C529</f>
        <v>6000</v>
      </c>
      <c r="D552" s="32"/>
      <c r="E552" s="33">
        <f t="shared" si="321"/>
        <v>80000</v>
      </c>
      <c r="F552" s="33"/>
      <c r="G552" s="110"/>
      <c r="H552" s="57">
        <f t="shared" si="312"/>
        <v>0</v>
      </c>
      <c r="I552" s="33">
        <f t="shared" si="313"/>
        <v>72500</v>
      </c>
      <c r="J552" s="31">
        <f t="shared" si="319"/>
        <v>13500</v>
      </c>
      <c r="K552" s="156" t="b">
        <f t="shared" si="315"/>
        <v>1</v>
      </c>
      <c r="Q552" s="5"/>
    </row>
    <row r="553" spans="1:17">
      <c r="A553" s="130" t="str">
        <f>+A551</f>
        <v>AVRIL</v>
      </c>
      <c r="B553" s="136" t="s">
        <v>113</v>
      </c>
      <c r="C553" s="33">
        <f t="shared" ref="C553" si="322">+C530</f>
        <v>-790759</v>
      </c>
      <c r="D553" s="127"/>
      <c r="E553" s="33">
        <f t="shared" si="321"/>
        <v>800000</v>
      </c>
      <c r="F553" s="53"/>
      <c r="G553" s="147"/>
      <c r="H553" s="57">
        <f t="shared" si="312"/>
        <v>0</v>
      </c>
      <c r="I553" s="33">
        <f t="shared" si="313"/>
        <v>16500</v>
      </c>
      <c r="J553" s="31">
        <f t="shared" si="319"/>
        <v>-7259</v>
      </c>
      <c r="K553" s="156" t="b">
        <f t="shared" si="315"/>
        <v>1</v>
      </c>
      <c r="Q553" s="5"/>
    </row>
    <row r="554" spans="1:17">
      <c r="A554" s="35" t="s">
        <v>60</v>
      </c>
      <c r="B554" s="36"/>
      <c r="C554" s="36"/>
      <c r="D554" s="36"/>
      <c r="E554" s="36"/>
      <c r="F554" s="36"/>
      <c r="G554" s="36"/>
      <c r="H554" s="36"/>
      <c r="I554" s="36"/>
      <c r="J554" s="37"/>
      <c r="K554" s="155"/>
      <c r="Q554" s="5"/>
    </row>
    <row r="555" spans="1:17">
      <c r="A555" s="130" t="str">
        <f>+A553</f>
        <v>AVRIL</v>
      </c>
      <c r="B555" s="38" t="s">
        <v>61</v>
      </c>
      <c r="C555" s="39">
        <f>+C518</f>
        <v>1160022</v>
      </c>
      <c r="D555" s="51"/>
      <c r="E555" s="51">
        <f>D518</f>
        <v>5100000</v>
      </c>
      <c r="F555" s="51"/>
      <c r="G555" s="133"/>
      <c r="H555" s="53">
        <f>+F518</f>
        <v>3474000</v>
      </c>
      <c r="I555" s="134">
        <f>+E518</f>
        <v>1822909</v>
      </c>
      <c r="J555" s="46">
        <f>+SUM(C555:G555)-(H555+I555)</f>
        <v>963113</v>
      </c>
      <c r="K555" s="156" t="b">
        <f>J555=I518</f>
        <v>1</v>
      </c>
      <c r="Q555" s="5"/>
    </row>
    <row r="556" spans="1:17">
      <c r="A556" s="44" t="s">
        <v>62</v>
      </c>
      <c r="B556" s="25"/>
      <c r="C556" s="36"/>
      <c r="D556" s="25"/>
      <c r="E556" s="25"/>
      <c r="F556" s="25"/>
      <c r="G556" s="25"/>
      <c r="H556" s="25"/>
      <c r="I556" s="25"/>
      <c r="J556" s="37"/>
      <c r="K556" s="155"/>
      <c r="Q556" s="5"/>
    </row>
    <row r="557" spans="1:17">
      <c r="A557" s="130" t="str">
        <f>+A555</f>
        <v>AVRIL</v>
      </c>
      <c r="B557" s="38" t="s">
        <v>163</v>
      </c>
      <c r="C557" s="133">
        <f>+C516</f>
        <v>9177780</v>
      </c>
      <c r="D557" s="140">
        <f>+G516</f>
        <v>0</v>
      </c>
      <c r="E557" s="51"/>
      <c r="F557" s="51"/>
      <c r="G557" s="51"/>
      <c r="H557" s="53">
        <f>+F516</f>
        <v>5000000</v>
      </c>
      <c r="I557" s="55">
        <f>+E516</f>
        <v>23345</v>
      </c>
      <c r="J557" s="46">
        <f>+SUM(C557:G557)-(H557+I557)</f>
        <v>4154435</v>
      </c>
      <c r="K557" s="156" t="b">
        <f>+J557=I516</f>
        <v>1</v>
      </c>
      <c r="Q557" s="5"/>
    </row>
    <row r="558" spans="1:17">
      <c r="A558" s="130" t="str">
        <f t="shared" ref="A558" si="323">+A557</f>
        <v>AVRIL</v>
      </c>
      <c r="B558" s="38" t="s">
        <v>64</v>
      </c>
      <c r="C558" s="133">
        <f>+C517</f>
        <v>21521261</v>
      </c>
      <c r="D558" s="51">
        <f>+G517</f>
        <v>0</v>
      </c>
      <c r="E558" s="50"/>
      <c r="F558" s="50"/>
      <c r="G558" s="50"/>
      <c r="H558" s="33">
        <f>+F517</f>
        <v>0</v>
      </c>
      <c r="I558" s="52">
        <f>+E517</f>
        <v>5070305</v>
      </c>
      <c r="J558" s="46">
        <f>SUM(C558:G558)-(H558+I558)</f>
        <v>16450956</v>
      </c>
      <c r="K558" s="156" t="b">
        <f>+J558=I517</f>
        <v>1</v>
      </c>
      <c r="Q558" s="5"/>
    </row>
    <row r="559" spans="1:17" ht="15.75">
      <c r="C559" s="151">
        <f>SUM(C542:C558)</f>
        <v>31829567</v>
      </c>
      <c r="I559" s="149">
        <f>SUM(I542:I558)</f>
        <v>9054909</v>
      </c>
      <c r="J559" s="111">
        <f>+SUM(J542:J558)</f>
        <v>22774658</v>
      </c>
      <c r="K559" s="5" t="b">
        <f>J559=I531</f>
        <v>1</v>
      </c>
      <c r="Q559" s="5"/>
    </row>
    <row r="560" spans="1:17" ht="15.75">
      <c r="A560" s="189"/>
      <c r="B560" s="189"/>
      <c r="C560" s="190"/>
      <c r="D560" s="189"/>
      <c r="E560" s="189"/>
      <c r="F560" s="189"/>
      <c r="G560" s="189"/>
      <c r="H560" s="189"/>
      <c r="I560" s="191"/>
      <c r="J560" s="192"/>
      <c r="K560" s="189"/>
      <c r="L560" s="193"/>
      <c r="M560" s="193"/>
      <c r="N560" s="193"/>
      <c r="O560" s="193"/>
      <c r="P560" s="189"/>
      <c r="Q560" s="5"/>
    </row>
    <row r="563" spans="1:17" ht="15.75">
      <c r="A563" s="6" t="s">
        <v>36</v>
      </c>
      <c r="B563" s="6" t="s">
        <v>1</v>
      </c>
      <c r="C563" s="6">
        <v>44621</v>
      </c>
      <c r="D563" s="7" t="s">
        <v>37</v>
      </c>
      <c r="E563" s="7" t="s">
        <v>38</v>
      </c>
      <c r="F563" s="7" t="s">
        <v>39</v>
      </c>
      <c r="G563" s="7" t="s">
        <v>40</v>
      </c>
      <c r="H563" s="6">
        <v>44651</v>
      </c>
      <c r="I563" s="7" t="s">
        <v>41</v>
      </c>
      <c r="K563" s="47"/>
      <c r="L563" s="47" t="s">
        <v>42</v>
      </c>
      <c r="M563" s="47" t="s">
        <v>43</v>
      </c>
      <c r="N563" s="47" t="s">
        <v>44</v>
      </c>
      <c r="O563" s="47" t="s">
        <v>45</v>
      </c>
      <c r="Q563" s="5"/>
    </row>
    <row r="564" spans="1:17" ht="16.5">
      <c r="A564" s="60" t="str">
        <f>K564</f>
        <v>BCI</v>
      </c>
      <c r="B564" s="61" t="s">
        <v>46</v>
      </c>
      <c r="C564" s="63">
        <v>888683</v>
      </c>
      <c r="D564" s="63">
        <f>+L564</f>
        <v>0</v>
      </c>
      <c r="E564" s="63">
        <f>+N564</f>
        <v>543345</v>
      </c>
      <c r="F564" s="63">
        <f>+M564</f>
        <v>2600000</v>
      </c>
      <c r="G564" s="63">
        <f t="shared" ref="G564:G575" si="324">+O564</f>
        <v>11432442</v>
      </c>
      <c r="H564" s="63">
        <v>9177780</v>
      </c>
      <c r="I564" s="63">
        <f>+C564+D564-E564-F564+G564</f>
        <v>9177780</v>
      </c>
      <c r="J564" s="9">
        <f>I564-H564</f>
        <v>0</v>
      </c>
      <c r="K564" s="47" t="s">
        <v>24</v>
      </c>
      <c r="L564" s="49">
        <v>0</v>
      </c>
      <c r="M564" s="49">
        <v>2600000</v>
      </c>
      <c r="N564" s="49">
        <v>543345</v>
      </c>
      <c r="O564" s="49">
        <v>11432442</v>
      </c>
      <c r="Q564" s="5"/>
    </row>
    <row r="565" spans="1:17" ht="16.5">
      <c r="A565" s="60" t="str">
        <f t="shared" ref="A565:A578" si="325">K565</f>
        <v>BCI-Sous Compte</v>
      </c>
      <c r="B565" s="61" t="s">
        <v>46</v>
      </c>
      <c r="C565" s="63">
        <v>882502</v>
      </c>
      <c r="D565" s="63">
        <f t="shared" ref="D565:D578" si="326">+L565</f>
        <v>0</v>
      </c>
      <c r="E565" s="63">
        <f t="shared" ref="E565:E578" si="327">+N565</f>
        <v>6117606</v>
      </c>
      <c r="F565" s="63">
        <f t="shared" ref="F565:F578" si="328">+M565</f>
        <v>1600000</v>
      </c>
      <c r="G565" s="63">
        <f t="shared" si="324"/>
        <v>28356365</v>
      </c>
      <c r="H565" s="63">
        <v>21521261</v>
      </c>
      <c r="I565" s="63">
        <f>+C565+D565-E565-F565+G565</f>
        <v>21521261</v>
      </c>
      <c r="J565" s="9">
        <f t="shared" ref="J565:J572" si="329">I565-H565</f>
        <v>0</v>
      </c>
      <c r="K565" s="47" t="s">
        <v>155</v>
      </c>
      <c r="L565" s="49">
        <v>0</v>
      </c>
      <c r="M565" s="49">
        <v>1600000</v>
      </c>
      <c r="N565" s="49">
        <v>6117606</v>
      </c>
      <c r="O565" s="49">
        <v>28356365</v>
      </c>
      <c r="Q565" s="5"/>
    </row>
    <row r="566" spans="1:17" ht="16.5">
      <c r="A566" s="60" t="str">
        <f t="shared" si="325"/>
        <v>Caisse</v>
      </c>
      <c r="B566" s="61" t="s">
        <v>25</v>
      </c>
      <c r="C566" s="63">
        <v>797106</v>
      </c>
      <c r="D566" s="63">
        <f t="shared" si="326"/>
        <v>4270000</v>
      </c>
      <c r="E566" s="63">
        <f t="shared" si="327"/>
        <v>2099084</v>
      </c>
      <c r="F566" s="63">
        <f t="shared" si="328"/>
        <v>1808000</v>
      </c>
      <c r="G566" s="63">
        <f t="shared" si="324"/>
        <v>0</v>
      </c>
      <c r="H566" s="63">
        <v>1160022</v>
      </c>
      <c r="I566" s="63">
        <f>+C566+D566-E566-F566+G566</f>
        <v>1160022</v>
      </c>
      <c r="J566" s="108">
        <f t="shared" si="329"/>
        <v>0</v>
      </c>
      <c r="K566" s="47" t="s">
        <v>25</v>
      </c>
      <c r="L566" s="49">
        <v>4270000</v>
      </c>
      <c r="M566" s="49">
        <v>1808000</v>
      </c>
      <c r="N566" s="49">
        <v>2099084</v>
      </c>
      <c r="O566" s="49">
        <v>0</v>
      </c>
      <c r="Q566" s="5"/>
    </row>
    <row r="567" spans="1:17" ht="16.5">
      <c r="A567" s="60" t="str">
        <f t="shared" si="325"/>
        <v>Crépin</v>
      </c>
      <c r="B567" s="61" t="s">
        <v>161</v>
      </c>
      <c r="C567" s="63">
        <v>56050</v>
      </c>
      <c r="D567" s="63">
        <f t="shared" si="326"/>
        <v>0</v>
      </c>
      <c r="E567" s="63">
        <f t="shared" si="327"/>
        <v>4000</v>
      </c>
      <c r="F567" s="63">
        <f t="shared" si="328"/>
        <v>30000</v>
      </c>
      <c r="G567" s="63">
        <f t="shared" si="324"/>
        <v>0</v>
      </c>
      <c r="H567" s="63">
        <v>22050</v>
      </c>
      <c r="I567" s="63">
        <f>+C567+D567-E567-F567+G567</f>
        <v>22050</v>
      </c>
      <c r="J567" s="9">
        <f t="shared" si="329"/>
        <v>0</v>
      </c>
      <c r="K567" s="47" t="s">
        <v>47</v>
      </c>
      <c r="L567" s="49">
        <v>0</v>
      </c>
      <c r="M567" s="49">
        <v>30000</v>
      </c>
      <c r="N567" s="49">
        <v>4000</v>
      </c>
      <c r="O567" s="49">
        <v>0</v>
      </c>
      <c r="Q567" s="5"/>
    </row>
    <row r="568" spans="1:17" ht="16.5">
      <c r="A568" s="60" t="str">
        <f t="shared" si="325"/>
        <v>Evariste</v>
      </c>
      <c r="B568" s="61" t="s">
        <v>162</v>
      </c>
      <c r="C568" s="63">
        <v>21495</v>
      </c>
      <c r="D568" s="63">
        <f t="shared" si="326"/>
        <v>139000</v>
      </c>
      <c r="E568" s="63">
        <f t="shared" si="327"/>
        <v>146500</v>
      </c>
      <c r="F568" s="63">
        <f t="shared" si="328"/>
        <v>0</v>
      </c>
      <c r="G568" s="63">
        <f t="shared" si="324"/>
        <v>0</v>
      </c>
      <c r="H568" s="63">
        <v>13995</v>
      </c>
      <c r="I568" s="63">
        <f t="shared" ref="I568" si="330">+C568+D568-E568-F568+G568</f>
        <v>13995</v>
      </c>
      <c r="J568" s="9">
        <f t="shared" si="329"/>
        <v>0</v>
      </c>
      <c r="K568" s="47" t="s">
        <v>31</v>
      </c>
      <c r="L568" s="49">
        <v>139000</v>
      </c>
      <c r="M568" s="49">
        <v>0</v>
      </c>
      <c r="N568" s="49">
        <v>146500</v>
      </c>
      <c r="O568" s="49">
        <v>0</v>
      </c>
      <c r="Q568" s="5"/>
    </row>
    <row r="569" spans="1:17" ht="16.5">
      <c r="A569" s="60" t="str">
        <f t="shared" si="325"/>
        <v>Godfré</v>
      </c>
      <c r="B569" s="61" t="s">
        <v>161</v>
      </c>
      <c r="C569" s="63">
        <v>113185</v>
      </c>
      <c r="D569" s="63">
        <f t="shared" si="326"/>
        <v>188000</v>
      </c>
      <c r="E569" s="63">
        <f t="shared" si="327"/>
        <v>224700</v>
      </c>
      <c r="F569" s="63">
        <f t="shared" si="328"/>
        <v>40000</v>
      </c>
      <c r="G569" s="63">
        <f t="shared" si="324"/>
        <v>0</v>
      </c>
      <c r="H569" s="63">
        <v>36485</v>
      </c>
      <c r="I569" s="63">
        <f>+C569+D569-E569-F569+G569</f>
        <v>36485</v>
      </c>
      <c r="J569" s="9">
        <f t="shared" si="329"/>
        <v>0</v>
      </c>
      <c r="K569" s="47" t="s">
        <v>151</v>
      </c>
      <c r="L569" s="49">
        <v>188000</v>
      </c>
      <c r="M569" s="49">
        <v>40000</v>
      </c>
      <c r="N569" s="49">
        <v>224700</v>
      </c>
      <c r="O569" s="49">
        <v>0</v>
      </c>
      <c r="Q569" s="5"/>
    </row>
    <row r="570" spans="1:17" ht="16.5">
      <c r="A570" s="60" t="str">
        <f t="shared" si="325"/>
        <v>I55S</v>
      </c>
      <c r="B570" s="124" t="s">
        <v>4</v>
      </c>
      <c r="C570" s="126">
        <v>233614</v>
      </c>
      <c r="D570" s="126">
        <f t="shared" si="326"/>
        <v>0</v>
      </c>
      <c r="E570" s="126">
        <f t="shared" si="327"/>
        <v>0</v>
      </c>
      <c r="F570" s="126">
        <f t="shared" si="328"/>
        <v>0</v>
      </c>
      <c r="G570" s="126">
        <f t="shared" si="324"/>
        <v>0</v>
      </c>
      <c r="H570" s="126">
        <v>233614</v>
      </c>
      <c r="I570" s="126">
        <f>+C570+D570-E570-F570+G570</f>
        <v>233614</v>
      </c>
      <c r="J570" s="9">
        <f t="shared" si="329"/>
        <v>0</v>
      </c>
      <c r="K570" s="47" t="s">
        <v>84</v>
      </c>
      <c r="L570" s="49">
        <v>0</v>
      </c>
      <c r="M570" s="49">
        <v>0</v>
      </c>
      <c r="N570" s="49">
        <v>0</v>
      </c>
      <c r="O570" s="49">
        <v>0</v>
      </c>
      <c r="Q570" s="5"/>
    </row>
    <row r="571" spans="1:17" ht="16.5">
      <c r="A571" s="60" t="str">
        <f t="shared" si="325"/>
        <v>I73X</v>
      </c>
      <c r="B571" s="124" t="s">
        <v>4</v>
      </c>
      <c r="C571" s="126">
        <v>249769</v>
      </c>
      <c r="D571" s="126">
        <f t="shared" si="326"/>
        <v>0</v>
      </c>
      <c r="E571" s="126">
        <f t="shared" si="327"/>
        <v>0</v>
      </c>
      <c r="F571" s="126">
        <f t="shared" si="328"/>
        <v>0</v>
      </c>
      <c r="G571" s="126">
        <f t="shared" si="324"/>
        <v>0</v>
      </c>
      <c r="H571" s="126">
        <v>249769</v>
      </c>
      <c r="I571" s="126">
        <f t="shared" ref="I571:I574" si="331">+C571+D571-E571-F571+G571</f>
        <v>249769</v>
      </c>
      <c r="J571" s="9">
        <f t="shared" si="329"/>
        <v>0</v>
      </c>
      <c r="K571" s="47" t="s">
        <v>83</v>
      </c>
      <c r="L571" s="49">
        <v>0</v>
      </c>
      <c r="M571" s="49">
        <v>0</v>
      </c>
      <c r="N571" s="49">
        <v>0</v>
      </c>
      <c r="O571" s="49">
        <v>0</v>
      </c>
      <c r="Q571" s="5"/>
    </row>
    <row r="572" spans="1:17" ht="16.5">
      <c r="A572" s="60" t="str">
        <f t="shared" si="325"/>
        <v>Grace</v>
      </c>
      <c r="B572" s="104" t="s">
        <v>2</v>
      </c>
      <c r="C572" s="63">
        <v>20700</v>
      </c>
      <c r="D572" s="63">
        <f t="shared" si="326"/>
        <v>0</v>
      </c>
      <c r="E572" s="63">
        <f t="shared" si="327"/>
        <v>10000</v>
      </c>
      <c r="F572" s="63">
        <f t="shared" si="328"/>
        <v>0</v>
      </c>
      <c r="G572" s="63">
        <f t="shared" si="324"/>
        <v>0</v>
      </c>
      <c r="H572" s="63">
        <v>10700</v>
      </c>
      <c r="I572" s="63">
        <f t="shared" si="331"/>
        <v>10700</v>
      </c>
      <c r="J572" s="9">
        <f t="shared" si="329"/>
        <v>0</v>
      </c>
      <c r="K572" s="47" t="s">
        <v>150</v>
      </c>
      <c r="L572" s="49">
        <v>0</v>
      </c>
      <c r="M572" s="49">
        <v>0</v>
      </c>
      <c r="N572" s="49">
        <v>10000</v>
      </c>
      <c r="O572" s="49">
        <v>0</v>
      </c>
      <c r="Q572" s="5"/>
    </row>
    <row r="573" spans="1:17" ht="16.5">
      <c r="A573" s="60" t="str">
        <f t="shared" si="325"/>
        <v>Hurielle</v>
      </c>
      <c r="B573" s="61" t="s">
        <v>161</v>
      </c>
      <c r="C573" s="63">
        <v>0</v>
      </c>
      <c r="D573" s="63">
        <f t="shared" si="326"/>
        <v>135000</v>
      </c>
      <c r="E573" s="63">
        <f t="shared" si="327"/>
        <v>83000</v>
      </c>
      <c r="F573" s="63">
        <f t="shared" si="328"/>
        <v>0</v>
      </c>
      <c r="G573" s="63">
        <f t="shared" si="324"/>
        <v>0</v>
      </c>
      <c r="H573" s="63">
        <v>52000</v>
      </c>
      <c r="I573" s="63">
        <f t="shared" si="331"/>
        <v>52000</v>
      </c>
      <c r="J573" s="9">
        <f>I573-H573</f>
        <v>0</v>
      </c>
      <c r="K573" s="47" t="s">
        <v>204</v>
      </c>
      <c r="L573" s="49">
        <v>135000</v>
      </c>
      <c r="M573" s="49">
        <v>0</v>
      </c>
      <c r="N573" s="49">
        <v>83000</v>
      </c>
      <c r="O573" s="49">
        <v>0</v>
      </c>
      <c r="Q573" s="5"/>
    </row>
    <row r="574" spans="1:17" ht="16.5">
      <c r="A574" s="60" t="str">
        <f t="shared" si="325"/>
        <v>I23C</v>
      </c>
      <c r="B574" s="104" t="s">
        <v>4</v>
      </c>
      <c r="C574" s="63">
        <v>15550</v>
      </c>
      <c r="D574" s="63">
        <f t="shared" si="326"/>
        <v>747000</v>
      </c>
      <c r="E574" s="63">
        <f t="shared" si="327"/>
        <v>646500</v>
      </c>
      <c r="F574" s="63">
        <f t="shared" si="328"/>
        <v>0</v>
      </c>
      <c r="G574" s="63">
        <f t="shared" si="324"/>
        <v>0</v>
      </c>
      <c r="H574" s="63">
        <v>116050</v>
      </c>
      <c r="I574" s="63">
        <f t="shared" si="331"/>
        <v>116050</v>
      </c>
      <c r="J574" s="9">
        <f t="shared" ref="J574:J575" si="332">I574-H574</f>
        <v>0</v>
      </c>
      <c r="K574" s="47" t="s">
        <v>30</v>
      </c>
      <c r="L574" s="49">
        <v>747000</v>
      </c>
      <c r="M574" s="49">
        <v>0</v>
      </c>
      <c r="N574" s="49">
        <v>646500</v>
      </c>
      <c r="O574" s="49">
        <v>0</v>
      </c>
      <c r="Q574" s="5"/>
    </row>
    <row r="575" spans="1:17" ht="16.5">
      <c r="A575" s="60" t="str">
        <f t="shared" si="325"/>
        <v>Merveille</v>
      </c>
      <c r="B575" s="61" t="s">
        <v>2</v>
      </c>
      <c r="C575" s="63">
        <v>4800</v>
      </c>
      <c r="D575" s="63">
        <f t="shared" si="326"/>
        <v>20000</v>
      </c>
      <c r="E575" s="63">
        <f t="shared" si="327"/>
        <v>20400</v>
      </c>
      <c r="F575" s="63">
        <f t="shared" si="328"/>
        <v>0</v>
      </c>
      <c r="G575" s="63">
        <f t="shared" si="324"/>
        <v>0</v>
      </c>
      <c r="H575" s="63">
        <v>4400</v>
      </c>
      <c r="I575" s="63">
        <f>+C575+D575-E575-F575+G575</f>
        <v>4400</v>
      </c>
      <c r="J575" s="9">
        <f t="shared" si="332"/>
        <v>0</v>
      </c>
      <c r="K575" s="47" t="s">
        <v>93</v>
      </c>
      <c r="L575" s="49">
        <v>20000</v>
      </c>
      <c r="M575" s="49">
        <v>0</v>
      </c>
      <c r="N575" s="49">
        <v>20400</v>
      </c>
      <c r="O575" s="49"/>
      <c r="Q575" s="5"/>
    </row>
    <row r="576" spans="1:17" ht="16.5">
      <c r="A576" s="60" t="str">
        <f t="shared" si="325"/>
        <v>P29</v>
      </c>
      <c r="B576" s="61" t="s">
        <v>4</v>
      </c>
      <c r="C576" s="63">
        <v>136200</v>
      </c>
      <c r="D576" s="63">
        <f t="shared" si="326"/>
        <v>380000</v>
      </c>
      <c r="E576" s="63">
        <f t="shared" si="327"/>
        <v>500000</v>
      </c>
      <c r="F576" s="63">
        <f t="shared" si="328"/>
        <v>0</v>
      </c>
      <c r="G576" s="63">
        <f>+O576</f>
        <v>0</v>
      </c>
      <c r="H576" s="63">
        <v>16200</v>
      </c>
      <c r="I576" s="63">
        <f>+C576+D576-E576-F576+G576</f>
        <v>16200</v>
      </c>
      <c r="J576" s="9">
        <f>I576-H576</f>
        <v>0</v>
      </c>
      <c r="K576" s="47" t="s">
        <v>29</v>
      </c>
      <c r="L576" s="49">
        <v>380000</v>
      </c>
      <c r="M576" s="49">
        <v>0</v>
      </c>
      <c r="N576" s="49">
        <v>500000</v>
      </c>
      <c r="O576" s="49">
        <v>0</v>
      </c>
      <c r="Q576" s="5"/>
    </row>
    <row r="577" spans="1:17" ht="16.5">
      <c r="A577" s="60" t="str">
        <f t="shared" si="325"/>
        <v>Paule</v>
      </c>
      <c r="B577" s="61" t="s">
        <v>161</v>
      </c>
      <c r="C577" s="63">
        <v>0</v>
      </c>
      <c r="D577" s="63">
        <f t="shared" si="326"/>
        <v>129000</v>
      </c>
      <c r="E577" s="63">
        <f t="shared" si="327"/>
        <v>123000</v>
      </c>
      <c r="F577" s="63">
        <f t="shared" si="328"/>
        <v>0</v>
      </c>
      <c r="G577" s="63">
        <f>+O577</f>
        <v>0</v>
      </c>
      <c r="H577" s="63">
        <v>6000</v>
      </c>
      <c r="I577" s="63">
        <f>+C577+D577-E577-F577+G577</f>
        <v>6000</v>
      </c>
      <c r="J577" s="9">
        <f>I577-H577</f>
        <v>0</v>
      </c>
      <c r="K577" s="47" t="s">
        <v>203</v>
      </c>
      <c r="L577" s="49">
        <v>129000</v>
      </c>
      <c r="M577" s="49">
        <v>0</v>
      </c>
      <c r="N577" s="49">
        <v>123000</v>
      </c>
      <c r="O577" s="49">
        <v>0</v>
      </c>
      <c r="Q577" s="5"/>
    </row>
    <row r="578" spans="1:17" ht="16.5">
      <c r="A578" s="60" t="str">
        <f t="shared" si="325"/>
        <v>Tiffany</v>
      </c>
      <c r="B578" s="61" t="s">
        <v>2</v>
      </c>
      <c r="C578" s="63">
        <v>-36737</v>
      </c>
      <c r="D578" s="63">
        <f t="shared" si="326"/>
        <v>70000</v>
      </c>
      <c r="E578" s="63">
        <f t="shared" si="327"/>
        <v>824022</v>
      </c>
      <c r="F578" s="63">
        <f t="shared" si="328"/>
        <v>0</v>
      </c>
      <c r="G578" s="63">
        <f t="shared" ref="G578" si="333">+O578</f>
        <v>0</v>
      </c>
      <c r="H578" s="63">
        <v>-790759</v>
      </c>
      <c r="I578" s="63">
        <f t="shared" ref="I578" si="334">+C578+D578-E578-F578+G578</f>
        <v>-790759</v>
      </c>
      <c r="J578" s="9">
        <f t="shared" ref="J578" si="335">I578-H578</f>
        <v>0</v>
      </c>
      <c r="K578" s="47" t="s">
        <v>113</v>
      </c>
      <c r="L578" s="49">
        <v>70000</v>
      </c>
      <c r="M578" s="49">
        <v>0</v>
      </c>
      <c r="N578" s="49">
        <v>824022</v>
      </c>
      <c r="O578" s="49">
        <v>0</v>
      </c>
      <c r="Q578" s="5"/>
    </row>
    <row r="579" spans="1:17" ht="16.5">
      <c r="A579" s="10" t="s">
        <v>50</v>
      </c>
      <c r="B579" s="11"/>
      <c r="C579" s="12">
        <f t="shared" ref="C579:I579" si="336">SUM(C564:C578)</f>
        <v>3382917</v>
      </c>
      <c r="D579" s="59">
        <f t="shared" si="336"/>
        <v>6078000</v>
      </c>
      <c r="E579" s="59">
        <f t="shared" si="336"/>
        <v>11342157</v>
      </c>
      <c r="F579" s="59">
        <f t="shared" si="336"/>
        <v>6078000</v>
      </c>
      <c r="G579" s="59">
        <f t="shared" si="336"/>
        <v>39788807</v>
      </c>
      <c r="H579" s="59">
        <f t="shared" si="336"/>
        <v>31829567</v>
      </c>
      <c r="I579" s="59">
        <f t="shared" si="336"/>
        <v>31829567</v>
      </c>
      <c r="J579" s="9">
        <f>I579-H579</f>
        <v>0</v>
      </c>
      <c r="K579" s="3"/>
      <c r="L579" s="49">
        <f>+SUM(L564:L578)</f>
        <v>6078000</v>
      </c>
      <c r="M579" s="49">
        <f>+SUM(M564:M578)</f>
        <v>6078000</v>
      </c>
      <c r="N579" s="49">
        <f>+SUM(N564:N578)</f>
        <v>11342157</v>
      </c>
      <c r="O579" s="49">
        <f>+SUM(O564:O578)</f>
        <v>39788807</v>
      </c>
      <c r="Q579" s="5"/>
    </row>
    <row r="580" spans="1:17" ht="16.5">
      <c r="A580" s="10"/>
      <c r="B580" s="11"/>
      <c r="C580" s="12"/>
      <c r="D580" s="13"/>
      <c r="E580" s="12"/>
      <c r="F580" s="13"/>
      <c r="G580" s="12"/>
      <c r="H580" s="12"/>
      <c r="I580" s="143" t="b">
        <f>I579=D582</f>
        <v>1</v>
      </c>
      <c r="L580" s="5"/>
      <c r="M580" s="5"/>
      <c r="N580" s="5"/>
      <c r="O580" s="5"/>
      <c r="Q580" s="5"/>
    </row>
    <row r="581" spans="1:17" ht="16.5">
      <c r="A581" s="10" t="s">
        <v>196</v>
      </c>
      <c r="B581" s="11" t="s">
        <v>197</v>
      </c>
      <c r="C581" s="12" t="s">
        <v>201</v>
      </c>
      <c r="D581" s="12" t="s">
        <v>198</v>
      </c>
      <c r="E581" s="12" t="s">
        <v>51</v>
      </c>
      <c r="F581" s="12"/>
      <c r="G581" s="12">
        <f>+D579-F579</f>
        <v>0</v>
      </c>
      <c r="H581" s="12"/>
      <c r="I581" s="12"/>
      <c r="Q581" s="5"/>
    </row>
    <row r="582" spans="1:17" ht="16.5">
      <c r="A582" s="14">
        <f>C579</f>
        <v>3382917</v>
      </c>
      <c r="B582" s="15">
        <f>G579</f>
        <v>39788807</v>
      </c>
      <c r="C582" s="12">
        <f>E579</f>
        <v>11342157</v>
      </c>
      <c r="D582" s="12">
        <f>A582+B582-C582</f>
        <v>31829567</v>
      </c>
      <c r="E582" s="13">
        <f>I579-D582</f>
        <v>0</v>
      </c>
      <c r="F582" s="12"/>
      <c r="G582" s="12"/>
      <c r="H582" s="12"/>
      <c r="I582" s="12"/>
      <c r="Q582" s="5"/>
    </row>
    <row r="583" spans="1:17" ht="16.5">
      <c r="A583" s="14"/>
      <c r="B583" s="15"/>
      <c r="C583" s="12"/>
      <c r="D583" s="12"/>
      <c r="E583" s="13"/>
      <c r="F583" s="12"/>
      <c r="G583" s="12"/>
      <c r="H583" s="12"/>
      <c r="I583" s="12"/>
      <c r="Q583" s="5"/>
    </row>
    <row r="584" spans="1:17">
      <c r="A584" s="16" t="s">
        <v>52</v>
      </c>
      <c r="B584" s="16"/>
      <c r="C584" s="16"/>
      <c r="D584" s="17"/>
      <c r="E584" s="17"/>
      <c r="F584" s="17"/>
      <c r="G584" s="17"/>
      <c r="H584" s="17"/>
      <c r="I584" s="17"/>
      <c r="Q584" s="5"/>
    </row>
    <row r="585" spans="1:17">
      <c r="A585" s="18" t="s">
        <v>199</v>
      </c>
      <c r="B585" s="18"/>
      <c r="C585" s="18"/>
      <c r="D585" s="18"/>
      <c r="E585" s="18"/>
      <c r="F585" s="18"/>
      <c r="G585" s="18"/>
      <c r="H585" s="18"/>
      <c r="I585" s="18"/>
      <c r="J585" s="18"/>
      <c r="Q585" s="5"/>
    </row>
    <row r="586" spans="1:17">
      <c r="A586" s="19"/>
      <c r="B586" s="20"/>
      <c r="C586" s="21"/>
      <c r="D586" s="21"/>
      <c r="E586" s="21"/>
      <c r="F586" s="21"/>
      <c r="G586" s="21"/>
      <c r="H586" s="20"/>
      <c r="I586" s="20"/>
      <c r="Q586" s="5"/>
    </row>
    <row r="587" spans="1:17">
      <c r="A587" s="199" t="s">
        <v>53</v>
      </c>
      <c r="B587" s="201" t="s">
        <v>54</v>
      </c>
      <c r="C587" s="203" t="s">
        <v>200</v>
      </c>
      <c r="D587" s="205" t="s">
        <v>55</v>
      </c>
      <c r="E587" s="206"/>
      <c r="F587" s="206"/>
      <c r="G587" s="207"/>
      <c r="H587" s="208" t="s">
        <v>56</v>
      </c>
      <c r="I587" s="195" t="s">
        <v>57</v>
      </c>
      <c r="J587" s="20"/>
      <c r="Q587" s="5"/>
    </row>
    <row r="588" spans="1:17" ht="28.5" customHeight="1">
      <c r="A588" s="200"/>
      <c r="B588" s="202"/>
      <c r="C588" s="204"/>
      <c r="D588" s="22" t="s">
        <v>24</v>
      </c>
      <c r="E588" s="22" t="s">
        <v>25</v>
      </c>
      <c r="F588" s="204" t="s">
        <v>123</v>
      </c>
      <c r="G588" s="22" t="s">
        <v>58</v>
      </c>
      <c r="H588" s="209"/>
      <c r="I588" s="196"/>
      <c r="J588" s="197" t="s">
        <v>195</v>
      </c>
      <c r="K588" s="155"/>
      <c r="Q588" s="5"/>
    </row>
    <row r="589" spans="1:17">
      <c r="A589" s="24"/>
      <c r="B589" s="25" t="s">
        <v>59</v>
      </c>
      <c r="C589" s="26"/>
      <c r="D589" s="26"/>
      <c r="E589" s="26"/>
      <c r="F589" s="26"/>
      <c r="G589" s="26"/>
      <c r="H589" s="26"/>
      <c r="I589" s="27"/>
      <c r="J589" s="198"/>
      <c r="K589" s="155"/>
      <c r="Q589" s="5"/>
    </row>
    <row r="590" spans="1:17">
      <c r="A590" s="130" t="s">
        <v>120</v>
      </c>
      <c r="B590" s="135" t="s">
        <v>47</v>
      </c>
      <c r="C590" s="33">
        <f>+C567</f>
        <v>56050</v>
      </c>
      <c r="D590" s="32"/>
      <c r="E590" s="33">
        <f>+D567</f>
        <v>0</v>
      </c>
      <c r="F590" s="33"/>
      <c r="G590" s="33"/>
      <c r="H590" s="57">
        <f t="shared" ref="H590:H600" si="337">+F567</f>
        <v>30000</v>
      </c>
      <c r="I590" s="33">
        <f t="shared" ref="I590:I600" si="338">+E567</f>
        <v>4000</v>
      </c>
      <c r="J590" s="31">
        <f t="shared" ref="J590:J591" si="339">+SUM(C590:G590)-(H590+I590)</f>
        <v>22050</v>
      </c>
      <c r="K590" s="156" t="b">
        <f t="shared" ref="K590:K600" si="340">J590=I567</f>
        <v>1</v>
      </c>
      <c r="Q590" s="5"/>
    </row>
    <row r="591" spans="1:17">
      <c r="A591" s="130" t="str">
        <f>+A590</f>
        <v>MARS</v>
      </c>
      <c r="B591" s="135" t="s">
        <v>31</v>
      </c>
      <c r="C591" s="33">
        <f t="shared" ref="C591:C592" si="341">+C568</f>
        <v>21495</v>
      </c>
      <c r="D591" s="32"/>
      <c r="E591" s="33">
        <f t="shared" ref="E591:E592" si="342">+D568</f>
        <v>139000</v>
      </c>
      <c r="F591" s="33"/>
      <c r="G591" s="33"/>
      <c r="H591" s="57">
        <f t="shared" si="337"/>
        <v>0</v>
      </c>
      <c r="I591" s="33">
        <f t="shared" si="338"/>
        <v>146500</v>
      </c>
      <c r="J591" s="107">
        <f t="shared" si="339"/>
        <v>13995</v>
      </c>
      <c r="K591" s="156" t="b">
        <f t="shared" si="340"/>
        <v>1</v>
      </c>
      <c r="Q591" s="5"/>
    </row>
    <row r="592" spans="1:17">
      <c r="A592" s="130" t="str">
        <f t="shared" ref="A592:A597" si="343">+A591</f>
        <v>MARS</v>
      </c>
      <c r="B592" s="136" t="s">
        <v>151</v>
      </c>
      <c r="C592" s="33">
        <f t="shared" si="341"/>
        <v>113185</v>
      </c>
      <c r="D592" s="127"/>
      <c r="E592" s="33">
        <f t="shared" si="342"/>
        <v>188000</v>
      </c>
      <c r="F592" s="53"/>
      <c r="G592" s="53"/>
      <c r="H592" s="57">
        <f t="shared" si="337"/>
        <v>40000</v>
      </c>
      <c r="I592" s="33">
        <f t="shared" si="338"/>
        <v>224700</v>
      </c>
      <c r="J592" s="132">
        <f>+SUM(C592:G592)-(H592+I592)</f>
        <v>36485</v>
      </c>
      <c r="K592" s="156" t="b">
        <f t="shared" si="340"/>
        <v>1</v>
      </c>
      <c r="Q592" s="5"/>
    </row>
    <row r="593" spans="1:17">
      <c r="A593" s="130" t="str">
        <f t="shared" si="343"/>
        <v>MARS</v>
      </c>
      <c r="B593" s="137" t="s">
        <v>84</v>
      </c>
      <c r="C593" s="128">
        <f>+C570</f>
        <v>233614</v>
      </c>
      <c r="D593" s="131"/>
      <c r="E593" s="128">
        <f>+D570</f>
        <v>0</v>
      </c>
      <c r="F593" s="146"/>
      <c r="G593" s="146"/>
      <c r="H593" s="178">
        <f t="shared" si="337"/>
        <v>0</v>
      </c>
      <c r="I593" s="128">
        <f t="shared" si="338"/>
        <v>0</v>
      </c>
      <c r="J593" s="129">
        <f>+SUM(C593:G593)-(H593+I593)</f>
        <v>233614</v>
      </c>
      <c r="K593" s="156" t="b">
        <f t="shared" si="340"/>
        <v>1</v>
      </c>
      <c r="Q593" s="5"/>
    </row>
    <row r="594" spans="1:17">
      <c r="A594" s="130" t="str">
        <f t="shared" si="343"/>
        <v>MARS</v>
      </c>
      <c r="B594" s="137" t="s">
        <v>83</v>
      </c>
      <c r="C594" s="128">
        <f>+C571</f>
        <v>249769</v>
      </c>
      <c r="D594" s="131"/>
      <c r="E594" s="128">
        <f>+D571</f>
        <v>0</v>
      </c>
      <c r="F594" s="146"/>
      <c r="G594" s="146"/>
      <c r="H594" s="178">
        <f t="shared" si="337"/>
        <v>0</v>
      </c>
      <c r="I594" s="128">
        <f t="shared" si="338"/>
        <v>0</v>
      </c>
      <c r="J594" s="129">
        <f t="shared" ref="J594:J601" si="344">+SUM(C594:G594)-(H594+I594)</f>
        <v>249769</v>
      </c>
      <c r="K594" s="156" t="b">
        <f t="shared" si="340"/>
        <v>1</v>
      </c>
      <c r="Q594" s="5"/>
    </row>
    <row r="595" spans="1:17">
      <c r="A595" s="130" t="str">
        <f t="shared" si="343"/>
        <v>MARS</v>
      </c>
      <c r="B595" s="135" t="s">
        <v>150</v>
      </c>
      <c r="C595" s="33">
        <f>+C572</f>
        <v>20700</v>
      </c>
      <c r="D595" s="32"/>
      <c r="E595" s="33">
        <f>+D572</f>
        <v>0</v>
      </c>
      <c r="F595" s="33"/>
      <c r="G595" s="110"/>
      <c r="H595" s="57">
        <f t="shared" si="337"/>
        <v>0</v>
      </c>
      <c r="I595" s="33">
        <f t="shared" si="338"/>
        <v>10000</v>
      </c>
      <c r="J595" s="31">
        <f t="shared" si="344"/>
        <v>10700</v>
      </c>
      <c r="K595" s="156" t="b">
        <f t="shared" si="340"/>
        <v>1</v>
      </c>
      <c r="Q595" s="5"/>
    </row>
    <row r="596" spans="1:17">
      <c r="A596" s="130" t="str">
        <f t="shared" si="343"/>
        <v>MARS</v>
      </c>
      <c r="B596" s="135" t="s">
        <v>204</v>
      </c>
      <c r="C596" s="33">
        <f t="shared" ref="C596:C599" si="345">+C573</f>
        <v>0</v>
      </c>
      <c r="D596" s="32"/>
      <c r="E596" s="33">
        <f t="shared" ref="E596:E601" si="346">+D573</f>
        <v>135000</v>
      </c>
      <c r="F596" s="33"/>
      <c r="G596" s="110"/>
      <c r="H596" s="57">
        <f t="shared" si="337"/>
        <v>0</v>
      </c>
      <c r="I596" s="33">
        <f t="shared" si="338"/>
        <v>83000</v>
      </c>
      <c r="J596" s="31">
        <f t="shared" si="344"/>
        <v>52000</v>
      </c>
      <c r="K596" s="156" t="b">
        <f t="shared" si="340"/>
        <v>1</v>
      </c>
      <c r="Q596" s="5"/>
    </row>
    <row r="597" spans="1:17">
      <c r="A597" s="130" t="str">
        <f t="shared" si="343"/>
        <v>MARS</v>
      </c>
      <c r="B597" s="135" t="s">
        <v>30</v>
      </c>
      <c r="C597" s="33">
        <f t="shared" si="345"/>
        <v>15550</v>
      </c>
      <c r="D597" s="32"/>
      <c r="E597" s="33">
        <f t="shared" si="346"/>
        <v>747000</v>
      </c>
      <c r="F597" s="33"/>
      <c r="G597" s="110"/>
      <c r="H597" s="57">
        <f t="shared" si="337"/>
        <v>0</v>
      </c>
      <c r="I597" s="33">
        <f t="shared" si="338"/>
        <v>646500</v>
      </c>
      <c r="J597" s="31">
        <f t="shared" si="344"/>
        <v>116050</v>
      </c>
      <c r="K597" s="156" t="b">
        <f t="shared" si="340"/>
        <v>1</v>
      </c>
      <c r="Q597" s="5"/>
    </row>
    <row r="598" spans="1:17">
      <c r="A598" s="130" t="str">
        <f>+A596</f>
        <v>MARS</v>
      </c>
      <c r="B598" s="135" t="s">
        <v>93</v>
      </c>
      <c r="C598" s="33">
        <f t="shared" si="345"/>
        <v>4800</v>
      </c>
      <c r="D598" s="32"/>
      <c r="E598" s="33">
        <f t="shared" si="346"/>
        <v>20000</v>
      </c>
      <c r="F598" s="33"/>
      <c r="G598" s="110"/>
      <c r="H598" s="57">
        <f t="shared" si="337"/>
        <v>0</v>
      </c>
      <c r="I598" s="33">
        <f t="shared" si="338"/>
        <v>20400</v>
      </c>
      <c r="J598" s="31">
        <f t="shared" si="344"/>
        <v>4400</v>
      </c>
      <c r="K598" s="156" t="b">
        <f t="shared" si="340"/>
        <v>1</v>
      </c>
      <c r="Q598" s="5"/>
    </row>
    <row r="599" spans="1:17">
      <c r="A599" s="130" t="str">
        <f>+A597</f>
        <v>MARS</v>
      </c>
      <c r="B599" s="135" t="s">
        <v>29</v>
      </c>
      <c r="C599" s="33">
        <f t="shared" si="345"/>
        <v>136200</v>
      </c>
      <c r="D599" s="32"/>
      <c r="E599" s="33">
        <f t="shared" si="346"/>
        <v>380000</v>
      </c>
      <c r="F599" s="33"/>
      <c r="G599" s="110"/>
      <c r="H599" s="57">
        <f t="shared" si="337"/>
        <v>0</v>
      </c>
      <c r="I599" s="33">
        <f t="shared" si="338"/>
        <v>500000</v>
      </c>
      <c r="J599" s="31">
        <f t="shared" si="344"/>
        <v>16200</v>
      </c>
      <c r="K599" s="156" t="b">
        <f t="shared" si="340"/>
        <v>1</v>
      </c>
      <c r="Q599" s="5"/>
    </row>
    <row r="600" spans="1:17">
      <c r="A600" s="130" t="str">
        <f>+A598</f>
        <v>MARS</v>
      </c>
      <c r="B600" s="135" t="s">
        <v>203</v>
      </c>
      <c r="C600" s="33">
        <f>+C577</f>
        <v>0</v>
      </c>
      <c r="D600" s="32"/>
      <c r="E600" s="33">
        <f t="shared" si="346"/>
        <v>129000</v>
      </c>
      <c r="F600" s="33"/>
      <c r="G600" s="110"/>
      <c r="H600" s="57">
        <f t="shared" si="337"/>
        <v>0</v>
      </c>
      <c r="I600" s="33">
        <f t="shared" si="338"/>
        <v>123000</v>
      </c>
      <c r="J600" s="31">
        <f t="shared" ref="J600" si="347">+SUM(C600:G600)-(H600+I600)</f>
        <v>6000</v>
      </c>
      <c r="K600" s="156" t="b">
        <f t="shared" si="340"/>
        <v>1</v>
      </c>
      <c r="Q600" s="5"/>
    </row>
    <row r="601" spans="1:17">
      <c r="A601" s="130" t="str">
        <f>+A599</f>
        <v>MARS</v>
      </c>
      <c r="B601" s="136" t="s">
        <v>113</v>
      </c>
      <c r="C601" s="33">
        <f t="shared" ref="C601" si="348">+C578</f>
        <v>-36737</v>
      </c>
      <c r="D601" s="127"/>
      <c r="E601" s="33">
        <f t="shared" si="346"/>
        <v>70000</v>
      </c>
      <c r="F601" s="53"/>
      <c r="G601" s="147"/>
      <c r="H601" s="57">
        <f t="shared" ref="H601" si="349">+F578</f>
        <v>0</v>
      </c>
      <c r="I601" s="33">
        <f t="shared" ref="I601" si="350">+E578</f>
        <v>824022</v>
      </c>
      <c r="J601" s="31">
        <f t="shared" si="344"/>
        <v>-790759</v>
      </c>
      <c r="K601" s="156" t="b">
        <f t="shared" ref="K601" si="351">J601=I578</f>
        <v>1</v>
      </c>
      <c r="Q601" s="5"/>
    </row>
    <row r="602" spans="1:17">
      <c r="A602" s="35" t="s">
        <v>60</v>
      </c>
      <c r="B602" s="36"/>
      <c r="C602" s="36"/>
      <c r="D602" s="36"/>
      <c r="E602" s="36"/>
      <c r="F602" s="36"/>
      <c r="G602" s="36"/>
      <c r="H602" s="36"/>
      <c r="I602" s="36"/>
      <c r="J602" s="37"/>
      <c r="K602" s="155"/>
      <c r="Q602" s="5"/>
    </row>
    <row r="603" spans="1:17">
      <c r="A603" s="130" t="str">
        <f>+A601</f>
        <v>MARS</v>
      </c>
      <c r="B603" s="38" t="s">
        <v>61</v>
      </c>
      <c r="C603" s="39">
        <f>+C566</f>
        <v>797106</v>
      </c>
      <c r="D603" s="51"/>
      <c r="E603" s="51">
        <f>D566</f>
        <v>4270000</v>
      </c>
      <c r="F603" s="51"/>
      <c r="G603" s="133"/>
      <c r="H603" s="53">
        <f>+F566</f>
        <v>1808000</v>
      </c>
      <c r="I603" s="134">
        <f>+E566</f>
        <v>2099084</v>
      </c>
      <c r="J603" s="46">
        <f>+SUM(C603:G603)-(H603+I603)</f>
        <v>1160022</v>
      </c>
      <c r="K603" s="156" t="b">
        <f>J603=I566</f>
        <v>1</v>
      </c>
      <c r="Q603" s="5"/>
    </row>
    <row r="604" spans="1:17">
      <c r="A604" s="44" t="s">
        <v>62</v>
      </c>
      <c r="B604" s="25"/>
      <c r="C604" s="36"/>
      <c r="D604" s="25"/>
      <c r="E604" s="25"/>
      <c r="F604" s="25"/>
      <c r="G604" s="25"/>
      <c r="H604" s="25"/>
      <c r="I604" s="25"/>
      <c r="J604" s="37"/>
      <c r="K604" s="155"/>
      <c r="Q604" s="5"/>
    </row>
    <row r="605" spans="1:17">
      <c r="A605" s="130" t="str">
        <f>+A603</f>
        <v>MARS</v>
      </c>
      <c r="B605" s="38" t="s">
        <v>163</v>
      </c>
      <c r="C605" s="133">
        <f>+C564</f>
        <v>888683</v>
      </c>
      <c r="D605" s="140">
        <f>+G564</f>
        <v>11432442</v>
      </c>
      <c r="E605" s="51"/>
      <c r="F605" s="51"/>
      <c r="G605" s="51"/>
      <c r="H605" s="53">
        <f>+F564</f>
        <v>2600000</v>
      </c>
      <c r="I605" s="55">
        <f>+E564</f>
        <v>543345</v>
      </c>
      <c r="J605" s="46">
        <f>+SUM(C605:G605)-(H605+I605)</f>
        <v>9177780</v>
      </c>
      <c r="K605" s="156" t="b">
        <f>+J605=I564</f>
        <v>1</v>
      </c>
      <c r="Q605" s="5"/>
    </row>
    <row r="606" spans="1:17">
      <c r="A606" s="130" t="str">
        <f t="shared" ref="A606" si="352">+A605</f>
        <v>MARS</v>
      </c>
      <c r="B606" s="38" t="s">
        <v>64</v>
      </c>
      <c r="C606" s="133">
        <f>+C565</f>
        <v>882502</v>
      </c>
      <c r="D606" s="51">
        <f>+G565</f>
        <v>28356365</v>
      </c>
      <c r="E606" s="50"/>
      <c r="F606" s="50"/>
      <c r="G606" s="50"/>
      <c r="H606" s="33">
        <f>+F565</f>
        <v>1600000</v>
      </c>
      <c r="I606" s="52">
        <f>+E565</f>
        <v>6117606</v>
      </c>
      <c r="J606" s="46">
        <f>SUM(C606:G606)-(H606+I606)</f>
        <v>21521261</v>
      </c>
      <c r="K606" s="156" t="b">
        <f>+J606=I565</f>
        <v>1</v>
      </c>
      <c r="Q606" s="5"/>
    </row>
    <row r="607" spans="1:17" ht="15.75">
      <c r="C607" s="151">
        <f>SUM(C590:C606)</f>
        <v>3382917</v>
      </c>
      <c r="I607" s="149">
        <f>SUM(I590:I606)</f>
        <v>11342157</v>
      </c>
      <c r="J607" s="111">
        <f>+SUM(J590:J606)</f>
        <v>31829567</v>
      </c>
      <c r="K607" s="5" t="b">
        <f>J607=I579</f>
        <v>1</v>
      </c>
      <c r="Q607" s="5"/>
    </row>
    <row r="608" spans="1:17" ht="15.75">
      <c r="A608" s="189"/>
      <c r="B608" s="189"/>
      <c r="C608" s="190"/>
      <c r="D608" s="189"/>
      <c r="E608" s="189"/>
      <c r="F608" s="189"/>
      <c r="G608" s="189"/>
      <c r="H608" s="189"/>
      <c r="I608" s="191"/>
      <c r="J608" s="192"/>
      <c r="K608" s="189"/>
      <c r="L608" s="193"/>
      <c r="M608" s="193"/>
      <c r="N608" s="193"/>
      <c r="O608" s="193"/>
      <c r="P608" s="189"/>
      <c r="Q608" s="5"/>
    </row>
    <row r="612" spans="1:17" ht="15.75">
      <c r="A612" s="6" t="s">
        <v>36</v>
      </c>
      <c r="B612" s="6" t="s">
        <v>1</v>
      </c>
      <c r="C612" s="6">
        <v>44593</v>
      </c>
      <c r="D612" s="7" t="s">
        <v>37</v>
      </c>
      <c r="E612" s="7" t="s">
        <v>38</v>
      </c>
      <c r="F612" s="7" t="s">
        <v>39</v>
      </c>
      <c r="G612" s="7" t="s">
        <v>40</v>
      </c>
      <c r="H612" s="6">
        <v>44620</v>
      </c>
      <c r="I612" s="7" t="s">
        <v>41</v>
      </c>
      <c r="K612" s="47"/>
      <c r="L612" s="47" t="s">
        <v>42</v>
      </c>
      <c r="M612" s="47" t="s">
        <v>43</v>
      </c>
      <c r="N612" s="47" t="s">
        <v>44</v>
      </c>
      <c r="O612" s="47" t="s">
        <v>45</v>
      </c>
      <c r="Q612" s="5"/>
    </row>
    <row r="613" spans="1:17" ht="16.5">
      <c r="A613" s="60" t="str">
        <f>+K613</f>
        <v>B52</v>
      </c>
      <c r="B613" s="61" t="s">
        <v>4</v>
      </c>
      <c r="C613" s="63">
        <v>500</v>
      </c>
      <c r="D613" s="63">
        <f t="shared" ref="D613:D626" si="353">+L613</f>
        <v>50000</v>
      </c>
      <c r="E613" s="63">
        <f>+N613</f>
        <v>50500</v>
      </c>
      <c r="F613" s="63">
        <f>+M613</f>
        <v>0</v>
      </c>
      <c r="G613" s="63">
        <f t="shared" ref="G613:G624" si="354">+O613</f>
        <v>0</v>
      </c>
      <c r="H613" s="63">
        <v>0</v>
      </c>
      <c r="I613" s="63">
        <f>+C613+D613-E613-F613+G613</f>
        <v>0</v>
      </c>
      <c r="J613" s="9">
        <f>I613-H613</f>
        <v>0</v>
      </c>
      <c r="K613" s="47" t="s">
        <v>169</v>
      </c>
      <c r="L613" s="49">
        <v>50000</v>
      </c>
      <c r="M613" s="49">
        <v>0</v>
      </c>
      <c r="N613" s="49">
        <v>50500</v>
      </c>
      <c r="O613" s="49">
        <v>0</v>
      </c>
      <c r="Q613" s="5"/>
    </row>
    <row r="614" spans="1:17" ht="16.5">
      <c r="A614" s="60" t="str">
        <f>+K614</f>
        <v>BCI</v>
      </c>
      <c r="B614" s="61" t="s">
        <v>46</v>
      </c>
      <c r="C614" s="63">
        <v>2172028</v>
      </c>
      <c r="D614" s="63">
        <f t="shared" si="353"/>
        <v>0</v>
      </c>
      <c r="E614" s="63">
        <f>+N614</f>
        <v>283345</v>
      </c>
      <c r="F614" s="63">
        <f>+M614</f>
        <v>1000000</v>
      </c>
      <c r="G614" s="63">
        <f t="shared" si="354"/>
        <v>0</v>
      </c>
      <c r="H614" s="63">
        <v>888683</v>
      </c>
      <c r="I614" s="63">
        <f>+C614+D614-E614-F614+G614</f>
        <v>888683</v>
      </c>
      <c r="J614" s="9">
        <f t="shared" ref="J614:J621" si="355">I614-H614</f>
        <v>0</v>
      </c>
      <c r="K614" s="47" t="s">
        <v>24</v>
      </c>
      <c r="L614" s="49">
        <v>0</v>
      </c>
      <c r="M614" s="49">
        <v>1000000</v>
      </c>
      <c r="N614" s="49">
        <v>283345</v>
      </c>
      <c r="O614" s="49">
        <v>0</v>
      </c>
      <c r="Q614" s="5"/>
    </row>
    <row r="615" spans="1:17" ht="16.5">
      <c r="A615" s="60" t="str">
        <f t="shared" ref="A615:A617" si="356">+K615</f>
        <v>BCI-Sous Compte</v>
      </c>
      <c r="B615" s="61" t="s">
        <v>46</v>
      </c>
      <c r="C615" s="63">
        <v>14143094</v>
      </c>
      <c r="D615" s="63">
        <f t="shared" si="353"/>
        <v>0</v>
      </c>
      <c r="E615" s="63">
        <f>+N615</f>
        <v>4260592</v>
      </c>
      <c r="F615" s="63">
        <f>+M615</f>
        <v>9000000</v>
      </c>
      <c r="G615" s="63">
        <f t="shared" si="354"/>
        <v>0</v>
      </c>
      <c r="H615" s="63">
        <v>882502</v>
      </c>
      <c r="I615" s="63">
        <f>+C615+D615-E615-F615+G615</f>
        <v>882502</v>
      </c>
      <c r="J615" s="108">
        <f t="shared" si="355"/>
        <v>0</v>
      </c>
      <c r="K615" s="47" t="s">
        <v>155</v>
      </c>
      <c r="L615" s="49">
        <v>0</v>
      </c>
      <c r="M615" s="49">
        <v>9000000</v>
      </c>
      <c r="N615" s="49">
        <v>4260592</v>
      </c>
      <c r="O615" s="49">
        <v>0</v>
      </c>
      <c r="Q615" s="5"/>
    </row>
    <row r="616" spans="1:17" ht="16.5">
      <c r="A616" s="60" t="str">
        <f t="shared" si="356"/>
        <v>Caisse</v>
      </c>
      <c r="B616" s="61" t="s">
        <v>25</v>
      </c>
      <c r="C616" s="63">
        <v>580885</v>
      </c>
      <c r="D616" s="63">
        <f t="shared" si="353"/>
        <v>10511000</v>
      </c>
      <c r="E616" s="63">
        <f t="shared" ref="E616" si="357">+N616</f>
        <v>2520779</v>
      </c>
      <c r="F616" s="63">
        <f t="shared" ref="F616:F624" si="358">+M616</f>
        <v>7774000</v>
      </c>
      <c r="G616" s="63">
        <f t="shared" si="354"/>
        <v>0</v>
      </c>
      <c r="H616" s="63">
        <v>797106</v>
      </c>
      <c r="I616" s="63">
        <f>+C616+D616-E616-F616+G616</f>
        <v>797106</v>
      </c>
      <c r="J616" s="9">
        <f t="shared" si="355"/>
        <v>0</v>
      </c>
      <c r="K616" s="47" t="s">
        <v>25</v>
      </c>
      <c r="L616" s="49">
        <v>10511000</v>
      </c>
      <c r="M616" s="49">
        <v>7774000</v>
      </c>
      <c r="N616" s="49">
        <v>2520779</v>
      </c>
      <c r="O616" s="49">
        <v>0</v>
      </c>
      <c r="Q616" s="5"/>
    </row>
    <row r="617" spans="1:17" ht="16.5">
      <c r="A617" s="60" t="str">
        <f t="shared" si="356"/>
        <v>Crépin</v>
      </c>
      <c r="B617" s="61" t="s">
        <v>161</v>
      </c>
      <c r="C617" s="63">
        <v>9000</v>
      </c>
      <c r="D617" s="63">
        <f t="shared" si="353"/>
        <v>2509000</v>
      </c>
      <c r="E617" s="63">
        <f>+N617</f>
        <v>2021950</v>
      </c>
      <c r="F617" s="63">
        <f t="shared" si="358"/>
        <v>440000</v>
      </c>
      <c r="G617" s="63">
        <f t="shared" si="354"/>
        <v>0</v>
      </c>
      <c r="H617" s="63">
        <v>56050</v>
      </c>
      <c r="I617" s="63">
        <f t="shared" ref="I617" si="359">+C617+D617-E617-F617+G617</f>
        <v>56050</v>
      </c>
      <c r="J617" s="9">
        <f t="shared" si="355"/>
        <v>0</v>
      </c>
      <c r="K617" s="47" t="s">
        <v>47</v>
      </c>
      <c r="L617" s="49">
        <v>2509000</v>
      </c>
      <c r="M617" s="49">
        <v>440000</v>
      </c>
      <c r="N617" s="49">
        <v>2021950</v>
      </c>
      <c r="O617" s="49">
        <v>0</v>
      </c>
      <c r="Q617" s="5"/>
    </row>
    <row r="618" spans="1:17" ht="16.5">
      <c r="A618" s="60" t="str">
        <f>K618</f>
        <v>Evariste</v>
      </c>
      <c r="B618" s="61" t="s">
        <v>162</v>
      </c>
      <c r="C618" s="63">
        <v>8645</v>
      </c>
      <c r="D618" s="63">
        <f t="shared" si="353"/>
        <v>614000</v>
      </c>
      <c r="E618" s="63">
        <f t="shared" ref="E618" si="360">+N618</f>
        <v>601150</v>
      </c>
      <c r="F618" s="63">
        <f t="shared" si="358"/>
        <v>0</v>
      </c>
      <c r="G618" s="63">
        <f t="shared" si="354"/>
        <v>0</v>
      </c>
      <c r="H618" s="63">
        <v>21495</v>
      </c>
      <c r="I618" s="63">
        <f>+C618+D618-E618-F618+G618</f>
        <v>21495</v>
      </c>
      <c r="J618" s="9">
        <f t="shared" si="355"/>
        <v>0</v>
      </c>
      <c r="K618" s="47" t="s">
        <v>31</v>
      </c>
      <c r="L618" s="49">
        <v>614000</v>
      </c>
      <c r="M618" s="49">
        <v>0</v>
      </c>
      <c r="N618" s="49">
        <v>601150</v>
      </c>
      <c r="O618" s="49">
        <v>0</v>
      </c>
      <c r="Q618" s="5"/>
    </row>
    <row r="619" spans="1:17" ht="16.5">
      <c r="A619" s="123" t="str">
        <f t="shared" ref="A619:A626" si="361">+K619</f>
        <v>I55S</v>
      </c>
      <c r="B619" s="124" t="s">
        <v>4</v>
      </c>
      <c r="C619" s="126">
        <v>233614</v>
      </c>
      <c r="D619" s="126">
        <f t="shared" si="353"/>
        <v>0</v>
      </c>
      <c r="E619" s="126">
        <f>+N619</f>
        <v>0</v>
      </c>
      <c r="F619" s="126">
        <f t="shared" si="358"/>
        <v>0</v>
      </c>
      <c r="G619" s="126">
        <f t="shared" si="354"/>
        <v>0</v>
      </c>
      <c r="H619" s="126">
        <v>233614</v>
      </c>
      <c r="I619" s="126">
        <f>+C619+D619-E619-F619+G619</f>
        <v>233614</v>
      </c>
      <c r="J619" s="9">
        <f t="shared" si="355"/>
        <v>0</v>
      </c>
      <c r="K619" s="47" t="s">
        <v>84</v>
      </c>
      <c r="L619" s="49">
        <v>0</v>
      </c>
      <c r="M619" s="49">
        <v>0</v>
      </c>
      <c r="N619" s="49">
        <v>0</v>
      </c>
      <c r="O619" s="49">
        <v>0</v>
      </c>
      <c r="Q619" s="5"/>
    </row>
    <row r="620" spans="1:17" ht="16.5">
      <c r="A620" s="123" t="str">
        <f t="shared" si="361"/>
        <v>I73X</v>
      </c>
      <c r="B620" s="124" t="s">
        <v>4</v>
      </c>
      <c r="C620" s="126">
        <v>249769</v>
      </c>
      <c r="D620" s="126">
        <f t="shared" si="353"/>
        <v>0</v>
      </c>
      <c r="E620" s="126">
        <f>+N620</f>
        <v>0</v>
      </c>
      <c r="F620" s="126">
        <f t="shared" si="358"/>
        <v>0</v>
      </c>
      <c r="G620" s="126">
        <f t="shared" si="354"/>
        <v>0</v>
      </c>
      <c r="H620" s="126">
        <v>249769</v>
      </c>
      <c r="I620" s="126">
        <f t="shared" ref="I620:I623" si="362">+C620+D620-E620-F620+G620</f>
        <v>249769</v>
      </c>
      <c r="J620" s="9">
        <f t="shared" si="355"/>
        <v>0</v>
      </c>
      <c r="K620" s="47" t="s">
        <v>83</v>
      </c>
      <c r="L620" s="49">
        <v>0</v>
      </c>
      <c r="M620" s="49">
        <v>0</v>
      </c>
      <c r="N620" s="49">
        <v>0</v>
      </c>
      <c r="O620" s="49">
        <v>0</v>
      </c>
      <c r="Q620" s="5"/>
    </row>
    <row r="621" spans="1:17" ht="16.5">
      <c r="A621" s="60" t="str">
        <f t="shared" si="361"/>
        <v>Godfré</v>
      </c>
      <c r="B621" s="104" t="s">
        <v>161</v>
      </c>
      <c r="C621" s="63">
        <v>79935</v>
      </c>
      <c r="D621" s="63">
        <f t="shared" si="353"/>
        <v>1202000</v>
      </c>
      <c r="E621" s="177">
        <f t="shared" ref="E621" si="363">+N621</f>
        <v>1118750</v>
      </c>
      <c r="F621" s="63">
        <f t="shared" si="358"/>
        <v>50000</v>
      </c>
      <c r="G621" s="63">
        <f t="shared" si="354"/>
        <v>0</v>
      </c>
      <c r="H621" s="63">
        <v>113185</v>
      </c>
      <c r="I621" s="63">
        <f t="shared" si="362"/>
        <v>113185</v>
      </c>
      <c r="J621" s="9">
        <f t="shared" si="355"/>
        <v>0</v>
      </c>
      <c r="K621" s="47" t="s">
        <v>151</v>
      </c>
      <c r="L621" s="49">
        <v>1202000</v>
      </c>
      <c r="M621" s="49">
        <v>50000</v>
      </c>
      <c r="N621" s="49">
        <v>1118750</v>
      </c>
      <c r="O621" s="49">
        <v>0</v>
      </c>
      <c r="Q621" s="5"/>
    </row>
    <row r="622" spans="1:17" ht="16.5">
      <c r="A622" s="60" t="str">
        <f t="shared" si="361"/>
        <v>Grace</v>
      </c>
      <c r="B622" s="61" t="s">
        <v>2</v>
      </c>
      <c r="C622" s="63">
        <v>19800</v>
      </c>
      <c r="D622" s="63">
        <f t="shared" si="353"/>
        <v>3247000</v>
      </c>
      <c r="E622" s="177">
        <f>+N622</f>
        <v>1165100</v>
      </c>
      <c r="F622" s="63">
        <f t="shared" si="358"/>
        <v>2081000</v>
      </c>
      <c r="G622" s="63">
        <f t="shared" si="354"/>
        <v>0</v>
      </c>
      <c r="H622" s="63">
        <v>20700</v>
      </c>
      <c r="I622" s="63">
        <f t="shared" si="362"/>
        <v>20700</v>
      </c>
      <c r="J622" s="9">
        <f>I622-H622</f>
        <v>0</v>
      </c>
      <c r="K622" s="47" t="s">
        <v>150</v>
      </c>
      <c r="L622" s="49">
        <v>3247000</v>
      </c>
      <c r="M622" s="49">
        <v>2081000</v>
      </c>
      <c r="N622" s="49">
        <v>1165100</v>
      </c>
      <c r="O622" s="49">
        <v>0</v>
      </c>
      <c r="Q622" s="5"/>
    </row>
    <row r="623" spans="1:17" ht="16.5">
      <c r="A623" s="60" t="str">
        <f t="shared" si="361"/>
        <v>I23C</v>
      </c>
      <c r="B623" s="104" t="s">
        <v>4</v>
      </c>
      <c r="C623" s="63">
        <v>30550</v>
      </c>
      <c r="D623" s="63">
        <f t="shared" si="353"/>
        <v>1493000</v>
      </c>
      <c r="E623" s="177">
        <f t="shared" ref="E623:E626" si="364">+N623</f>
        <v>1238000</v>
      </c>
      <c r="F623" s="63">
        <f t="shared" si="358"/>
        <v>270000</v>
      </c>
      <c r="G623" s="63">
        <f t="shared" si="354"/>
        <v>0</v>
      </c>
      <c r="H623" s="63">
        <v>15550</v>
      </c>
      <c r="I623" s="63">
        <f t="shared" si="362"/>
        <v>15550</v>
      </c>
      <c r="J623" s="9">
        <f t="shared" ref="J623:J624" si="365">I623-H623</f>
        <v>0</v>
      </c>
      <c r="K623" s="47" t="s">
        <v>30</v>
      </c>
      <c r="L623" s="49">
        <v>1493000</v>
      </c>
      <c r="M623" s="49">
        <v>270000</v>
      </c>
      <c r="N623" s="49">
        <v>1238000</v>
      </c>
      <c r="O623" s="49">
        <v>0</v>
      </c>
      <c r="Q623" s="5"/>
    </row>
    <row r="624" spans="1:17" ht="16.5">
      <c r="A624" s="60" t="str">
        <f t="shared" si="361"/>
        <v>Merveille</v>
      </c>
      <c r="B624" s="61" t="s">
        <v>2</v>
      </c>
      <c r="C624" s="63">
        <v>13000</v>
      </c>
      <c r="D624" s="63">
        <f t="shared" si="353"/>
        <v>50000</v>
      </c>
      <c r="E624" s="177">
        <f t="shared" si="364"/>
        <v>58200</v>
      </c>
      <c r="F624" s="63">
        <f t="shared" si="358"/>
        <v>0</v>
      </c>
      <c r="G624" s="63">
        <f t="shared" si="354"/>
        <v>0</v>
      </c>
      <c r="H624" s="63">
        <v>4800</v>
      </c>
      <c r="I624" s="63">
        <f>+C624+D624-E624-F624+G624</f>
        <v>4800</v>
      </c>
      <c r="J624" s="9">
        <f t="shared" si="365"/>
        <v>0</v>
      </c>
      <c r="K624" s="47" t="s">
        <v>93</v>
      </c>
      <c r="L624" s="49">
        <v>50000</v>
      </c>
      <c r="M624" s="49">
        <v>0</v>
      </c>
      <c r="N624" s="49">
        <v>58200</v>
      </c>
      <c r="O624" s="49"/>
      <c r="Q624" s="5"/>
    </row>
    <row r="625" spans="1:17" ht="16.5">
      <c r="A625" s="60" t="str">
        <f t="shared" si="361"/>
        <v>P29</v>
      </c>
      <c r="B625" s="61" t="s">
        <v>4</v>
      </c>
      <c r="C625" s="63">
        <v>55700</v>
      </c>
      <c r="D625" s="63">
        <f t="shared" si="353"/>
        <v>1029000</v>
      </c>
      <c r="E625" s="177">
        <f t="shared" si="364"/>
        <v>648500</v>
      </c>
      <c r="F625" s="63">
        <f>+M625</f>
        <v>300000</v>
      </c>
      <c r="G625" s="63">
        <f>+O625</f>
        <v>0</v>
      </c>
      <c r="H625" s="63">
        <v>136200</v>
      </c>
      <c r="I625" s="63">
        <f>+C625+D625-E625-F625+G625</f>
        <v>136200</v>
      </c>
      <c r="J625" s="9">
        <f>I625-H625</f>
        <v>0</v>
      </c>
      <c r="K625" s="47" t="s">
        <v>29</v>
      </c>
      <c r="L625" s="49">
        <v>1029000</v>
      </c>
      <c r="M625" s="49">
        <v>300000</v>
      </c>
      <c r="N625" s="49">
        <v>648500</v>
      </c>
      <c r="O625" s="49">
        <v>0</v>
      </c>
      <c r="Q625" s="5"/>
    </row>
    <row r="626" spans="1:17" ht="16.5">
      <c r="A626" s="60" t="str">
        <f t="shared" si="361"/>
        <v>Tiffany</v>
      </c>
      <c r="B626" s="61" t="s">
        <v>2</v>
      </c>
      <c r="C626" s="63">
        <v>-36237</v>
      </c>
      <c r="D626" s="63">
        <f t="shared" si="353"/>
        <v>210000</v>
      </c>
      <c r="E626" s="177">
        <f t="shared" si="364"/>
        <v>210500</v>
      </c>
      <c r="F626" s="63">
        <f t="shared" ref="F626" si="366">+M626</f>
        <v>0</v>
      </c>
      <c r="G626" s="63">
        <f t="shared" ref="G626" si="367">+O626</f>
        <v>0</v>
      </c>
      <c r="H626" s="63">
        <v>-36737</v>
      </c>
      <c r="I626" s="63">
        <f t="shared" ref="I626" si="368">+C626+D626-E626-F626+G626</f>
        <v>-36737</v>
      </c>
      <c r="J626" s="9">
        <f t="shared" ref="J626" si="369">I626-H626</f>
        <v>0</v>
      </c>
      <c r="K626" s="47" t="s">
        <v>113</v>
      </c>
      <c r="L626" s="49">
        <v>210000</v>
      </c>
      <c r="M626" s="49">
        <v>0</v>
      </c>
      <c r="N626" s="49">
        <v>210500</v>
      </c>
      <c r="O626" s="49">
        <v>0</v>
      </c>
      <c r="Q626" s="5"/>
    </row>
    <row r="627" spans="1:17" ht="16.5">
      <c r="A627" s="10" t="s">
        <v>50</v>
      </c>
      <c r="B627" s="11"/>
      <c r="C627" s="12">
        <f t="shared" ref="C627:I627" si="370">SUM(C613:C626)</f>
        <v>17560283</v>
      </c>
      <c r="D627" s="59">
        <f t="shared" si="370"/>
        <v>20915000</v>
      </c>
      <c r="E627" s="59">
        <f t="shared" si="370"/>
        <v>14177366</v>
      </c>
      <c r="F627" s="59">
        <f t="shared" si="370"/>
        <v>20915000</v>
      </c>
      <c r="G627" s="59">
        <f t="shared" si="370"/>
        <v>0</v>
      </c>
      <c r="H627" s="59">
        <f t="shared" si="370"/>
        <v>3382917</v>
      </c>
      <c r="I627" s="59">
        <f t="shared" si="370"/>
        <v>3382917</v>
      </c>
      <c r="J627" s="9">
        <f>I627-H627</f>
        <v>0</v>
      </c>
      <c r="K627" s="3"/>
      <c r="L627" s="49">
        <f>+SUM(L613:L626)</f>
        <v>20915000</v>
      </c>
      <c r="M627" s="49">
        <f>+SUM(M613:M626)</f>
        <v>20915000</v>
      </c>
      <c r="N627" s="49">
        <f>+SUM(N613:N626)</f>
        <v>14177366</v>
      </c>
      <c r="O627" s="49">
        <f>+SUM(O613:O626)</f>
        <v>0</v>
      </c>
      <c r="Q627" s="5"/>
    </row>
    <row r="628" spans="1:17" ht="16.5">
      <c r="A628" s="10"/>
      <c r="B628" s="11"/>
      <c r="C628" s="12"/>
      <c r="D628" s="13"/>
      <c r="E628" s="12"/>
      <c r="F628" s="13"/>
      <c r="G628" s="12"/>
      <c r="H628" s="12"/>
      <c r="I628" s="143" t="b">
        <f>I627=D630</f>
        <v>1</v>
      </c>
      <c r="L628" s="5"/>
      <c r="M628" s="5"/>
      <c r="N628" s="5"/>
      <c r="O628" s="5"/>
      <c r="Q628" s="5"/>
    </row>
    <row r="629" spans="1:17" ht="16.5">
      <c r="A629" s="10" t="s">
        <v>189</v>
      </c>
      <c r="B629" s="11" t="s">
        <v>190</v>
      </c>
      <c r="C629" s="12" t="s">
        <v>191</v>
      </c>
      <c r="D629" s="12" t="s">
        <v>202</v>
      </c>
      <c r="E629" s="12" t="s">
        <v>51</v>
      </c>
      <c r="F629" s="12"/>
      <c r="G629" s="12">
        <f>+D627-F627</f>
        <v>0</v>
      </c>
      <c r="H629" s="12"/>
      <c r="I629" s="12"/>
      <c r="Q629" s="5"/>
    </row>
    <row r="630" spans="1:17" ht="16.5">
      <c r="A630" s="14">
        <f>C627</f>
        <v>17560283</v>
      </c>
      <c r="B630" s="15">
        <f>G627</f>
        <v>0</v>
      </c>
      <c r="C630" s="12">
        <f>E627</f>
        <v>14177366</v>
      </c>
      <c r="D630" s="12">
        <f>A630+B630-C630</f>
        <v>3382917</v>
      </c>
      <c r="E630" s="13">
        <f>I627-D630</f>
        <v>0</v>
      </c>
      <c r="F630" s="12"/>
      <c r="G630" s="12"/>
      <c r="H630" s="12"/>
      <c r="I630" s="12"/>
      <c r="Q630" s="5"/>
    </row>
    <row r="631" spans="1:17" ht="16.5">
      <c r="A631" s="14"/>
      <c r="B631" s="15"/>
      <c r="C631" s="12"/>
      <c r="D631" s="12"/>
      <c r="E631" s="13"/>
      <c r="F631" s="12"/>
      <c r="G631" s="12"/>
      <c r="H631" s="12"/>
      <c r="I631" s="12"/>
      <c r="Q631" s="5"/>
    </row>
    <row r="632" spans="1:17">
      <c r="A632" s="16" t="s">
        <v>52</v>
      </c>
      <c r="B632" s="16"/>
      <c r="C632" s="16"/>
      <c r="D632" s="17"/>
      <c r="E632" s="17"/>
      <c r="F632" s="17"/>
      <c r="G632" s="17"/>
      <c r="H632" s="17"/>
      <c r="I632" s="17"/>
      <c r="Q632" s="5"/>
    </row>
    <row r="633" spans="1:17">
      <c r="A633" s="18" t="s">
        <v>193</v>
      </c>
      <c r="B633" s="18"/>
      <c r="C633" s="18"/>
      <c r="D633" s="18"/>
      <c r="E633" s="18"/>
      <c r="F633" s="18"/>
      <c r="G633" s="18"/>
      <c r="H633" s="18"/>
      <c r="I633" s="18"/>
      <c r="J633" s="18"/>
      <c r="Q633" s="5"/>
    </row>
    <row r="634" spans="1:17">
      <c r="A634" s="19"/>
      <c r="B634" s="20"/>
      <c r="C634" s="21"/>
      <c r="D634" s="21"/>
      <c r="E634" s="21"/>
      <c r="F634" s="21"/>
      <c r="G634" s="21"/>
      <c r="H634" s="20"/>
      <c r="I634" s="20"/>
      <c r="Q634" s="5"/>
    </row>
    <row r="635" spans="1:17">
      <c r="A635" s="199" t="s">
        <v>53</v>
      </c>
      <c r="B635" s="201" t="s">
        <v>54</v>
      </c>
      <c r="C635" s="203" t="s">
        <v>192</v>
      </c>
      <c r="D635" s="205" t="s">
        <v>55</v>
      </c>
      <c r="E635" s="206"/>
      <c r="F635" s="206"/>
      <c r="G635" s="207"/>
      <c r="H635" s="208" t="s">
        <v>56</v>
      </c>
      <c r="I635" s="195" t="s">
        <v>57</v>
      </c>
      <c r="J635" s="20"/>
      <c r="Q635" s="5"/>
    </row>
    <row r="636" spans="1:17" ht="28.5" customHeight="1">
      <c r="A636" s="200"/>
      <c r="B636" s="202"/>
      <c r="C636" s="204"/>
      <c r="D636" s="22" t="s">
        <v>24</v>
      </c>
      <c r="E636" s="22" t="s">
        <v>25</v>
      </c>
      <c r="F636" s="204" t="s">
        <v>123</v>
      </c>
      <c r="G636" s="22" t="s">
        <v>58</v>
      </c>
      <c r="H636" s="209"/>
      <c r="I636" s="196"/>
      <c r="J636" s="197" t="s">
        <v>194</v>
      </c>
      <c r="K636" s="155"/>
      <c r="Q636" s="5"/>
    </row>
    <row r="637" spans="1:17">
      <c r="A637" s="24"/>
      <c r="B637" s="25" t="s">
        <v>59</v>
      </c>
      <c r="C637" s="26"/>
      <c r="D637" s="26"/>
      <c r="E637" s="26"/>
      <c r="F637" s="26"/>
      <c r="G637" s="26"/>
      <c r="H637" s="26"/>
      <c r="I637" s="27"/>
      <c r="J637" s="198"/>
      <c r="K637" s="155"/>
      <c r="Q637" s="5"/>
    </row>
    <row r="638" spans="1:17">
      <c r="A638" s="130" t="s">
        <v>115</v>
      </c>
      <c r="B638" s="135" t="s">
        <v>169</v>
      </c>
      <c r="C638" s="33">
        <f>+C613</f>
        <v>500</v>
      </c>
      <c r="D638" s="32"/>
      <c r="E638" s="33">
        <f>+D613</f>
        <v>50000</v>
      </c>
      <c r="F638" s="33"/>
      <c r="G638" s="33"/>
      <c r="H638" s="57">
        <f>+F613</f>
        <v>0</v>
      </c>
      <c r="I638" s="33">
        <f>+E613</f>
        <v>50500</v>
      </c>
      <c r="J638" s="31">
        <f t="shared" ref="J638:J639" si="371">+SUM(C638:G638)-(H638+I638)</f>
        <v>0</v>
      </c>
      <c r="K638" s="156" t="b">
        <f>J638=I613</f>
        <v>1</v>
      </c>
      <c r="Q638" s="5"/>
    </row>
    <row r="639" spans="1:17">
      <c r="A639" s="130" t="str">
        <f>+A638</f>
        <v>FEVRIER</v>
      </c>
      <c r="B639" s="135" t="s">
        <v>47</v>
      </c>
      <c r="C639" s="33">
        <f>+C617</f>
        <v>9000</v>
      </c>
      <c r="D639" s="32"/>
      <c r="E639" s="33">
        <f>+D617</f>
        <v>2509000</v>
      </c>
      <c r="F639" s="33"/>
      <c r="G639" s="33"/>
      <c r="H639" s="57">
        <f>+F617</f>
        <v>440000</v>
      </c>
      <c r="I639" s="33">
        <f>+E617</f>
        <v>2021950</v>
      </c>
      <c r="J639" s="107">
        <f t="shared" si="371"/>
        <v>56050</v>
      </c>
      <c r="K639" s="156" t="b">
        <f t="shared" ref="K639:K648" si="372">J639=I617</f>
        <v>1</v>
      </c>
      <c r="Q639" s="5"/>
    </row>
    <row r="640" spans="1:17">
      <c r="A640" s="130" t="str">
        <f t="shared" ref="A640:A648" si="373">+A639</f>
        <v>FEVRIER</v>
      </c>
      <c r="B640" s="136" t="s">
        <v>31</v>
      </c>
      <c r="C640" s="33">
        <f>+C618</f>
        <v>8645</v>
      </c>
      <c r="D640" s="127"/>
      <c r="E640" s="33">
        <f>+D618</f>
        <v>614000</v>
      </c>
      <c r="F640" s="53"/>
      <c r="G640" s="53"/>
      <c r="H640" s="57">
        <f>+F618</f>
        <v>0</v>
      </c>
      <c r="I640" s="33">
        <f>+E618</f>
        <v>601150</v>
      </c>
      <c r="J640" s="132">
        <f>+SUM(C640:G640)-(H640+I640)</f>
        <v>21495</v>
      </c>
      <c r="K640" s="156" t="b">
        <f t="shared" si="372"/>
        <v>1</v>
      </c>
      <c r="Q640" s="5"/>
    </row>
    <row r="641" spans="1:17">
      <c r="A641" s="130" t="str">
        <f t="shared" si="373"/>
        <v>FEVRIER</v>
      </c>
      <c r="B641" s="137" t="s">
        <v>84</v>
      </c>
      <c r="C641" s="128">
        <f>+C619</f>
        <v>233614</v>
      </c>
      <c r="D641" s="131"/>
      <c r="E641" s="128">
        <f>+D619</f>
        <v>0</v>
      </c>
      <c r="F641" s="146"/>
      <c r="G641" s="146"/>
      <c r="H641" s="178">
        <f>+F619</f>
        <v>0</v>
      </c>
      <c r="I641" s="128">
        <f>+E619</f>
        <v>0</v>
      </c>
      <c r="J641" s="129">
        <f>+SUM(C641:G641)-(H641+I641)</f>
        <v>233614</v>
      </c>
      <c r="K641" s="156" t="b">
        <f t="shared" si="372"/>
        <v>1</v>
      </c>
      <c r="Q641" s="5"/>
    </row>
    <row r="642" spans="1:17">
      <c r="A642" s="130" t="str">
        <f t="shared" si="373"/>
        <v>FEVRIER</v>
      </c>
      <c r="B642" s="137" t="s">
        <v>83</v>
      </c>
      <c r="C642" s="128">
        <f>+C620</f>
        <v>249769</v>
      </c>
      <c r="D642" s="131"/>
      <c r="E642" s="128">
        <f>+D620</f>
        <v>0</v>
      </c>
      <c r="F642" s="146"/>
      <c r="G642" s="146"/>
      <c r="H642" s="178">
        <f>+F620</f>
        <v>0</v>
      </c>
      <c r="I642" s="128">
        <f>+E620</f>
        <v>0</v>
      </c>
      <c r="J642" s="129">
        <f t="shared" ref="J642:J648" si="374">+SUM(C642:G642)-(H642+I642)</f>
        <v>249769</v>
      </c>
      <c r="K642" s="156" t="b">
        <f t="shared" si="372"/>
        <v>1</v>
      </c>
      <c r="Q642" s="5"/>
    </row>
    <row r="643" spans="1:17">
      <c r="A643" s="130" t="str">
        <f t="shared" si="373"/>
        <v>FEVRIER</v>
      </c>
      <c r="B643" s="135" t="s">
        <v>151</v>
      </c>
      <c r="C643" s="33">
        <f>+C621</f>
        <v>79935</v>
      </c>
      <c r="D643" s="32"/>
      <c r="E643" s="33">
        <f>+D621</f>
        <v>1202000</v>
      </c>
      <c r="F643" s="33"/>
      <c r="G643" s="110"/>
      <c r="H643" s="57">
        <f>+F621</f>
        <v>50000</v>
      </c>
      <c r="I643" s="33">
        <f>+E621</f>
        <v>1118750</v>
      </c>
      <c r="J643" s="31">
        <f t="shared" si="374"/>
        <v>113185</v>
      </c>
      <c r="K643" s="156" t="b">
        <f t="shared" si="372"/>
        <v>1</v>
      </c>
      <c r="Q643" s="5"/>
    </row>
    <row r="644" spans="1:17">
      <c r="A644" s="130" t="str">
        <f t="shared" si="373"/>
        <v>FEVRIER</v>
      </c>
      <c r="B644" s="135" t="s">
        <v>150</v>
      </c>
      <c r="C644" s="33">
        <f t="shared" ref="C644:C648" si="375">+C622</f>
        <v>19800</v>
      </c>
      <c r="D644" s="32"/>
      <c r="E644" s="33">
        <f t="shared" ref="E644:E648" si="376">+D622</f>
        <v>3247000</v>
      </c>
      <c r="F644" s="33"/>
      <c r="G644" s="110"/>
      <c r="H644" s="57">
        <f t="shared" ref="H644:H648" si="377">+F622</f>
        <v>2081000</v>
      </c>
      <c r="I644" s="33">
        <f t="shared" ref="I644:I648" si="378">+E622</f>
        <v>1165100</v>
      </c>
      <c r="J644" s="31">
        <f t="shared" si="374"/>
        <v>20700</v>
      </c>
      <c r="K644" s="156" t="b">
        <f t="shared" si="372"/>
        <v>1</v>
      </c>
      <c r="Q644" s="5"/>
    </row>
    <row r="645" spans="1:17">
      <c r="A645" s="130" t="str">
        <f t="shared" si="373"/>
        <v>FEVRIER</v>
      </c>
      <c r="B645" s="135" t="s">
        <v>30</v>
      </c>
      <c r="C645" s="33">
        <f t="shared" si="375"/>
        <v>30550</v>
      </c>
      <c r="D645" s="32"/>
      <c r="E645" s="33">
        <f t="shared" si="376"/>
        <v>1493000</v>
      </c>
      <c r="F645" s="33"/>
      <c r="G645" s="110"/>
      <c r="H645" s="57">
        <f t="shared" si="377"/>
        <v>270000</v>
      </c>
      <c r="I645" s="33">
        <f t="shared" si="378"/>
        <v>1238000</v>
      </c>
      <c r="J645" s="31">
        <f t="shared" si="374"/>
        <v>15550</v>
      </c>
      <c r="K645" s="156" t="b">
        <f t="shared" si="372"/>
        <v>1</v>
      </c>
      <c r="Q645" s="5"/>
    </row>
    <row r="646" spans="1:17">
      <c r="A646" s="130" t="str">
        <f>+A644</f>
        <v>FEVRIER</v>
      </c>
      <c r="B646" s="135" t="s">
        <v>93</v>
      </c>
      <c r="C646" s="33">
        <f t="shared" si="375"/>
        <v>13000</v>
      </c>
      <c r="D646" s="32"/>
      <c r="E646" s="33">
        <f t="shared" si="376"/>
        <v>50000</v>
      </c>
      <c r="F646" s="33"/>
      <c r="G646" s="110"/>
      <c r="H646" s="57">
        <f t="shared" si="377"/>
        <v>0</v>
      </c>
      <c r="I646" s="33">
        <f t="shared" si="378"/>
        <v>58200</v>
      </c>
      <c r="J646" s="31">
        <f t="shared" si="374"/>
        <v>4800</v>
      </c>
      <c r="K646" s="156" t="b">
        <f t="shared" si="372"/>
        <v>1</v>
      </c>
      <c r="Q646" s="5"/>
    </row>
    <row r="647" spans="1:17">
      <c r="A647" s="130" t="str">
        <f>+A645</f>
        <v>FEVRIER</v>
      </c>
      <c r="B647" s="135" t="s">
        <v>29</v>
      </c>
      <c r="C647" s="33">
        <f t="shared" si="375"/>
        <v>55700</v>
      </c>
      <c r="D647" s="32"/>
      <c r="E647" s="33">
        <f t="shared" si="376"/>
        <v>1029000</v>
      </c>
      <c r="F647" s="33"/>
      <c r="G647" s="110"/>
      <c r="H647" s="57">
        <f t="shared" si="377"/>
        <v>300000</v>
      </c>
      <c r="I647" s="33">
        <f t="shared" si="378"/>
        <v>648500</v>
      </c>
      <c r="J647" s="31">
        <f t="shared" si="374"/>
        <v>136200</v>
      </c>
      <c r="K647" s="156" t="b">
        <f t="shared" si="372"/>
        <v>1</v>
      </c>
      <c r="Q647" s="5"/>
    </row>
    <row r="648" spans="1:17">
      <c r="A648" s="130" t="str">
        <f t="shared" si="373"/>
        <v>FEVRIER</v>
      </c>
      <c r="B648" s="136" t="s">
        <v>113</v>
      </c>
      <c r="C648" s="33">
        <f t="shared" si="375"/>
        <v>-36237</v>
      </c>
      <c r="D648" s="127"/>
      <c r="E648" s="33">
        <f t="shared" si="376"/>
        <v>210000</v>
      </c>
      <c r="F648" s="53"/>
      <c r="G648" s="147"/>
      <c r="H648" s="57">
        <f t="shared" si="377"/>
        <v>0</v>
      </c>
      <c r="I648" s="33">
        <f t="shared" si="378"/>
        <v>210500</v>
      </c>
      <c r="J648" s="31">
        <f t="shared" si="374"/>
        <v>-36737</v>
      </c>
      <c r="K648" s="156" t="b">
        <f t="shared" si="372"/>
        <v>1</v>
      </c>
      <c r="Q648" s="5"/>
    </row>
    <row r="649" spans="1:17">
      <c r="A649" s="35" t="s">
        <v>60</v>
      </c>
      <c r="B649" s="36"/>
      <c r="C649" s="36"/>
      <c r="D649" s="36"/>
      <c r="E649" s="36"/>
      <c r="F649" s="36"/>
      <c r="G649" s="36"/>
      <c r="H649" s="36"/>
      <c r="I649" s="36"/>
      <c r="J649" s="37"/>
      <c r="K649" s="155"/>
      <c r="Q649" s="5"/>
    </row>
    <row r="650" spans="1:17">
      <c r="A650" s="130" t="str">
        <f>+A648</f>
        <v>FEVRIER</v>
      </c>
      <c r="B650" s="38" t="s">
        <v>61</v>
      </c>
      <c r="C650" s="39">
        <f>+C616</f>
        <v>580885</v>
      </c>
      <c r="D650" s="51"/>
      <c r="E650" s="51">
        <f>D616</f>
        <v>10511000</v>
      </c>
      <c r="F650" s="51"/>
      <c r="G650" s="133"/>
      <c r="H650" s="53">
        <f>+F616</f>
        <v>7774000</v>
      </c>
      <c r="I650" s="134">
        <f>+E616</f>
        <v>2520779</v>
      </c>
      <c r="J650" s="46">
        <f>+SUM(C650:G650)-(H650+I650)</f>
        <v>797106</v>
      </c>
      <c r="K650" s="156" t="b">
        <f>J650=I616</f>
        <v>1</v>
      </c>
      <c r="Q650" s="5"/>
    </row>
    <row r="651" spans="1:17">
      <c r="A651" s="44" t="s">
        <v>62</v>
      </c>
      <c r="B651" s="25"/>
      <c r="C651" s="36"/>
      <c r="D651" s="25"/>
      <c r="E651" s="25"/>
      <c r="F651" s="25"/>
      <c r="G651" s="25"/>
      <c r="H651" s="25"/>
      <c r="I651" s="25"/>
      <c r="J651" s="37"/>
      <c r="K651" s="155"/>
      <c r="Q651" s="5"/>
    </row>
    <row r="652" spans="1:17">
      <c r="A652" s="130" t="str">
        <f>+A650</f>
        <v>FEVRIER</v>
      </c>
      <c r="B652" s="38" t="s">
        <v>163</v>
      </c>
      <c r="C652" s="133">
        <f>+C614</f>
        <v>2172028</v>
      </c>
      <c r="D652" s="140">
        <f>+G614</f>
        <v>0</v>
      </c>
      <c r="E652" s="51"/>
      <c r="F652" s="51"/>
      <c r="G652" s="51"/>
      <c r="H652" s="53">
        <f>+F614</f>
        <v>1000000</v>
      </c>
      <c r="I652" s="55">
        <f>+E614</f>
        <v>283345</v>
      </c>
      <c r="J652" s="46">
        <f>+SUM(C652:G652)-(H652+I652)</f>
        <v>888683</v>
      </c>
      <c r="K652" s="156" t="b">
        <f>+J652=I614</f>
        <v>1</v>
      </c>
      <c r="Q652" s="5"/>
    </row>
    <row r="653" spans="1:17">
      <c r="A653" s="130" t="str">
        <f t="shared" ref="A653" si="379">+A652</f>
        <v>FEVRIER</v>
      </c>
      <c r="B653" s="38" t="s">
        <v>64</v>
      </c>
      <c r="C653" s="133">
        <f>+C615</f>
        <v>14143094</v>
      </c>
      <c r="D653" s="51">
        <f>+G615</f>
        <v>0</v>
      </c>
      <c r="E653" s="50"/>
      <c r="F653" s="50"/>
      <c r="G653" s="50"/>
      <c r="H653" s="33">
        <f>+F615</f>
        <v>9000000</v>
      </c>
      <c r="I653" s="52">
        <f>+E615</f>
        <v>4260592</v>
      </c>
      <c r="J653" s="46">
        <f>SUM(C653:G653)-(H653+I653)</f>
        <v>882502</v>
      </c>
      <c r="K653" s="156" t="b">
        <f>+J653=I615</f>
        <v>1</v>
      </c>
      <c r="Q653" s="5"/>
    </row>
    <row r="654" spans="1:17" ht="15.75">
      <c r="C654" s="151">
        <f>SUM(C638:C653)</f>
        <v>17560283</v>
      </c>
      <c r="I654" s="149">
        <f>SUM(I638:I653)</f>
        <v>14177366</v>
      </c>
      <c r="J654" s="111">
        <f>+SUM(J638:J653)</f>
        <v>3382917</v>
      </c>
      <c r="K654" s="5" t="b">
        <f>J654=I627</f>
        <v>1</v>
      </c>
      <c r="Q654" s="5"/>
    </row>
    <row r="655" spans="1:17" ht="15.75">
      <c r="A655" s="189"/>
      <c r="B655" s="189"/>
      <c r="C655" s="190"/>
      <c r="D655" s="189"/>
      <c r="E655" s="189"/>
      <c r="F655" s="189"/>
      <c r="G655" s="189"/>
      <c r="H655" s="189"/>
      <c r="I655" s="191"/>
      <c r="J655" s="192"/>
      <c r="K655" s="189"/>
      <c r="L655" s="193"/>
      <c r="M655" s="193"/>
      <c r="N655" s="193"/>
      <c r="O655" s="193"/>
      <c r="P655" s="189"/>
      <c r="Q655" s="5"/>
    </row>
    <row r="656" spans="1:17" ht="15.75">
      <c r="A656" s="189"/>
      <c r="B656" s="189"/>
      <c r="C656" s="190"/>
      <c r="D656" s="189"/>
      <c r="E656" s="189"/>
      <c r="F656" s="189"/>
      <c r="G656" s="189"/>
      <c r="H656" s="189"/>
      <c r="I656" s="191"/>
      <c r="J656" s="192"/>
      <c r="K656" s="189"/>
      <c r="L656" s="193"/>
      <c r="M656" s="193"/>
      <c r="N656" s="193"/>
      <c r="O656" s="193"/>
      <c r="P656" s="189"/>
      <c r="Q656" s="5"/>
    </row>
    <row r="658" spans="1:17" ht="15.75">
      <c r="A658" s="6" t="s">
        <v>36</v>
      </c>
      <c r="B658" s="6" t="s">
        <v>1</v>
      </c>
      <c r="C658" s="6">
        <v>44562</v>
      </c>
      <c r="D658" s="7" t="s">
        <v>37</v>
      </c>
      <c r="E658" s="7" t="s">
        <v>38</v>
      </c>
      <c r="F658" s="7" t="s">
        <v>39</v>
      </c>
      <c r="G658" s="7" t="s">
        <v>40</v>
      </c>
      <c r="H658" s="6">
        <v>44592</v>
      </c>
      <c r="I658" s="7" t="s">
        <v>41</v>
      </c>
      <c r="K658" s="47"/>
      <c r="L658" s="47" t="s">
        <v>42</v>
      </c>
      <c r="M658" s="47" t="s">
        <v>43</v>
      </c>
      <c r="N658" s="47" t="s">
        <v>44</v>
      </c>
      <c r="O658" s="47" t="s">
        <v>45</v>
      </c>
      <c r="Q658" s="5"/>
    </row>
    <row r="659" spans="1:17" ht="16.5">
      <c r="A659" s="60" t="str">
        <f>+K659</f>
        <v>B52</v>
      </c>
      <c r="B659" s="61" t="s">
        <v>4</v>
      </c>
      <c r="C659" s="62">
        <v>9500</v>
      </c>
      <c r="D659" s="63">
        <f t="shared" ref="D659:D672" si="380">+L659</f>
        <v>567000</v>
      </c>
      <c r="E659" s="63">
        <f>+N659</f>
        <v>576000</v>
      </c>
      <c r="F659" s="63">
        <f>+M659</f>
        <v>0</v>
      </c>
      <c r="G659" s="63">
        <f t="shared" ref="G659:G670" si="381">+O659</f>
        <v>0</v>
      </c>
      <c r="H659" s="63">
        <v>500</v>
      </c>
      <c r="I659" s="63">
        <f>+C659+D659-E659-F659+G659</f>
        <v>500</v>
      </c>
      <c r="J659" s="9">
        <f>I659-H659</f>
        <v>0</v>
      </c>
      <c r="K659" s="47" t="s">
        <v>169</v>
      </c>
      <c r="L659" s="49">
        <v>567000</v>
      </c>
      <c r="M659" s="49">
        <v>0</v>
      </c>
      <c r="N659" s="49">
        <v>576000</v>
      </c>
      <c r="O659" s="49">
        <v>0</v>
      </c>
      <c r="Q659" s="5"/>
    </row>
    <row r="660" spans="1:17" ht="16.5">
      <c r="A660" s="60" t="str">
        <f>+K660</f>
        <v>BCI</v>
      </c>
      <c r="B660" s="61" t="s">
        <v>46</v>
      </c>
      <c r="C660" s="62">
        <v>3455373</v>
      </c>
      <c r="D660" s="63">
        <f t="shared" si="380"/>
        <v>0</v>
      </c>
      <c r="E660" s="63">
        <f>+N660</f>
        <v>283345</v>
      </c>
      <c r="F660" s="63">
        <f>+M660</f>
        <v>1000000</v>
      </c>
      <c r="G660" s="63">
        <f t="shared" si="381"/>
        <v>0</v>
      </c>
      <c r="H660" s="63">
        <v>2172028</v>
      </c>
      <c r="I660" s="63">
        <f>+C660+D660-E660-F660+G660</f>
        <v>2172028</v>
      </c>
      <c r="J660" s="9">
        <f t="shared" ref="J660:J667" si="382">I660-H660</f>
        <v>0</v>
      </c>
      <c r="K660" s="47" t="s">
        <v>24</v>
      </c>
      <c r="L660" s="49">
        <v>0</v>
      </c>
      <c r="M660" s="49">
        <v>1000000</v>
      </c>
      <c r="N660" s="49">
        <v>283345</v>
      </c>
      <c r="O660" s="49">
        <v>0</v>
      </c>
      <c r="Q660" s="5"/>
    </row>
    <row r="661" spans="1:17" ht="16.5">
      <c r="A661" s="60" t="str">
        <f t="shared" ref="A661:A663" si="383">+K661</f>
        <v>BCI-Sous Compte</v>
      </c>
      <c r="B661" s="61" t="s">
        <v>46</v>
      </c>
      <c r="C661" s="62">
        <v>4841615</v>
      </c>
      <c r="D661" s="63">
        <f t="shared" si="380"/>
        <v>0</v>
      </c>
      <c r="E661" s="63">
        <f>+N661</f>
        <v>6223724</v>
      </c>
      <c r="F661" s="63">
        <f>+M661</f>
        <v>2000000</v>
      </c>
      <c r="G661" s="63">
        <f t="shared" si="381"/>
        <v>17525203</v>
      </c>
      <c r="H661" s="63">
        <v>14143094</v>
      </c>
      <c r="I661" s="63">
        <f>+C661+D661-E661-F661+G661</f>
        <v>14143094</v>
      </c>
      <c r="J661" s="108">
        <f t="shared" si="382"/>
        <v>0</v>
      </c>
      <c r="K661" s="47" t="s">
        <v>155</v>
      </c>
      <c r="L661" s="49">
        <v>0</v>
      </c>
      <c r="M661" s="49">
        <v>2000000</v>
      </c>
      <c r="N661" s="49">
        <v>6223724</v>
      </c>
      <c r="O661" s="49">
        <v>17525203</v>
      </c>
      <c r="Q661" s="5"/>
    </row>
    <row r="662" spans="1:17" ht="16.5">
      <c r="A662" s="60" t="str">
        <f t="shared" si="383"/>
        <v>Caisse</v>
      </c>
      <c r="B662" s="61" t="s">
        <v>25</v>
      </c>
      <c r="C662" s="62">
        <v>1042520</v>
      </c>
      <c r="D662" s="63">
        <f t="shared" si="380"/>
        <v>3035000</v>
      </c>
      <c r="E662" s="63">
        <f t="shared" ref="E662" si="384">+N662</f>
        <v>966635</v>
      </c>
      <c r="F662" s="63">
        <f t="shared" ref="F662:F670" si="385">+M662</f>
        <v>2530000</v>
      </c>
      <c r="G662" s="63">
        <f t="shared" si="381"/>
        <v>0</v>
      </c>
      <c r="H662" s="63">
        <v>580885</v>
      </c>
      <c r="I662" s="63">
        <f>+C662+D662-E662-F662+G662</f>
        <v>580885</v>
      </c>
      <c r="J662" s="9">
        <f t="shared" si="382"/>
        <v>0</v>
      </c>
      <c r="K662" s="47" t="s">
        <v>25</v>
      </c>
      <c r="L662" s="49">
        <v>3035000</v>
      </c>
      <c r="M662" s="49">
        <v>2530000</v>
      </c>
      <c r="N662" s="49">
        <v>966635</v>
      </c>
      <c r="O662" s="49">
        <v>0</v>
      </c>
      <c r="Q662" s="5"/>
    </row>
    <row r="663" spans="1:17" ht="16.5">
      <c r="A663" s="60" t="str">
        <f t="shared" si="383"/>
        <v>Crépin</v>
      </c>
      <c r="B663" s="61" t="s">
        <v>161</v>
      </c>
      <c r="C663" s="62">
        <v>-37100</v>
      </c>
      <c r="D663" s="63">
        <f t="shared" si="380"/>
        <v>256000</v>
      </c>
      <c r="E663" s="63">
        <f>+N663</f>
        <v>189900</v>
      </c>
      <c r="F663" s="63">
        <f t="shared" si="385"/>
        <v>20000</v>
      </c>
      <c r="G663" s="63">
        <f t="shared" si="381"/>
        <v>0</v>
      </c>
      <c r="H663" s="63">
        <v>9000</v>
      </c>
      <c r="I663" s="63">
        <f t="shared" ref="I663" si="386">+C663+D663-E663-F663+G663</f>
        <v>9000</v>
      </c>
      <c r="J663" s="9">
        <f t="shared" si="382"/>
        <v>0</v>
      </c>
      <c r="K663" s="47" t="s">
        <v>47</v>
      </c>
      <c r="L663" s="49">
        <v>256000</v>
      </c>
      <c r="M663" s="49">
        <v>20000</v>
      </c>
      <c r="N663" s="49">
        <v>189900</v>
      </c>
      <c r="O663" s="49">
        <v>0</v>
      </c>
      <c r="Q663" s="5"/>
    </row>
    <row r="664" spans="1:17" ht="16.5">
      <c r="A664" s="60" t="str">
        <f>K664</f>
        <v>Evariste</v>
      </c>
      <c r="B664" s="61" t="s">
        <v>162</v>
      </c>
      <c r="C664" s="62">
        <v>8645</v>
      </c>
      <c r="D664" s="63">
        <f t="shared" si="380"/>
        <v>0</v>
      </c>
      <c r="E664" s="63">
        <f t="shared" ref="E664" si="387">+N664</f>
        <v>0</v>
      </c>
      <c r="F664" s="63">
        <f t="shared" si="385"/>
        <v>0</v>
      </c>
      <c r="G664" s="63">
        <f t="shared" si="381"/>
        <v>0</v>
      </c>
      <c r="H664" s="63">
        <v>8645</v>
      </c>
      <c r="I664" s="63">
        <f>+C664+D664-E664-F664+G664</f>
        <v>8645</v>
      </c>
      <c r="J664" s="9">
        <f t="shared" si="382"/>
        <v>0</v>
      </c>
      <c r="K664" s="47" t="s">
        <v>31</v>
      </c>
      <c r="L664" s="49">
        <v>0</v>
      </c>
      <c r="M664" s="49">
        <v>0</v>
      </c>
      <c r="N664" s="49">
        <v>0</v>
      </c>
      <c r="O664" s="49">
        <v>0</v>
      </c>
      <c r="Q664" s="5"/>
    </row>
    <row r="665" spans="1:17" ht="16.5">
      <c r="A665" s="123" t="str">
        <f t="shared" ref="A665:A672" si="388">+K665</f>
        <v>I55S</v>
      </c>
      <c r="B665" s="124" t="s">
        <v>4</v>
      </c>
      <c r="C665" s="125">
        <v>233614</v>
      </c>
      <c r="D665" s="126">
        <f t="shared" si="380"/>
        <v>0</v>
      </c>
      <c r="E665" s="126">
        <f>+N665</f>
        <v>0</v>
      </c>
      <c r="F665" s="126">
        <f t="shared" si="385"/>
        <v>0</v>
      </c>
      <c r="G665" s="126">
        <f t="shared" si="381"/>
        <v>0</v>
      </c>
      <c r="H665" s="126">
        <v>233614</v>
      </c>
      <c r="I665" s="126">
        <f>+C665+D665-E665-F665+G665</f>
        <v>233614</v>
      </c>
      <c r="J665" s="9">
        <f t="shared" si="382"/>
        <v>0</v>
      </c>
      <c r="K665" s="47" t="s">
        <v>84</v>
      </c>
      <c r="L665" s="49">
        <v>0</v>
      </c>
      <c r="M665" s="49">
        <v>0</v>
      </c>
      <c r="N665" s="49">
        <v>0</v>
      </c>
      <c r="O665" s="49">
        <v>0</v>
      </c>
      <c r="Q665" s="5"/>
    </row>
    <row r="666" spans="1:17" ht="16.5">
      <c r="A666" s="123" t="str">
        <f t="shared" si="388"/>
        <v>I73X</v>
      </c>
      <c r="B666" s="124" t="s">
        <v>4</v>
      </c>
      <c r="C666" s="125">
        <v>249769</v>
      </c>
      <c r="D666" s="126">
        <f t="shared" si="380"/>
        <v>0</v>
      </c>
      <c r="E666" s="126">
        <f>+N666</f>
        <v>0</v>
      </c>
      <c r="F666" s="126">
        <f t="shared" si="385"/>
        <v>0</v>
      </c>
      <c r="G666" s="126">
        <f t="shared" si="381"/>
        <v>0</v>
      </c>
      <c r="H666" s="126">
        <v>249769</v>
      </c>
      <c r="I666" s="126">
        <f t="shared" ref="I666:I669" si="389">+C666+D666-E666-F666+G666</f>
        <v>249769</v>
      </c>
      <c r="J666" s="9">
        <f t="shared" si="382"/>
        <v>0</v>
      </c>
      <c r="K666" s="47" t="s">
        <v>83</v>
      </c>
      <c r="L666" s="49">
        <v>0</v>
      </c>
      <c r="M666" s="49">
        <v>0</v>
      </c>
      <c r="N666" s="49">
        <v>0</v>
      </c>
      <c r="O666" s="49">
        <v>0</v>
      </c>
      <c r="Q666" s="5"/>
    </row>
    <row r="667" spans="1:17" ht="16.5">
      <c r="A667" s="60" t="str">
        <f t="shared" si="388"/>
        <v>Godfré</v>
      </c>
      <c r="B667" s="104" t="s">
        <v>161</v>
      </c>
      <c r="C667" s="62">
        <v>34935</v>
      </c>
      <c r="D667" s="63">
        <f t="shared" si="380"/>
        <v>365000</v>
      </c>
      <c r="E667" s="177">
        <f t="shared" ref="E667" si="390">+N667</f>
        <v>320000</v>
      </c>
      <c r="F667" s="63">
        <f t="shared" si="385"/>
        <v>0</v>
      </c>
      <c r="G667" s="63">
        <f t="shared" si="381"/>
        <v>0</v>
      </c>
      <c r="H667" s="63">
        <v>79935</v>
      </c>
      <c r="I667" s="63">
        <f t="shared" si="389"/>
        <v>79935</v>
      </c>
      <c r="J667" s="9">
        <f t="shared" si="382"/>
        <v>0</v>
      </c>
      <c r="K667" s="47" t="s">
        <v>151</v>
      </c>
      <c r="L667" s="49">
        <v>365000</v>
      </c>
      <c r="M667" s="49"/>
      <c r="N667" s="49">
        <v>320000</v>
      </c>
      <c r="O667" s="49">
        <v>0</v>
      </c>
      <c r="Q667" s="5"/>
    </row>
    <row r="668" spans="1:17" ht="16.5">
      <c r="A668" s="60" t="str">
        <f t="shared" si="388"/>
        <v>Grace</v>
      </c>
      <c r="B668" s="61" t="s">
        <v>2</v>
      </c>
      <c r="C668" s="62">
        <v>44200</v>
      </c>
      <c r="D668" s="63">
        <f t="shared" si="380"/>
        <v>0</v>
      </c>
      <c r="E668" s="177">
        <f>+N668</f>
        <v>9400</v>
      </c>
      <c r="F668" s="63">
        <f t="shared" si="385"/>
        <v>15000</v>
      </c>
      <c r="G668" s="63">
        <f t="shared" si="381"/>
        <v>0</v>
      </c>
      <c r="H668" s="63">
        <v>19800</v>
      </c>
      <c r="I668" s="63">
        <f t="shared" si="389"/>
        <v>19800</v>
      </c>
      <c r="J668" s="9">
        <f>I668-H668</f>
        <v>0</v>
      </c>
      <c r="K668" s="47" t="s">
        <v>150</v>
      </c>
      <c r="L668" s="49">
        <v>0</v>
      </c>
      <c r="M668" s="49">
        <v>15000</v>
      </c>
      <c r="N668" s="49">
        <v>9400</v>
      </c>
      <c r="O668" s="49">
        <v>0</v>
      </c>
      <c r="Q668" s="5"/>
    </row>
    <row r="669" spans="1:17" ht="16.5">
      <c r="A669" s="60" t="str">
        <f t="shared" si="388"/>
        <v>I23C</v>
      </c>
      <c r="B669" s="104" t="s">
        <v>4</v>
      </c>
      <c r="C669" s="62">
        <v>12050</v>
      </c>
      <c r="D669" s="63">
        <f t="shared" si="380"/>
        <v>492000</v>
      </c>
      <c r="E669" s="177">
        <f t="shared" ref="E669:E672" si="391">+N669</f>
        <v>473500</v>
      </c>
      <c r="F669" s="63">
        <f t="shared" si="385"/>
        <v>0</v>
      </c>
      <c r="G669" s="63">
        <f t="shared" si="381"/>
        <v>0</v>
      </c>
      <c r="H669" s="63">
        <v>30550</v>
      </c>
      <c r="I669" s="63">
        <f t="shared" si="389"/>
        <v>30550</v>
      </c>
      <c r="J669" s="9">
        <f t="shared" ref="J669:J670" si="392">I669-H669</f>
        <v>0</v>
      </c>
      <c r="K669" s="47" t="s">
        <v>30</v>
      </c>
      <c r="L669" s="49">
        <v>492000</v>
      </c>
      <c r="M669" s="49">
        <v>0</v>
      </c>
      <c r="N669" s="49">
        <v>473500</v>
      </c>
      <c r="O669" s="49">
        <v>0</v>
      </c>
      <c r="Q669" s="5"/>
    </row>
    <row r="670" spans="1:17" ht="16.5">
      <c r="A670" s="60" t="str">
        <f t="shared" si="388"/>
        <v>Merveille</v>
      </c>
      <c r="B670" s="61" t="s">
        <v>2</v>
      </c>
      <c r="C670" s="62">
        <v>5500</v>
      </c>
      <c r="D670" s="63">
        <f t="shared" si="380"/>
        <v>20000</v>
      </c>
      <c r="E670" s="177">
        <f t="shared" si="391"/>
        <v>12500</v>
      </c>
      <c r="F670" s="63">
        <f t="shared" si="385"/>
        <v>0</v>
      </c>
      <c r="G670" s="63">
        <f t="shared" si="381"/>
        <v>0</v>
      </c>
      <c r="H670" s="63">
        <v>13000</v>
      </c>
      <c r="I670" s="63">
        <f>+C670+D670-E670-F670+G670</f>
        <v>13000</v>
      </c>
      <c r="J670" s="9">
        <f t="shared" si="392"/>
        <v>0</v>
      </c>
      <c r="K670" s="47" t="s">
        <v>93</v>
      </c>
      <c r="L670" s="49">
        <v>20000</v>
      </c>
      <c r="M670" s="49">
        <v>0</v>
      </c>
      <c r="N670" s="49">
        <v>12500</v>
      </c>
      <c r="O670" s="49"/>
      <c r="Q670" s="5"/>
    </row>
    <row r="671" spans="1:17" ht="16.5">
      <c r="A671" s="60" t="str">
        <f t="shared" si="388"/>
        <v>P29</v>
      </c>
      <c r="B671" s="61" t="s">
        <v>4</v>
      </c>
      <c r="C671" s="62">
        <v>58200</v>
      </c>
      <c r="D671" s="63">
        <f t="shared" si="380"/>
        <v>530000</v>
      </c>
      <c r="E671" s="177">
        <f t="shared" si="391"/>
        <v>532500</v>
      </c>
      <c r="F671" s="63">
        <f>+M671</f>
        <v>0</v>
      </c>
      <c r="G671" s="63">
        <f>+O671</f>
        <v>0</v>
      </c>
      <c r="H671" s="63">
        <v>55700</v>
      </c>
      <c r="I671" s="63">
        <f>+C671+D671-E671-F671+G671</f>
        <v>55700</v>
      </c>
      <c r="J671" s="9">
        <f>I671-H671</f>
        <v>0</v>
      </c>
      <c r="K671" s="47" t="s">
        <v>29</v>
      </c>
      <c r="L671" s="49">
        <v>530000</v>
      </c>
      <c r="M671" s="49">
        <v>0</v>
      </c>
      <c r="N671" s="49">
        <v>532500</v>
      </c>
      <c r="O671" s="49">
        <v>0</v>
      </c>
      <c r="Q671" s="5"/>
    </row>
    <row r="672" spans="1:17" ht="16.5">
      <c r="A672" s="60" t="str">
        <f t="shared" si="388"/>
        <v>Tiffany</v>
      </c>
      <c r="B672" s="61" t="s">
        <v>2</v>
      </c>
      <c r="C672" s="62">
        <v>263673</v>
      </c>
      <c r="D672" s="63">
        <f t="shared" si="380"/>
        <v>300000</v>
      </c>
      <c r="E672" s="177">
        <f t="shared" si="391"/>
        <v>599910</v>
      </c>
      <c r="F672" s="63">
        <f t="shared" ref="F672" si="393">+M672</f>
        <v>0</v>
      </c>
      <c r="G672" s="63">
        <f t="shared" ref="G672" si="394">+O672</f>
        <v>0</v>
      </c>
      <c r="H672" s="63">
        <v>-36237</v>
      </c>
      <c r="I672" s="63">
        <f t="shared" ref="I672" si="395">+C672+D672-E672-F672+G672</f>
        <v>-36237</v>
      </c>
      <c r="J672" s="9">
        <f t="shared" ref="J672" si="396">I672-H672</f>
        <v>0</v>
      </c>
      <c r="K672" s="47" t="s">
        <v>113</v>
      </c>
      <c r="L672" s="49">
        <v>300000</v>
      </c>
      <c r="M672" s="49">
        <v>0</v>
      </c>
      <c r="N672" s="49">
        <v>599910</v>
      </c>
      <c r="O672" s="49">
        <v>0</v>
      </c>
      <c r="Q672" s="5"/>
    </row>
    <row r="673" spans="1:17" ht="16.5">
      <c r="A673" s="10" t="s">
        <v>50</v>
      </c>
      <c r="B673" s="11"/>
      <c r="C673" s="12">
        <f t="shared" ref="C673:I673" si="397">SUM(C659:C672)</f>
        <v>10222494</v>
      </c>
      <c r="D673" s="59">
        <f t="shared" si="397"/>
        <v>5565000</v>
      </c>
      <c r="E673" s="59">
        <f t="shared" si="397"/>
        <v>10187414</v>
      </c>
      <c r="F673" s="59">
        <f t="shared" si="397"/>
        <v>5565000</v>
      </c>
      <c r="G673" s="59">
        <f t="shared" si="397"/>
        <v>17525203</v>
      </c>
      <c r="H673" s="59">
        <f t="shared" si="397"/>
        <v>17560283</v>
      </c>
      <c r="I673" s="59">
        <f t="shared" si="397"/>
        <v>17560283</v>
      </c>
      <c r="J673" s="9">
        <f>I673-H673</f>
        <v>0</v>
      </c>
      <c r="K673" s="3"/>
      <c r="L673" s="49">
        <f>+SUM(L659:L672)</f>
        <v>5565000</v>
      </c>
      <c r="M673" s="49">
        <f>+SUM(M659:M672)</f>
        <v>5565000</v>
      </c>
      <c r="N673" s="49">
        <f>+SUM(N659:N672)</f>
        <v>10187414</v>
      </c>
      <c r="O673" s="49">
        <f>+SUM(O659:O672)</f>
        <v>17525203</v>
      </c>
      <c r="Q673" s="5"/>
    </row>
    <row r="674" spans="1:17" ht="16.5">
      <c r="A674" s="10"/>
      <c r="B674" s="11"/>
      <c r="C674" s="12"/>
      <c r="D674" s="13"/>
      <c r="E674" s="12"/>
      <c r="F674" s="13"/>
      <c r="G674" s="12"/>
      <c r="H674" s="12"/>
      <c r="I674" s="143" t="b">
        <f>I673=D676</f>
        <v>1</v>
      </c>
      <c r="L674" s="5"/>
      <c r="M674" s="5"/>
      <c r="N674" s="5"/>
      <c r="O674" s="5"/>
      <c r="Q674" s="5"/>
    </row>
    <row r="675" spans="1:17" ht="16.5">
      <c r="A675" s="10" t="s">
        <v>182</v>
      </c>
      <c r="B675" s="11" t="s">
        <v>184</v>
      </c>
      <c r="C675" s="12" t="s">
        <v>183</v>
      </c>
      <c r="D675" s="12" t="s">
        <v>185</v>
      </c>
      <c r="E675" s="12" t="s">
        <v>51</v>
      </c>
      <c r="F675" s="12"/>
      <c r="G675" s="12">
        <f>+D673-F673</f>
        <v>0</v>
      </c>
      <c r="H675" s="12"/>
      <c r="I675" s="12"/>
      <c r="L675" s="5"/>
      <c r="M675" s="5"/>
      <c r="N675" s="5"/>
      <c r="O675" s="5"/>
      <c r="Q675" s="5"/>
    </row>
    <row r="676" spans="1:17" ht="16.5">
      <c r="A676" s="14">
        <f>C673</f>
        <v>10222494</v>
      </c>
      <c r="B676" s="15">
        <f>G673</f>
        <v>17525203</v>
      </c>
      <c r="C676" s="12">
        <f>E673</f>
        <v>10187414</v>
      </c>
      <c r="D676" s="12">
        <f>A676+B676-C676</f>
        <v>17560283</v>
      </c>
      <c r="E676" s="13">
        <f>I673-D676</f>
        <v>0</v>
      </c>
      <c r="F676" s="12"/>
      <c r="G676" s="12"/>
      <c r="H676" s="12"/>
      <c r="I676" s="12"/>
      <c r="L676" s="5"/>
      <c r="M676" s="5"/>
      <c r="N676" s="5"/>
      <c r="O676" s="5"/>
      <c r="Q676" s="5"/>
    </row>
    <row r="677" spans="1:17" ht="16.5">
      <c r="A677" s="14"/>
      <c r="B677" s="15"/>
      <c r="C677" s="12"/>
      <c r="D677" s="12"/>
      <c r="E677" s="13"/>
      <c r="F677" s="12"/>
      <c r="G677" s="12"/>
      <c r="H677" s="12"/>
      <c r="I677" s="12"/>
      <c r="L677" s="5"/>
      <c r="M677" s="5"/>
      <c r="N677" s="5"/>
      <c r="O677" s="5"/>
      <c r="Q677" s="5"/>
    </row>
    <row r="678" spans="1:17">
      <c r="A678" s="16" t="s">
        <v>52</v>
      </c>
      <c r="B678" s="16"/>
      <c r="C678" s="16"/>
      <c r="D678" s="17"/>
      <c r="E678" s="17"/>
      <c r="F678" s="17"/>
      <c r="G678" s="17"/>
      <c r="H678" s="17"/>
      <c r="I678" s="17"/>
      <c r="L678" s="5"/>
      <c r="M678" s="5"/>
      <c r="N678" s="5"/>
      <c r="O678" s="5"/>
      <c r="Q678" s="5"/>
    </row>
    <row r="679" spans="1:17">
      <c r="A679" s="18" t="s">
        <v>186</v>
      </c>
      <c r="B679" s="18"/>
      <c r="C679" s="18"/>
      <c r="D679" s="18"/>
      <c r="E679" s="18"/>
      <c r="F679" s="18"/>
      <c r="G679" s="18"/>
      <c r="H679" s="18"/>
      <c r="I679" s="18"/>
      <c r="J679" s="18"/>
      <c r="L679" s="5"/>
      <c r="M679" s="5"/>
      <c r="N679" s="5"/>
      <c r="O679" s="5"/>
      <c r="Q679" s="5"/>
    </row>
    <row r="680" spans="1:17">
      <c r="A680" s="19"/>
      <c r="B680" s="20"/>
      <c r="C680" s="21"/>
      <c r="D680" s="21"/>
      <c r="E680" s="21"/>
      <c r="F680" s="21"/>
      <c r="G680" s="21"/>
      <c r="H680" s="20"/>
      <c r="I680" s="20"/>
      <c r="L680" s="5"/>
      <c r="M680" s="5"/>
      <c r="N680" s="5"/>
      <c r="O680" s="5"/>
      <c r="Q680" s="5"/>
    </row>
    <row r="681" spans="1:17">
      <c r="A681" s="455" t="s">
        <v>53</v>
      </c>
      <c r="B681" s="457" t="s">
        <v>54</v>
      </c>
      <c r="C681" s="459" t="s">
        <v>188</v>
      </c>
      <c r="D681" s="461" t="s">
        <v>55</v>
      </c>
      <c r="E681" s="462"/>
      <c r="F681" s="462"/>
      <c r="G681" s="463"/>
      <c r="H681" s="464" t="s">
        <v>56</v>
      </c>
      <c r="I681" s="451" t="s">
        <v>57</v>
      </c>
      <c r="J681" s="20"/>
      <c r="L681" s="5"/>
      <c r="M681" s="5"/>
      <c r="N681" s="5"/>
      <c r="O681" s="5"/>
      <c r="Q681" s="5"/>
    </row>
    <row r="682" spans="1:17" ht="28.5" customHeight="1">
      <c r="A682" s="456"/>
      <c r="B682" s="458"/>
      <c r="C682" s="460"/>
      <c r="D682" s="22" t="s">
        <v>24</v>
      </c>
      <c r="E682" s="22" t="s">
        <v>25</v>
      </c>
      <c r="F682" s="188" t="s">
        <v>123</v>
      </c>
      <c r="G682" s="22" t="s">
        <v>58</v>
      </c>
      <c r="H682" s="465"/>
      <c r="I682" s="452"/>
      <c r="J682" s="453" t="s">
        <v>187</v>
      </c>
      <c r="K682" s="155"/>
      <c r="L682" s="5"/>
      <c r="M682" s="5"/>
      <c r="N682" s="5"/>
      <c r="O682" s="5"/>
      <c r="Q682" s="5"/>
    </row>
    <row r="683" spans="1:17">
      <c r="A683" s="24"/>
      <c r="B683" s="25" t="s">
        <v>59</v>
      </c>
      <c r="C683" s="26"/>
      <c r="D683" s="26"/>
      <c r="E683" s="26"/>
      <c r="F683" s="26"/>
      <c r="G683" s="26"/>
      <c r="H683" s="26"/>
      <c r="I683" s="27"/>
      <c r="J683" s="454"/>
      <c r="K683" s="155"/>
      <c r="L683" s="5"/>
      <c r="M683" s="5"/>
      <c r="N683" s="5"/>
      <c r="O683" s="5"/>
      <c r="Q683" s="5"/>
    </row>
    <row r="684" spans="1:17">
      <c r="A684" s="130" t="s">
        <v>108</v>
      </c>
      <c r="B684" s="135" t="s">
        <v>169</v>
      </c>
      <c r="C684" s="33">
        <f>+C659</f>
        <v>9500</v>
      </c>
      <c r="D684" s="32"/>
      <c r="E684" s="33">
        <f>+D659</f>
        <v>567000</v>
      </c>
      <c r="F684" s="33"/>
      <c r="G684" s="33"/>
      <c r="H684" s="57">
        <f>+F659</f>
        <v>0</v>
      </c>
      <c r="I684" s="33">
        <f>+E659</f>
        <v>576000</v>
      </c>
      <c r="J684" s="31">
        <f t="shared" ref="J684:J685" si="398">+SUM(C684:G684)-(H684+I684)</f>
        <v>500</v>
      </c>
      <c r="K684" s="156" t="b">
        <f>J684=I659</f>
        <v>1</v>
      </c>
      <c r="L684" s="5"/>
      <c r="M684" s="5"/>
      <c r="N684" s="5"/>
      <c r="O684" s="5"/>
      <c r="Q684" s="5"/>
    </row>
    <row r="685" spans="1:17">
      <c r="A685" s="130" t="str">
        <f>+A684</f>
        <v>JANVIER</v>
      </c>
      <c r="B685" s="135" t="s">
        <v>47</v>
      </c>
      <c r="C685" s="33">
        <f>+C663</f>
        <v>-37100</v>
      </c>
      <c r="D685" s="32"/>
      <c r="E685" s="33">
        <f>+D663</f>
        <v>256000</v>
      </c>
      <c r="F685" s="33"/>
      <c r="G685" s="33"/>
      <c r="H685" s="57">
        <f>+F663</f>
        <v>20000</v>
      </c>
      <c r="I685" s="33">
        <f>+E663</f>
        <v>189900</v>
      </c>
      <c r="J685" s="107">
        <f t="shared" si="398"/>
        <v>9000</v>
      </c>
      <c r="K685" s="156" t="b">
        <f t="shared" ref="K685:K694" si="399">J685=I663</f>
        <v>1</v>
      </c>
      <c r="L685" s="5"/>
      <c r="M685" s="5"/>
      <c r="N685" s="5"/>
      <c r="O685" s="5"/>
      <c r="Q685" s="5"/>
    </row>
    <row r="686" spans="1:17">
      <c r="A686" s="130" t="str">
        <f t="shared" ref="A686:A694" si="400">+A685</f>
        <v>JANVIER</v>
      </c>
      <c r="B686" s="136" t="s">
        <v>31</v>
      </c>
      <c r="C686" s="33">
        <f>+C664</f>
        <v>8645</v>
      </c>
      <c r="D686" s="127"/>
      <c r="E686" s="33">
        <f>+D664</f>
        <v>0</v>
      </c>
      <c r="F686" s="53"/>
      <c r="G686" s="53"/>
      <c r="H686" s="57">
        <f>+F664</f>
        <v>0</v>
      </c>
      <c r="I686" s="33">
        <f>+E664</f>
        <v>0</v>
      </c>
      <c r="J686" s="132">
        <f>+SUM(C686:G686)-(H686+I686)</f>
        <v>8645</v>
      </c>
      <c r="K686" s="156" t="b">
        <f t="shared" si="399"/>
        <v>1</v>
      </c>
      <c r="L686" s="5"/>
      <c r="M686" s="5"/>
      <c r="N686" s="5"/>
      <c r="O686" s="5"/>
      <c r="Q686" s="5"/>
    </row>
    <row r="687" spans="1:17">
      <c r="A687" s="130" t="str">
        <f t="shared" si="400"/>
        <v>JANVIER</v>
      </c>
      <c r="B687" s="137" t="s">
        <v>84</v>
      </c>
      <c r="C687" s="128">
        <f>+C665</f>
        <v>233614</v>
      </c>
      <c r="D687" s="131"/>
      <c r="E687" s="128">
        <f>+D665</f>
        <v>0</v>
      </c>
      <c r="F687" s="146"/>
      <c r="G687" s="146"/>
      <c r="H687" s="178">
        <f>+F665</f>
        <v>0</v>
      </c>
      <c r="I687" s="128">
        <f>+E665</f>
        <v>0</v>
      </c>
      <c r="J687" s="129">
        <f>+SUM(C687:G687)-(H687+I687)</f>
        <v>233614</v>
      </c>
      <c r="K687" s="156" t="b">
        <f t="shared" si="399"/>
        <v>1</v>
      </c>
      <c r="L687" s="5"/>
      <c r="M687" s="5"/>
      <c r="N687" s="5"/>
      <c r="O687" s="5"/>
      <c r="Q687" s="5"/>
    </row>
    <row r="688" spans="1:17">
      <c r="A688" s="130" t="str">
        <f t="shared" si="400"/>
        <v>JANVIER</v>
      </c>
      <c r="B688" s="137" t="s">
        <v>83</v>
      </c>
      <c r="C688" s="128">
        <f>+C666</f>
        <v>249769</v>
      </c>
      <c r="D688" s="131"/>
      <c r="E688" s="128">
        <f>+D666</f>
        <v>0</v>
      </c>
      <c r="F688" s="146"/>
      <c r="G688" s="146"/>
      <c r="H688" s="178">
        <f>+F666</f>
        <v>0</v>
      </c>
      <c r="I688" s="128">
        <f>+E666</f>
        <v>0</v>
      </c>
      <c r="J688" s="129">
        <f t="shared" ref="J688:J694" si="401">+SUM(C688:G688)-(H688+I688)</f>
        <v>249769</v>
      </c>
      <c r="K688" s="156" t="b">
        <f t="shared" si="399"/>
        <v>1</v>
      </c>
      <c r="L688" s="5"/>
      <c r="M688" s="5"/>
      <c r="N688" s="5"/>
      <c r="O688" s="5"/>
      <c r="Q688" s="5"/>
    </row>
    <row r="689" spans="1:17">
      <c r="A689" s="130" t="str">
        <f t="shared" si="400"/>
        <v>JANVIER</v>
      </c>
      <c r="B689" s="135" t="s">
        <v>151</v>
      </c>
      <c r="C689" s="33">
        <f>+C667</f>
        <v>34935</v>
      </c>
      <c r="D689" s="32"/>
      <c r="E689" s="33">
        <f>+D667</f>
        <v>365000</v>
      </c>
      <c r="F689" s="33"/>
      <c r="G689" s="110"/>
      <c r="H689" s="57">
        <f>+F667</f>
        <v>0</v>
      </c>
      <c r="I689" s="33">
        <f>+E667</f>
        <v>320000</v>
      </c>
      <c r="J689" s="31">
        <f t="shared" si="401"/>
        <v>79935</v>
      </c>
      <c r="K689" s="156" t="b">
        <f t="shared" si="399"/>
        <v>1</v>
      </c>
      <c r="L689" s="5"/>
      <c r="M689" s="5"/>
      <c r="N689" s="5"/>
      <c r="O689" s="5"/>
      <c r="Q689" s="5"/>
    </row>
    <row r="690" spans="1:17">
      <c r="A690" s="130" t="str">
        <f t="shared" si="400"/>
        <v>JANVIER</v>
      </c>
      <c r="B690" s="135" t="s">
        <v>150</v>
      </c>
      <c r="C690" s="33">
        <f t="shared" ref="C690:C694" si="402">+C668</f>
        <v>44200</v>
      </c>
      <c r="D690" s="32"/>
      <c r="E690" s="33">
        <f t="shared" ref="E690:E694" si="403">+D668</f>
        <v>0</v>
      </c>
      <c r="F690" s="33"/>
      <c r="G690" s="110"/>
      <c r="H690" s="57">
        <f t="shared" ref="H690:H694" si="404">+F668</f>
        <v>15000</v>
      </c>
      <c r="I690" s="33">
        <f t="shared" ref="I690:I694" si="405">+E668</f>
        <v>9400</v>
      </c>
      <c r="J690" s="31">
        <f t="shared" si="401"/>
        <v>19800</v>
      </c>
      <c r="K690" s="156" t="b">
        <f t="shared" si="399"/>
        <v>1</v>
      </c>
      <c r="L690" s="5"/>
      <c r="M690" s="5"/>
      <c r="N690" s="5"/>
      <c r="O690" s="5"/>
      <c r="Q690" s="5"/>
    </row>
    <row r="691" spans="1:17">
      <c r="A691" s="130" t="str">
        <f t="shared" si="400"/>
        <v>JANVIER</v>
      </c>
      <c r="B691" s="135" t="s">
        <v>30</v>
      </c>
      <c r="C691" s="33">
        <f t="shared" si="402"/>
        <v>12050</v>
      </c>
      <c r="D691" s="32"/>
      <c r="E691" s="33">
        <f t="shared" si="403"/>
        <v>492000</v>
      </c>
      <c r="F691" s="33"/>
      <c r="G691" s="110"/>
      <c r="H691" s="57">
        <f t="shared" si="404"/>
        <v>0</v>
      </c>
      <c r="I691" s="33">
        <f t="shared" si="405"/>
        <v>473500</v>
      </c>
      <c r="J691" s="31">
        <f t="shared" si="401"/>
        <v>30550</v>
      </c>
      <c r="K691" s="156" t="b">
        <f t="shared" si="399"/>
        <v>1</v>
      </c>
      <c r="Q691" s="5"/>
    </row>
    <row r="692" spans="1:17">
      <c r="A692" s="130" t="str">
        <f>+A690</f>
        <v>JANVIER</v>
      </c>
      <c r="B692" s="135" t="s">
        <v>93</v>
      </c>
      <c r="C692" s="33">
        <f t="shared" si="402"/>
        <v>5500</v>
      </c>
      <c r="D692" s="32"/>
      <c r="E692" s="33">
        <f t="shared" si="403"/>
        <v>20000</v>
      </c>
      <c r="F692" s="33"/>
      <c r="G692" s="110"/>
      <c r="H692" s="57">
        <f t="shared" si="404"/>
        <v>0</v>
      </c>
      <c r="I692" s="33">
        <f t="shared" si="405"/>
        <v>12500</v>
      </c>
      <c r="J692" s="31">
        <f t="shared" si="401"/>
        <v>13000</v>
      </c>
      <c r="K692" s="156" t="b">
        <f t="shared" si="399"/>
        <v>1</v>
      </c>
      <c r="Q692" s="5"/>
    </row>
    <row r="693" spans="1:17">
      <c r="A693" s="130" t="str">
        <f>+A691</f>
        <v>JANVIER</v>
      </c>
      <c r="B693" s="135" t="s">
        <v>29</v>
      </c>
      <c r="C693" s="33">
        <f t="shared" si="402"/>
        <v>58200</v>
      </c>
      <c r="D693" s="32"/>
      <c r="E693" s="33">
        <f t="shared" si="403"/>
        <v>530000</v>
      </c>
      <c r="F693" s="33"/>
      <c r="G693" s="110"/>
      <c r="H693" s="57">
        <f t="shared" si="404"/>
        <v>0</v>
      </c>
      <c r="I693" s="33">
        <f t="shared" si="405"/>
        <v>532500</v>
      </c>
      <c r="J693" s="31">
        <f t="shared" si="401"/>
        <v>55700</v>
      </c>
      <c r="K693" s="156" t="b">
        <f t="shared" si="399"/>
        <v>1</v>
      </c>
      <c r="Q693" s="5"/>
    </row>
    <row r="694" spans="1:17">
      <c r="A694" s="130" t="str">
        <f t="shared" si="400"/>
        <v>JANVIER</v>
      </c>
      <c r="B694" s="136" t="s">
        <v>113</v>
      </c>
      <c r="C694" s="33">
        <f t="shared" si="402"/>
        <v>263673</v>
      </c>
      <c r="D694" s="127"/>
      <c r="E694" s="33">
        <f t="shared" si="403"/>
        <v>300000</v>
      </c>
      <c r="F694" s="53"/>
      <c r="G694" s="147"/>
      <c r="H694" s="57">
        <f t="shared" si="404"/>
        <v>0</v>
      </c>
      <c r="I694" s="33">
        <f t="shared" si="405"/>
        <v>599910</v>
      </c>
      <c r="J694" s="31">
        <f t="shared" si="401"/>
        <v>-36237</v>
      </c>
      <c r="K694" s="156" t="b">
        <f t="shared" si="399"/>
        <v>1</v>
      </c>
      <c r="Q694" s="5"/>
    </row>
    <row r="695" spans="1:17">
      <c r="A695" s="35" t="s">
        <v>60</v>
      </c>
      <c r="B695" s="36"/>
      <c r="C695" s="36"/>
      <c r="D695" s="36"/>
      <c r="E695" s="36"/>
      <c r="F695" s="36"/>
      <c r="G695" s="36"/>
      <c r="H695" s="36"/>
      <c r="I695" s="36"/>
      <c r="J695" s="37"/>
      <c r="K695" s="155"/>
      <c r="Q695" s="5"/>
    </row>
    <row r="696" spans="1:17">
      <c r="A696" s="130" t="str">
        <f>+A694</f>
        <v>JANVIER</v>
      </c>
      <c r="B696" s="38" t="s">
        <v>61</v>
      </c>
      <c r="C696" s="39">
        <f>+C662</f>
        <v>1042520</v>
      </c>
      <c r="D696" s="51"/>
      <c r="E696" s="51">
        <f>D662</f>
        <v>3035000</v>
      </c>
      <c r="F696" s="51"/>
      <c r="G696" s="133"/>
      <c r="H696" s="53">
        <f>+F662</f>
        <v>2530000</v>
      </c>
      <c r="I696" s="134">
        <f>+E662</f>
        <v>966635</v>
      </c>
      <c r="J696" s="46">
        <f>+SUM(C696:G696)-(H696+I696)</f>
        <v>580885</v>
      </c>
      <c r="K696" s="156" t="b">
        <f>J696=I662</f>
        <v>1</v>
      </c>
      <c r="Q696" s="5"/>
    </row>
    <row r="697" spans="1:17">
      <c r="A697" s="44" t="s">
        <v>62</v>
      </c>
      <c r="B697" s="25"/>
      <c r="C697" s="36"/>
      <c r="D697" s="25"/>
      <c r="E697" s="25"/>
      <c r="F697" s="25"/>
      <c r="G697" s="25"/>
      <c r="H697" s="25"/>
      <c r="I697" s="25"/>
      <c r="J697" s="37"/>
      <c r="K697" s="155"/>
      <c r="Q697" s="5"/>
    </row>
    <row r="698" spans="1:17">
      <c r="A698" s="130" t="str">
        <f>+A696</f>
        <v>JANVIER</v>
      </c>
      <c r="B698" s="38" t="s">
        <v>163</v>
      </c>
      <c r="C698" s="133">
        <f>+C660</f>
        <v>3455373</v>
      </c>
      <c r="D698" s="140">
        <f>+G660</f>
        <v>0</v>
      </c>
      <c r="E698" s="51"/>
      <c r="F698" s="51"/>
      <c r="G698" s="51"/>
      <c r="H698" s="53">
        <f>+F660</f>
        <v>1000000</v>
      </c>
      <c r="I698" s="55">
        <f>+E660</f>
        <v>283345</v>
      </c>
      <c r="J698" s="46">
        <f>+SUM(C698:G698)-(H698+I698)</f>
        <v>2172028</v>
      </c>
      <c r="K698" s="156" t="b">
        <f>+J698=I660</f>
        <v>1</v>
      </c>
      <c r="Q698" s="5"/>
    </row>
    <row r="699" spans="1:17">
      <c r="A699" s="130" t="str">
        <f t="shared" ref="A699" si="406">+A698</f>
        <v>JANVIER</v>
      </c>
      <c r="B699" s="38" t="s">
        <v>64</v>
      </c>
      <c r="C699" s="133">
        <f>+C661</f>
        <v>4841615</v>
      </c>
      <c r="D699" s="51">
        <f>+G661</f>
        <v>17525203</v>
      </c>
      <c r="E699" s="50"/>
      <c r="F699" s="50"/>
      <c r="G699" s="50"/>
      <c r="H699" s="33">
        <f>+F661</f>
        <v>2000000</v>
      </c>
      <c r="I699" s="52">
        <f>+E661</f>
        <v>6223724</v>
      </c>
      <c r="J699" s="46">
        <f>SUM(C699:G699)-(H699+I699)</f>
        <v>14143094</v>
      </c>
      <c r="K699" s="156" t="b">
        <f>+J699=I661</f>
        <v>1</v>
      </c>
      <c r="Q699" s="5"/>
    </row>
    <row r="700" spans="1:17" ht="15.75">
      <c r="C700" s="151">
        <f>SUM(C684:C699)</f>
        <v>10222494</v>
      </c>
      <c r="I700" s="149">
        <f>SUM(I684:I699)</f>
        <v>10187414</v>
      </c>
      <c r="J700" s="111">
        <f>+SUM(J684:J699)</f>
        <v>17560283</v>
      </c>
      <c r="K700" s="5" t="b">
        <f>J700=I673</f>
        <v>1</v>
      </c>
      <c r="Q700" s="5"/>
    </row>
    <row r="701" spans="1:17" ht="15.75">
      <c r="C701" s="151"/>
      <c r="I701" s="149"/>
      <c r="J701" s="111"/>
      <c r="Q701" s="5"/>
    </row>
    <row r="702" spans="1:17" ht="15.75">
      <c r="A702" s="189"/>
      <c r="B702" s="189"/>
      <c r="C702" s="190"/>
      <c r="D702" s="189"/>
      <c r="E702" s="189"/>
      <c r="F702" s="189"/>
      <c r="G702" s="189"/>
      <c r="H702" s="189"/>
      <c r="I702" s="191"/>
      <c r="J702" s="192"/>
      <c r="K702" s="189"/>
      <c r="L702" s="193"/>
      <c r="M702" s="193"/>
      <c r="N702" s="193"/>
      <c r="O702" s="193"/>
      <c r="P702" s="189"/>
      <c r="Q702" s="5"/>
    </row>
    <row r="704" spans="1:17" ht="15.75">
      <c r="A704" s="6" t="s">
        <v>36</v>
      </c>
      <c r="B704" s="6" t="s">
        <v>1</v>
      </c>
      <c r="C704" s="6">
        <v>44531</v>
      </c>
      <c r="D704" s="7" t="s">
        <v>37</v>
      </c>
      <c r="E704" s="7" t="s">
        <v>38</v>
      </c>
      <c r="F704" s="7" t="s">
        <v>39</v>
      </c>
      <c r="G704" s="7" t="s">
        <v>40</v>
      </c>
      <c r="H704" s="6">
        <v>44561</v>
      </c>
      <c r="I704" s="7" t="s">
        <v>41</v>
      </c>
      <c r="K704" s="47"/>
      <c r="L704" s="47" t="s">
        <v>42</v>
      </c>
      <c r="M704" s="47" t="s">
        <v>43</v>
      </c>
      <c r="N704" s="47" t="s">
        <v>44</v>
      </c>
      <c r="O704" s="47" t="s">
        <v>45</v>
      </c>
      <c r="Q704" s="5"/>
    </row>
    <row r="705" spans="1:17" s="181" customFormat="1" ht="16.5">
      <c r="A705" s="60" t="str">
        <f>+K705</f>
        <v>Axel</v>
      </c>
      <c r="B705" s="183" t="s">
        <v>161</v>
      </c>
      <c r="C705" s="62">
        <v>29107</v>
      </c>
      <c r="D705" s="63">
        <f t="shared" ref="D705:D719" si="407">+L705</f>
        <v>1125000</v>
      </c>
      <c r="E705" s="63">
        <f>+N705</f>
        <v>1008750</v>
      </c>
      <c r="F705" s="63">
        <f>+M705</f>
        <v>145357</v>
      </c>
      <c r="G705" s="63">
        <f t="shared" ref="G705:G717" si="408">+O705</f>
        <v>0</v>
      </c>
      <c r="H705" s="63">
        <v>0</v>
      </c>
      <c r="I705" s="63">
        <f>+C705+D705-E705-F705+G705</f>
        <v>0</v>
      </c>
      <c r="J705" s="9">
        <f>I705-H705</f>
        <v>0</v>
      </c>
      <c r="K705" s="182" t="s">
        <v>160</v>
      </c>
      <c r="L705" s="182">
        <v>1125000</v>
      </c>
      <c r="M705" s="182">
        <v>145357</v>
      </c>
      <c r="N705" s="182">
        <v>1008750</v>
      </c>
      <c r="O705" s="182">
        <v>0</v>
      </c>
    </row>
    <row r="706" spans="1:17" ht="16.5">
      <c r="A706" s="60" t="str">
        <f>+K706</f>
        <v>B52</v>
      </c>
      <c r="B706" s="61" t="s">
        <v>4</v>
      </c>
      <c r="C706" s="62">
        <v>4000</v>
      </c>
      <c r="D706" s="63">
        <f t="shared" si="407"/>
        <v>426000</v>
      </c>
      <c r="E706" s="63">
        <f>+N706</f>
        <v>420500</v>
      </c>
      <c r="F706" s="63">
        <f>+M706</f>
        <v>0</v>
      </c>
      <c r="G706" s="63">
        <f t="shared" si="408"/>
        <v>0</v>
      </c>
      <c r="H706" s="63">
        <v>9500</v>
      </c>
      <c r="I706" s="63">
        <f>+C706+D706-E706-F706+G706</f>
        <v>9500</v>
      </c>
      <c r="J706" s="9">
        <f>I706-H706</f>
        <v>0</v>
      </c>
      <c r="K706" s="47" t="s">
        <v>169</v>
      </c>
      <c r="L706" s="49">
        <v>426000</v>
      </c>
      <c r="M706" s="49">
        <v>0</v>
      </c>
      <c r="N706" s="49">
        <v>420500</v>
      </c>
      <c r="O706" s="49">
        <v>0</v>
      </c>
      <c r="Q706" s="5"/>
    </row>
    <row r="707" spans="1:17" ht="16.5">
      <c r="A707" s="60" t="str">
        <f>+K707</f>
        <v>BCI</v>
      </c>
      <c r="B707" s="61" t="s">
        <v>46</v>
      </c>
      <c r="C707" s="62">
        <v>5738718</v>
      </c>
      <c r="D707" s="63">
        <f t="shared" si="407"/>
        <v>0</v>
      </c>
      <c r="E707" s="63">
        <f>+N707</f>
        <v>283345</v>
      </c>
      <c r="F707" s="63">
        <f>+M707</f>
        <v>2000000</v>
      </c>
      <c r="G707" s="63">
        <f t="shared" si="408"/>
        <v>0</v>
      </c>
      <c r="H707" s="63">
        <v>3455373</v>
      </c>
      <c r="I707" s="63">
        <f>+C707+D707-E707-F707+G707</f>
        <v>3455373</v>
      </c>
      <c r="J707" s="9">
        <f t="shared" ref="J707:J714" si="409">I707-H707</f>
        <v>0</v>
      </c>
      <c r="K707" s="47" t="s">
        <v>24</v>
      </c>
      <c r="L707" s="49">
        <v>0</v>
      </c>
      <c r="M707" s="49">
        <v>2000000</v>
      </c>
      <c r="N707" s="49">
        <v>283345</v>
      </c>
      <c r="O707" s="49">
        <v>0</v>
      </c>
      <c r="Q707" s="5"/>
    </row>
    <row r="708" spans="1:17" ht="16.5">
      <c r="A708" s="60" t="str">
        <f t="shared" ref="A708:A710" si="410">+K708</f>
        <v>BCI-Sous Compte</v>
      </c>
      <c r="B708" s="61" t="s">
        <v>46</v>
      </c>
      <c r="C708" s="62">
        <v>16087207</v>
      </c>
      <c r="D708" s="63">
        <f t="shared" si="407"/>
        <v>0</v>
      </c>
      <c r="E708" s="63">
        <f>+N708</f>
        <v>3245592</v>
      </c>
      <c r="F708" s="63">
        <f>+M708</f>
        <v>8000000</v>
      </c>
      <c r="G708" s="63">
        <f t="shared" si="408"/>
        <v>0</v>
      </c>
      <c r="H708" s="63">
        <v>4841615</v>
      </c>
      <c r="I708" s="63">
        <f>+C708+D708-E708-F708+G708</f>
        <v>4841615</v>
      </c>
      <c r="J708" s="108">
        <f t="shared" si="409"/>
        <v>0</v>
      </c>
      <c r="K708" s="47" t="s">
        <v>155</v>
      </c>
      <c r="L708" s="49">
        <v>0</v>
      </c>
      <c r="M708" s="49">
        <v>8000000</v>
      </c>
      <c r="N708" s="49">
        <v>3245592</v>
      </c>
      <c r="O708" s="49">
        <v>0</v>
      </c>
      <c r="Q708" s="5"/>
    </row>
    <row r="709" spans="1:17" ht="16.5">
      <c r="A709" s="60" t="str">
        <f t="shared" si="410"/>
        <v>Caisse</v>
      </c>
      <c r="B709" s="61" t="s">
        <v>25</v>
      </c>
      <c r="C709" s="62">
        <v>926369</v>
      </c>
      <c r="D709" s="63">
        <f t="shared" si="407"/>
        <v>10580357</v>
      </c>
      <c r="E709" s="63">
        <f t="shared" ref="E709" si="411">+N709</f>
        <v>3713706</v>
      </c>
      <c r="F709" s="63">
        <f t="shared" ref="F709:F717" si="412">+M709</f>
        <v>6750500</v>
      </c>
      <c r="G709" s="63">
        <f t="shared" si="408"/>
        <v>0</v>
      </c>
      <c r="H709" s="63">
        <v>1042520</v>
      </c>
      <c r="I709" s="63">
        <f>+C709+D709-E709-F709+G709</f>
        <v>1042520</v>
      </c>
      <c r="J709" s="9">
        <f t="shared" si="409"/>
        <v>0</v>
      </c>
      <c r="K709" s="47" t="s">
        <v>25</v>
      </c>
      <c r="L709" s="49">
        <v>10580357</v>
      </c>
      <c r="M709" s="49">
        <v>6750500</v>
      </c>
      <c r="N709" s="49">
        <v>3713706</v>
      </c>
      <c r="O709" s="49">
        <v>0</v>
      </c>
      <c r="Q709" s="5"/>
    </row>
    <row r="710" spans="1:17" ht="16.5">
      <c r="A710" s="60" t="str">
        <f t="shared" si="410"/>
        <v>Crépin</v>
      </c>
      <c r="B710" s="61" t="s">
        <v>161</v>
      </c>
      <c r="C710" s="62">
        <v>-3675</v>
      </c>
      <c r="D710" s="63">
        <f t="shared" si="407"/>
        <v>1778500</v>
      </c>
      <c r="E710" s="63">
        <f>+N710</f>
        <v>1666925</v>
      </c>
      <c r="F710" s="63">
        <f t="shared" si="412"/>
        <v>145000</v>
      </c>
      <c r="G710" s="63">
        <f t="shared" si="408"/>
        <v>0</v>
      </c>
      <c r="H710" s="63">
        <v>-37100</v>
      </c>
      <c r="I710" s="63">
        <f t="shared" ref="I710" si="413">+C710+D710-E710-F710+G710</f>
        <v>-37100</v>
      </c>
      <c r="J710" s="9">
        <f t="shared" si="409"/>
        <v>0</v>
      </c>
      <c r="K710" s="47" t="s">
        <v>47</v>
      </c>
      <c r="L710" s="49">
        <v>1778500</v>
      </c>
      <c r="M710" s="49">
        <v>145000</v>
      </c>
      <c r="N710" s="49">
        <v>1666925</v>
      </c>
      <c r="O710" s="49">
        <v>0</v>
      </c>
      <c r="Q710" s="5"/>
    </row>
    <row r="711" spans="1:17" ht="16.5">
      <c r="A711" s="60" t="str">
        <f>K711</f>
        <v>Evariste</v>
      </c>
      <c r="B711" s="61" t="s">
        <v>162</v>
      </c>
      <c r="C711" s="62">
        <v>7595</v>
      </c>
      <c r="D711" s="63">
        <f t="shared" si="407"/>
        <v>286000</v>
      </c>
      <c r="E711" s="63">
        <f t="shared" ref="E711" si="414">+N711</f>
        <v>284950</v>
      </c>
      <c r="F711" s="63">
        <f t="shared" si="412"/>
        <v>0</v>
      </c>
      <c r="G711" s="63">
        <f t="shared" si="408"/>
        <v>0</v>
      </c>
      <c r="H711" s="63">
        <v>8645</v>
      </c>
      <c r="I711" s="63">
        <f>+C711+D711-E711-F711+G711</f>
        <v>8645</v>
      </c>
      <c r="J711" s="9">
        <f t="shared" si="409"/>
        <v>0</v>
      </c>
      <c r="K711" s="47" t="s">
        <v>31</v>
      </c>
      <c r="L711" s="49">
        <v>286000</v>
      </c>
      <c r="M711" s="49">
        <v>0</v>
      </c>
      <c r="N711" s="49">
        <v>284950</v>
      </c>
      <c r="O711" s="49">
        <v>0</v>
      </c>
      <c r="Q711" s="5"/>
    </row>
    <row r="712" spans="1:17" ht="16.5">
      <c r="A712" s="123" t="str">
        <f t="shared" ref="A712:A719" si="415">+K712</f>
        <v>I55S</v>
      </c>
      <c r="B712" s="124" t="s">
        <v>4</v>
      </c>
      <c r="C712" s="125">
        <v>233614</v>
      </c>
      <c r="D712" s="126">
        <f t="shared" si="407"/>
        <v>0</v>
      </c>
      <c r="E712" s="126">
        <f>+N712</f>
        <v>0</v>
      </c>
      <c r="F712" s="126">
        <f t="shared" si="412"/>
        <v>0</v>
      </c>
      <c r="G712" s="126">
        <f t="shared" si="408"/>
        <v>0</v>
      </c>
      <c r="H712" s="126">
        <v>233614</v>
      </c>
      <c r="I712" s="126">
        <f>+C712+D712-E712-F712+G712</f>
        <v>233614</v>
      </c>
      <c r="J712" s="9">
        <f t="shared" si="409"/>
        <v>0</v>
      </c>
      <c r="K712" s="47" t="s">
        <v>84</v>
      </c>
      <c r="L712" s="49">
        <v>0</v>
      </c>
      <c r="M712" s="49">
        <v>0</v>
      </c>
      <c r="N712" s="49">
        <v>0</v>
      </c>
      <c r="O712" s="49">
        <v>0</v>
      </c>
      <c r="Q712" s="5"/>
    </row>
    <row r="713" spans="1:17" ht="16.5">
      <c r="A713" s="123" t="str">
        <f t="shared" si="415"/>
        <v>I73X</v>
      </c>
      <c r="B713" s="124" t="s">
        <v>4</v>
      </c>
      <c r="C713" s="125">
        <v>249769</v>
      </c>
      <c r="D713" s="126">
        <f t="shared" si="407"/>
        <v>0</v>
      </c>
      <c r="E713" s="126">
        <f>+N713</f>
        <v>0</v>
      </c>
      <c r="F713" s="126">
        <f t="shared" si="412"/>
        <v>0</v>
      </c>
      <c r="G713" s="126">
        <f t="shared" si="408"/>
        <v>0</v>
      </c>
      <c r="H713" s="126">
        <v>249769</v>
      </c>
      <c r="I713" s="126">
        <f t="shared" ref="I713:I716" si="416">+C713+D713-E713-F713+G713</f>
        <v>249769</v>
      </c>
      <c r="J713" s="9">
        <f t="shared" si="409"/>
        <v>0</v>
      </c>
      <c r="K713" s="47" t="s">
        <v>83</v>
      </c>
      <c r="L713" s="49">
        <v>0</v>
      </c>
      <c r="M713" s="49">
        <v>0</v>
      </c>
      <c r="N713" s="49">
        <v>0</v>
      </c>
      <c r="O713" s="49">
        <v>0</v>
      </c>
      <c r="Q713" s="5"/>
    </row>
    <row r="714" spans="1:17" ht="16.5">
      <c r="A714" s="60" t="str">
        <f t="shared" si="415"/>
        <v>Godfré</v>
      </c>
      <c r="B714" s="104" t="s">
        <v>161</v>
      </c>
      <c r="C714" s="62">
        <v>-6000</v>
      </c>
      <c r="D714" s="63">
        <f t="shared" si="407"/>
        <v>797000</v>
      </c>
      <c r="E714" s="177">
        <f t="shared" ref="E714:E719" si="417">+N714</f>
        <v>578885</v>
      </c>
      <c r="F714" s="63">
        <f t="shared" si="412"/>
        <v>177180</v>
      </c>
      <c r="G714" s="63">
        <f t="shared" si="408"/>
        <v>0</v>
      </c>
      <c r="H714" s="63">
        <v>34935</v>
      </c>
      <c r="I714" s="63">
        <f t="shared" si="416"/>
        <v>34935</v>
      </c>
      <c r="J714" s="9">
        <f t="shared" si="409"/>
        <v>0</v>
      </c>
      <c r="K714" s="47" t="s">
        <v>151</v>
      </c>
      <c r="L714" s="49">
        <v>797000</v>
      </c>
      <c r="M714" s="49">
        <v>177180</v>
      </c>
      <c r="N714" s="49">
        <v>578885</v>
      </c>
      <c r="O714" s="49">
        <v>0</v>
      </c>
      <c r="Q714" s="5"/>
    </row>
    <row r="715" spans="1:17" ht="16.5">
      <c r="A715" s="60" t="str">
        <f t="shared" si="415"/>
        <v>Grace</v>
      </c>
      <c r="B715" s="61" t="s">
        <v>2</v>
      </c>
      <c r="C715" s="62">
        <v>48400</v>
      </c>
      <c r="D715" s="63">
        <f t="shared" si="407"/>
        <v>847000</v>
      </c>
      <c r="E715" s="177">
        <f>+N715</f>
        <v>193200</v>
      </c>
      <c r="F715" s="63">
        <f t="shared" si="412"/>
        <v>658000</v>
      </c>
      <c r="G715" s="63">
        <f t="shared" si="408"/>
        <v>0</v>
      </c>
      <c r="H715" s="63">
        <v>44200</v>
      </c>
      <c r="I715" s="63">
        <f t="shared" si="416"/>
        <v>44200</v>
      </c>
      <c r="J715" s="9">
        <f>I715-H715</f>
        <v>0</v>
      </c>
      <c r="K715" s="47" t="s">
        <v>150</v>
      </c>
      <c r="L715" s="49">
        <v>847000</v>
      </c>
      <c r="M715" s="49">
        <v>658000</v>
      </c>
      <c r="N715" s="49">
        <v>193200</v>
      </c>
      <c r="O715" s="49">
        <v>0</v>
      </c>
      <c r="Q715" s="5"/>
    </row>
    <row r="716" spans="1:17" ht="16.5">
      <c r="A716" s="60" t="str">
        <f t="shared" si="415"/>
        <v>I23C</v>
      </c>
      <c r="B716" s="104" t="s">
        <v>4</v>
      </c>
      <c r="C716" s="62">
        <v>6800</v>
      </c>
      <c r="D716" s="63">
        <f t="shared" si="407"/>
        <v>861000</v>
      </c>
      <c r="E716" s="177">
        <f t="shared" si="417"/>
        <v>855750</v>
      </c>
      <c r="F716" s="63">
        <f t="shared" si="412"/>
        <v>0</v>
      </c>
      <c r="G716" s="63">
        <f t="shared" si="408"/>
        <v>0</v>
      </c>
      <c r="H716" s="63">
        <v>12050</v>
      </c>
      <c r="I716" s="63">
        <f t="shared" si="416"/>
        <v>12050</v>
      </c>
      <c r="J716" s="9">
        <f t="shared" ref="J716:J717" si="418">I716-H716</f>
        <v>0</v>
      </c>
      <c r="K716" s="47" t="s">
        <v>30</v>
      </c>
      <c r="L716" s="49">
        <v>861000</v>
      </c>
      <c r="M716" s="49">
        <v>0</v>
      </c>
      <c r="N716" s="49">
        <v>855750</v>
      </c>
      <c r="O716" s="49">
        <v>0</v>
      </c>
      <c r="Q716" s="5"/>
    </row>
    <row r="717" spans="1:17" ht="16.5">
      <c r="A717" s="60" t="str">
        <f t="shared" si="415"/>
        <v>Merveille</v>
      </c>
      <c r="B717" s="61" t="s">
        <v>2</v>
      </c>
      <c r="C717" s="62">
        <v>5500</v>
      </c>
      <c r="D717" s="63">
        <f t="shared" si="407"/>
        <v>0</v>
      </c>
      <c r="E717" s="177">
        <f t="shared" si="417"/>
        <v>0</v>
      </c>
      <c r="F717" s="63">
        <f t="shared" si="412"/>
        <v>0</v>
      </c>
      <c r="G717" s="63">
        <f t="shared" si="408"/>
        <v>0</v>
      </c>
      <c r="H717" s="63">
        <v>5500</v>
      </c>
      <c r="I717" s="63">
        <f>+C717+D717-E717-F717+G717</f>
        <v>5500</v>
      </c>
      <c r="J717" s="9">
        <f t="shared" si="418"/>
        <v>0</v>
      </c>
      <c r="K717" s="47" t="s">
        <v>93</v>
      </c>
      <c r="L717" s="49">
        <v>0</v>
      </c>
      <c r="M717" s="49">
        <v>0</v>
      </c>
      <c r="N717" s="49">
        <v>0</v>
      </c>
      <c r="O717" s="49"/>
      <c r="Q717" s="5"/>
    </row>
    <row r="718" spans="1:17" ht="16.5">
      <c r="A718" s="60" t="str">
        <f t="shared" si="415"/>
        <v>P29</v>
      </c>
      <c r="B718" s="61" t="s">
        <v>4</v>
      </c>
      <c r="C718" s="62">
        <v>30700</v>
      </c>
      <c r="D718" s="63">
        <f t="shared" si="407"/>
        <v>1215000</v>
      </c>
      <c r="E718" s="177">
        <f t="shared" si="417"/>
        <v>697500</v>
      </c>
      <c r="F718" s="63">
        <f>+M718</f>
        <v>490000</v>
      </c>
      <c r="G718" s="63">
        <f>+O718</f>
        <v>0</v>
      </c>
      <c r="H718" s="63">
        <v>58200</v>
      </c>
      <c r="I718" s="63">
        <f>+C718+D718-E718-F718+G718</f>
        <v>58200</v>
      </c>
      <c r="J718" s="9">
        <f>I718-H718</f>
        <v>0</v>
      </c>
      <c r="K718" s="47" t="s">
        <v>29</v>
      </c>
      <c r="L718" s="49">
        <v>1215000</v>
      </c>
      <c r="M718" s="49">
        <v>490000</v>
      </c>
      <c r="N718" s="49">
        <v>697500</v>
      </c>
      <c r="O718" s="49">
        <v>0</v>
      </c>
      <c r="Q718" s="5"/>
    </row>
    <row r="719" spans="1:17" ht="16.5">
      <c r="A719" s="60" t="str">
        <f t="shared" si="415"/>
        <v>Tiffany</v>
      </c>
      <c r="B719" s="61" t="s">
        <v>2</v>
      </c>
      <c r="C719" s="62">
        <v>9193</v>
      </c>
      <c r="D719" s="63">
        <f t="shared" si="407"/>
        <v>1100180</v>
      </c>
      <c r="E719" s="177">
        <f t="shared" si="417"/>
        <v>195700</v>
      </c>
      <c r="F719" s="63">
        <f t="shared" ref="F719" si="419">+M719</f>
        <v>650000</v>
      </c>
      <c r="G719" s="63">
        <f t="shared" ref="G719" si="420">+O719</f>
        <v>0</v>
      </c>
      <c r="H719" s="63">
        <v>263673</v>
      </c>
      <c r="I719" s="63">
        <f t="shared" ref="I719" si="421">+C719+D719-E719-F719+G719</f>
        <v>263673</v>
      </c>
      <c r="J719" s="9">
        <f t="shared" ref="J719" si="422">I719-H719</f>
        <v>0</v>
      </c>
      <c r="K719" s="47" t="s">
        <v>113</v>
      </c>
      <c r="L719" s="49">
        <v>1100180</v>
      </c>
      <c r="M719" s="49">
        <v>650000</v>
      </c>
      <c r="N719" s="49">
        <v>195700</v>
      </c>
      <c r="O719" s="49">
        <v>0</v>
      </c>
      <c r="Q719" s="5"/>
    </row>
    <row r="720" spans="1:17" ht="16.5">
      <c r="A720" s="10" t="s">
        <v>50</v>
      </c>
      <c r="B720" s="11"/>
      <c r="C720" s="12">
        <f>SUM(C705:C719)</f>
        <v>23367297</v>
      </c>
      <c r="D720" s="59">
        <f t="shared" ref="D720:G720" si="423">SUM(D705:D719)</f>
        <v>19016037</v>
      </c>
      <c r="E720" s="59">
        <f t="shared" si="423"/>
        <v>13144803</v>
      </c>
      <c r="F720" s="59">
        <f t="shared" si="423"/>
        <v>19016037</v>
      </c>
      <c r="G720" s="59">
        <f t="shared" si="423"/>
        <v>0</v>
      </c>
      <c r="H720" s="59">
        <f>SUM(H705:H719)</f>
        <v>10222494</v>
      </c>
      <c r="I720" s="59">
        <f>SUM(I705:I719)</f>
        <v>10222494</v>
      </c>
      <c r="J720" s="9">
        <f>I720-H720</f>
        <v>0</v>
      </c>
      <c r="K720" s="3"/>
      <c r="L720" s="49">
        <f>+SUM(L705:L719)</f>
        <v>19016037</v>
      </c>
      <c r="M720" s="49">
        <f t="shared" ref="M720:O720" si="424">+SUM(M705:M719)</f>
        <v>19016037</v>
      </c>
      <c r="N720" s="49">
        <f>+SUM(N705:N719)</f>
        <v>13144803</v>
      </c>
      <c r="O720" s="49">
        <f t="shared" si="424"/>
        <v>0</v>
      </c>
      <c r="Q720" s="5"/>
    </row>
    <row r="721" spans="1:17" ht="16.5">
      <c r="A721" s="10"/>
      <c r="B721" s="11"/>
      <c r="C721" s="12"/>
      <c r="D721" s="13"/>
      <c r="E721" s="12"/>
      <c r="F721" s="13"/>
      <c r="G721" s="12"/>
      <c r="H721" s="12"/>
      <c r="I721" s="143" t="b">
        <f>I720=D723</f>
        <v>1</v>
      </c>
      <c r="L721" s="5"/>
      <c r="M721" s="5"/>
      <c r="N721" s="5"/>
      <c r="O721" s="5"/>
      <c r="Q721" s="5"/>
    </row>
    <row r="722" spans="1:17" ht="16.5">
      <c r="A722" s="10" t="s">
        <v>171</v>
      </c>
      <c r="B722" s="11" t="s">
        <v>172</v>
      </c>
      <c r="C722" s="12" t="s">
        <v>173</v>
      </c>
      <c r="D722" s="12" t="s">
        <v>180</v>
      </c>
      <c r="E722" s="12" t="s">
        <v>51</v>
      </c>
      <c r="F722" s="12"/>
      <c r="G722" s="12">
        <f>+D720-F720</f>
        <v>0</v>
      </c>
      <c r="H722" s="12"/>
      <c r="I722" s="12"/>
      <c r="Q722" s="5"/>
    </row>
    <row r="723" spans="1:17" ht="16.5">
      <c r="A723" s="14">
        <f>C720</f>
        <v>23367297</v>
      </c>
      <c r="B723" s="15">
        <f>G720</f>
        <v>0</v>
      </c>
      <c r="C723" s="12">
        <f>E720</f>
        <v>13144803</v>
      </c>
      <c r="D723" s="12">
        <f>A723+B723-C723</f>
        <v>10222494</v>
      </c>
      <c r="E723" s="13">
        <f>I720-D723</f>
        <v>0</v>
      </c>
      <c r="F723" s="12"/>
      <c r="G723" s="12"/>
      <c r="H723" s="12"/>
      <c r="I723" s="12"/>
      <c r="L723" s="5"/>
      <c r="M723" s="5"/>
      <c r="N723" s="5"/>
      <c r="O723" s="5"/>
      <c r="Q723" s="5"/>
    </row>
    <row r="724" spans="1:17" ht="16.5">
      <c r="A724" s="14"/>
      <c r="B724" s="15"/>
      <c r="C724" s="12"/>
      <c r="D724" s="12"/>
      <c r="E724" s="13"/>
      <c r="F724" s="12"/>
      <c r="G724" s="12"/>
      <c r="H724" s="12"/>
      <c r="I724" s="12"/>
      <c r="L724" s="5"/>
      <c r="M724" s="5"/>
      <c r="N724" s="5"/>
      <c r="O724" s="5"/>
      <c r="Q724" s="5"/>
    </row>
    <row r="725" spans="1:17">
      <c r="A725" s="16" t="s">
        <v>52</v>
      </c>
      <c r="B725" s="16"/>
      <c r="C725" s="16"/>
      <c r="D725" s="17"/>
      <c r="E725" s="17"/>
      <c r="F725" s="17"/>
      <c r="G725" s="17"/>
      <c r="H725" s="17"/>
      <c r="I725" s="17"/>
      <c r="L725" s="5"/>
      <c r="M725" s="5"/>
      <c r="N725" s="5"/>
      <c r="O725" s="5"/>
      <c r="Q725" s="5"/>
    </row>
    <row r="726" spans="1:17">
      <c r="A726" s="18" t="s">
        <v>179</v>
      </c>
      <c r="B726" s="18"/>
      <c r="C726" s="18"/>
      <c r="D726" s="18"/>
      <c r="E726" s="18"/>
      <c r="F726" s="18"/>
      <c r="G726" s="18"/>
      <c r="H726" s="18"/>
      <c r="I726" s="18"/>
      <c r="J726" s="18"/>
      <c r="L726" s="5"/>
      <c r="M726" s="5"/>
      <c r="N726" s="5"/>
      <c r="O726" s="5"/>
      <c r="Q726" s="5"/>
    </row>
    <row r="727" spans="1:17">
      <c r="A727" s="19"/>
      <c r="B727" s="20"/>
      <c r="C727" s="21"/>
      <c r="D727" s="21"/>
      <c r="E727" s="21"/>
      <c r="F727" s="21"/>
      <c r="G727" s="21"/>
      <c r="H727" s="20"/>
      <c r="I727" s="20"/>
      <c r="L727" s="5"/>
      <c r="M727" s="5"/>
      <c r="N727" s="5"/>
      <c r="O727" s="5"/>
      <c r="Q727" s="5"/>
    </row>
    <row r="728" spans="1:17">
      <c r="A728" s="455" t="s">
        <v>53</v>
      </c>
      <c r="B728" s="457" t="s">
        <v>54</v>
      </c>
      <c r="C728" s="459" t="s">
        <v>174</v>
      </c>
      <c r="D728" s="461" t="s">
        <v>55</v>
      </c>
      <c r="E728" s="462"/>
      <c r="F728" s="462"/>
      <c r="G728" s="463"/>
      <c r="H728" s="464" t="s">
        <v>56</v>
      </c>
      <c r="I728" s="451" t="s">
        <v>57</v>
      </c>
      <c r="J728" s="20"/>
      <c r="L728" s="5"/>
      <c r="M728" s="5"/>
      <c r="N728" s="5"/>
      <c r="O728" s="5"/>
      <c r="Q728" s="5"/>
    </row>
    <row r="729" spans="1:17" ht="28.5" customHeight="1">
      <c r="A729" s="456"/>
      <c r="B729" s="458"/>
      <c r="C729" s="460"/>
      <c r="D729" s="22" t="s">
        <v>24</v>
      </c>
      <c r="E729" s="22" t="s">
        <v>25</v>
      </c>
      <c r="F729" s="186" t="s">
        <v>123</v>
      </c>
      <c r="G729" s="22" t="s">
        <v>58</v>
      </c>
      <c r="H729" s="465"/>
      <c r="I729" s="452"/>
      <c r="J729" s="453" t="s">
        <v>175</v>
      </c>
      <c r="K729" s="155"/>
      <c r="L729" s="5"/>
      <c r="M729" s="5"/>
      <c r="N729" s="5"/>
      <c r="O729" s="5"/>
      <c r="Q729" s="5"/>
    </row>
    <row r="730" spans="1:17">
      <c r="A730" s="24"/>
      <c r="B730" s="25" t="s">
        <v>59</v>
      </c>
      <c r="C730" s="26"/>
      <c r="D730" s="26"/>
      <c r="E730" s="26"/>
      <c r="F730" s="26"/>
      <c r="G730" s="26"/>
      <c r="H730" s="26"/>
      <c r="I730" s="27"/>
      <c r="J730" s="454"/>
      <c r="K730" s="155"/>
      <c r="L730" s="5"/>
      <c r="M730" s="5"/>
      <c r="N730" s="5"/>
      <c r="O730" s="5"/>
      <c r="Q730" s="5"/>
    </row>
    <row r="731" spans="1:17">
      <c r="A731" s="130" t="s">
        <v>103</v>
      </c>
      <c r="B731" s="135" t="s">
        <v>160</v>
      </c>
      <c r="C731" s="33">
        <f>+C705</f>
        <v>29107</v>
      </c>
      <c r="D731" s="32"/>
      <c r="E731" s="33">
        <f>D705</f>
        <v>1125000</v>
      </c>
      <c r="F731" s="33"/>
      <c r="G731" s="33"/>
      <c r="H731" s="57">
        <f>+F705</f>
        <v>145357</v>
      </c>
      <c r="I731" s="33">
        <f>+E705</f>
        <v>1008750</v>
      </c>
      <c r="J731" s="31">
        <f>+SUM(C731:G731)-(H731+I731)</f>
        <v>0</v>
      </c>
      <c r="K731" s="156" t="b">
        <f>J731=I705</f>
        <v>1</v>
      </c>
      <c r="L731" s="5"/>
      <c r="M731" s="5"/>
      <c r="N731" s="5"/>
      <c r="O731" s="5"/>
      <c r="Q731" s="5"/>
    </row>
    <row r="732" spans="1:17">
      <c r="A732" s="130" t="str">
        <f>A731</f>
        <v>DECEMBRE</v>
      </c>
      <c r="B732" s="135" t="s">
        <v>169</v>
      </c>
      <c r="C732" s="33">
        <f>+C706</f>
        <v>4000</v>
      </c>
      <c r="D732" s="32"/>
      <c r="E732" s="33">
        <f>+D706</f>
        <v>426000</v>
      </c>
      <c r="F732" s="33"/>
      <c r="G732" s="33"/>
      <c r="H732" s="57">
        <f>+F706</f>
        <v>0</v>
      </c>
      <c r="I732" s="33">
        <f>+E706</f>
        <v>420500</v>
      </c>
      <c r="J732" s="31">
        <f t="shared" ref="J732:J733" si="425">+SUM(C732:G732)-(H732+I732)</f>
        <v>9500</v>
      </c>
      <c r="K732" s="156" t="b">
        <f>J732=I706</f>
        <v>1</v>
      </c>
      <c r="L732" s="5"/>
      <c r="M732" s="5"/>
      <c r="N732" s="5"/>
      <c r="O732" s="5"/>
      <c r="Q732" s="5"/>
    </row>
    <row r="733" spans="1:17">
      <c r="A733" s="130" t="str">
        <f>+A732</f>
        <v>DECEMBRE</v>
      </c>
      <c r="B733" s="135" t="s">
        <v>47</v>
      </c>
      <c r="C733" s="33">
        <f>+C710</f>
        <v>-3675</v>
      </c>
      <c r="D733" s="32"/>
      <c r="E733" s="33">
        <f>+D710</f>
        <v>1778500</v>
      </c>
      <c r="F733" s="33"/>
      <c r="G733" s="33"/>
      <c r="H733" s="57">
        <f>+F710</f>
        <v>145000</v>
      </c>
      <c r="I733" s="33">
        <f>+E710</f>
        <v>1666925</v>
      </c>
      <c r="J733" s="107">
        <f t="shared" si="425"/>
        <v>-37100</v>
      </c>
      <c r="K733" s="156" t="b">
        <f>J733=I710</f>
        <v>1</v>
      </c>
      <c r="L733" s="5"/>
      <c r="M733" s="5"/>
      <c r="N733" s="5"/>
      <c r="O733" s="5"/>
      <c r="Q733" s="5"/>
    </row>
    <row r="734" spans="1:17">
      <c r="A734" s="130" t="str">
        <f t="shared" ref="A734:A742" si="426">+A733</f>
        <v>DECEMBRE</v>
      </c>
      <c r="B734" s="136" t="s">
        <v>31</v>
      </c>
      <c r="C734" s="33">
        <f>+C711</f>
        <v>7595</v>
      </c>
      <c r="D734" s="127"/>
      <c r="E734" s="33">
        <f>+D711</f>
        <v>286000</v>
      </c>
      <c r="F734" s="53"/>
      <c r="G734" s="53"/>
      <c r="H734" s="57">
        <f>+F711</f>
        <v>0</v>
      </c>
      <c r="I734" s="33">
        <f>+E711</f>
        <v>284950</v>
      </c>
      <c r="J734" s="132">
        <f>+SUM(C734:G734)-(H734+I734)</f>
        <v>8645</v>
      </c>
      <c r="K734" s="156" t="b">
        <f t="shared" ref="K734:K742" si="427">J734=I711</f>
        <v>1</v>
      </c>
      <c r="L734" s="5"/>
      <c r="M734" s="5"/>
      <c r="N734" s="5"/>
      <c r="O734" s="5"/>
      <c r="Q734" s="5"/>
    </row>
    <row r="735" spans="1:17">
      <c r="A735" s="130" t="str">
        <f t="shared" si="426"/>
        <v>DECEMBRE</v>
      </c>
      <c r="B735" s="137" t="s">
        <v>84</v>
      </c>
      <c r="C735" s="128">
        <f>+C712</f>
        <v>233614</v>
      </c>
      <c r="D735" s="131"/>
      <c r="E735" s="128">
        <f>+D712</f>
        <v>0</v>
      </c>
      <c r="F735" s="146"/>
      <c r="G735" s="146"/>
      <c r="H735" s="178">
        <f>+F712</f>
        <v>0</v>
      </c>
      <c r="I735" s="128">
        <f>+E712</f>
        <v>0</v>
      </c>
      <c r="J735" s="129">
        <f>+SUM(C735:G735)-(H735+I735)</f>
        <v>233614</v>
      </c>
      <c r="K735" s="156" t="b">
        <f t="shared" si="427"/>
        <v>1</v>
      </c>
      <c r="L735" s="5"/>
      <c r="M735" s="5"/>
      <c r="N735" s="5"/>
      <c r="O735" s="5"/>
      <c r="Q735" s="5"/>
    </row>
    <row r="736" spans="1:17">
      <c r="A736" s="130" t="str">
        <f t="shared" si="426"/>
        <v>DECEMBRE</v>
      </c>
      <c r="B736" s="137" t="s">
        <v>83</v>
      </c>
      <c r="C736" s="128">
        <f>+C713</f>
        <v>249769</v>
      </c>
      <c r="D736" s="131"/>
      <c r="E736" s="128">
        <f>+D713</f>
        <v>0</v>
      </c>
      <c r="F736" s="146"/>
      <c r="G736" s="146"/>
      <c r="H736" s="178">
        <f>+F713</f>
        <v>0</v>
      </c>
      <c r="I736" s="128">
        <f>+E713</f>
        <v>0</v>
      </c>
      <c r="J736" s="129">
        <f t="shared" ref="J736:J742" si="428">+SUM(C736:G736)-(H736+I736)</f>
        <v>249769</v>
      </c>
      <c r="K736" s="156" t="b">
        <f t="shared" si="427"/>
        <v>1</v>
      </c>
      <c r="L736" s="5"/>
      <c r="M736" s="5"/>
      <c r="N736" s="5"/>
      <c r="O736" s="5"/>
      <c r="Q736" s="5"/>
    </row>
    <row r="737" spans="1:17">
      <c r="A737" s="130" t="str">
        <f t="shared" si="426"/>
        <v>DECEMBRE</v>
      </c>
      <c r="B737" s="135" t="s">
        <v>151</v>
      </c>
      <c r="C737" s="33">
        <f>+C714</f>
        <v>-6000</v>
      </c>
      <c r="D737" s="32"/>
      <c r="E737" s="33">
        <f>+D714</f>
        <v>797000</v>
      </c>
      <c r="F737" s="33"/>
      <c r="G737" s="110"/>
      <c r="H737" s="57">
        <f>+F714</f>
        <v>177180</v>
      </c>
      <c r="I737" s="33">
        <f>+E714</f>
        <v>578885</v>
      </c>
      <c r="J737" s="31">
        <f t="shared" si="428"/>
        <v>34935</v>
      </c>
      <c r="K737" s="156" t="b">
        <f t="shared" si="427"/>
        <v>1</v>
      </c>
      <c r="L737" s="5"/>
      <c r="M737" s="5"/>
      <c r="N737" s="5"/>
      <c r="O737" s="5"/>
      <c r="Q737" s="5"/>
    </row>
    <row r="738" spans="1:17">
      <c r="A738" s="130" t="str">
        <f t="shared" si="426"/>
        <v>DECEMBRE</v>
      </c>
      <c r="B738" s="135" t="s">
        <v>150</v>
      </c>
      <c r="C738" s="33">
        <f t="shared" ref="C738:C742" si="429">+C715</f>
        <v>48400</v>
      </c>
      <c r="D738" s="32"/>
      <c r="E738" s="33">
        <f t="shared" ref="E738:E742" si="430">+D715</f>
        <v>847000</v>
      </c>
      <c r="F738" s="33"/>
      <c r="G738" s="110"/>
      <c r="H738" s="57">
        <f t="shared" ref="H738:H742" si="431">+F715</f>
        <v>658000</v>
      </c>
      <c r="I738" s="33">
        <f t="shared" ref="I738:I742" si="432">+E715</f>
        <v>193200</v>
      </c>
      <c r="J738" s="31">
        <f t="shared" si="428"/>
        <v>44200</v>
      </c>
      <c r="K738" s="156" t="b">
        <f t="shared" si="427"/>
        <v>1</v>
      </c>
      <c r="L738" s="5"/>
      <c r="M738" s="5"/>
      <c r="N738" s="5"/>
      <c r="O738" s="5"/>
      <c r="Q738" s="5"/>
    </row>
    <row r="739" spans="1:17">
      <c r="A739" s="130" t="str">
        <f t="shared" si="426"/>
        <v>DECEMBRE</v>
      </c>
      <c r="B739" s="135" t="s">
        <v>30</v>
      </c>
      <c r="C739" s="33">
        <f t="shared" si="429"/>
        <v>6800</v>
      </c>
      <c r="D739" s="32"/>
      <c r="E739" s="33">
        <f t="shared" si="430"/>
        <v>861000</v>
      </c>
      <c r="F739" s="33"/>
      <c r="G739" s="110"/>
      <c r="H739" s="57">
        <f t="shared" si="431"/>
        <v>0</v>
      </c>
      <c r="I739" s="33">
        <f t="shared" si="432"/>
        <v>855750</v>
      </c>
      <c r="J739" s="31">
        <f t="shared" si="428"/>
        <v>12050</v>
      </c>
      <c r="K739" s="156" t="b">
        <f t="shared" si="427"/>
        <v>1</v>
      </c>
      <c r="Q739" s="5"/>
    </row>
    <row r="740" spans="1:17">
      <c r="A740" s="130" t="str">
        <f>+A738</f>
        <v>DECEMBRE</v>
      </c>
      <c r="B740" s="135" t="s">
        <v>93</v>
      </c>
      <c r="C740" s="33">
        <f t="shared" si="429"/>
        <v>5500</v>
      </c>
      <c r="D740" s="32"/>
      <c r="E740" s="33">
        <f t="shared" si="430"/>
        <v>0</v>
      </c>
      <c r="F740" s="33"/>
      <c r="G740" s="110"/>
      <c r="H740" s="57">
        <f t="shared" si="431"/>
        <v>0</v>
      </c>
      <c r="I740" s="33">
        <f t="shared" si="432"/>
        <v>0</v>
      </c>
      <c r="J740" s="31">
        <f t="shared" si="428"/>
        <v>5500</v>
      </c>
      <c r="K740" s="156" t="b">
        <f t="shared" si="427"/>
        <v>1</v>
      </c>
      <c r="Q740" s="5"/>
    </row>
    <row r="741" spans="1:17">
      <c r="A741" s="130" t="str">
        <f>+A739</f>
        <v>DECEMBRE</v>
      </c>
      <c r="B741" s="135" t="s">
        <v>29</v>
      </c>
      <c r="C741" s="33">
        <f t="shared" si="429"/>
        <v>30700</v>
      </c>
      <c r="D741" s="32"/>
      <c r="E741" s="33">
        <f t="shared" si="430"/>
        <v>1215000</v>
      </c>
      <c r="F741" s="33"/>
      <c r="G741" s="110"/>
      <c r="H741" s="57">
        <f t="shared" si="431"/>
        <v>490000</v>
      </c>
      <c r="I741" s="33">
        <f t="shared" si="432"/>
        <v>697500</v>
      </c>
      <c r="J741" s="31">
        <f t="shared" si="428"/>
        <v>58200</v>
      </c>
      <c r="K741" s="156" t="b">
        <f t="shared" si="427"/>
        <v>1</v>
      </c>
      <c r="Q741" s="5"/>
    </row>
    <row r="742" spans="1:17">
      <c r="A742" s="130" t="str">
        <f t="shared" si="426"/>
        <v>DECEMBRE</v>
      </c>
      <c r="B742" s="136" t="s">
        <v>113</v>
      </c>
      <c r="C742" s="33">
        <f t="shared" si="429"/>
        <v>9193</v>
      </c>
      <c r="D742" s="127"/>
      <c r="E742" s="33">
        <f t="shared" si="430"/>
        <v>1100180</v>
      </c>
      <c r="F742" s="53"/>
      <c r="G742" s="147"/>
      <c r="H742" s="57">
        <f t="shared" si="431"/>
        <v>650000</v>
      </c>
      <c r="I742" s="33">
        <f t="shared" si="432"/>
        <v>195700</v>
      </c>
      <c r="J742" s="31">
        <f t="shared" si="428"/>
        <v>263673</v>
      </c>
      <c r="K742" s="156" t="b">
        <f t="shared" si="427"/>
        <v>1</v>
      </c>
      <c r="Q742" s="5"/>
    </row>
    <row r="743" spans="1:17">
      <c r="A743" s="35" t="s">
        <v>60</v>
      </c>
      <c r="B743" s="36"/>
      <c r="C743" s="36"/>
      <c r="D743" s="36"/>
      <c r="E743" s="36"/>
      <c r="F743" s="36"/>
      <c r="G743" s="36"/>
      <c r="H743" s="36"/>
      <c r="I743" s="36"/>
      <c r="J743" s="37"/>
      <c r="K743" s="155"/>
      <c r="Q743" s="5"/>
    </row>
    <row r="744" spans="1:17">
      <c r="A744" s="130" t="str">
        <f>+A742</f>
        <v>DECEMBRE</v>
      </c>
      <c r="B744" s="38" t="s">
        <v>61</v>
      </c>
      <c r="C744" s="39">
        <f>+C709</f>
        <v>926369</v>
      </c>
      <c r="D744" s="51"/>
      <c r="E744" s="51">
        <f>D709</f>
        <v>10580357</v>
      </c>
      <c r="F744" s="51"/>
      <c r="G744" s="133"/>
      <c r="H744" s="53">
        <f>+F709</f>
        <v>6750500</v>
      </c>
      <c r="I744" s="134">
        <f>+E709</f>
        <v>3713706</v>
      </c>
      <c r="J744" s="46">
        <f>+SUM(C744:G744)-(H744+I744)</f>
        <v>1042520</v>
      </c>
      <c r="K744" s="156" t="b">
        <f>J744=I709</f>
        <v>1</v>
      </c>
      <c r="Q744" s="5"/>
    </row>
    <row r="745" spans="1:17">
      <c r="A745" s="44" t="s">
        <v>62</v>
      </c>
      <c r="B745" s="25"/>
      <c r="C745" s="36"/>
      <c r="D745" s="25"/>
      <c r="E745" s="25"/>
      <c r="F745" s="25"/>
      <c r="G745" s="25"/>
      <c r="H745" s="25"/>
      <c r="I745" s="25"/>
      <c r="J745" s="37"/>
      <c r="K745" s="155"/>
      <c r="Q745" s="5"/>
    </row>
    <row r="746" spans="1:17">
      <c r="A746" s="130" t="str">
        <f>+A744</f>
        <v>DECEMBRE</v>
      </c>
      <c r="B746" s="38" t="s">
        <v>163</v>
      </c>
      <c r="C746" s="133">
        <f>+C707</f>
        <v>5738718</v>
      </c>
      <c r="D746" s="140">
        <f>+G707</f>
        <v>0</v>
      </c>
      <c r="E746" s="51"/>
      <c r="F746" s="51"/>
      <c r="G746" s="51"/>
      <c r="H746" s="53">
        <f>+F707</f>
        <v>2000000</v>
      </c>
      <c r="I746" s="55">
        <f>+E707</f>
        <v>283345</v>
      </c>
      <c r="J746" s="46">
        <f>+SUM(C746:G746)-(H746+I746)</f>
        <v>3455373</v>
      </c>
      <c r="K746" s="156" t="b">
        <f>+J746=I707</f>
        <v>1</v>
      </c>
      <c r="Q746" s="5"/>
    </row>
    <row r="747" spans="1:17">
      <c r="A747" s="130" t="str">
        <f t="shared" ref="A747" si="433">+A746</f>
        <v>DECEMBRE</v>
      </c>
      <c r="B747" s="38" t="s">
        <v>64</v>
      </c>
      <c r="C747" s="133">
        <f>+C708</f>
        <v>16087207</v>
      </c>
      <c r="D747" s="51">
        <f>+G708</f>
        <v>0</v>
      </c>
      <c r="E747" s="50"/>
      <c r="F747" s="50"/>
      <c r="G747" s="50"/>
      <c r="H747" s="33">
        <f>+F708</f>
        <v>8000000</v>
      </c>
      <c r="I747" s="52">
        <f>+E708</f>
        <v>3245592</v>
      </c>
      <c r="J747" s="46">
        <f>SUM(C747:G747)-(H747+I747)</f>
        <v>4841615</v>
      </c>
      <c r="K747" s="156" t="b">
        <f>+J747=I708</f>
        <v>1</v>
      </c>
      <c r="Q747" s="5"/>
    </row>
    <row r="748" spans="1:17" ht="15.75">
      <c r="C748" s="151">
        <f>SUM(C732:C747)</f>
        <v>23338190</v>
      </c>
      <c r="I748" s="149">
        <f>SUM(I732:I747)</f>
        <v>12136053</v>
      </c>
      <c r="J748" s="111">
        <f>+SUM(J731:J747)</f>
        <v>10222494</v>
      </c>
      <c r="K748" s="5" t="b">
        <f>J748=I720</f>
        <v>1</v>
      </c>
      <c r="Q748" s="5"/>
    </row>
    <row r="749" spans="1:17">
      <c r="G749" s="9"/>
      <c r="Q749" s="5"/>
    </row>
    <row r="750" spans="1:17">
      <c r="A750" s="189"/>
      <c r="B750" s="189"/>
      <c r="C750" s="189"/>
      <c r="D750" s="189"/>
      <c r="E750" s="189"/>
      <c r="F750" s="189"/>
      <c r="G750" s="189"/>
      <c r="H750" s="189"/>
      <c r="I750" s="189"/>
      <c r="J750" s="189"/>
      <c r="K750" s="189"/>
      <c r="L750" s="193"/>
      <c r="M750" s="193"/>
      <c r="N750" s="193"/>
      <c r="O750" s="193"/>
      <c r="P750" s="189"/>
      <c r="Q750" s="5"/>
    </row>
    <row r="751" spans="1:17">
      <c r="A751" s="4">
        <v>44530</v>
      </c>
      <c r="Q751" s="5"/>
    </row>
    <row r="752" spans="1:17" ht="15.75">
      <c r="A752" s="6" t="s">
        <v>36</v>
      </c>
      <c r="B752" s="6" t="s">
        <v>1</v>
      </c>
      <c r="C752" s="6">
        <v>44501</v>
      </c>
      <c r="D752" s="7" t="s">
        <v>37</v>
      </c>
      <c r="E752" s="7" t="s">
        <v>38</v>
      </c>
      <c r="F752" s="7" t="s">
        <v>39</v>
      </c>
      <c r="G752" s="7" t="s">
        <v>40</v>
      </c>
      <c r="H752" s="6">
        <v>44530</v>
      </c>
      <c r="I752" s="7" t="s">
        <v>41</v>
      </c>
      <c r="K752" s="47"/>
      <c r="L752" s="47" t="s">
        <v>42</v>
      </c>
      <c r="M752" s="47" t="s">
        <v>43</v>
      </c>
      <c r="N752" s="47" t="s">
        <v>44</v>
      </c>
      <c r="O752" s="47" t="s">
        <v>45</v>
      </c>
      <c r="Q752" s="5"/>
    </row>
    <row r="753" spans="1:17" s="181" customFormat="1" ht="16.5">
      <c r="A753" s="60" t="str">
        <f>+K753</f>
        <v>Axel</v>
      </c>
      <c r="B753" s="183" t="s">
        <v>161</v>
      </c>
      <c r="C753" s="62">
        <v>6757</v>
      </c>
      <c r="D753" s="63">
        <f t="shared" ref="D753:D766" si="434">+L753</f>
        <v>337000</v>
      </c>
      <c r="E753" s="63">
        <f>+N753</f>
        <v>314650</v>
      </c>
      <c r="F753" s="63">
        <f>+M753</f>
        <v>0</v>
      </c>
      <c r="G753" s="63">
        <f t="shared" ref="G753:G755" si="435">+O753</f>
        <v>0</v>
      </c>
      <c r="H753" s="63">
        <v>29107</v>
      </c>
      <c r="I753" s="63">
        <f>+C753+D753-E753-F753+G753</f>
        <v>29107</v>
      </c>
      <c r="J753" s="9">
        <f>I753-H753</f>
        <v>0</v>
      </c>
      <c r="K753" s="182" t="s">
        <v>160</v>
      </c>
      <c r="L753" s="182">
        <v>337000</v>
      </c>
      <c r="M753" s="182">
        <v>0</v>
      </c>
      <c r="N753" s="182">
        <v>314650</v>
      </c>
      <c r="O753" s="182">
        <v>0</v>
      </c>
    </row>
    <row r="754" spans="1:17" ht="16.5">
      <c r="A754" s="60" t="str">
        <f>+K754</f>
        <v>B52</v>
      </c>
      <c r="B754" s="61" t="s">
        <v>4</v>
      </c>
      <c r="C754" s="62">
        <v>0</v>
      </c>
      <c r="D754" s="63">
        <f t="shared" si="434"/>
        <v>118000</v>
      </c>
      <c r="E754" s="63">
        <f>+N754</f>
        <v>114000</v>
      </c>
      <c r="F754" s="63">
        <f>+M754</f>
        <v>0</v>
      </c>
      <c r="G754" s="63">
        <f t="shared" si="435"/>
        <v>0</v>
      </c>
      <c r="H754" s="63">
        <v>4000</v>
      </c>
      <c r="I754" s="63">
        <f>+C754+D754-E754-F754+G754</f>
        <v>4000</v>
      </c>
      <c r="J754" s="9">
        <f>I754-H754</f>
        <v>0</v>
      </c>
      <c r="K754" s="47" t="s">
        <v>169</v>
      </c>
      <c r="L754" s="49">
        <v>118000</v>
      </c>
      <c r="M754" s="49">
        <v>0</v>
      </c>
      <c r="N754" s="49">
        <v>114000</v>
      </c>
      <c r="O754" s="49">
        <v>0</v>
      </c>
      <c r="Q754" s="5"/>
    </row>
    <row r="755" spans="1:17" ht="16.5">
      <c r="A755" s="60" t="str">
        <f>+K755</f>
        <v>BCI</v>
      </c>
      <c r="B755" s="61" t="s">
        <v>46</v>
      </c>
      <c r="C755" s="62">
        <v>6762063</v>
      </c>
      <c r="D755" s="63">
        <f t="shared" si="434"/>
        <v>0</v>
      </c>
      <c r="E755" s="63">
        <f>+N755</f>
        <v>23345</v>
      </c>
      <c r="F755" s="63">
        <f>+M755</f>
        <v>1000000</v>
      </c>
      <c r="G755" s="63">
        <f t="shared" si="435"/>
        <v>0</v>
      </c>
      <c r="H755" s="63">
        <v>5738718</v>
      </c>
      <c r="I755" s="63">
        <f>+C755+D755-E755-F755+G755</f>
        <v>5738718</v>
      </c>
      <c r="J755" s="9">
        <f t="shared" ref="J755:J762" si="436">I755-H755</f>
        <v>0</v>
      </c>
      <c r="K755" s="47" t="s">
        <v>24</v>
      </c>
      <c r="L755" s="49">
        <v>0</v>
      </c>
      <c r="M755" s="49">
        <v>1000000</v>
      </c>
      <c r="N755" s="49">
        <v>23345</v>
      </c>
      <c r="O755" s="49">
        <v>0</v>
      </c>
      <c r="Q755" s="5"/>
    </row>
    <row r="756" spans="1:17" ht="16.5">
      <c r="A756" s="60" t="str">
        <f t="shared" ref="A756:A758" si="437">+K756</f>
        <v>BCI-Sous Compte</v>
      </c>
      <c r="B756" s="61" t="s">
        <v>46</v>
      </c>
      <c r="C756" s="62">
        <v>23107840</v>
      </c>
      <c r="D756" s="63">
        <f t="shared" si="434"/>
        <v>0</v>
      </c>
      <c r="E756" s="63">
        <f>+N756</f>
        <v>4020633</v>
      </c>
      <c r="F756" s="63">
        <f>+M756</f>
        <v>3000000</v>
      </c>
      <c r="G756" s="63">
        <f t="shared" ref="G756:G767" si="438">+O756</f>
        <v>0</v>
      </c>
      <c r="H756" s="63">
        <v>16087207</v>
      </c>
      <c r="I756" s="63">
        <f>+C756+D756-E756-F756+G756</f>
        <v>16087207</v>
      </c>
      <c r="J756" s="108">
        <f t="shared" si="436"/>
        <v>0</v>
      </c>
      <c r="K756" s="47" t="s">
        <v>155</v>
      </c>
      <c r="L756" s="49">
        <v>0</v>
      </c>
      <c r="M756" s="49">
        <v>3000000</v>
      </c>
      <c r="N756" s="49">
        <v>4020633</v>
      </c>
      <c r="O756" s="49">
        <v>0</v>
      </c>
      <c r="Q756" s="5"/>
    </row>
    <row r="757" spans="1:17" ht="16.5">
      <c r="A757" s="60" t="str">
        <f t="shared" si="437"/>
        <v>Caisse</v>
      </c>
      <c r="B757" s="61" t="s">
        <v>25</v>
      </c>
      <c r="C757" s="62">
        <v>1685107</v>
      </c>
      <c r="D757" s="63">
        <f t="shared" si="434"/>
        <v>4090000</v>
      </c>
      <c r="E757" s="63">
        <f t="shared" ref="E757" si="439">+N757</f>
        <v>2854238</v>
      </c>
      <c r="F757" s="63">
        <f t="shared" ref="F757:F764" si="440">+M757</f>
        <v>1994500</v>
      </c>
      <c r="G757" s="63">
        <f t="shared" si="438"/>
        <v>0</v>
      </c>
      <c r="H757" s="63">
        <v>926369</v>
      </c>
      <c r="I757" s="63">
        <f>+C757+D757-E757-F757+G757</f>
        <v>926369</v>
      </c>
      <c r="J757" s="9">
        <f t="shared" si="436"/>
        <v>0</v>
      </c>
      <c r="K757" s="47" t="s">
        <v>25</v>
      </c>
      <c r="L757" s="49">
        <v>4090000</v>
      </c>
      <c r="M757" s="49">
        <v>1994500</v>
      </c>
      <c r="N757" s="49">
        <v>2854238</v>
      </c>
      <c r="O757" s="49">
        <v>0</v>
      </c>
      <c r="Q757" s="5"/>
    </row>
    <row r="758" spans="1:17" ht="16.5">
      <c r="A758" s="60" t="str">
        <f t="shared" si="437"/>
        <v>Crépin</v>
      </c>
      <c r="B758" s="61" t="s">
        <v>161</v>
      </c>
      <c r="C758" s="62">
        <v>7200</v>
      </c>
      <c r="D758" s="63">
        <f t="shared" si="434"/>
        <v>286000</v>
      </c>
      <c r="E758" s="63">
        <f>+N758</f>
        <v>226875</v>
      </c>
      <c r="F758" s="63">
        <f t="shared" si="440"/>
        <v>70000</v>
      </c>
      <c r="G758" s="63">
        <f t="shared" si="438"/>
        <v>0</v>
      </c>
      <c r="H758" s="63">
        <v>-3675</v>
      </c>
      <c r="I758" s="63">
        <f t="shared" ref="I758" si="441">+C758+D758-E758-F758+G758</f>
        <v>-3675</v>
      </c>
      <c r="J758" s="9">
        <f t="shared" si="436"/>
        <v>0</v>
      </c>
      <c r="K758" s="47" t="s">
        <v>47</v>
      </c>
      <c r="L758" s="49">
        <v>286000</v>
      </c>
      <c r="M758" s="49">
        <v>70000</v>
      </c>
      <c r="N758" s="49">
        <v>226875</v>
      </c>
      <c r="O758" s="49">
        <v>0</v>
      </c>
      <c r="Q758" s="5"/>
    </row>
    <row r="759" spans="1:17" ht="16.5">
      <c r="A759" s="60" t="str">
        <f>K759</f>
        <v>Evariste</v>
      </c>
      <c r="B759" s="61" t="s">
        <v>162</v>
      </c>
      <c r="C759" s="62">
        <v>10095</v>
      </c>
      <c r="D759" s="63">
        <f t="shared" si="434"/>
        <v>70500</v>
      </c>
      <c r="E759" s="63">
        <f t="shared" ref="E759" si="442">+N759</f>
        <v>73000</v>
      </c>
      <c r="F759" s="63">
        <f t="shared" si="440"/>
        <v>0</v>
      </c>
      <c r="G759" s="63">
        <f t="shared" si="438"/>
        <v>0</v>
      </c>
      <c r="H759" s="63">
        <v>7595</v>
      </c>
      <c r="I759" s="63">
        <f>+C759+D759-E759-F759+G759</f>
        <v>7595</v>
      </c>
      <c r="J759" s="9">
        <f t="shared" si="436"/>
        <v>0</v>
      </c>
      <c r="K759" s="47" t="s">
        <v>31</v>
      </c>
      <c r="L759" s="49">
        <v>70500</v>
      </c>
      <c r="M759" s="49">
        <v>0</v>
      </c>
      <c r="N759" s="49">
        <v>73000</v>
      </c>
      <c r="O759" s="49">
        <v>0</v>
      </c>
      <c r="Q759" s="5"/>
    </row>
    <row r="760" spans="1:17" ht="16.5">
      <c r="A760" s="123" t="str">
        <f t="shared" ref="A760:A767" si="443">+K760</f>
        <v>I55S</v>
      </c>
      <c r="B760" s="124" t="s">
        <v>4</v>
      </c>
      <c r="C760" s="125">
        <v>233614</v>
      </c>
      <c r="D760" s="126">
        <f t="shared" si="434"/>
        <v>0</v>
      </c>
      <c r="E760" s="126">
        <f>+N760</f>
        <v>0</v>
      </c>
      <c r="F760" s="126">
        <f t="shared" si="440"/>
        <v>0</v>
      </c>
      <c r="G760" s="126">
        <f t="shared" si="438"/>
        <v>0</v>
      </c>
      <c r="H760" s="126">
        <v>233614</v>
      </c>
      <c r="I760" s="126">
        <f>+C760+D760-E760-F760+G760</f>
        <v>233614</v>
      </c>
      <c r="J760" s="9">
        <f t="shared" si="436"/>
        <v>0</v>
      </c>
      <c r="K760" s="47" t="s">
        <v>84</v>
      </c>
      <c r="L760" s="49">
        <v>0</v>
      </c>
      <c r="M760" s="49">
        <v>0</v>
      </c>
      <c r="N760" s="49">
        <v>0</v>
      </c>
      <c r="O760" s="49">
        <v>0</v>
      </c>
      <c r="Q760" s="5"/>
    </row>
    <row r="761" spans="1:17" ht="16.5">
      <c r="A761" s="123" t="str">
        <f t="shared" si="443"/>
        <v>I73X</v>
      </c>
      <c r="B761" s="124" t="s">
        <v>4</v>
      </c>
      <c r="C761" s="125">
        <v>249769</v>
      </c>
      <c r="D761" s="126">
        <f t="shared" si="434"/>
        <v>0</v>
      </c>
      <c r="E761" s="126">
        <f>+N761</f>
        <v>0</v>
      </c>
      <c r="F761" s="126">
        <f t="shared" si="440"/>
        <v>0</v>
      </c>
      <c r="G761" s="126">
        <f t="shared" si="438"/>
        <v>0</v>
      </c>
      <c r="H761" s="126">
        <v>249769</v>
      </c>
      <c r="I761" s="126">
        <f t="shared" ref="I761:I764" si="444">+C761+D761-E761-F761+G761</f>
        <v>249769</v>
      </c>
      <c r="J761" s="9">
        <f t="shared" si="436"/>
        <v>0</v>
      </c>
      <c r="K761" s="47" t="s">
        <v>83</v>
      </c>
      <c r="L761" s="49">
        <v>0</v>
      </c>
      <c r="M761" s="49">
        <v>0</v>
      </c>
      <c r="N761" s="49">
        <v>0</v>
      </c>
      <c r="O761" s="49">
        <v>0</v>
      </c>
      <c r="Q761" s="5"/>
    </row>
    <row r="762" spans="1:17" ht="16.5">
      <c r="A762" s="60" t="str">
        <f t="shared" si="443"/>
        <v>Godfré</v>
      </c>
      <c r="B762" s="104" t="s">
        <v>161</v>
      </c>
      <c r="C762" s="62">
        <v>3550</v>
      </c>
      <c r="D762" s="63">
        <f t="shared" si="434"/>
        <v>43000</v>
      </c>
      <c r="E762" s="177">
        <f t="shared" ref="E762:E767" si="445">+N762</f>
        <v>52550</v>
      </c>
      <c r="F762" s="63">
        <f t="shared" si="440"/>
        <v>0</v>
      </c>
      <c r="G762" s="63">
        <f t="shared" si="438"/>
        <v>0</v>
      </c>
      <c r="H762" s="63">
        <v>-6000</v>
      </c>
      <c r="I762" s="63">
        <f t="shared" si="444"/>
        <v>-6000</v>
      </c>
      <c r="J762" s="9">
        <f t="shared" si="436"/>
        <v>0</v>
      </c>
      <c r="K762" s="47" t="s">
        <v>151</v>
      </c>
      <c r="L762" s="49">
        <v>43000</v>
      </c>
      <c r="M762" s="49">
        <v>0</v>
      </c>
      <c r="N762" s="49">
        <v>52550</v>
      </c>
      <c r="O762" s="49">
        <v>0</v>
      </c>
      <c r="Q762" s="5"/>
    </row>
    <row r="763" spans="1:17" ht="16.5">
      <c r="A763" s="60" t="str">
        <f t="shared" si="443"/>
        <v>Grace</v>
      </c>
      <c r="B763" s="61" t="s">
        <v>2</v>
      </c>
      <c r="C763" s="62">
        <v>61300</v>
      </c>
      <c r="D763" s="63">
        <f t="shared" si="434"/>
        <v>53000</v>
      </c>
      <c r="E763" s="177">
        <f t="shared" si="445"/>
        <v>45900</v>
      </c>
      <c r="F763" s="63">
        <f t="shared" si="440"/>
        <v>20000</v>
      </c>
      <c r="G763" s="63">
        <f t="shared" si="438"/>
        <v>0</v>
      </c>
      <c r="H763" s="63">
        <v>48400</v>
      </c>
      <c r="I763" s="63">
        <f t="shared" si="444"/>
        <v>48400</v>
      </c>
      <c r="J763" s="9">
        <f>I763-H763</f>
        <v>0</v>
      </c>
      <c r="K763" s="47" t="s">
        <v>150</v>
      </c>
      <c r="L763" s="49">
        <v>53000</v>
      </c>
      <c r="M763" s="49">
        <v>20000</v>
      </c>
      <c r="N763" s="49">
        <v>45900</v>
      </c>
      <c r="O763" s="49">
        <v>0</v>
      </c>
      <c r="Q763" s="5"/>
    </row>
    <row r="764" spans="1:17" ht="16.5">
      <c r="A764" s="60" t="str">
        <f t="shared" si="443"/>
        <v>I23C</v>
      </c>
      <c r="B764" s="104" t="s">
        <v>4</v>
      </c>
      <c r="C764" s="62">
        <v>10800</v>
      </c>
      <c r="D764" s="63">
        <f t="shared" si="434"/>
        <v>488000</v>
      </c>
      <c r="E764" s="177">
        <f t="shared" si="445"/>
        <v>492000</v>
      </c>
      <c r="F764" s="63">
        <f t="shared" si="440"/>
        <v>0</v>
      </c>
      <c r="G764" s="63">
        <f t="shared" si="438"/>
        <v>0</v>
      </c>
      <c r="H764" s="63">
        <v>6800</v>
      </c>
      <c r="I764" s="63">
        <f t="shared" si="444"/>
        <v>6800</v>
      </c>
      <c r="J764" s="9">
        <f t="shared" ref="J764" si="446">I764-H764</f>
        <v>0</v>
      </c>
      <c r="K764" s="47" t="s">
        <v>30</v>
      </c>
      <c r="L764" s="49">
        <v>488000</v>
      </c>
      <c r="M764" s="49">
        <v>0</v>
      </c>
      <c r="N764" s="49">
        <v>492000</v>
      </c>
      <c r="O764" s="49">
        <v>0</v>
      </c>
      <c r="Q764" s="5"/>
    </row>
    <row r="765" spans="1:17" ht="16.5">
      <c r="A765" s="60" t="str">
        <f t="shared" si="443"/>
        <v>Merveille</v>
      </c>
      <c r="B765" s="61" t="s">
        <v>2</v>
      </c>
      <c r="C765" s="62">
        <v>9500</v>
      </c>
      <c r="D765" s="63">
        <f t="shared" si="434"/>
        <v>20000</v>
      </c>
      <c r="E765" s="177">
        <f t="shared" si="445"/>
        <v>24000</v>
      </c>
      <c r="F765" s="63">
        <f t="shared" ref="F765" si="447">+M765</f>
        <v>0</v>
      </c>
      <c r="G765" s="63">
        <f t="shared" ref="G765" si="448">+O765</f>
        <v>0</v>
      </c>
      <c r="H765" s="63">
        <v>5500</v>
      </c>
      <c r="I765" s="63">
        <f t="shared" ref="I765" si="449">+C765+D765-E765-F765+G765</f>
        <v>5500</v>
      </c>
      <c r="J765" s="9">
        <f t="shared" ref="J765" si="450">I765-H765</f>
        <v>0</v>
      </c>
      <c r="K765" s="47" t="s">
        <v>93</v>
      </c>
      <c r="L765" s="49">
        <v>20000</v>
      </c>
      <c r="M765" s="49">
        <v>0</v>
      </c>
      <c r="N765" s="49">
        <v>24000</v>
      </c>
      <c r="O765" s="49"/>
      <c r="Q765" s="5"/>
    </row>
    <row r="766" spans="1:17" ht="16.5">
      <c r="A766" s="60" t="str">
        <f t="shared" si="443"/>
        <v>P29</v>
      </c>
      <c r="B766" s="61" t="s">
        <v>4</v>
      </c>
      <c r="C766" s="62">
        <v>21200</v>
      </c>
      <c r="D766" s="63">
        <f t="shared" si="434"/>
        <v>543000</v>
      </c>
      <c r="E766" s="177">
        <f t="shared" si="445"/>
        <v>533500</v>
      </c>
      <c r="F766" s="63">
        <f>+M766</f>
        <v>0</v>
      </c>
      <c r="G766" s="63">
        <f>+O766</f>
        <v>0</v>
      </c>
      <c r="H766" s="63">
        <v>30700</v>
      </c>
      <c r="I766" s="63">
        <f>+C766+D766-E766-F766+G766</f>
        <v>30700</v>
      </c>
      <c r="J766" s="9">
        <f>I766-H766</f>
        <v>0</v>
      </c>
      <c r="K766" s="47" t="s">
        <v>29</v>
      </c>
      <c r="L766" s="49">
        <v>543000</v>
      </c>
      <c r="M766" s="49">
        <v>0</v>
      </c>
      <c r="N766" s="49">
        <v>533500</v>
      </c>
      <c r="O766" s="49">
        <v>0</v>
      </c>
      <c r="Q766" s="5"/>
    </row>
    <row r="767" spans="1:17" ht="16.5">
      <c r="A767" s="60" t="str">
        <f t="shared" si="443"/>
        <v>Tiffany</v>
      </c>
      <c r="B767" s="61" t="s">
        <v>2</v>
      </c>
      <c r="C767" s="62">
        <v>26193</v>
      </c>
      <c r="D767" s="63">
        <f t="shared" ref="D767" si="451">+L767</f>
        <v>36000</v>
      </c>
      <c r="E767" s="177">
        <f t="shared" si="445"/>
        <v>53000</v>
      </c>
      <c r="F767" s="63">
        <f t="shared" ref="F767" si="452">+M767</f>
        <v>0</v>
      </c>
      <c r="G767" s="63">
        <f t="shared" si="438"/>
        <v>0</v>
      </c>
      <c r="H767" s="63">
        <v>9193</v>
      </c>
      <c r="I767" s="63">
        <f t="shared" ref="I767" si="453">+C767+D767-E767-F767+G767</f>
        <v>9193</v>
      </c>
      <c r="J767" s="9">
        <f t="shared" ref="J767" si="454">I767-H767</f>
        <v>0</v>
      </c>
      <c r="K767" s="47" t="s">
        <v>113</v>
      </c>
      <c r="L767" s="49">
        <v>36000</v>
      </c>
      <c r="M767" s="49">
        <v>0</v>
      </c>
      <c r="N767" s="49">
        <v>53000</v>
      </c>
      <c r="O767" s="49">
        <v>0</v>
      </c>
      <c r="Q767" s="5"/>
    </row>
    <row r="768" spans="1:17" ht="16.5">
      <c r="A768" s="10" t="s">
        <v>50</v>
      </c>
      <c r="B768" s="11"/>
      <c r="C768" s="12">
        <f>SUM(C753:C767)</f>
        <v>32194988</v>
      </c>
      <c r="D768" s="59">
        <f t="shared" ref="D768:G768" si="455">SUM(D753:D767)</f>
        <v>6084500</v>
      </c>
      <c r="E768" s="59">
        <f t="shared" si="455"/>
        <v>8827691</v>
      </c>
      <c r="F768" s="59">
        <f t="shared" si="455"/>
        <v>6084500</v>
      </c>
      <c r="G768" s="59">
        <f t="shared" si="455"/>
        <v>0</v>
      </c>
      <c r="H768" s="59">
        <f>SUM(H753:H767)</f>
        <v>23367297</v>
      </c>
      <c r="I768" s="59">
        <f>SUM(I753:I767)</f>
        <v>23367297</v>
      </c>
      <c r="J768" s="9">
        <f>I768-H768</f>
        <v>0</v>
      </c>
      <c r="K768" s="3"/>
      <c r="L768" s="49">
        <v>6084500</v>
      </c>
      <c r="M768" s="49">
        <v>6084500</v>
      </c>
      <c r="N768" s="49">
        <v>8828291</v>
      </c>
      <c r="O768" s="49">
        <v>0</v>
      </c>
      <c r="Q768" s="5"/>
    </row>
    <row r="769" spans="1:17" ht="16.5">
      <c r="A769" s="10"/>
      <c r="B769" s="11"/>
      <c r="C769" s="12"/>
      <c r="D769" s="13"/>
      <c r="E769" s="12"/>
      <c r="F769" s="13"/>
      <c r="G769" s="12"/>
      <c r="H769" s="12"/>
      <c r="I769" s="143" t="b">
        <f>I768=D771</f>
        <v>1</v>
      </c>
      <c r="L769" s="5"/>
      <c r="M769" s="5"/>
      <c r="N769" s="5"/>
      <c r="O769" s="5"/>
      <c r="Q769" s="5"/>
    </row>
    <row r="770" spans="1:17" ht="16.5">
      <c r="A770" s="10" t="s">
        <v>165</v>
      </c>
      <c r="B770" s="11" t="s">
        <v>167</v>
      </c>
      <c r="C770" s="12" t="s">
        <v>170</v>
      </c>
      <c r="D770" s="12" t="s">
        <v>164</v>
      </c>
      <c r="E770" s="12" t="s">
        <v>51</v>
      </c>
      <c r="F770" s="12"/>
      <c r="G770" s="12">
        <f>+D768-F768</f>
        <v>0</v>
      </c>
      <c r="H770" s="12"/>
      <c r="I770" s="12"/>
      <c r="Q770" s="5"/>
    </row>
    <row r="771" spans="1:17" ht="16.5">
      <c r="A771" s="14">
        <f>C768</f>
        <v>32194988</v>
      </c>
      <c r="B771" s="15">
        <f>G768</f>
        <v>0</v>
      </c>
      <c r="C771" s="12">
        <f>E768</f>
        <v>8827691</v>
      </c>
      <c r="D771" s="12">
        <f>A771+B771-C771</f>
        <v>23367297</v>
      </c>
      <c r="E771" s="13">
        <f>I768-D771</f>
        <v>0</v>
      </c>
      <c r="F771" s="12"/>
      <c r="G771" s="12"/>
      <c r="H771" s="12"/>
      <c r="I771" s="12"/>
      <c r="L771" s="5"/>
      <c r="M771" s="5"/>
      <c r="N771" s="5"/>
      <c r="O771" s="5"/>
      <c r="Q771" s="5"/>
    </row>
    <row r="772" spans="1:17" ht="16.5">
      <c r="A772" s="14"/>
      <c r="B772" s="15"/>
      <c r="C772" s="12"/>
      <c r="D772" s="12"/>
      <c r="E772" s="13"/>
      <c r="F772" s="12"/>
      <c r="G772" s="12"/>
      <c r="H772" s="12"/>
      <c r="I772" s="12"/>
      <c r="L772" s="5"/>
      <c r="M772" s="5"/>
      <c r="N772" s="5"/>
      <c r="O772" s="5"/>
      <c r="Q772" s="5"/>
    </row>
    <row r="773" spans="1:17">
      <c r="A773" s="16" t="s">
        <v>52</v>
      </c>
      <c r="B773" s="16"/>
      <c r="C773" s="16"/>
      <c r="D773" s="17"/>
      <c r="E773" s="17"/>
      <c r="F773" s="17"/>
      <c r="G773" s="17"/>
      <c r="H773" s="17"/>
      <c r="I773" s="17"/>
      <c r="L773" s="5"/>
      <c r="M773" s="5"/>
      <c r="N773" s="5"/>
      <c r="O773" s="5"/>
      <c r="Q773" s="5"/>
    </row>
    <row r="774" spans="1:17">
      <c r="A774" s="18" t="s">
        <v>166</v>
      </c>
      <c r="B774" s="18"/>
      <c r="C774" s="18"/>
      <c r="D774" s="18"/>
      <c r="E774" s="18"/>
      <c r="F774" s="18"/>
      <c r="G774" s="18"/>
      <c r="H774" s="18"/>
      <c r="I774" s="18"/>
      <c r="J774" s="18"/>
      <c r="L774" s="5"/>
      <c r="M774" s="5"/>
      <c r="N774" s="5"/>
      <c r="O774" s="5"/>
      <c r="Q774" s="5"/>
    </row>
    <row r="775" spans="1:17">
      <c r="A775" s="19"/>
      <c r="B775" s="20"/>
      <c r="C775" s="21"/>
      <c r="D775" s="21"/>
      <c r="E775" s="21"/>
      <c r="F775" s="21"/>
      <c r="G775" s="21"/>
      <c r="H775" s="20"/>
      <c r="I775" s="20"/>
      <c r="L775" s="5"/>
      <c r="M775" s="5"/>
      <c r="N775" s="5"/>
      <c r="O775" s="5"/>
      <c r="Q775" s="5"/>
    </row>
    <row r="776" spans="1:17">
      <c r="A776" s="455" t="s">
        <v>53</v>
      </c>
      <c r="B776" s="457" t="s">
        <v>54</v>
      </c>
      <c r="C776" s="459" t="s">
        <v>168</v>
      </c>
      <c r="D776" s="461" t="s">
        <v>55</v>
      </c>
      <c r="E776" s="462"/>
      <c r="F776" s="462"/>
      <c r="G776" s="463"/>
      <c r="H776" s="464" t="s">
        <v>56</v>
      </c>
      <c r="I776" s="451" t="s">
        <v>57</v>
      </c>
      <c r="J776" s="20"/>
      <c r="L776" s="5"/>
      <c r="M776" s="5"/>
      <c r="N776" s="5"/>
      <c r="O776" s="5"/>
      <c r="Q776" s="5"/>
    </row>
    <row r="777" spans="1:17" ht="28.5" customHeight="1">
      <c r="A777" s="456"/>
      <c r="B777" s="458"/>
      <c r="C777" s="460"/>
      <c r="D777" s="22" t="s">
        <v>24</v>
      </c>
      <c r="E777" s="22" t="s">
        <v>25</v>
      </c>
      <c r="F777" s="184" t="s">
        <v>123</v>
      </c>
      <c r="G777" s="22" t="s">
        <v>58</v>
      </c>
      <c r="H777" s="465"/>
      <c r="I777" s="452"/>
      <c r="J777" s="453" t="s">
        <v>176</v>
      </c>
      <c r="K777" s="155"/>
      <c r="L777" s="5"/>
      <c r="M777" s="5"/>
      <c r="N777" s="5"/>
      <c r="O777" s="5"/>
      <c r="Q777" s="5"/>
    </row>
    <row r="778" spans="1:17">
      <c r="A778" s="24"/>
      <c r="B778" s="25" t="s">
        <v>59</v>
      </c>
      <c r="C778" s="26"/>
      <c r="D778" s="26"/>
      <c r="E778" s="26"/>
      <c r="F778" s="26"/>
      <c r="G778" s="26"/>
      <c r="H778" s="26"/>
      <c r="I778" s="27"/>
      <c r="J778" s="454"/>
      <c r="K778" s="155"/>
      <c r="L778" s="5"/>
      <c r="M778" s="5"/>
      <c r="N778" s="5"/>
      <c r="O778" s="5"/>
      <c r="Q778" s="5"/>
    </row>
    <row r="779" spans="1:17">
      <c r="A779" s="130" t="s">
        <v>98</v>
      </c>
      <c r="B779" s="135" t="s">
        <v>160</v>
      </c>
      <c r="C779" s="33">
        <f>+C753</f>
        <v>6757</v>
      </c>
      <c r="D779" s="32"/>
      <c r="E779" s="33">
        <f>D753</f>
        <v>337000</v>
      </c>
      <c r="F779" s="33"/>
      <c r="G779" s="33"/>
      <c r="H779" s="57">
        <f>+F753</f>
        <v>0</v>
      </c>
      <c r="I779" s="33">
        <f>+E753</f>
        <v>314650</v>
      </c>
      <c r="J779" s="31">
        <f>+SUM(C779:G779)-(H779+I779)</f>
        <v>29107</v>
      </c>
      <c r="K779" s="156" t="b">
        <f>J779=I753</f>
        <v>1</v>
      </c>
      <c r="L779" s="5"/>
      <c r="M779" s="5"/>
      <c r="N779" s="5"/>
      <c r="O779" s="5"/>
      <c r="Q779" s="5"/>
    </row>
    <row r="780" spans="1:17">
      <c r="A780" s="130" t="str">
        <f>A779</f>
        <v>NOVEMBRE</v>
      </c>
      <c r="B780" s="135" t="s">
        <v>169</v>
      </c>
      <c r="C780" s="33">
        <f>+C754</f>
        <v>0</v>
      </c>
      <c r="D780" s="32"/>
      <c r="E780" s="33">
        <f>+D754</f>
        <v>118000</v>
      </c>
      <c r="F780" s="33"/>
      <c r="G780" s="33"/>
      <c r="H780" s="57">
        <f>+F754</f>
        <v>0</v>
      </c>
      <c r="I780" s="33">
        <f>+E754</f>
        <v>114000</v>
      </c>
      <c r="J780" s="31">
        <f t="shared" ref="J780:J781" si="456">+SUM(C780:G780)-(H780+I780)</f>
        <v>4000</v>
      </c>
      <c r="K780" s="156" t="b">
        <f>J780=I754</f>
        <v>1</v>
      </c>
      <c r="L780" s="5"/>
      <c r="M780" s="5"/>
      <c r="N780" s="5"/>
      <c r="O780" s="5"/>
      <c r="Q780" s="5"/>
    </row>
    <row r="781" spans="1:17">
      <c r="A781" s="130" t="str">
        <f>+A780</f>
        <v>NOVEMBRE</v>
      </c>
      <c r="B781" s="135" t="s">
        <v>47</v>
      </c>
      <c r="C781" s="33">
        <f>+C758</f>
        <v>7200</v>
      </c>
      <c r="D781" s="32"/>
      <c r="E781" s="33">
        <f>+D758</f>
        <v>286000</v>
      </c>
      <c r="F781" s="33"/>
      <c r="G781" s="33"/>
      <c r="H781" s="57">
        <f>+F758</f>
        <v>70000</v>
      </c>
      <c r="I781" s="33">
        <f>+E758</f>
        <v>226875</v>
      </c>
      <c r="J781" s="107">
        <f t="shared" si="456"/>
        <v>-3675</v>
      </c>
      <c r="K781" s="156" t="b">
        <f>J781=I758</f>
        <v>1</v>
      </c>
      <c r="L781" s="5"/>
      <c r="M781" s="5"/>
      <c r="N781" s="5"/>
      <c r="O781" s="5"/>
      <c r="Q781" s="5"/>
    </row>
    <row r="782" spans="1:17">
      <c r="A782" s="130" t="str">
        <f t="shared" ref="A782:A790" si="457">+A781</f>
        <v>NOVEMBRE</v>
      </c>
      <c r="B782" s="136" t="s">
        <v>31</v>
      </c>
      <c r="C782" s="33">
        <f>+C759</f>
        <v>10095</v>
      </c>
      <c r="D782" s="127"/>
      <c r="E782" s="33">
        <f>+D759</f>
        <v>70500</v>
      </c>
      <c r="F782" s="53"/>
      <c r="G782" s="53"/>
      <c r="H782" s="57">
        <f>+F759</f>
        <v>0</v>
      </c>
      <c r="I782" s="33">
        <f>+E759</f>
        <v>73000</v>
      </c>
      <c r="J782" s="132">
        <f>+SUM(C782:G782)-(H782+I782)</f>
        <v>7595</v>
      </c>
      <c r="K782" s="156" t="b">
        <f t="shared" ref="K782:K790" si="458">J782=I759</f>
        <v>1</v>
      </c>
      <c r="L782" s="5"/>
      <c r="M782" s="5"/>
      <c r="N782" s="5"/>
      <c r="O782" s="5"/>
      <c r="Q782" s="5"/>
    </row>
    <row r="783" spans="1:17">
      <c r="A783" s="130" t="str">
        <f t="shared" si="457"/>
        <v>NOVEMBRE</v>
      </c>
      <c r="B783" s="137" t="s">
        <v>84</v>
      </c>
      <c r="C783" s="128">
        <f>+C760</f>
        <v>233614</v>
      </c>
      <c r="D783" s="131"/>
      <c r="E783" s="128">
        <f>+D760</f>
        <v>0</v>
      </c>
      <c r="F783" s="146"/>
      <c r="G783" s="146"/>
      <c r="H783" s="178">
        <f>+F760</f>
        <v>0</v>
      </c>
      <c r="I783" s="128">
        <f>+E760</f>
        <v>0</v>
      </c>
      <c r="J783" s="129">
        <f>+SUM(C783:G783)-(H783+I783)</f>
        <v>233614</v>
      </c>
      <c r="K783" s="156" t="b">
        <f t="shared" si="458"/>
        <v>1</v>
      </c>
      <c r="L783" s="5"/>
      <c r="M783" s="5"/>
      <c r="N783" s="5"/>
      <c r="O783" s="5"/>
      <c r="Q783" s="5"/>
    </row>
    <row r="784" spans="1:17">
      <c r="A784" s="130" t="str">
        <f t="shared" si="457"/>
        <v>NOVEMBRE</v>
      </c>
      <c r="B784" s="137" t="s">
        <v>83</v>
      </c>
      <c r="C784" s="128">
        <f>+C761</f>
        <v>249769</v>
      </c>
      <c r="D784" s="131"/>
      <c r="E784" s="128">
        <f>+D761</f>
        <v>0</v>
      </c>
      <c r="F784" s="146"/>
      <c r="G784" s="146"/>
      <c r="H784" s="178">
        <f>+F761</f>
        <v>0</v>
      </c>
      <c r="I784" s="128">
        <f>+E761</f>
        <v>0</v>
      </c>
      <c r="J784" s="129">
        <f t="shared" ref="J784:J790" si="459">+SUM(C784:G784)-(H784+I784)</f>
        <v>249769</v>
      </c>
      <c r="K784" s="156" t="b">
        <f t="shared" si="458"/>
        <v>1</v>
      </c>
      <c r="L784" s="5"/>
      <c r="M784" s="5"/>
      <c r="N784" s="5"/>
      <c r="O784" s="5"/>
      <c r="Q784" s="5"/>
    </row>
    <row r="785" spans="1:17">
      <c r="A785" s="130" t="str">
        <f t="shared" si="457"/>
        <v>NOVEMBRE</v>
      </c>
      <c r="B785" s="135" t="s">
        <v>151</v>
      </c>
      <c r="C785" s="33">
        <f>+C762</f>
        <v>3550</v>
      </c>
      <c r="D785" s="32"/>
      <c r="E785" s="33">
        <f>+D762</f>
        <v>43000</v>
      </c>
      <c r="F785" s="33"/>
      <c r="G785" s="110"/>
      <c r="H785" s="57">
        <f>+F762</f>
        <v>0</v>
      </c>
      <c r="I785" s="33">
        <f>+E762</f>
        <v>52550</v>
      </c>
      <c r="J785" s="31">
        <f t="shared" si="459"/>
        <v>-6000</v>
      </c>
      <c r="K785" s="156" t="b">
        <f t="shared" si="458"/>
        <v>1</v>
      </c>
      <c r="L785" s="5"/>
      <c r="M785" s="5"/>
      <c r="N785" s="5"/>
      <c r="O785" s="5"/>
      <c r="Q785" s="5"/>
    </row>
    <row r="786" spans="1:17">
      <c r="A786" s="130" t="str">
        <f t="shared" si="457"/>
        <v>NOVEMBRE</v>
      </c>
      <c r="B786" s="135" t="s">
        <v>150</v>
      </c>
      <c r="C786" s="33">
        <f t="shared" ref="C786:C790" si="460">+C763</f>
        <v>61300</v>
      </c>
      <c r="D786" s="32"/>
      <c r="E786" s="33">
        <f t="shared" ref="E786:E790" si="461">+D763</f>
        <v>53000</v>
      </c>
      <c r="F786" s="33"/>
      <c r="G786" s="110"/>
      <c r="H786" s="57">
        <f t="shared" ref="H786:H790" si="462">+F763</f>
        <v>20000</v>
      </c>
      <c r="I786" s="33">
        <f t="shared" ref="I786:I790" si="463">+E763</f>
        <v>45900</v>
      </c>
      <c r="J786" s="31">
        <f t="shared" si="459"/>
        <v>48400</v>
      </c>
      <c r="K786" s="156" t="b">
        <f t="shared" si="458"/>
        <v>1</v>
      </c>
      <c r="L786" s="5"/>
      <c r="M786" s="5"/>
      <c r="N786" s="5"/>
      <c r="O786" s="5"/>
      <c r="Q786" s="5"/>
    </row>
    <row r="787" spans="1:17">
      <c r="A787" s="130" t="str">
        <f t="shared" si="457"/>
        <v>NOVEMBRE</v>
      </c>
      <c r="B787" s="135" t="s">
        <v>30</v>
      </c>
      <c r="C787" s="33">
        <f t="shared" si="460"/>
        <v>10800</v>
      </c>
      <c r="D787" s="32"/>
      <c r="E787" s="33">
        <f t="shared" si="461"/>
        <v>488000</v>
      </c>
      <c r="F787" s="33"/>
      <c r="G787" s="110"/>
      <c r="H787" s="57">
        <f t="shared" si="462"/>
        <v>0</v>
      </c>
      <c r="I787" s="33">
        <f t="shared" si="463"/>
        <v>492000</v>
      </c>
      <c r="J787" s="31">
        <f t="shared" si="459"/>
        <v>6800</v>
      </c>
      <c r="K787" s="156" t="b">
        <f t="shared" si="458"/>
        <v>1</v>
      </c>
      <c r="L787" s="5"/>
      <c r="M787" s="5"/>
      <c r="N787" s="5"/>
      <c r="O787" s="5"/>
      <c r="Q787" s="5"/>
    </row>
    <row r="788" spans="1:17">
      <c r="A788" s="130" t="str">
        <f>+A786</f>
        <v>NOVEMBRE</v>
      </c>
      <c r="B788" s="135" t="s">
        <v>93</v>
      </c>
      <c r="C788" s="33">
        <f t="shared" si="460"/>
        <v>9500</v>
      </c>
      <c r="D788" s="32"/>
      <c r="E788" s="33">
        <f t="shared" si="461"/>
        <v>20000</v>
      </c>
      <c r="F788" s="33"/>
      <c r="G788" s="110"/>
      <c r="H788" s="57">
        <f t="shared" si="462"/>
        <v>0</v>
      </c>
      <c r="I788" s="33">
        <f t="shared" si="463"/>
        <v>24000</v>
      </c>
      <c r="J788" s="31">
        <f t="shared" si="459"/>
        <v>5500</v>
      </c>
      <c r="K788" s="156" t="b">
        <f t="shared" si="458"/>
        <v>1</v>
      </c>
      <c r="L788" s="5"/>
      <c r="M788" s="5"/>
      <c r="N788" s="5"/>
      <c r="O788" s="5"/>
      <c r="Q788" s="5"/>
    </row>
    <row r="789" spans="1:17">
      <c r="A789" s="130" t="str">
        <f>+A787</f>
        <v>NOVEMBRE</v>
      </c>
      <c r="B789" s="135" t="s">
        <v>29</v>
      </c>
      <c r="C789" s="33">
        <f t="shared" si="460"/>
        <v>21200</v>
      </c>
      <c r="D789" s="32"/>
      <c r="E789" s="33">
        <f t="shared" si="461"/>
        <v>543000</v>
      </c>
      <c r="F789" s="33"/>
      <c r="G789" s="110"/>
      <c r="H789" s="57">
        <f t="shared" si="462"/>
        <v>0</v>
      </c>
      <c r="I789" s="33">
        <f t="shared" si="463"/>
        <v>533500</v>
      </c>
      <c r="J789" s="31">
        <f t="shared" si="459"/>
        <v>30700</v>
      </c>
      <c r="K789" s="156" t="b">
        <f t="shared" si="458"/>
        <v>1</v>
      </c>
      <c r="L789" s="5"/>
      <c r="M789" s="5"/>
      <c r="N789" s="5"/>
      <c r="O789" s="5"/>
      <c r="Q789" s="5"/>
    </row>
    <row r="790" spans="1:17">
      <c r="A790" s="130" t="str">
        <f t="shared" si="457"/>
        <v>NOVEMBRE</v>
      </c>
      <c r="B790" s="136" t="s">
        <v>113</v>
      </c>
      <c r="C790" s="33">
        <f t="shared" si="460"/>
        <v>26193</v>
      </c>
      <c r="D790" s="127"/>
      <c r="E790" s="33">
        <f t="shared" si="461"/>
        <v>36000</v>
      </c>
      <c r="F790" s="53"/>
      <c r="G790" s="147"/>
      <c r="H790" s="57">
        <f t="shared" si="462"/>
        <v>0</v>
      </c>
      <c r="I790" s="33">
        <f t="shared" si="463"/>
        <v>53000</v>
      </c>
      <c r="J790" s="31">
        <f t="shared" si="459"/>
        <v>9193</v>
      </c>
      <c r="K790" s="156" t="b">
        <f t="shared" si="458"/>
        <v>1</v>
      </c>
      <c r="L790" s="5"/>
      <c r="M790" s="5"/>
      <c r="N790" s="5"/>
      <c r="O790" s="5"/>
      <c r="Q790" s="5"/>
    </row>
    <row r="791" spans="1:17">
      <c r="A791" s="35" t="s">
        <v>60</v>
      </c>
      <c r="B791" s="36"/>
      <c r="C791" s="36"/>
      <c r="D791" s="36"/>
      <c r="E791" s="36"/>
      <c r="F791" s="36"/>
      <c r="G791" s="36"/>
      <c r="H791" s="36"/>
      <c r="I791" s="36"/>
      <c r="J791" s="37"/>
      <c r="K791" s="155"/>
      <c r="L791" s="5"/>
      <c r="M791" s="5"/>
      <c r="N791" s="5"/>
      <c r="O791" s="5"/>
      <c r="Q791" s="5"/>
    </row>
    <row r="792" spans="1:17">
      <c r="A792" s="130" t="str">
        <f>+A790</f>
        <v>NOVEMBRE</v>
      </c>
      <c r="B792" s="38" t="s">
        <v>61</v>
      </c>
      <c r="C792" s="39">
        <f>+C757</f>
        <v>1685107</v>
      </c>
      <c r="D792" s="51"/>
      <c r="E792" s="51">
        <f>D757</f>
        <v>4090000</v>
      </c>
      <c r="F792" s="51"/>
      <c r="G792" s="133"/>
      <c r="H792" s="53">
        <f>+F757</f>
        <v>1994500</v>
      </c>
      <c r="I792" s="134">
        <f>+E757</f>
        <v>2854238</v>
      </c>
      <c r="J792" s="46">
        <f>+SUM(C792:G792)-(H792+I792)</f>
        <v>926369</v>
      </c>
      <c r="K792" s="156" t="b">
        <f>J792=I757</f>
        <v>1</v>
      </c>
      <c r="L792" s="5"/>
      <c r="M792" s="5"/>
      <c r="N792" s="5"/>
      <c r="O792" s="5"/>
      <c r="Q792" s="5"/>
    </row>
    <row r="793" spans="1:17">
      <c r="A793" s="44" t="s">
        <v>62</v>
      </c>
      <c r="B793" s="25"/>
      <c r="C793" s="36"/>
      <c r="D793" s="25"/>
      <c r="E793" s="25"/>
      <c r="F793" s="25"/>
      <c r="G793" s="25"/>
      <c r="H793" s="25"/>
      <c r="I793" s="25"/>
      <c r="J793" s="37"/>
      <c r="K793" s="155"/>
      <c r="L793" s="5"/>
      <c r="M793" s="5"/>
      <c r="N793" s="5"/>
      <c r="O793" s="5"/>
      <c r="Q793" s="5"/>
    </row>
    <row r="794" spans="1:17">
      <c r="A794" s="130" t="str">
        <f>+A792</f>
        <v>NOVEMBRE</v>
      </c>
      <c r="B794" s="38" t="s">
        <v>163</v>
      </c>
      <c r="C794" s="133">
        <f>+C755</f>
        <v>6762063</v>
      </c>
      <c r="D794" s="140">
        <f>+G755</f>
        <v>0</v>
      </c>
      <c r="E794" s="51"/>
      <c r="F794" s="51"/>
      <c r="G794" s="51"/>
      <c r="H794" s="53">
        <f>+F755</f>
        <v>1000000</v>
      </c>
      <c r="I794" s="55">
        <f>+E755</f>
        <v>23345</v>
      </c>
      <c r="J794" s="46">
        <f>+SUM(C794:G794)-(H794+I794)</f>
        <v>5738718</v>
      </c>
      <c r="K794" s="156" t="b">
        <f>+J794=I755</f>
        <v>1</v>
      </c>
      <c r="L794" s="5"/>
      <c r="M794" s="5"/>
      <c r="N794" s="5"/>
      <c r="O794" s="5"/>
      <c r="Q794" s="5"/>
    </row>
    <row r="795" spans="1:17">
      <c r="A795" s="130" t="str">
        <f t="shared" ref="A795" si="464">+A794</f>
        <v>NOVEMBRE</v>
      </c>
      <c r="B795" s="38" t="s">
        <v>64</v>
      </c>
      <c r="C795" s="133">
        <f>+C756</f>
        <v>23107840</v>
      </c>
      <c r="D795" s="51">
        <f>+G756</f>
        <v>0</v>
      </c>
      <c r="E795" s="50"/>
      <c r="F795" s="50"/>
      <c r="G795" s="50"/>
      <c r="H795" s="33">
        <f>+F756</f>
        <v>3000000</v>
      </c>
      <c r="I795" s="52">
        <f>+E756</f>
        <v>4020633</v>
      </c>
      <c r="J795" s="46">
        <f>SUM(C795:G795)-(H795+I795)</f>
        <v>16087207</v>
      </c>
      <c r="K795" s="156" t="b">
        <f>+J795=I756</f>
        <v>1</v>
      </c>
      <c r="L795" s="5"/>
      <c r="M795" s="5"/>
      <c r="N795" s="5"/>
      <c r="O795" s="5"/>
      <c r="Q795" s="5"/>
    </row>
    <row r="796" spans="1:17" ht="15.75">
      <c r="C796" s="151">
        <f>SUM(C780:C795)</f>
        <v>32188231</v>
      </c>
      <c r="I796" s="149">
        <f>SUM(I780:I795)</f>
        <v>8513041</v>
      </c>
      <c r="J796" s="111">
        <f>+SUM(J779:J795)</f>
        <v>23367297</v>
      </c>
      <c r="K796" s="5" t="b">
        <f>J796=I768</f>
        <v>1</v>
      </c>
      <c r="L796" s="5"/>
      <c r="M796" s="5"/>
      <c r="N796" s="5"/>
      <c r="O796" s="5"/>
      <c r="Q796" s="5"/>
    </row>
    <row r="797" spans="1:17">
      <c r="G797" s="9"/>
      <c r="L797" s="5"/>
      <c r="M797" s="5"/>
      <c r="N797" s="5"/>
      <c r="O797" s="5"/>
      <c r="Q797" s="5"/>
    </row>
    <row r="798" spans="1:17">
      <c r="A798" s="16" t="s">
        <v>52</v>
      </c>
      <c r="B798" s="16"/>
      <c r="C798" s="16"/>
      <c r="D798" s="17"/>
      <c r="E798" s="17"/>
      <c r="F798" s="17"/>
      <c r="G798" s="17"/>
      <c r="H798" s="17"/>
      <c r="I798" s="17"/>
      <c r="L798" s="5"/>
      <c r="M798" s="5"/>
      <c r="N798" s="5"/>
      <c r="O798" s="5"/>
      <c r="Q798" s="5"/>
    </row>
    <row r="799" spans="1:17">
      <c r="A799" s="18" t="s">
        <v>159</v>
      </c>
      <c r="B799" s="18"/>
      <c r="C799" s="18"/>
      <c r="D799" s="18"/>
      <c r="E799" s="18"/>
      <c r="F799" s="18"/>
      <c r="G799" s="18"/>
      <c r="H799" s="18"/>
      <c r="I799" s="18"/>
      <c r="J799" s="18"/>
      <c r="L799" s="5"/>
      <c r="M799" s="5"/>
      <c r="N799" s="5"/>
      <c r="O799" s="5"/>
      <c r="Q799" s="5"/>
    </row>
    <row r="800" spans="1:17">
      <c r="A800" s="19"/>
      <c r="B800" s="20"/>
      <c r="C800" s="21"/>
      <c r="D800" s="21"/>
      <c r="E800" s="21"/>
      <c r="F800" s="21"/>
      <c r="G800" s="21"/>
      <c r="H800" s="20"/>
      <c r="I800" s="20"/>
      <c r="L800" s="5"/>
      <c r="M800" s="5"/>
      <c r="N800" s="5"/>
      <c r="O800" s="5"/>
      <c r="Q800" s="5"/>
    </row>
    <row r="801" spans="1:17">
      <c r="A801" s="455" t="s">
        <v>53</v>
      </c>
      <c r="B801" s="457" t="s">
        <v>54</v>
      </c>
      <c r="C801" s="459" t="s">
        <v>156</v>
      </c>
      <c r="D801" s="461" t="s">
        <v>55</v>
      </c>
      <c r="E801" s="462"/>
      <c r="F801" s="462"/>
      <c r="G801" s="463"/>
      <c r="H801" s="464" t="s">
        <v>56</v>
      </c>
      <c r="I801" s="451" t="s">
        <v>57</v>
      </c>
      <c r="J801" s="20"/>
      <c r="L801" s="5"/>
      <c r="M801" s="5"/>
      <c r="N801" s="5"/>
      <c r="O801" s="5"/>
      <c r="Q801" s="5"/>
    </row>
    <row r="802" spans="1:17">
      <c r="A802" s="456"/>
      <c r="B802" s="458"/>
      <c r="C802" s="460"/>
      <c r="D802" s="22" t="s">
        <v>24</v>
      </c>
      <c r="E802" s="22" t="s">
        <v>25</v>
      </c>
      <c r="F802" s="180" t="s">
        <v>123</v>
      </c>
      <c r="G802" s="22" t="s">
        <v>58</v>
      </c>
      <c r="H802" s="465"/>
      <c r="I802" s="452"/>
      <c r="J802" s="453" t="s">
        <v>157</v>
      </c>
      <c r="K802" s="155"/>
      <c r="L802" s="5"/>
      <c r="M802" s="5"/>
      <c r="N802" s="5"/>
      <c r="O802" s="5"/>
      <c r="Q802" s="5"/>
    </row>
    <row r="803" spans="1:17">
      <c r="A803" s="24"/>
      <c r="B803" s="25" t="s">
        <v>59</v>
      </c>
      <c r="C803" s="26"/>
      <c r="D803" s="26"/>
      <c r="E803" s="26"/>
      <c r="F803" s="26"/>
      <c r="G803" s="26"/>
      <c r="H803" s="26"/>
      <c r="I803" s="27"/>
      <c r="J803" s="454"/>
      <c r="K803" s="155"/>
      <c r="L803" s="5"/>
      <c r="M803" s="5"/>
      <c r="N803" s="5"/>
      <c r="O803" s="5"/>
      <c r="Q803" s="5"/>
    </row>
    <row r="804" spans="1:17">
      <c r="A804" s="130" t="s">
        <v>90</v>
      </c>
      <c r="B804" s="135" t="s">
        <v>160</v>
      </c>
      <c r="C804" s="33">
        <f>+C753</f>
        <v>6757</v>
      </c>
      <c r="D804" s="32"/>
      <c r="E804" s="33">
        <f>+D753</f>
        <v>337000</v>
      </c>
      <c r="F804" s="33"/>
      <c r="G804" s="33"/>
      <c r="H804" s="57">
        <f>+F753</f>
        <v>0</v>
      </c>
      <c r="I804" s="33">
        <f>+E753</f>
        <v>314650</v>
      </c>
      <c r="J804" s="31">
        <f>+SUM(C804:G804)-(H804+I804)</f>
        <v>29107</v>
      </c>
      <c r="K804" s="156" t="b">
        <f>J804=I753</f>
        <v>1</v>
      </c>
      <c r="L804" s="5"/>
      <c r="M804" s="5"/>
      <c r="N804" s="5"/>
      <c r="O804" s="5"/>
      <c r="Q804" s="5"/>
    </row>
    <row r="805" spans="1:17">
      <c r="A805" s="130" t="s">
        <v>90</v>
      </c>
      <c r="B805" s="135" t="s">
        <v>47</v>
      </c>
      <c r="C805" s="33">
        <f t="shared" ref="C805:C814" si="465">C757</f>
        <v>1685107</v>
      </c>
      <c r="D805" s="32"/>
      <c r="E805" s="33">
        <f>+D757</f>
        <v>4090000</v>
      </c>
      <c r="F805" s="33"/>
      <c r="G805" s="33"/>
      <c r="H805" s="57">
        <f t="shared" ref="H805:H814" si="466">+F757</f>
        <v>1994500</v>
      </c>
      <c r="I805" s="33">
        <f t="shared" ref="I805:I814" si="467">+E757</f>
        <v>2854238</v>
      </c>
      <c r="J805" s="31">
        <f t="shared" ref="J805:J806" si="468">+SUM(C805:G805)-(H805+I805)</f>
        <v>926369</v>
      </c>
      <c r="K805" s="156" t="b">
        <f t="shared" ref="K805:K815" si="469">J805=I757</f>
        <v>1</v>
      </c>
      <c r="L805" s="5"/>
      <c r="M805" s="5"/>
      <c r="N805" s="5"/>
      <c r="O805" s="5"/>
      <c r="Q805" s="5"/>
    </row>
    <row r="806" spans="1:17">
      <c r="A806" s="130" t="str">
        <f>+A805</f>
        <v>OCTOBRE</v>
      </c>
      <c r="B806" s="135" t="s">
        <v>31</v>
      </c>
      <c r="C806" s="33">
        <f t="shared" si="465"/>
        <v>7200</v>
      </c>
      <c r="D806" s="32"/>
      <c r="E806" s="33">
        <f>+D758</f>
        <v>286000</v>
      </c>
      <c r="F806" s="33"/>
      <c r="G806" s="33"/>
      <c r="H806" s="57">
        <f t="shared" si="466"/>
        <v>70000</v>
      </c>
      <c r="I806" s="33">
        <f t="shared" si="467"/>
        <v>226875</v>
      </c>
      <c r="J806" s="107">
        <f t="shared" si="468"/>
        <v>-3675</v>
      </c>
      <c r="K806" s="156" t="b">
        <f t="shared" si="469"/>
        <v>1</v>
      </c>
      <c r="L806" s="5"/>
      <c r="M806" s="5"/>
      <c r="N806" s="5"/>
      <c r="O806" s="5"/>
      <c r="Q806" s="5"/>
    </row>
    <row r="807" spans="1:17">
      <c r="A807" s="130" t="str">
        <f t="shared" ref="A807:A815" si="470">+A806</f>
        <v>OCTOBRE</v>
      </c>
      <c r="B807" s="136" t="s">
        <v>151</v>
      </c>
      <c r="C807" s="33">
        <f t="shared" si="465"/>
        <v>10095</v>
      </c>
      <c r="D807" s="127"/>
      <c r="E807" s="33">
        <f>D759</f>
        <v>70500</v>
      </c>
      <c r="F807" s="53"/>
      <c r="G807" s="53"/>
      <c r="H807" s="57">
        <f t="shared" si="466"/>
        <v>0</v>
      </c>
      <c r="I807" s="33">
        <f t="shared" si="467"/>
        <v>73000</v>
      </c>
      <c r="J807" s="132">
        <f>+SUM(C807:G807)-(H807+I807)</f>
        <v>7595</v>
      </c>
      <c r="K807" s="156" t="b">
        <f t="shared" si="469"/>
        <v>1</v>
      </c>
      <c r="L807" s="5"/>
      <c r="M807" s="5"/>
      <c r="N807" s="5"/>
      <c r="O807" s="5"/>
      <c r="Q807" s="5"/>
    </row>
    <row r="808" spans="1:17">
      <c r="A808" s="130" t="str">
        <f t="shared" si="470"/>
        <v>OCTOBRE</v>
      </c>
      <c r="B808" s="137" t="s">
        <v>84</v>
      </c>
      <c r="C808" s="128">
        <f t="shared" si="465"/>
        <v>233614</v>
      </c>
      <c r="D808" s="131"/>
      <c r="E808" s="128">
        <f t="shared" ref="E808:E812" si="471">+D760</f>
        <v>0</v>
      </c>
      <c r="F808" s="146"/>
      <c r="G808" s="146"/>
      <c r="H808" s="178">
        <f t="shared" si="466"/>
        <v>0</v>
      </c>
      <c r="I808" s="128">
        <f t="shared" si="467"/>
        <v>0</v>
      </c>
      <c r="J808" s="129">
        <f>+SUM(C808:G808)-(H808+I808)</f>
        <v>233614</v>
      </c>
      <c r="K808" s="156" t="b">
        <f t="shared" si="469"/>
        <v>1</v>
      </c>
      <c r="L808" s="5"/>
      <c r="M808" s="5"/>
      <c r="N808" s="5"/>
      <c r="O808" s="5"/>
      <c r="Q808" s="5"/>
    </row>
    <row r="809" spans="1:17">
      <c r="A809" s="130" t="str">
        <f t="shared" si="470"/>
        <v>OCTOBRE</v>
      </c>
      <c r="B809" s="137" t="s">
        <v>83</v>
      </c>
      <c r="C809" s="128">
        <f t="shared" si="465"/>
        <v>249769</v>
      </c>
      <c r="D809" s="131"/>
      <c r="E809" s="128">
        <f t="shared" si="471"/>
        <v>0</v>
      </c>
      <c r="F809" s="146"/>
      <c r="G809" s="146"/>
      <c r="H809" s="178">
        <f t="shared" si="466"/>
        <v>0</v>
      </c>
      <c r="I809" s="128">
        <f t="shared" si="467"/>
        <v>0</v>
      </c>
      <c r="J809" s="129">
        <f t="shared" ref="J809:J815" si="472">+SUM(C809:G809)-(H809+I809)</f>
        <v>249769</v>
      </c>
      <c r="K809" s="156" t="b">
        <f t="shared" si="469"/>
        <v>1</v>
      </c>
      <c r="L809" s="5"/>
      <c r="M809" s="5"/>
      <c r="N809" s="5"/>
      <c r="O809" s="5"/>
      <c r="Q809" s="5"/>
    </row>
    <row r="810" spans="1:17">
      <c r="A810" s="130" t="str">
        <f t="shared" si="470"/>
        <v>OCTOBRE</v>
      </c>
      <c r="B810" s="135" t="s">
        <v>150</v>
      </c>
      <c r="C810" s="33">
        <f t="shared" si="465"/>
        <v>3550</v>
      </c>
      <c r="D810" s="32"/>
      <c r="E810" s="33">
        <f t="shared" si="471"/>
        <v>43000</v>
      </c>
      <c r="F810" s="33"/>
      <c r="G810" s="110"/>
      <c r="H810" s="57">
        <f t="shared" si="466"/>
        <v>0</v>
      </c>
      <c r="I810" s="33">
        <f t="shared" si="467"/>
        <v>52550</v>
      </c>
      <c r="J810" s="31">
        <f t="shared" si="472"/>
        <v>-6000</v>
      </c>
      <c r="K810" s="156" t="b">
        <f t="shared" si="469"/>
        <v>1</v>
      </c>
      <c r="L810" s="5"/>
      <c r="M810" s="5"/>
      <c r="N810" s="5"/>
      <c r="O810" s="5"/>
      <c r="Q810" s="5"/>
    </row>
    <row r="811" spans="1:17">
      <c r="A811" s="130" t="str">
        <f t="shared" si="470"/>
        <v>OCTOBRE</v>
      </c>
      <c r="B811" s="135" t="s">
        <v>30</v>
      </c>
      <c r="C811" s="33">
        <f t="shared" si="465"/>
        <v>61300</v>
      </c>
      <c r="D811" s="32"/>
      <c r="E811" s="33">
        <f t="shared" si="471"/>
        <v>53000</v>
      </c>
      <c r="F811" s="33"/>
      <c r="G811" s="110"/>
      <c r="H811" s="57">
        <f t="shared" si="466"/>
        <v>20000</v>
      </c>
      <c r="I811" s="33">
        <f t="shared" si="467"/>
        <v>45900</v>
      </c>
      <c r="J811" s="31">
        <f t="shared" si="472"/>
        <v>48400</v>
      </c>
      <c r="K811" s="156" t="b">
        <f t="shared" si="469"/>
        <v>1</v>
      </c>
      <c r="L811" s="5"/>
      <c r="M811" s="5"/>
      <c r="N811" s="5"/>
      <c r="O811" s="5"/>
      <c r="Q811" s="5"/>
    </row>
    <row r="812" spans="1:17">
      <c r="A812" s="130" t="str">
        <f t="shared" si="470"/>
        <v>OCTOBRE</v>
      </c>
      <c r="B812" s="135" t="s">
        <v>93</v>
      </c>
      <c r="C812" s="33">
        <f t="shared" si="465"/>
        <v>10800</v>
      </c>
      <c r="D812" s="32"/>
      <c r="E812" s="33">
        <f t="shared" si="471"/>
        <v>488000</v>
      </c>
      <c r="F812" s="33"/>
      <c r="G812" s="110"/>
      <c r="H812" s="57">
        <f t="shared" si="466"/>
        <v>0</v>
      </c>
      <c r="I812" s="33">
        <f t="shared" si="467"/>
        <v>492000</v>
      </c>
      <c r="J812" s="31">
        <f t="shared" si="472"/>
        <v>6800</v>
      </c>
      <c r="K812" s="156" t="b">
        <f t="shared" si="469"/>
        <v>1</v>
      </c>
      <c r="L812" s="5"/>
      <c r="M812" s="5"/>
      <c r="N812" s="5"/>
      <c r="O812" s="5"/>
      <c r="Q812" s="5"/>
    </row>
    <row r="813" spans="1:17">
      <c r="A813" s="130" t="str">
        <f>+A811</f>
        <v>OCTOBRE</v>
      </c>
      <c r="B813" s="135" t="s">
        <v>29</v>
      </c>
      <c r="C813" s="33">
        <f t="shared" si="465"/>
        <v>9500</v>
      </c>
      <c r="D813" s="32"/>
      <c r="E813" s="33">
        <f>+D765</f>
        <v>20000</v>
      </c>
      <c r="F813" s="33"/>
      <c r="G813" s="110"/>
      <c r="H813" s="57">
        <f t="shared" si="466"/>
        <v>0</v>
      </c>
      <c r="I813" s="33">
        <f t="shared" si="467"/>
        <v>24000</v>
      </c>
      <c r="J813" s="31">
        <f t="shared" ref="J813" si="473">+SUM(C813:G813)-(H813+I813)</f>
        <v>5500</v>
      </c>
      <c r="K813" s="156" t="b">
        <f t="shared" si="469"/>
        <v>1</v>
      </c>
      <c r="L813" s="5"/>
      <c r="M813" s="5"/>
      <c r="N813" s="5"/>
      <c r="O813" s="5"/>
      <c r="Q813" s="5"/>
    </row>
    <row r="814" spans="1:17">
      <c r="A814" s="130" t="str">
        <f>+A812</f>
        <v>OCTOBRE</v>
      </c>
      <c r="B814" s="135" t="s">
        <v>154</v>
      </c>
      <c r="C814" s="33">
        <f t="shared" si="465"/>
        <v>21200</v>
      </c>
      <c r="D814" s="32"/>
      <c r="E814" s="33">
        <f>+D766</f>
        <v>543000</v>
      </c>
      <c r="F814" s="33"/>
      <c r="G814" s="110"/>
      <c r="H814" s="57">
        <f t="shared" si="466"/>
        <v>0</v>
      </c>
      <c r="I814" s="33">
        <f t="shared" si="467"/>
        <v>533500</v>
      </c>
      <c r="J814" s="31">
        <f t="shared" si="472"/>
        <v>30700</v>
      </c>
      <c r="K814" s="156" t="b">
        <f t="shared" si="469"/>
        <v>1</v>
      </c>
      <c r="L814" s="5"/>
      <c r="M814" s="5"/>
      <c r="N814" s="5"/>
      <c r="O814" s="5"/>
      <c r="Q814" s="5"/>
    </row>
    <row r="815" spans="1:17">
      <c r="A815" s="130" t="str">
        <f t="shared" si="470"/>
        <v>OCTOBRE</v>
      </c>
      <c r="B815" s="136" t="s">
        <v>113</v>
      </c>
      <c r="C815" s="33">
        <f t="shared" ref="C815" si="474">C767</f>
        <v>26193</v>
      </c>
      <c r="D815" s="127"/>
      <c r="E815" s="33">
        <f t="shared" ref="E815" si="475">+D767</f>
        <v>36000</v>
      </c>
      <c r="F815" s="53"/>
      <c r="G815" s="147"/>
      <c r="H815" s="57">
        <f t="shared" ref="H815" si="476">+F767</f>
        <v>0</v>
      </c>
      <c r="I815" s="33">
        <f t="shared" ref="I815" si="477">+E767</f>
        <v>53000</v>
      </c>
      <c r="J815" s="31">
        <f t="shared" si="472"/>
        <v>9193</v>
      </c>
      <c r="K815" s="156" t="b">
        <f t="shared" si="469"/>
        <v>1</v>
      </c>
      <c r="L815" s="5"/>
      <c r="M815" s="5"/>
      <c r="N815" s="5"/>
      <c r="O815" s="5"/>
      <c r="Q815" s="5"/>
    </row>
    <row r="816" spans="1:17">
      <c r="A816" s="35" t="s">
        <v>60</v>
      </c>
      <c r="B816" s="36"/>
      <c r="C816" s="36"/>
      <c r="D816" s="36"/>
      <c r="E816" s="36"/>
      <c r="F816" s="36"/>
      <c r="G816" s="36"/>
      <c r="H816" s="36"/>
      <c r="I816" s="36"/>
      <c r="J816" s="37"/>
      <c r="K816" s="155"/>
      <c r="L816" s="5"/>
      <c r="M816" s="5"/>
      <c r="N816" s="5"/>
      <c r="O816" s="5"/>
      <c r="Q816" s="5"/>
    </row>
    <row r="817" spans="1:17">
      <c r="A817" s="130" t="str">
        <f>+A815</f>
        <v>OCTOBRE</v>
      </c>
      <c r="B817" s="38" t="s">
        <v>61</v>
      </c>
      <c r="C817" s="39">
        <f>C756</f>
        <v>23107840</v>
      </c>
      <c r="D817" s="51"/>
      <c r="E817" s="51">
        <f>D756</f>
        <v>0</v>
      </c>
      <c r="F817" s="51"/>
      <c r="G817" s="133"/>
      <c r="H817" s="53">
        <f>+F756</f>
        <v>3000000</v>
      </c>
      <c r="I817" s="134">
        <f>+E756</f>
        <v>4020633</v>
      </c>
      <c r="J817" s="46">
        <f>+SUM(C817:G817)-(H817+I817)</f>
        <v>16087207</v>
      </c>
      <c r="K817" s="156" t="b">
        <f>J817=I756</f>
        <v>1</v>
      </c>
      <c r="L817" s="5"/>
      <c r="M817" s="5"/>
      <c r="N817" s="5"/>
      <c r="O817" s="5"/>
      <c r="Q817" s="5"/>
    </row>
    <row r="818" spans="1:17">
      <c r="A818" s="44" t="s">
        <v>62</v>
      </c>
      <c r="B818" s="25"/>
      <c r="C818" s="36"/>
      <c r="D818" s="25"/>
      <c r="E818" s="25"/>
      <c r="F818" s="25"/>
      <c r="G818" s="25"/>
      <c r="H818" s="25"/>
      <c r="I818" s="25"/>
      <c r="J818" s="37"/>
      <c r="K818" s="155"/>
      <c r="L818" s="5"/>
      <c r="M818" s="5"/>
      <c r="N818" s="5"/>
      <c r="O818" s="5"/>
      <c r="Q818" s="5"/>
    </row>
    <row r="819" spans="1:17">
      <c r="A819" s="130" t="str">
        <f>+A817</f>
        <v>OCTOBRE</v>
      </c>
      <c r="B819" s="38" t="s">
        <v>163</v>
      </c>
      <c r="C819" s="133">
        <f>C754</f>
        <v>0</v>
      </c>
      <c r="D819" s="140">
        <f>G754</f>
        <v>0</v>
      </c>
      <c r="E819" s="51"/>
      <c r="F819" s="51"/>
      <c r="G819" s="51"/>
      <c r="H819" s="53">
        <f>+F754</f>
        <v>0</v>
      </c>
      <c r="I819" s="55">
        <f>+E754</f>
        <v>114000</v>
      </c>
      <c r="J819" s="46">
        <f>+SUM(C819:G819)-(H819+I819)</f>
        <v>-114000</v>
      </c>
      <c r="K819" s="156" t="b">
        <f>+J819=I754</f>
        <v>0</v>
      </c>
      <c r="L819" s="5"/>
      <c r="M819" s="5"/>
      <c r="N819" s="5"/>
      <c r="O819" s="5"/>
      <c r="Q819" s="5"/>
    </row>
    <row r="820" spans="1:17">
      <c r="A820" s="130" t="str">
        <f t="shared" ref="A820" si="478">+A819</f>
        <v>OCTOBRE</v>
      </c>
      <c r="B820" s="38" t="s">
        <v>64</v>
      </c>
      <c r="C820" s="133">
        <f>C755</f>
        <v>6762063</v>
      </c>
      <c r="D820" s="51">
        <f>G755</f>
        <v>0</v>
      </c>
      <c r="E820" s="50"/>
      <c r="F820" s="50"/>
      <c r="G820" s="50"/>
      <c r="H820" s="33">
        <f>+F755</f>
        <v>1000000</v>
      </c>
      <c r="I820" s="52">
        <f>+E755</f>
        <v>23345</v>
      </c>
      <c r="J820" s="46">
        <f>SUM(C820:G820)-(H820+I820)</f>
        <v>5738718</v>
      </c>
      <c r="K820" s="156" t="b">
        <f>+J820=I755</f>
        <v>1</v>
      </c>
      <c r="L820" s="5"/>
      <c r="M820" s="5"/>
      <c r="N820" s="5"/>
      <c r="O820" s="5"/>
      <c r="Q820" s="5"/>
    </row>
    <row r="821" spans="1:17" ht="15.75">
      <c r="C821" s="151">
        <f>SUM(C805:C820)</f>
        <v>32188231</v>
      </c>
      <c r="I821" s="149">
        <f>SUM(I805:I820)</f>
        <v>8513041</v>
      </c>
      <c r="J821" s="111">
        <f>+SUM(J804:J820)</f>
        <v>23249297</v>
      </c>
      <c r="K821" s="5" t="b">
        <f>J821=I768</f>
        <v>0</v>
      </c>
      <c r="L821" s="5"/>
      <c r="M821" s="5"/>
      <c r="N821" s="5"/>
      <c r="O821" s="5"/>
      <c r="Q821" s="5"/>
    </row>
    <row r="822" spans="1:17">
      <c r="G822" s="9"/>
      <c r="L822" s="5"/>
      <c r="M822" s="5"/>
      <c r="N822" s="5"/>
      <c r="O822" s="5"/>
      <c r="Q822" s="5"/>
    </row>
    <row r="823" spans="1:17">
      <c r="A823" s="16" t="s">
        <v>52</v>
      </c>
      <c r="B823" s="16"/>
      <c r="C823" s="16"/>
      <c r="D823" s="17"/>
      <c r="E823" s="17"/>
      <c r="F823" s="17"/>
      <c r="G823" s="17"/>
      <c r="H823" s="17"/>
      <c r="I823" s="17"/>
      <c r="L823" s="5"/>
      <c r="M823" s="5"/>
      <c r="N823" s="5"/>
      <c r="O823" s="5"/>
      <c r="Q823" s="5"/>
    </row>
    <row r="824" spans="1:17">
      <c r="A824" s="18" t="s">
        <v>152</v>
      </c>
      <c r="B824" s="18"/>
      <c r="C824" s="18"/>
      <c r="D824" s="18"/>
      <c r="E824" s="18"/>
      <c r="F824" s="18"/>
      <c r="G824" s="18"/>
      <c r="H824" s="18"/>
      <c r="I824" s="18"/>
      <c r="J824" s="18"/>
      <c r="L824" s="5"/>
      <c r="M824" s="5"/>
      <c r="N824" s="5"/>
      <c r="O824" s="5"/>
      <c r="Q824" s="5"/>
    </row>
    <row r="825" spans="1:17">
      <c r="A825" s="19"/>
      <c r="B825" s="20"/>
      <c r="C825" s="21"/>
      <c r="D825" s="21"/>
      <c r="E825" s="21"/>
      <c r="F825" s="21"/>
      <c r="G825" s="21"/>
      <c r="H825" s="20"/>
      <c r="I825" s="20"/>
      <c r="L825" s="5"/>
      <c r="M825" s="5"/>
      <c r="N825" s="5"/>
      <c r="O825" s="5"/>
      <c r="Q825" s="5"/>
    </row>
    <row r="826" spans="1:17">
      <c r="A826" s="455" t="s">
        <v>53</v>
      </c>
      <c r="B826" s="457" t="s">
        <v>54</v>
      </c>
      <c r="C826" s="459" t="s">
        <v>153</v>
      </c>
      <c r="D826" s="461" t="s">
        <v>55</v>
      </c>
      <c r="E826" s="462"/>
      <c r="F826" s="462"/>
      <c r="G826" s="463"/>
      <c r="H826" s="464" t="s">
        <v>56</v>
      </c>
      <c r="I826" s="451" t="s">
        <v>57</v>
      </c>
      <c r="J826" s="20"/>
      <c r="L826" s="5"/>
      <c r="M826" s="5"/>
      <c r="N826" s="5"/>
      <c r="O826" s="5"/>
      <c r="Q826" s="5"/>
    </row>
    <row r="827" spans="1:17">
      <c r="A827" s="456"/>
      <c r="B827" s="458"/>
      <c r="C827" s="460"/>
      <c r="D827" s="22" t="s">
        <v>24</v>
      </c>
      <c r="E827" s="22" t="s">
        <v>25</v>
      </c>
      <c r="F827" s="179" t="s">
        <v>123</v>
      </c>
      <c r="G827" s="22" t="s">
        <v>58</v>
      </c>
      <c r="H827" s="465"/>
      <c r="I827" s="452"/>
      <c r="J827" s="453" t="s">
        <v>158</v>
      </c>
      <c r="K827" s="155"/>
      <c r="L827" s="5"/>
      <c r="M827" s="5"/>
      <c r="N827" s="5"/>
      <c r="O827" s="5"/>
      <c r="Q827" s="5"/>
    </row>
    <row r="828" spans="1:17">
      <c r="A828" s="24"/>
      <c r="B828" s="25" t="s">
        <v>59</v>
      </c>
      <c r="C828" s="26"/>
      <c r="D828" s="26"/>
      <c r="E828" s="26"/>
      <c r="F828" s="26"/>
      <c r="G828" s="26"/>
      <c r="H828" s="26"/>
      <c r="I828" s="27"/>
      <c r="J828" s="454"/>
      <c r="K828" s="155"/>
      <c r="L828" s="5"/>
      <c r="M828" s="5"/>
      <c r="N828" s="5"/>
      <c r="O828" s="5"/>
      <c r="Q828" s="5"/>
    </row>
    <row r="829" spans="1:17">
      <c r="A829" s="130" t="s">
        <v>79</v>
      </c>
      <c r="B829" s="135" t="s">
        <v>47</v>
      </c>
      <c r="C829" s="33" t="e">
        <f>#REF!</f>
        <v>#REF!</v>
      </c>
      <c r="D829" s="32"/>
      <c r="E829" s="33" t="e">
        <f>+#REF!</f>
        <v>#REF!</v>
      </c>
      <c r="F829" s="33"/>
      <c r="G829" s="33"/>
      <c r="H829" s="57" t="e">
        <f>+#REF!</f>
        <v>#REF!</v>
      </c>
      <c r="I829" s="33" t="e">
        <f>+#REF!</f>
        <v>#REF!</v>
      </c>
      <c r="J829" s="31" t="e">
        <f t="shared" ref="J829:J830" si="479">+SUM(C829:G829)-(H829+I829)</f>
        <v>#REF!</v>
      </c>
      <c r="K829" s="156" t="e">
        <f>J829=#REF!</f>
        <v>#REF!</v>
      </c>
      <c r="L829" s="5"/>
      <c r="M829" s="5"/>
      <c r="N829" s="5"/>
      <c r="O829" s="5"/>
      <c r="Q829" s="5"/>
    </row>
    <row r="830" spans="1:17">
      <c r="A830" s="130" t="str">
        <f>+A829</f>
        <v>SEPTEMBRE</v>
      </c>
      <c r="B830" s="135" t="s">
        <v>31</v>
      </c>
      <c r="C830" s="33" t="e">
        <f>#REF!</f>
        <v>#REF!</v>
      </c>
      <c r="D830" s="32"/>
      <c r="E830" s="33" t="e">
        <f>+#REF!</f>
        <v>#REF!</v>
      </c>
      <c r="F830" s="33"/>
      <c r="G830" s="33"/>
      <c r="H830" s="57" t="e">
        <f>+#REF!</f>
        <v>#REF!</v>
      </c>
      <c r="I830" s="33" t="e">
        <f>+#REF!</f>
        <v>#REF!</v>
      </c>
      <c r="J830" s="107" t="e">
        <f t="shared" si="479"/>
        <v>#REF!</v>
      </c>
      <c r="K830" s="156" t="e">
        <f>J830=#REF!</f>
        <v>#REF!</v>
      </c>
      <c r="L830" s="5"/>
      <c r="M830" s="5"/>
      <c r="N830" s="5"/>
      <c r="O830" s="5"/>
      <c r="Q830" s="5"/>
    </row>
    <row r="831" spans="1:17">
      <c r="A831" s="130" t="str">
        <f t="shared" ref="A831:A838" si="480">+A830</f>
        <v>SEPTEMBRE</v>
      </c>
      <c r="B831" s="136" t="s">
        <v>151</v>
      </c>
      <c r="C831" s="33" t="e">
        <f>#REF!</f>
        <v>#REF!</v>
      </c>
      <c r="D831" s="127"/>
      <c r="E831" s="33" t="e">
        <f>#REF!</f>
        <v>#REF!</v>
      </c>
      <c r="F831" s="53"/>
      <c r="G831" s="53"/>
      <c r="H831" s="57" t="e">
        <f>+#REF!</f>
        <v>#REF!</v>
      </c>
      <c r="I831" s="33" t="e">
        <f>+#REF!</f>
        <v>#REF!</v>
      </c>
      <c r="J831" s="132" t="e">
        <f>+SUM(C831:G831)-(H831+I831)</f>
        <v>#REF!</v>
      </c>
      <c r="K831" s="156" t="e">
        <f>J831=#REF!</f>
        <v>#REF!</v>
      </c>
      <c r="L831" s="5"/>
      <c r="M831" s="5"/>
      <c r="N831" s="5"/>
      <c r="O831" s="5"/>
      <c r="Q831" s="5"/>
    </row>
    <row r="832" spans="1:17">
      <c r="A832" s="130" t="str">
        <f t="shared" si="480"/>
        <v>SEPTEMBRE</v>
      </c>
      <c r="B832" s="137" t="s">
        <v>84</v>
      </c>
      <c r="C832" s="128" t="e">
        <f>#REF!</f>
        <v>#REF!</v>
      </c>
      <c r="D832" s="131"/>
      <c r="E832" s="128" t="e">
        <f>+#REF!</f>
        <v>#REF!</v>
      </c>
      <c r="F832" s="146"/>
      <c r="G832" s="146"/>
      <c r="H832" s="178" t="e">
        <f>+#REF!</f>
        <v>#REF!</v>
      </c>
      <c r="I832" s="128" t="e">
        <f>+#REF!</f>
        <v>#REF!</v>
      </c>
      <c r="J832" s="129" t="e">
        <f>+SUM(C832:G832)-(H832+I832)</f>
        <v>#REF!</v>
      </c>
      <c r="K832" s="156" t="e">
        <f>J832=#REF!</f>
        <v>#REF!</v>
      </c>
      <c r="L832" s="5"/>
      <c r="M832" s="5"/>
      <c r="N832" s="5"/>
      <c r="O832" s="5"/>
      <c r="Q832" s="5"/>
    </row>
    <row r="833" spans="1:17">
      <c r="A833" s="130" t="str">
        <f t="shared" si="480"/>
        <v>SEPTEMBRE</v>
      </c>
      <c r="B833" s="137" t="s">
        <v>83</v>
      </c>
      <c r="C833" s="128" t="e">
        <f>#REF!</f>
        <v>#REF!</v>
      </c>
      <c r="D833" s="131"/>
      <c r="E833" s="128" t="e">
        <f>+#REF!</f>
        <v>#REF!</v>
      </c>
      <c r="F833" s="146"/>
      <c r="G833" s="146"/>
      <c r="H833" s="178" t="e">
        <f>+#REF!</f>
        <v>#REF!</v>
      </c>
      <c r="I833" s="128" t="e">
        <f>+#REF!</f>
        <v>#REF!</v>
      </c>
      <c r="J833" s="129" t="e">
        <f t="shared" ref="J833:J838" si="481">+SUM(C833:G833)-(H833+I833)</f>
        <v>#REF!</v>
      </c>
      <c r="K833" s="156" t="e">
        <f>J833=#REF!</f>
        <v>#REF!</v>
      </c>
      <c r="L833" s="5"/>
      <c r="M833" s="5"/>
      <c r="N833" s="5"/>
      <c r="O833" s="5"/>
      <c r="Q833" s="5"/>
    </row>
    <row r="834" spans="1:17">
      <c r="A834" s="130" t="str">
        <f t="shared" si="480"/>
        <v>SEPTEMBRE</v>
      </c>
      <c r="B834" s="135" t="s">
        <v>150</v>
      </c>
      <c r="C834" s="33" t="e">
        <f>#REF!</f>
        <v>#REF!</v>
      </c>
      <c r="D834" s="32"/>
      <c r="E834" s="33" t="e">
        <f>+#REF!</f>
        <v>#REF!</v>
      </c>
      <c r="F834" s="33"/>
      <c r="G834" s="110"/>
      <c r="H834" s="57" t="e">
        <f>+#REF!</f>
        <v>#REF!</v>
      </c>
      <c r="I834" s="33" t="e">
        <f>+#REF!</f>
        <v>#REF!</v>
      </c>
      <c r="J834" s="31" t="e">
        <f t="shared" si="481"/>
        <v>#REF!</v>
      </c>
      <c r="K834" s="156" t="e">
        <f>J834=#REF!</f>
        <v>#REF!</v>
      </c>
      <c r="L834" s="5"/>
      <c r="M834" s="5"/>
      <c r="N834" s="5"/>
      <c r="O834" s="5"/>
      <c r="Q834" s="5"/>
    </row>
    <row r="835" spans="1:17">
      <c r="A835" s="130" t="str">
        <f t="shared" si="480"/>
        <v>SEPTEMBRE</v>
      </c>
      <c r="B835" s="135" t="s">
        <v>30</v>
      </c>
      <c r="C835" s="33" t="e">
        <f>#REF!</f>
        <v>#REF!</v>
      </c>
      <c r="D835" s="32"/>
      <c r="E835" s="33" t="e">
        <f>+#REF!</f>
        <v>#REF!</v>
      </c>
      <c r="F835" s="33"/>
      <c r="G835" s="110"/>
      <c r="H835" s="57" t="e">
        <f>+#REF!</f>
        <v>#REF!</v>
      </c>
      <c r="I835" s="33" t="e">
        <f>+#REF!</f>
        <v>#REF!</v>
      </c>
      <c r="J835" s="31" t="e">
        <f t="shared" si="481"/>
        <v>#REF!</v>
      </c>
      <c r="K835" s="156" t="e">
        <f>J835=#REF!</f>
        <v>#REF!</v>
      </c>
      <c r="L835" s="5"/>
      <c r="M835" s="5"/>
      <c r="N835" s="5"/>
      <c r="O835" s="5"/>
      <c r="Q835" s="5"/>
    </row>
    <row r="836" spans="1:17">
      <c r="A836" s="130" t="str">
        <f t="shared" si="480"/>
        <v>SEPTEMBRE</v>
      </c>
      <c r="B836" s="135" t="s">
        <v>93</v>
      </c>
      <c r="C836" s="33" t="e">
        <f>#REF!</f>
        <v>#REF!</v>
      </c>
      <c r="D836" s="32"/>
      <c r="E836" s="33" t="e">
        <f>+#REF!</f>
        <v>#REF!</v>
      </c>
      <c r="F836" s="33"/>
      <c r="G836" s="110"/>
      <c r="H836" s="57" t="e">
        <f>+#REF!</f>
        <v>#REF!</v>
      </c>
      <c r="I836" s="33" t="e">
        <f>+#REF!</f>
        <v>#REF!</v>
      </c>
      <c r="J836" s="31" t="e">
        <f t="shared" si="481"/>
        <v>#REF!</v>
      </c>
      <c r="K836" s="156" t="e">
        <f>J836=#REF!</f>
        <v>#REF!</v>
      </c>
      <c r="L836" s="5"/>
      <c r="M836" s="5"/>
      <c r="N836" s="5"/>
      <c r="O836" s="5"/>
      <c r="Q836" s="5"/>
    </row>
    <row r="837" spans="1:17">
      <c r="A837" s="130" t="str">
        <f t="shared" si="480"/>
        <v>SEPTEMBRE</v>
      </c>
      <c r="B837" s="135" t="s">
        <v>154</v>
      </c>
      <c r="C837" s="33" t="e">
        <f>#REF!</f>
        <v>#REF!</v>
      </c>
      <c r="D837" s="32"/>
      <c r="E837" s="33" t="e">
        <f>+#REF!</f>
        <v>#REF!</v>
      </c>
      <c r="F837" s="33"/>
      <c r="G837" s="110"/>
      <c r="H837" s="57" t="e">
        <f>+#REF!</f>
        <v>#REF!</v>
      </c>
      <c r="I837" s="33" t="e">
        <f>+#REF!</f>
        <v>#REF!</v>
      </c>
      <c r="J837" s="31" t="e">
        <f t="shared" si="481"/>
        <v>#REF!</v>
      </c>
      <c r="K837" s="156" t="e">
        <f>J837=#REF!</f>
        <v>#REF!</v>
      </c>
      <c r="L837" s="5"/>
      <c r="M837" s="5"/>
      <c r="N837" s="5"/>
      <c r="O837" s="5"/>
      <c r="Q837" s="5"/>
    </row>
    <row r="838" spans="1:17">
      <c r="A838" s="130" t="str">
        <f t="shared" si="480"/>
        <v>SEPTEMBRE</v>
      </c>
      <c r="B838" s="136" t="s">
        <v>113</v>
      </c>
      <c r="C838" s="33" t="e">
        <f>#REF!</f>
        <v>#REF!</v>
      </c>
      <c r="D838" s="127"/>
      <c r="E838" s="33" t="e">
        <f>+#REF!</f>
        <v>#REF!</v>
      </c>
      <c r="F838" s="53"/>
      <c r="G838" s="147"/>
      <c r="H838" s="57" t="e">
        <f>+#REF!</f>
        <v>#REF!</v>
      </c>
      <c r="I838" s="33" t="e">
        <f>+#REF!</f>
        <v>#REF!</v>
      </c>
      <c r="J838" s="31" t="e">
        <f t="shared" si="481"/>
        <v>#REF!</v>
      </c>
      <c r="K838" s="156" t="e">
        <f>J838=#REF!</f>
        <v>#REF!</v>
      </c>
      <c r="L838" s="5"/>
      <c r="M838" s="5"/>
      <c r="N838" s="5"/>
      <c r="O838" s="5"/>
      <c r="Q838" s="5"/>
    </row>
    <row r="839" spans="1:17">
      <c r="A839" s="35" t="s">
        <v>60</v>
      </c>
      <c r="B839" s="36"/>
      <c r="C839" s="36"/>
      <c r="D839" s="36"/>
      <c r="E839" s="36"/>
      <c r="F839" s="36"/>
      <c r="G839" s="36"/>
      <c r="H839" s="36"/>
      <c r="I839" s="36"/>
      <c r="J839" s="37"/>
      <c r="K839" s="155"/>
      <c r="L839" s="5"/>
      <c r="M839" s="5"/>
      <c r="N839" s="5"/>
      <c r="O839" s="5"/>
      <c r="Q839" s="5"/>
    </row>
    <row r="840" spans="1:17">
      <c r="A840" s="130" t="str">
        <f>+A838</f>
        <v>SEPTEMBRE</v>
      </c>
      <c r="B840" s="38" t="s">
        <v>61</v>
      </c>
      <c r="C840" s="39" t="e">
        <f>#REF!</f>
        <v>#REF!</v>
      </c>
      <c r="D840" s="51"/>
      <c r="E840" s="51" t="e">
        <f>#REF!</f>
        <v>#REF!</v>
      </c>
      <c r="F840" s="51"/>
      <c r="G840" s="133"/>
      <c r="H840" s="53" t="e">
        <f>+#REF!</f>
        <v>#REF!</v>
      </c>
      <c r="I840" s="134" t="e">
        <f>+#REF!</f>
        <v>#REF!</v>
      </c>
      <c r="J840" s="46" t="e">
        <f>+SUM(C840:G840)-(H840+I840)</f>
        <v>#REF!</v>
      </c>
      <c r="K840" s="156" t="e">
        <f>J840=#REF!</f>
        <v>#REF!</v>
      </c>
      <c r="L840" s="5"/>
      <c r="M840" s="5"/>
      <c r="N840" s="5"/>
      <c r="O840" s="5"/>
      <c r="Q840" s="5"/>
    </row>
    <row r="841" spans="1:17">
      <c r="A841" s="44" t="s">
        <v>62</v>
      </c>
      <c r="B841" s="25"/>
      <c r="C841" s="36"/>
      <c r="D841" s="25"/>
      <c r="E841" s="25"/>
      <c r="F841" s="25"/>
      <c r="G841" s="25"/>
      <c r="H841" s="25"/>
      <c r="I841" s="25"/>
      <c r="J841" s="37"/>
      <c r="K841" s="155"/>
      <c r="L841" s="5"/>
      <c r="M841" s="5"/>
      <c r="N841" s="5"/>
      <c r="O841" s="5"/>
      <c r="Q841" s="5"/>
    </row>
    <row r="842" spans="1:17">
      <c r="A842" s="130" t="str">
        <f>+A840</f>
        <v>SEPTEMBRE</v>
      </c>
      <c r="B842" s="38" t="s">
        <v>63</v>
      </c>
      <c r="C842" s="133" t="e">
        <f>#REF!</f>
        <v>#REF!</v>
      </c>
      <c r="D842" s="140"/>
      <c r="E842" s="51"/>
      <c r="F842" s="51"/>
      <c r="G842" s="51"/>
      <c r="H842" s="53" t="e">
        <f>+#REF!</f>
        <v>#REF!</v>
      </c>
      <c r="I842" s="55" t="e">
        <f>+#REF!</f>
        <v>#REF!</v>
      </c>
      <c r="J842" s="46" t="e">
        <f>+SUM(C842:G842)-(H842+I842)</f>
        <v>#REF!</v>
      </c>
      <c r="K842" s="156" t="e">
        <f>+J842=#REF!</f>
        <v>#REF!</v>
      </c>
      <c r="L842" s="5"/>
      <c r="M842" s="5"/>
      <c r="N842" s="5"/>
      <c r="O842" s="5"/>
      <c r="Q842" s="5"/>
    </row>
    <row r="843" spans="1:17">
      <c r="A843" s="130" t="str">
        <f t="shared" ref="A843" si="482">+A842</f>
        <v>SEPTEMBRE</v>
      </c>
      <c r="B843" s="38" t="s">
        <v>64</v>
      </c>
      <c r="C843" s="133" t="e">
        <f>#REF!</f>
        <v>#REF!</v>
      </c>
      <c r="D843" s="51"/>
      <c r="E843" s="50"/>
      <c r="F843" s="50"/>
      <c r="G843" s="50"/>
      <c r="H843" s="33" t="e">
        <f>+#REF!</f>
        <v>#REF!</v>
      </c>
      <c r="I843" s="52" t="e">
        <f>+#REF!</f>
        <v>#REF!</v>
      </c>
      <c r="J843" s="46" t="e">
        <f>SUM(C843:G843)-(H843+I843)</f>
        <v>#REF!</v>
      </c>
      <c r="K843" s="156" t="e">
        <f>+J843=#REF!</f>
        <v>#REF!</v>
      </c>
      <c r="L843" s="5"/>
      <c r="M843" s="5"/>
      <c r="N843" s="5"/>
      <c r="O843" s="5"/>
      <c r="Q843" s="5"/>
    </row>
    <row r="844" spans="1:17" ht="15.75">
      <c r="C844" s="151" t="e">
        <f>SUM(C829:C843)</f>
        <v>#REF!</v>
      </c>
      <c r="I844" s="149" t="e">
        <f>SUM(I829:I843)</f>
        <v>#REF!</v>
      </c>
      <c r="J844" s="111" t="e">
        <f>+SUM(J829:J843)</f>
        <v>#REF!</v>
      </c>
      <c r="K844" s="5" t="e">
        <f>J844=#REF!</f>
        <v>#REF!</v>
      </c>
      <c r="L844" s="5"/>
      <c r="M844" s="5"/>
      <c r="N844" s="5"/>
      <c r="O844" s="5"/>
      <c r="Q844" s="5"/>
    </row>
    <row r="845" spans="1:17">
      <c r="G845" s="9"/>
      <c r="L845" s="5"/>
      <c r="M845" s="5"/>
      <c r="N845" s="5"/>
      <c r="O845" s="5"/>
      <c r="Q845" s="5"/>
    </row>
    <row r="846" spans="1:17">
      <c r="A846" s="16" t="s">
        <v>52</v>
      </c>
      <c r="B846" s="16"/>
      <c r="C846" s="16"/>
      <c r="D846" s="17"/>
      <c r="E846" s="17"/>
      <c r="F846" s="17"/>
      <c r="G846" s="17"/>
      <c r="H846" s="17"/>
      <c r="I846" s="17"/>
      <c r="L846" s="5"/>
      <c r="M846" s="5"/>
      <c r="N846" s="5"/>
      <c r="O846" s="5"/>
      <c r="Q846" s="5"/>
    </row>
    <row r="847" spans="1:17">
      <c r="A847" s="18" t="s">
        <v>148</v>
      </c>
      <c r="B847" s="18"/>
      <c r="C847" s="18"/>
      <c r="D847" s="18"/>
      <c r="E847" s="18"/>
      <c r="F847" s="18"/>
      <c r="G847" s="18"/>
      <c r="H847" s="18"/>
      <c r="I847" s="18"/>
      <c r="J847" s="17"/>
      <c r="L847" s="5"/>
      <c r="M847" s="5"/>
      <c r="N847" s="5"/>
      <c r="O847" s="5"/>
      <c r="Q847" s="5"/>
    </row>
    <row r="848" spans="1:17">
      <c r="A848" s="19"/>
      <c r="B848" s="20"/>
      <c r="C848" s="21"/>
      <c r="D848" s="21"/>
      <c r="E848" s="21"/>
      <c r="F848" s="21"/>
      <c r="G848" s="21"/>
      <c r="H848" s="20"/>
      <c r="I848" s="20"/>
      <c r="J848" s="18"/>
      <c r="L848" s="5"/>
      <c r="M848" s="5"/>
      <c r="N848" s="5"/>
      <c r="O848" s="5"/>
      <c r="Q848" s="5"/>
    </row>
    <row r="849" spans="1:17">
      <c r="A849" s="455" t="s">
        <v>53</v>
      </c>
      <c r="B849" s="457" t="s">
        <v>54</v>
      </c>
      <c r="C849" s="459" t="s">
        <v>147</v>
      </c>
      <c r="D849" s="461" t="s">
        <v>55</v>
      </c>
      <c r="E849" s="462"/>
      <c r="F849" s="462"/>
      <c r="G849" s="463"/>
      <c r="H849" s="464" t="s">
        <v>56</v>
      </c>
      <c r="I849" s="451" t="s">
        <v>57</v>
      </c>
      <c r="J849" s="20"/>
      <c r="L849" s="5"/>
      <c r="M849" s="5"/>
      <c r="N849" s="5"/>
      <c r="O849" s="5"/>
      <c r="Q849" s="5"/>
    </row>
    <row r="850" spans="1:17">
      <c r="A850" s="456"/>
      <c r="B850" s="458"/>
      <c r="C850" s="460"/>
      <c r="D850" s="22" t="s">
        <v>24</v>
      </c>
      <c r="E850" s="22" t="s">
        <v>25</v>
      </c>
      <c r="F850" s="176" t="s">
        <v>123</v>
      </c>
      <c r="G850" s="22" t="s">
        <v>58</v>
      </c>
      <c r="H850" s="465"/>
      <c r="I850" s="452"/>
      <c r="J850" s="453" t="s">
        <v>149</v>
      </c>
      <c r="K850" s="155"/>
      <c r="L850" s="5"/>
      <c r="M850" s="5"/>
      <c r="N850" s="5"/>
      <c r="O850" s="5"/>
      <c r="Q850" s="5"/>
    </row>
    <row r="851" spans="1:17">
      <c r="A851" s="24"/>
      <c r="B851" s="25" t="s">
        <v>59</v>
      </c>
      <c r="C851" s="26"/>
      <c r="D851" s="26"/>
      <c r="E851" s="26"/>
      <c r="F851" s="26"/>
      <c r="G851" s="26"/>
      <c r="H851" s="26"/>
      <c r="I851" s="27"/>
      <c r="J851" s="454"/>
      <c r="K851" s="155"/>
      <c r="L851" s="5"/>
      <c r="M851" s="5"/>
      <c r="N851" s="5"/>
      <c r="O851" s="5"/>
      <c r="Q851" s="5"/>
    </row>
    <row r="852" spans="1:17">
      <c r="A852" s="130" t="s">
        <v>146</v>
      </c>
      <c r="B852" s="135" t="s">
        <v>47</v>
      </c>
      <c r="C852" s="33" t="e">
        <f>#REF!</f>
        <v>#REF!</v>
      </c>
      <c r="D852" s="32"/>
      <c r="E852" s="33" t="e">
        <f>+#REF!</f>
        <v>#REF!</v>
      </c>
      <c r="F852" s="33"/>
      <c r="G852" s="33"/>
      <c r="H852" s="57" t="e">
        <f>+#REF!</f>
        <v>#REF!</v>
      </c>
      <c r="I852" s="33" t="e">
        <f>+#REF!</f>
        <v>#REF!</v>
      </c>
      <c r="J852" s="31" t="e">
        <f t="shared" ref="J852:J853" si="483">+SUM(C852:G852)-(H852+I852)</f>
        <v>#REF!</v>
      </c>
      <c r="K852" s="156" t="e">
        <f>J852=#REF!</f>
        <v>#REF!</v>
      </c>
      <c r="L852" s="5"/>
      <c r="M852" s="5"/>
      <c r="N852" s="5"/>
      <c r="O852" s="5"/>
      <c r="Q852" s="5"/>
    </row>
    <row r="853" spans="1:17">
      <c r="A853" s="130" t="s">
        <v>146</v>
      </c>
      <c r="B853" s="135" t="s">
        <v>31</v>
      </c>
      <c r="C853" s="33" t="e">
        <f>#REF!</f>
        <v>#REF!</v>
      </c>
      <c r="D853" s="32"/>
      <c r="E853" s="33" t="e">
        <f>+#REF!</f>
        <v>#REF!</v>
      </c>
      <c r="F853" s="33"/>
      <c r="G853" s="33"/>
      <c r="H853" s="57" t="e">
        <f>+#REF!</f>
        <v>#REF!</v>
      </c>
      <c r="I853" s="33" t="e">
        <f>+#REF!</f>
        <v>#REF!</v>
      </c>
      <c r="J853" s="107" t="e">
        <f t="shared" si="483"/>
        <v>#REF!</v>
      </c>
      <c r="K853" s="156" t="e">
        <f>J853=#REF!</f>
        <v>#REF!</v>
      </c>
      <c r="L853" s="5"/>
      <c r="M853" s="5"/>
      <c r="N853" s="5"/>
      <c r="O853" s="5"/>
      <c r="Q853" s="5"/>
    </row>
    <row r="854" spans="1:17">
      <c r="A854" s="130" t="s">
        <v>146</v>
      </c>
      <c r="B854" s="136" t="s">
        <v>151</v>
      </c>
      <c r="C854" s="33" t="e">
        <f>#REF!</f>
        <v>#REF!</v>
      </c>
      <c r="D854" s="127"/>
      <c r="E854" s="33">
        <v>30000</v>
      </c>
      <c r="F854" s="53">
        <v>240000</v>
      </c>
      <c r="G854" s="53"/>
      <c r="H854" s="57" t="e">
        <f>+#REF!</f>
        <v>#REF!</v>
      </c>
      <c r="I854" s="33" t="e">
        <f>+#REF!</f>
        <v>#REF!</v>
      </c>
      <c r="J854" s="132" t="e">
        <f>+SUM(C854:G854)-(H854+I854)</f>
        <v>#REF!</v>
      </c>
      <c r="K854" s="156" t="e">
        <f>J854=#REF!</f>
        <v>#REF!</v>
      </c>
      <c r="L854" s="5"/>
      <c r="M854" s="5"/>
      <c r="N854" s="5"/>
      <c r="O854" s="5"/>
      <c r="Q854" s="5"/>
    </row>
    <row r="855" spans="1:17">
      <c r="A855" s="130" t="s">
        <v>146</v>
      </c>
      <c r="B855" s="137" t="s">
        <v>84</v>
      </c>
      <c r="C855" s="128" t="e">
        <f>#REF!</f>
        <v>#REF!</v>
      </c>
      <c r="D855" s="131"/>
      <c r="E855" s="128" t="e">
        <f>+#REF!</f>
        <v>#REF!</v>
      </c>
      <c r="F855" s="146"/>
      <c r="G855" s="146"/>
      <c r="H855" s="178" t="e">
        <f>+#REF!</f>
        <v>#REF!</v>
      </c>
      <c r="I855" s="128" t="e">
        <f>+#REF!</f>
        <v>#REF!</v>
      </c>
      <c r="J855" s="129" t="e">
        <f>+SUM(C855:G855)-(H855+I855)</f>
        <v>#REF!</v>
      </c>
      <c r="K855" s="156" t="e">
        <f>J855=#REF!</f>
        <v>#REF!</v>
      </c>
      <c r="L855" s="5"/>
      <c r="M855" s="5"/>
      <c r="N855" s="5"/>
      <c r="O855" s="5"/>
      <c r="Q855" s="5"/>
    </row>
    <row r="856" spans="1:17">
      <c r="A856" s="130" t="s">
        <v>146</v>
      </c>
      <c r="B856" s="137" t="s">
        <v>83</v>
      </c>
      <c r="C856" s="128" t="e">
        <f>#REF!</f>
        <v>#REF!</v>
      </c>
      <c r="D856" s="131"/>
      <c r="E856" s="128" t="e">
        <f>+#REF!</f>
        <v>#REF!</v>
      </c>
      <c r="F856" s="146"/>
      <c r="G856" s="146"/>
      <c r="H856" s="178" t="e">
        <f>+#REF!</f>
        <v>#REF!</v>
      </c>
      <c r="I856" s="128" t="e">
        <f>+#REF!</f>
        <v>#REF!</v>
      </c>
      <c r="J856" s="129" t="e">
        <f t="shared" ref="J856:J862" si="484">+SUM(C856:G856)-(H856+I856)</f>
        <v>#REF!</v>
      </c>
      <c r="K856" s="156" t="e">
        <f>J856=#REF!</f>
        <v>#REF!</v>
      </c>
      <c r="L856" s="5"/>
      <c r="M856" s="5"/>
      <c r="N856" s="5"/>
      <c r="O856" s="5"/>
      <c r="Q856" s="5"/>
    </row>
    <row r="857" spans="1:17">
      <c r="A857" s="130" t="s">
        <v>146</v>
      </c>
      <c r="B857" s="135" t="s">
        <v>150</v>
      </c>
      <c r="C857" s="33" t="e">
        <f>#REF!</f>
        <v>#REF!</v>
      </c>
      <c r="D857" s="32"/>
      <c r="E857" s="33" t="e">
        <f>+#REF!</f>
        <v>#REF!</v>
      </c>
      <c r="F857" s="33"/>
      <c r="G857" s="110"/>
      <c r="H857" s="57" t="e">
        <f>+#REF!</f>
        <v>#REF!</v>
      </c>
      <c r="I857" s="33" t="e">
        <f>+#REF!</f>
        <v>#REF!</v>
      </c>
      <c r="J857" s="31" t="e">
        <f t="shared" si="484"/>
        <v>#REF!</v>
      </c>
      <c r="K857" s="156" t="e">
        <f>J857=#REF!</f>
        <v>#REF!</v>
      </c>
      <c r="L857" s="5"/>
      <c r="M857" s="5"/>
      <c r="N857" s="5"/>
      <c r="O857" s="5"/>
      <c r="Q857" s="5"/>
    </row>
    <row r="858" spans="1:17">
      <c r="A858" s="130" t="s">
        <v>146</v>
      </c>
      <c r="B858" s="135" t="s">
        <v>30</v>
      </c>
      <c r="C858" s="33" t="e">
        <f>#REF!</f>
        <v>#REF!</v>
      </c>
      <c r="D858" s="32"/>
      <c r="E858" s="33" t="e">
        <f>+#REF!</f>
        <v>#REF!</v>
      </c>
      <c r="F858" s="33"/>
      <c r="G858" s="110"/>
      <c r="H858" s="57" t="e">
        <f>+#REF!</f>
        <v>#REF!</v>
      </c>
      <c r="I858" s="33" t="e">
        <f>+#REF!</f>
        <v>#REF!</v>
      </c>
      <c r="J858" s="31" t="e">
        <f t="shared" si="484"/>
        <v>#REF!</v>
      </c>
      <c r="K858" s="156" t="e">
        <f>J858=#REF!</f>
        <v>#REF!</v>
      </c>
      <c r="L858" s="5"/>
      <c r="M858" s="5"/>
      <c r="N858" s="5"/>
      <c r="O858" s="5"/>
      <c r="Q858" s="5"/>
    </row>
    <row r="859" spans="1:17">
      <c r="A859" s="130" t="s">
        <v>146</v>
      </c>
      <c r="B859" s="135" t="s">
        <v>35</v>
      </c>
      <c r="C859" s="33" t="e">
        <f>#REF!</f>
        <v>#REF!</v>
      </c>
      <c r="D859" s="32"/>
      <c r="E859" s="33">
        <v>15000</v>
      </c>
      <c r="F859" s="33">
        <v>496625</v>
      </c>
      <c r="G859" s="110"/>
      <c r="H859" s="57" t="e">
        <f>+#REF!</f>
        <v>#REF!</v>
      </c>
      <c r="I859" s="33" t="e">
        <f>+#REF!</f>
        <v>#REF!</v>
      </c>
      <c r="J859" s="31" t="e">
        <f t="shared" si="484"/>
        <v>#REF!</v>
      </c>
      <c r="K859" s="156" t="e">
        <f>J859=#REF!</f>
        <v>#REF!</v>
      </c>
      <c r="L859" s="5"/>
      <c r="M859" s="5"/>
      <c r="N859" s="5"/>
      <c r="O859" s="5"/>
      <c r="Q859" s="5"/>
    </row>
    <row r="860" spans="1:17">
      <c r="A860" s="130" t="s">
        <v>146</v>
      </c>
      <c r="B860" s="135" t="s">
        <v>93</v>
      </c>
      <c r="C860" s="33" t="e">
        <f>#REF!</f>
        <v>#REF!</v>
      </c>
      <c r="D860" s="32"/>
      <c r="E860" s="33" t="e">
        <f>+#REF!</f>
        <v>#REF!</v>
      </c>
      <c r="F860" s="33"/>
      <c r="G860" s="110"/>
      <c r="H860" s="57" t="e">
        <f>+#REF!</f>
        <v>#REF!</v>
      </c>
      <c r="I860" s="33" t="e">
        <f>+#REF!</f>
        <v>#REF!</v>
      </c>
      <c r="J860" s="31" t="e">
        <f t="shared" si="484"/>
        <v>#REF!</v>
      </c>
      <c r="K860" s="156" t="e">
        <f>J860=#REF!</f>
        <v>#REF!</v>
      </c>
      <c r="L860" s="5"/>
      <c r="M860" s="5"/>
      <c r="N860" s="5"/>
      <c r="O860" s="5"/>
      <c r="Q860" s="5"/>
    </row>
    <row r="861" spans="1:17">
      <c r="A861" s="130" t="s">
        <v>146</v>
      </c>
      <c r="B861" s="135" t="s">
        <v>29</v>
      </c>
      <c r="C861" s="33" t="e">
        <f>#REF!</f>
        <v>#REF!</v>
      </c>
      <c r="D861" s="32"/>
      <c r="E861" s="33" t="e">
        <f>+#REF!</f>
        <v>#REF!</v>
      </c>
      <c r="F861" s="33"/>
      <c r="G861" s="110"/>
      <c r="H861" s="57" t="e">
        <f>+#REF!</f>
        <v>#REF!</v>
      </c>
      <c r="I861" s="33" t="e">
        <f>+#REF!</f>
        <v>#REF!</v>
      </c>
      <c r="J861" s="31" t="e">
        <f t="shared" ref="J861" si="485">+SUM(C861:G861)-(H861+I861)</f>
        <v>#REF!</v>
      </c>
      <c r="K861" s="156" t="e">
        <f>J861=#REF!</f>
        <v>#REF!</v>
      </c>
      <c r="L861" s="5"/>
      <c r="M861" s="5"/>
      <c r="N861" s="5"/>
      <c r="O861" s="5"/>
      <c r="Q861" s="5"/>
    </row>
    <row r="862" spans="1:17">
      <c r="A862" s="130" t="s">
        <v>146</v>
      </c>
      <c r="B862" s="136" t="s">
        <v>113</v>
      </c>
      <c r="C862" s="33" t="e">
        <f>#REF!</f>
        <v>#REF!</v>
      </c>
      <c r="D862" s="127"/>
      <c r="E862" s="33" t="e">
        <f>+#REF!</f>
        <v>#REF!</v>
      </c>
      <c r="F862" s="53"/>
      <c r="G862" s="147"/>
      <c r="H862" s="57" t="e">
        <f>+#REF!</f>
        <v>#REF!</v>
      </c>
      <c r="I862" s="33" t="e">
        <f>+#REF!</f>
        <v>#REF!</v>
      </c>
      <c r="J862" s="31" t="e">
        <f t="shared" si="484"/>
        <v>#REF!</v>
      </c>
      <c r="K862" s="156" t="e">
        <f>J862=#REF!</f>
        <v>#REF!</v>
      </c>
      <c r="L862" s="5"/>
      <c r="M862" s="5"/>
      <c r="N862" s="5"/>
      <c r="O862" s="5"/>
      <c r="Q862" s="5"/>
    </row>
    <row r="863" spans="1:17">
      <c r="A863" s="35" t="s">
        <v>60</v>
      </c>
      <c r="B863" s="36"/>
      <c r="C863" s="36"/>
      <c r="D863" s="36"/>
      <c r="E863" s="36"/>
      <c r="F863" s="36"/>
      <c r="G863" s="36"/>
      <c r="H863" s="36"/>
      <c r="I863" s="36"/>
      <c r="J863" s="37"/>
      <c r="K863" s="155"/>
      <c r="L863" s="5"/>
      <c r="M863" s="5"/>
      <c r="N863" s="5"/>
      <c r="O863" s="5"/>
      <c r="Q863" s="5"/>
    </row>
    <row r="864" spans="1:17">
      <c r="A864" s="130" t="s">
        <v>146</v>
      </c>
      <c r="B864" s="38" t="s">
        <v>61</v>
      </c>
      <c r="C864" s="39" t="e">
        <f>#REF!</f>
        <v>#REF!</v>
      </c>
      <c r="D864" s="51">
        <v>4000000</v>
      </c>
      <c r="E864" s="109"/>
      <c r="F864" s="51"/>
      <c r="G864" s="133">
        <v>15000</v>
      </c>
      <c r="H864" s="53" t="e">
        <f>+#REF!</f>
        <v>#REF!</v>
      </c>
      <c r="I864" s="134" t="e">
        <f>+#REF!</f>
        <v>#REF!</v>
      </c>
      <c r="J864" s="46" t="e">
        <f>+SUM(C864:G864)-(H864+I864)</f>
        <v>#REF!</v>
      </c>
      <c r="K864" s="156" t="e">
        <f>J864=#REF!</f>
        <v>#REF!</v>
      </c>
      <c r="L864" s="5"/>
      <c r="M864" s="5"/>
      <c r="N864" s="5"/>
      <c r="O864" s="5"/>
      <c r="Q864" s="5"/>
    </row>
    <row r="865" spans="1:17">
      <c r="A865" s="44" t="s">
        <v>62</v>
      </c>
      <c r="B865" s="25"/>
      <c r="C865" s="36"/>
      <c r="D865" s="25"/>
      <c r="E865" s="25"/>
      <c r="F865" s="25"/>
      <c r="G865" s="25"/>
      <c r="H865" s="25"/>
      <c r="I865" s="25"/>
      <c r="J865" s="37"/>
      <c r="K865" s="155"/>
      <c r="L865" s="5"/>
      <c r="M865" s="5"/>
      <c r="N865" s="5"/>
      <c r="O865" s="5"/>
      <c r="Q865" s="5"/>
    </row>
    <row r="866" spans="1:17">
      <c r="A866" s="130" t="s">
        <v>146</v>
      </c>
      <c r="B866" s="38" t="s">
        <v>63</v>
      </c>
      <c r="C866" s="133" t="e">
        <f>#REF!</f>
        <v>#REF!</v>
      </c>
      <c r="D866" s="140"/>
      <c r="E866" s="51"/>
      <c r="F866" s="51"/>
      <c r="G866" s="51"/>
      <c r="H866" s="53" t="e">
        <f>+#REF!</f>
        <v>#REF!</v>
      </c>
      <c r="I866" s="55" t="e">
        <f>+#REF!</f>
        <v>#REF!</v>
      </c>
      <c r="J866" s="46" t="e">
        <f>+SUM(C866:G866)-(H866+I866)</f>
        <v>#REF!</v>
      </c>
      <c r="K866" s="156" t="e">
        <f>+J866=#REF!</f>
        <v>#REF!</v>
      </c>
      <c r="L866" s="5"/>
      <c r="M866" s="5"/>
      <c r="N866" s="5"/>
      <c r="O866" s="5"/>
      <c r="Q866" s="5"/>
    </row>
    <row r="867" spans="1:17">
      <c r="A867" s="130" t="s">
        <v>146</v>
      </c>
      <c r="B867" s="38" t="s">
        <v>64</v>
      </c>
      <c r="C867" s="133" t="e">
        <f>#REF!</f>
        <v>#REF!</v>
      </c>
      <c r="D867" s="51"/>
      <c r="E867" s="50"/>
      <c r="F867" s="50"/>
      <c r="G867" s="50"/>
      <c r="H867" s="33" t="e">
        <f>+#REF!</f>
        <v>#REF!</v>
      </c>
      <c r="I867" s="52" t="e">
        <f>+#REF!</f>
        <v>#REF!</v>
      </c>
      <c r="J867" s="46" t="e">
        <f>SUM(C867:G867)-(H867+I867)</f>
        <v>#REF!</v>
      </c>
      <c r="K867" s="156" t="e">
        <f>+J867=#REF!</f>
        <v>#REF!</v>
      </c>
      <c r="Q867" s="5"/>
    </row>
    <row r="868" spans="1:17" ht="15.75">
      <c r="C868" s="151" t="e">
        <f>SUM(C852:C867)</f>
        <v>#REF!</v>
      </c>
      <c r="I868" s="149" t="e">
        <f>SUM(I852:I867)</f>
        <v>#REF!</v>
      </c>
      <c r="J868" s="111" t="e">
        <f>+SUM(J852:J867)</f>
        <v>#REF!</v>
      </c>
      <c r="K868" s="5" t="e">
        <f>J868=#REF!</f>
        <v>#REF!</v>
      </c>
      <c r="Q868" s="5"/>
    </row>
    <row r="869" spans="1:17" s="171" customFormat="1" ht="16.5">
      <c r="A869" s="14"/>
      <c r="B869" s="175"/>
      <c r="C869" s="174"/>
      <c r="D869" s="174"/>
      <c r="E869" s="173"/>
      <c r="F869" s="174"/>
      <c r="G869" s="174" t="e">
        <f>+#REF!-J868</f>
        <v>#REF!</v>
      </c>
      <c r="H869" s="174"/>
      <c r="I869" s="174"/>
      <c r="L869" s="172"/>
      <c r="M869" s="172"/>
      <c r="N869" s="172"/>
      <c r="O869" s="172"/>
    </row>
    <row r="870" spans="1:17">
      <c r="A870" s="16" t="s">
        <v>52</v>
      </c>
      <c r="B870" s="16"/>
      <c r="C870" s="16"/>
      <c r="D870" s="17"/>
      <c r="E870" s="17"/>
      <c r="F870" s="17"/>
      <c r="G870" s="17"/>
      <c r="H870" s="17"/>
      <c r="I870" s="17"/>
      <c r="Q870" s="5"/>
    </row>
    <row r="871" spans="1:17">
      <c r="A871" s="18" t="s">
        <v>143</v>
      </c>
      <c r="B871" s="18"/>
      <c r="C871" s="18"/>
      <c r="D871" s="18"/>
      <c r="E871" s="18"/>
      <c r="F871" s="18"/>
      <c r="G871" s="18"/>
      <c r="H871" s="18"/>
      <c r="I871" s="18"/>
      <c r="J871" s="17"/>
      <c r="Q871" s="5"/>
    </row>
    <row r="872" spans="1:17">
      <c r="A872" s="19"/>
      <c r="B872" s="20"/>
      <c r="C872" s="21"/>
      <c r="D872" s="21"/>
      <c r="E872" s="21"/>
      <c r="F872" s="21"/>
      <c r="G872" s="21"/>
      <c r="H872" s="20"/>
      <c r="I872" s="20"/>
      <c r="J872" s="18"/>
      <c r="Q872" s="5"/>
    </row>
    <row r="873" spans="1:17">
      <c r="A873" s="455" t="s">
        <v>53</v>
      </c>
      <c r="B873" s="457" t="s">
        <v>54</v>
      </c>
      <c r="C873" s="459" t="s">
        <v>144</v>
      </c>
      <c r="D873" s="461" t="s">
        <v>55</v>
      </c>
      <c r="E873" s="462"/>
      <c r="F873" s="462"/>
      <c r="G873" s="463"/>
      <c r="H873" s="464" t="s">
        <v>56</v>
      </c>
      <c r="I873" s="451" t="s">
        <v>57</v>
      </c>
      <c r="J873" s="20"/>
      <c r="Q873" s="5"/>
    </row>
    <row r="874" spans="1:17">
      <c r="A874" s="456"/>
      <c r="B874" s="458"/>
      <c r="C874" s="460"/>
      <c r="D874" s="22" t="s">
        <v>24</v>
      </c>
      <c r="E874" s="22" t="s">
        <v>25</v>
      </c>
      <c r="F874" s="170" t="s">
        <v>123</v>
      </c>
      <c r="G874" s="22" t="s">
        <v>58</v>
      </c>
      <c r="H874" s="465"/>
      <c r="I874" s="452"/>
      <c r="J874" s="453" t="s">
        <v>145</v>
      </c>
      <c r="K874" s="155"/>
      <c r="Q874" s="5"/>
    </row>
    <row r="875" spans="1:17">
      <c r="A875" s="24"/>
      <c r="B875" s="25" t="s">
        <v>59</v>
      </c>
      <c r="C875" s="26"/>
      <c r="D875" s="26"/>
      <c r="E875" s="26"/>
      <c r="F875" s="26"/>
      <c r="G875" s="26"/>
      <c r="H875" s="26"/>
      <c r="I875" s="27"/>
      <c r="J875" s="454"/>
      <c r="K875" s="155"/>
      <c r="Q875" s="5"/>
    </row>
    <row r="876" spans="1:17">
      <c r="A876" s="130" t="s">
        <v>72</v>
      </c>
      <c r="B876" s="135" t="s">
        <v>47</v>
      </c>
      <c r="C876" s="33" t="e">
        <f>#REF!</f>
        <v>#REF!</v>
      </c>
      <c r="D876" s="32"/>
      <c r="E876" s="33">
        <v>970765</v>
      </c>
      <c r="F876" s="33"/>
      <c r="G876" s="33"/>
      <c r="H876" s="57">
        <v>0</v>
      </c>
      <c r="I876" s="33">
        <v>980165</v>
      </c>
      <c r="J876" s="31" t="e">
        <f t="shared" ref="J876:J877" si="486">+SUM(C876:G876)-(H876+I876)</f>
        <v>#REF!</v>
      </c>
      <c r="K876" s="156" t="e">
        <f>J876=#REF!</f>
        <v>#REF!</v>
      </c>
      <c r="Q876" s="5"/>
    </row>
    <row r="877" spans="1:17">
      <c r="A877" s="130" t="s">
        <v>72</v>
      </c>
      <c r="B877" s="135" t="s">
        <v>31</v>
      </c>
      <c r="C877" s="33" t="e">
        <f>#REF!</f>
        <v>#REF!</v>
      </c>
      <c r="D877" s="32"/>
      <c r="E877" s="33">
        <v>58000</v>
      </c>
      <c r="F877" s="33"/>
      <c r="G877" s="33"/>
      <c r="H877" s="33">
        <v>0</v>
      </c>
      <c r="I877" s="33">
        <v>59500</v>
      </c>
      <c r="J877" s="107" t="e">
        <f t="shared" si="486"/>
        <v>#REF!</v>
      </c>
      <c r="K877" s="156" t="e">
        <f>J877=#REF!</f>
        <v>#REF!</v>
      </c>
      <c r="Q877" s="5"/>
    </row>
    <row r="878" spans="1:17">
      <c r="A878" s="130" t="s">
        <v>72</v>
      </c>
      <c r="B878" s="136" t="s">
        <v>30</v>
      </c>
      <c r="C878" s="33" t="e">
        <f>#REF!</f>
        <v>#REF!</v>
      </c>
      <c r="D878" s="127"/>
      <c r="E878" s="53">
        <v>557150</v>
      </c>
      <c r="F878" s="53"/>
      <c r="G878" s="53"/>
      <c r="H878" s="53">
        <v>0</v>
      </c>
      <c r="I878" s="53">
        <v>556650</v>
      </c>
      <c r="J878" s="132" t="e">
        <f>+SUM(C878:G878)-(H878+I878)</f>
        <v>#REF!</v>
      </c>
      <c r="K878" s="156" t="e">
        <f>J878=#REF!</f>
        <v>#REF!</v>
      </c>
      <c r="Q878" s="5"/>
    </row>
    <row r="879" spans="1:17">
      <c r="A879" s="130" t="s">
        <v>72</v>
      </c>
      <c r="B879" s="137" t="s">
        <v>84</v>
      </c>
      <c r="C879" s="128" t="e">
        <f>#REF!</f>
        <v>#REF!</v>
      </c>
      <c r="D879" s="131"/>
      <c r="E879" s="146"/>
      <c r="F879" s="146"/>
      <c r="G879" s="146"/>
      <c r="H879" s="146">
        <v>0</v>
      </c>
      <c r="I879" s="146">
        <v>0</v>
      </c>
      <c r="J879" s="129" t="e">
        <f>+SUM(C879:G879)-(H879+I879)</f>
        <v>#REF!</v>
      </c>
      <c r="K879" s="156" t="e">
        <f>J879=#REF!</f>
        <v>#REF!</v>
      </c>
      <c r="Q879" s="5"/>
    </row>
    <row r="880" spans="1:17">
      <c r="A880" s="130" t="s">
        <v>72</v>
      </c>
      <c r="B880" s="137" t="s">
        <v>83</v>
      </c>
      <c r="C880" s="128" t="e">
        <f>#REF!</f>
        <v>#REF!</v>
      </c>
      <c r="D880" s="131"/>
      <c r="E880" s="146"/>
      <c r="F880" s="146"/>
      <c r="G880" s="146"/>
      <c r="H880" s="146">
        <v>0</v>
      </c>
      <c r="I880" s="146">
        <v>0</v>
      </c>
      <c r="J880" s="129" t="e">
        <f t="shared" ref="J880:J885" si="487">+SUM(C880:G880)-(H880+I880)</f>
        <v>#REF!</v>
      </c>
      <c r="K880" s="156" t="e">
        <f>J880=#REF!</f>
        <v>#REF!</v>
      </c>
      <c r="Q880" s="5"/>
    </row>
    <row r="881" spans="1:17">
      <c r="A881" s="130" t="s">
        <v>72</v>
      </c>
      <c r="B881" s="135" t="s">
        <v>35</v>
      </c>
      <c r="C881" s="33" t="e">
        <f>#REF!</f>
        <v>#REF!</v>
      </c>
      <c r="D881" s="32"/>
      <c r="E881" s="33">
        <v>941000</v>
      </c>
      <c r="F881" s="33"/>
      <c r="G881" s="110"/>
      <c r="H881" s="110">
        <v>0</v>
      </c>
      <c r="I881" s="33">
        <v>1084725</v>
      </c>
      <c r="J881" s="31" t="e">
        <f t="shared" si="487"/>
        <v>#REF!</v>
      </c>
      <c r="K881" s="156" t="e">
        <f>J881=#REF!</f>
        <v>#REF!</v>
      </c>
      <c r="Q881" s="5"/>
    </row>
    <row r="882" spans="1:17">
      <c r="A882" s="130" t="s">
        <v>72</v>
      </c>
      <c r="B882" s="135" t="s">
        <v>93</v>
      </c>
      <c r="C882" s="33" t="e">
        <f>#REF!</f>
        <v>#REF!</v>
      </c>
      <c r="D882" s="32"/>
      <c r="E882" s="33">
        <v>52000</v>
      </c>
      <c r="F882" s="110"/>
      <c r="G882" s="110"/>
      <c r="H882" s="110">
        <v>0</v>
      </c>
      <c r="I882" s="33">
        <v>67000</v>
      </c>
      <c r="J882" s="31" t="e">
        <f t="shared" si="487"/>
        <v>#REF!</v>
      </c>
      <c r="K882" s="156" t="e">
        <f>J882=#REF!</f>
        <v>#REF!</v>
      </c>
      <c r="Q882" s="5"/>
    </row>
    <row r="883" spans="1:17">
      <c r="A883" s="130" t="s">
        <v>72</v>
      </c>
      <c r="B883" s="135" t="s">
        <v>29</v>
      </c>
      <c r="C883" s="33" t="e">
        <f>#REF!</f>
        <v>#REF!</v>
      </c>
      <c r="D883" s="32"/>
      <c r="E883" s="33">
        <v>515000</v>
      </c>
      <c r="F883" s="110"/>
      <c r="G883" s="110"/>
      <c r="H883" s="110">
        <v>0</v>
      </c>
      <c r="I883" s="33">
        <v>655500</v>
      </c>
      <c r="J883" s="31" t="e">
        <f t="shared" si="487"/>
        <v>#REF!</v>
      </c>
      <c r="K883" s="156" t="e">
        <f>J883=#REF!</f>
        <v>#REF!</v>
      </c>
      <c r="Q883" s="5"/>
    </row>
    <row r="884" spans="1:17">
      <c r="A884" s="130" t="s">
        <v>72</v>
      </c>
      <c r="B884" s="135" t="s">
        <v>32</v>
      </c>
      <c r="C884" s="33" t="e">
        <f>#REF!</f>
        <v>#REF!</v>
      </c>
      <c r="D884" s="32"/>
      <c r="E884" s="33">
        <v>10000</v>
      </c>
      <c r="F884" s="110"/>
      <c r="G884" s="110"/>
      <c r="H884" s="33">
        <v>500</v>
      </c>
      <c r="I884" s="33">
        <v>15300</v>
      </c>
      <c r="J884" s="31" t="e">
        <f t="shared" si="487"/>
        <v>#REF!</v>
      </c>
      <c r="K884" s="156" t="e">
        <f>J884=#REF!</f>
        <v>#REF!</v>
      </c>
      <c r="Q884" s="5"/>
    </row>
    <row r="885" spans="1:17">
      <c r="A885" s="130" t="s">
        <v>72</v>
      </c>
      <c r="B885" s="136" t="s">
        <v>113</v>
      </c>
      <c r="C885" s="33" t="e">
        <f>#REF!</f>
        <v>#REF!</v>
      </c>
      <c r="D885" s="127"/>
      <c r="E885" s="53">
        <v>20000</v>
      </c>
      <c r="F885" s="53"/>
      <c r="G885" s="147"/>
      <c r="H885" s="53">
        <v>0</v>
      </c>
      <c r="I885" s="53">
        <v>28000</v>
      </c>
      <c r="J885" s="31" t="e">
        <f t="shared" si="487"/>
        <v>#REF!</v>
      </c>
      <c r="K885" s="156" t="e">
        <f>J885=#REF!</f>
        <v>#REF!</v>
      </c>
      <c r="Q885" s="5"/>
    </row>
    <row r="886" spans="1:17">
      <c r="A886" s="35" t="s">
        <v>60</v>
      </c>
      <c r="B886" s="36"/>
      <c r="C886" s="36"/>
      <c r="D886" s="36"/>
      <c r="E886" s="36"/>
      <c r="F886" s="36"/>
      <c r="G886" s="36"/>
      <c r="H886" s="36"/>
      <c r="I886" s="36"/>
      <c r="J886" s="37"/>
      <c r="K886" s="155"/>
      <c r="Q886" s="5"/>
    </row>
    <row r="887" spans="1:17">
      <c r="A887" s="130" t="s">
        <v>72</v>
      </c>
      <c r="B887" s="38" t="s">
        <v>61</v>
      </c>
      <c r="C887" s="39" t="e">
        <f>#REF!</f>
        <v>#REF!</v>
      </c>
      <c r="D887" s="51">
        <v>6000500</v>
      </c>
      <c r="E887" s="109"/>
      <c r="F887" s="51"/>
      <c r="G887" s="148"/>
      <c r="H887" s="53">
        <v>3123915</v>
      </c>
      <c r="I887" s="134">
        <v>3367697</v>
      </c>
      <c r="J887" s="46" t="e">
        <f>+SUM(C887:G887)-(H887+I887)</f>
        <v>#REF!</v>
      </c>
      <c r="K887" s="156" t="e">
        <f>J887=#REF!</f>
        <v>#REF!</v>
      </c>
      <c r="Q887" s="5"/>
    </row>
    <row r="888" spans="1:17">
      <c r="A888" s="44" t="s">
        <v>62</v>
      </c>
      <c r="B888" s="25"/>
      <c r="C888" s="36"/>
      <c r="D888" s="25"/>
      <c r="E888" s="25"/>
      <c r="F888" s="25"/>
      <c r="G888" s="25"/>
      <c r="H888" s="25"/>
      <c r="I888" s="25"/>
      <c r="J888" s="37"/>
      <c r="K888" s="155"/>
      <c r="Q888" s="5"/>
    </row>
    <row r="889" spans="1:17">
      <c r="A889" s="130" t="s">
        <v>72</v>
      </c>
      <c r="B889" s="38" t="s">
        <v>63</v>
      </c>
      <c r="C889" s="133" t="e">
        <f>#REF!</f>
        <v>#REF!</v>
      </c>
      <c r="D889" s="140"/>
      <c r="E889" s="51"/>
      <c r="F889" s="51"/>
      <c r="G889" s="51"/>
      <c r="H889" s="53">
        <v>2000000</v>
      </c>
      <c r="I889" s="55">
        <v>271244</v>
      </c>
      <c r="J889" s="46" t="e">
        <f>+SUM(C889:G889)-(H889+I889)</f>
        <v>#REF!</v>
      </c>
      <c r="K889" s="156" t="e">
        <f>+J889=#REF!</f>
        <v>#REF!</v>
      </c>
      <c r="Q889" s="5"/>
    </row>
    <row r="890" spans="1:17">
      <c r="A890" s="130" t="s">
        <v>72</v>
      </c>
      <c r="B890" s="38" t="s">
        <v>64</v>
      </c>
      <c r="C890" s="133" t="e">
        <f>#REF!</f>
        <v>#REF!</v>
      </c>
      <c r="D890" s="51">
        <v>31201251</v>
      </c>
      <c r="E890" s="50"/>
      <c r="F890" s="50"/>
      <c r="G890" s="50"/>
      <c r="H890" s="33">
        <v>4000000</v>
      </c>
      <c r="I890" s="52">
        <v>6204544</v>
      </c>
      <c r="J890" s="46" t="e">
        <f>SUM(C890:G890)-(H890+I890)</f>
        <v>#REF!</v>
      </c>
      <c r="K890" s="156" t="e">
        <f>+J890=#REF!</f>
        <v>#REF!</v>
      </c>
      <c r="Q890" s="5"/>
    </row>
    <row r="891" spans="1:17" ht="15.75">
      <c r="C891" s="151" t="e">
        <f>SUM(C876:C890)</f>
        <v>#REF!</v>
      </c>
      <c r="I891" s="149">
        <f>SUM(I876:I890)</f>
        <v>13290325</v>
      </c>
      <c r="J891" s="111" t="e">
        <f>+SUM(J876:J890)</f>
        <v>#REF!</v>
      </c>
      <c r="K891" s="5" t="e">
        <f>J891=#REF!</f>
        <v>#REF!</v>
      </c>
      <c r="Q891" s="5"/>
    </row>
    <row r="892" spans="1:17" s="171" customFormat="1" ht="16.5">
      <c r="A892" s="14"/>
      <c r="B892" s="175"/>
      <c r="C892" s="174"/>
      <c r="D892" s="174"/>
      <c r="E892" s="173"/>
      <c r="F892" s="174"/>
      <c r="G892" s="174" t="e">
        <f>+#REF!-J891</f>
        <v>#REF!</v>
      </c>
      <c r="H892" s="174"/>
      <c r="I892" s="174"/>
      <c r="L892" s="172"/>
      <c r="M892" s="172"/>
      <c r="N892" s="172"/>
      <c r="O892" s="172"/>
    </row>
    <row r="893" spans="1:17" ht="16.5">
      <c r="A893" s="14"/>
      <c r="B893" s="15"/>
      <c r="C893" s="12"/>
      <c r="D893" s="12"/>
      <c r="E893" s="13"/>
      <c r="F893" s="12"/>
      <c r="G893" s="12"/>
      <c r="H893" s="12"/>
      <c r="I893" s="12"/>
      <c r="Q893" s="5"/>
    </row>
    <row r="894" spans="1:17">
      <c r="A894" s="16" t="s">
        <v>52</v>
      </c>
      <c r="B894" s="16"/>
      <c r="C894" s="16"/>
      <c r="D894" s="17"/>
      <c r="E894" s="17"/>
      <c r="F894" s="17"/>
      <c r="G894" s="17"/>
      <c r="H894" s="17"/>
      <c r="I894" s="17"/>
      <c r="Q894" s="5"/>
    </row>
    <row r="895" spans="1:17">
      <c r="A895" s="18" t="s">
        <v>139</v>
      </c>
      <c r="B895" s="18"/>
      <c r="C895" s="18"/>
      <c r="D895" s="18"/>
      <c r="E895" s="18"/>
      <c r="F895" s="18"/>
      <c r="G895" s="18"/>
      <c r="H895" s="18"/>
      <c r="I895" s="18"/>
      <c r="J895" s="17"/>
      <c r="Q895" s="5"/>
    </row>
    <row r="896" spans="1:17">
      <c r="A896" s="19"/>
      <c r="B896" s="20"/>
      <c r="C896" s="21"/>
      <c r="D896" s="21"/>
      <c r="E896" s="21"/>
      <c r="F896" s="21"/>
      <c r="G896" s="21"/>
      <c r="H896" s="20"/>
      <c r="I896" s="20"/>
      <c r="J896" s="18"/>
      <c r="Q896" s="5"/>
    </row>
    <row r="897" spans="1:17">
      <c r="A897" s="455" t="s">
        <v>53</v>
      </c>
      <c r="B897" s="457" t="s">
        <v>54</v>
      </c>
      <c r="C897" s="459" t="s">
        <v>141</v>
      </c>
      <c r="D897" s="461" t="s">
        <v>55</v>
      </c>
      <c r="E897" s="462"/>
      <c r="F897" s="462"/>
      <c r="G897" s="463"/>
      <c r="H897" s="464" t="s">
        <v>56</v>
      </c>
      <c r="I897" s="451" t="s">
        <v>57</v>
      </c>
      <c r="J897" s="20"/>
      <c r="Q897" s="5"/>
    </row>
    <row r="898" spans="1:17">
      <c r="A898" s="456"/>
      <c r="B898" s="458"/>
      <c r="C898" s="460"/>
      <c r="D898" s="22" t="s">
        <v>24</v>
      </c>
      <c r="E898" s="22" t="s">
        <v>25</v>
      </c>
      <c r="F898" s="168" t="s">
        <v>123</v>
      </c>
      <c r="G898" s="22" t="s">
        <v>58</v>
      </c>
      <c r="H898" s="465"/>
      <c r="I898" s="452"/>
      <c r="J898" s="453" t="s">
        <v>140</v>
      </c>
      <c r="K898" s="155"/>
      <c r="Q898" s="5"/>
    </row>
    <row r="899" spans="1:17">
      <c r="A899" s="24"/>
      <c r="B899" s="25" t="s">
        <v>59</v>
      </c>
      <c r="C899" s="26"/>
      <c r="D899" s="26"/>
      <c r="E899" s="26"/>
      <c r="F899" s="26"/>
      <c r="G899" s="26"/>
      <c r="H899" s="26"/>
      <c r="I899" s="27"/>
      <c r="J899" s="454"/>
      <c r="K899" s="155"/>
      <c r="L899" s="5"/>
      <c r="M899" s="5"/>
      <c r="N899" s="5"/>
      <c r="O899" s="5"/>
      <c r="Q899" s="5"/>
    </row>
    <row r="900" spans="1:17">
      <c r="A900" s="130" t="s">
        <v>142</v>
      </c>
      <c r="B900" s="135" t="s">
        <v>76</v>
      </c>
      <c r="C900" s="33" t="e">
        <f>+#REF!</f>
        <v>#REF!</v>
      </c>
      <c r="D900" s="32"/>
      <c r="E900" s="33">
        <v>114000</v>
      </c>
      <c r="F900" s="33"/>
      <c r="G900" s="33"/>
      <c r="H900" s="57">
        <v>11050</v>
      </c>
      <c r="I900" s="33">
        <v>112000</v>
      </c>
      <c r="J900" s="31" t="e">
        <f>+SUM(C900:G900)-(H900+I900)</f>
        <v>#REF!</v>
      </c>
      <c r="K900" s="156" t="e">
        <f>J900=#REF!</f>
        <v>#REF!</v>
      </c>
      <c r="L900" s="5"/>
      <c r="M900" s="5"/>
      <c r="N900" s="5"/>
      <c r="O900" s="5"/>
      <c r="Q900" s="5"/>
    </row>
    <row r="901" spans="1:17">
      <c r="A901" s="130" t="s">
        <v>142</v>
      </c>
      <c r="B901" s="135" t="s">
        <v>47</v>
      </c>
      <c r="C901" s="33" t="e">
        <f t="shared" ref="C901:C911" si="488">+C878</f>
        <v>#REF!</v>
      </c>
      <c r="D901" s="32"/>
      <c r="E901" s="33">
        <v>87350</v>
      </c>
      <c r="F901" s="33">
        <f>60000+62000</f>
        <v>122000</v>
      </c>
      <c r="G901" s="33"/>
      <c r="H901" s="57">
        <v>161395</v>
      </c>
      <c r="I901" s="33">
        <v>281200</v>
      </c>
      <c r="J901" s="31" t="e">
        <f t="shared" ref="J901:J902" si="489">+SUM(C901:G901)-(H901+I901)</f>
        <v>#REF!</v>
      </c>
      <c r="K901" s="156" t="e">
        <f t="shared" ref="K901:K911" si="490">J901=I878</f>
        <v>#REF!</v>
      </c>
      <c r="L901" s="5"/>
      <c r="M901" s="5"/>
      <c r="N901" s="5"/>
      <c r="O901" s="5"/>
      <c r="Q901" s="5"/>
    </row>
    <row r="902" spans="1:17">
      <c r="A902" s="130" t="s">
        <v>142</v>
      </c>
      <c r="B902" s="135" t="s">
        <v>31</v>
      </c>
      <c r="C902" s="33" t="e">
        <f t="shared" si="488"/>
        <v>#REF!</v>
      </c>
      <c r="D902" s="32"/>
      <c r="E902" s="33">
        <v>371500</v>
      </c>
      <c r="F902" s="33"/>
      <c r="G902" s="33"/>
      <c r="H902" s="33">
        <f>62000+81500+137000</f>
        <v>280500</v>
      </c>
      <c r="I902" s="33">
        <v>177000</v>
      </c>
      <c r="J902" s="107" t="e">
        <f t="shared" si="489"/>
        <v>#REF!</v>
      </c>
      <c r="K902" s="156" t="e">
        <f t="shared" si="490"/>
        <v>#REF!</v>
      </c>
      <c r="L902" s="5"/>
      <c r="M902" s="5"/>
      <c r="N902" s="5"/>
      <c r="O902" s="5"/>
      <c r="Q902" s="5"/>
    </row>
    <row r="903" spans="1:17">
      <c r="A903" s="130" t="s">
        <v>142</v>
      </c>
      <c r="B903" s="135" t="s">
        <v>77</v>
      </c>
      <c r="C903" s="33" t="e">
        <f t="shared" si="488"/>
        <v>#REF!</v>
      </c>
      <c r="D903" s="110"/>
      <c r="E903" s="33">
        <v>35560</v>
      </c>
      <c r="F903" s="33">
        <f>10000+81500</f>
        <v>91500</v>
      </c>
      <c r="G903" s="33"/>
      <c r="H903" s="33">
        <v>35000</v>
      </c>
      <c r="I903" s="33">
        <v>159750</v>
      </c>
      <c r="J903" s="107" t="e">
        <f>+SUM(C903:G903)-(H903+I903)</f>
        <v>#REF!</v>
      </c>
      <c r="K903" s="156" t="e">
        <f t="shared" si="490"/>
        <v>#REF!</v>
      </c>
      <c r="L903" s="5"/>
      <c r="M903" s="5"/>
      <c r="N903" s="5"/>
      <c r="O903" s="5"/>
      <c r="Q903" s="5"/>
    </row>
    <row r="904" spans="1:17">
      <c r="A904" s="130" t="s">
        <v>142</v>
      </c>
      <c r="B904" s="136" t="s">
        <v>30</v>
      </c>
      <c r="C904" s="33" t="e">
        <f t="shared" si="488"/>
        <v>#REF!</v>
      </c>
      <c r="D904" s="127"/>
      <c r="E904" s="53">
        <v>372085</v>
      </c>
      <c r="F904" s="53"/>
      <c r="G904" s="53"/>
      <c r="H904" s="53"/>
      <c r="I904" s="53">
        <v>336400</v>
      </c>
      <c r="J904" s="132" t="e">
        <f>+SUM(C904:G904)-(H904+I904)</f>
        <v>#REF!</v>
      </c>
      <c r="K904" s="156" t="e">
        <f t="shared" si="490"/>
        <v>#REF!</v>
      </c>
      <c r="L904" s="5"/>
      <c r="M904" s="5"/>
      <c r="N904" s="5"/>
      <c r="O904" s="5"/>
      <c r="Q904" s="5"/>
    </row>
    <row r="905" spans="1:17">
      <c r="A905" s="130" t="s">
        <v>142</v>
      </c>
      <c r="B905" s="137" t="s">
        <v>84</v>
      </c>
      <c r="C905" s="128" t="e">
        <f t="shared" si="488"/>
        <v>#REF!</v>
      </c>
      <c r="D905" s="131"/>
      <c r="E905" s="146"/>
      <c r="F905" s="146"/>
      <c r="G905" s="146"/>
      <c r="H905" s="146"/>
      <c r="I905" s="146"/>
      <c r="J905" s="129" t="e">
        <f>+SUM(C905:G905)-(H905+I905)</f>
        <v>#REF!</v>
      </c>
      <c r="K905" s="156" t="e">
        <f t="shared" si="490"/>
        <v>#REF!</v>
      </c>
      <c r="L905" s="5"/>
      <c r="M905" s="5"/>
      <c r="N905" s="5"/>
      <c r="O905" s="5"/>
      <c r="Q905" s="5"/>
    </row>
    <row r="906" spans="1:17">
      <c r="A906" s="130" t="s">
        <v>142</v>
      </c>
      <c r="B906" s="137" t="s">
        <v>83</v>
      </c>
      <c r="C906" s="128" t="e">
        <f t="shared" si="488"/>
        <v>#REF!</v>
      </c>
      <c r="D906" s="131"/>
      <c r="E906" s="146"/>
      <c r="F906" s="146"/>
      <c r="G906" s="146"/>
      <c r="H906" s="146"/>
      <c r="I906" s="146"/>
      <c r="J906" s="129" t="e">
        <f t="shared" ref="J906:J911" si="491">+SUM(C906:G906)-(H906+I906)</f>
        <v>#REF!</v>
      </c>
      <c r="K906" s="156" t="e">
        <f t="shared" si="490"/>
        <v>#REF!</v>
      </c>
      <c r="L906" s="5"/>
      <c r="M906" s="5"/>
      <c r="N906" s="5"/>
      <c r="O906" s="5"/>
      <c r="Q906" s="5"/>
    </row>
    <row r="907" spans="1:17">
      <c r="A907" s="130" t="s">
        <v>142</v>
      </c>
      <c r="B907" s="135" t="s">
        <v>35</v>
      </c>
      <c r="C907" s="33" t="e">
        <f t="shared" si="488"/>
        <v>#REF!</v>
      </c>
      <c r="D907" s="32"/>
      <c r="E907" s="33">
        <v>400000</v>
      </c>
      <c r="F907" s="33">
        <v>137000</v>
      </c>
      <c r="G907" s="110"/>
      <c r="H907" s="110"/>
      <c r="I907" s="33">
        <v>563500</v>
      </c>
      <c r="J907" s="31" t="e">
        <f t="shared" si="491"/>
        <v>#REF!</v>
      </c>
      <c r="K907" s="156" t="e">
        <f t="shared" si="490"/>
        <v>#REF!</v>
      </c>
      <c r="L907" s="5"/>
      <c r="M907" s="5"/>
      <c r="N907" s="5"/>
      <c r="O907" s="5"/>
      <c r="Q907" s="5"/>
    </row>
    <row r="908" spans="1:17">
      <c r="A908" s="130" t="s">
        <v>142</v>
      </c>
      <c r="B908" s="135" t="s">
        <v>93</v>
      </c>
      <c r="C908" s="33" t="e">
        <f t="shared" si="488"/>
        <v>#REF!</v>
      </c>
      <c r="D908" s="32"/>
      <c r="E908" s="33">
        <v>35000</v>
      </c>
      <c r="F908" s="110"/>
      <c r="G908" s="110"/>
      <c r="H908" s="110"/>
      <c r="I908" s="33">
        <v>23500</v>
      </c>
      <c r="J908" s="31" t="e">
        <f t="shared" si="491"/>
        <v>#REF!</v>
      </c>
      <c r="K908" s="156" t="e">
        <f t="shared" si="490"/>
        <v>#REF!</v>
      </c>
      <c r="L908" s="5"/>
      <c r="M908" s="5"/>
      <c r="N908" s="5"/>
      <c r="O908" s="5"/>
      <c r="Q908" s="5"/>
    </row>
    <row r="909" spans="1:17">
      <c r="A909" s="130" t="s">
        <v>142</v>
      </c>
      <c r="B909" s="135" t="s">
        <v>29</v>
      </c>
      <c r="C909" s="33">
        <f t="shared" si="488"/>
        <v>0</v>
      </c>
      <c r="D909" s="32"/>
      <c r="E909" s="33">
        <v>454000</v>
      </c>
      <c r="F909" s="110"/>
      <c r="G909" s="110"/>
      <c r="H909" s="110"/>
      <c r="I909" s="33">
        <v>329100</v>
      </c>
      <c r="J909" s="31">
        <f t="shared" si="491"/>
        <v>124900</v>
      </c>
      <c r="K909" s="156" t="b">
        <f t="shared" si="490"/>
        <v>0</v>
      </c>
      <c r="L909" s="5"/>
      <c r="M909" s="5"/>
      <c r="N909" s="5"/>
      <c r="O909" s="5"/>
      <c r="Q909" s="5"/>
    </row>
    <row r="910" spans="1:17">
      <c r="A910" s="130" t="s">
        <v>142</v>
      </c>
      <c r="B910" s="135" t="s">
        <v>32</v>
      </c>
      <c r="C910" s="33" t="e">
        <f t="shared" si="488"/>
        <v>#REF!</v>
      </c>
      <c r="D910" s="32"/>
      <c r="E910" s="33"/>
      <c r="F910" s="110"/>
      <c r="G910" s="110"/>
      <c r="H910" s="33">
        <v>20000</v>
      </c>
      <c r="I910" s="33">
        <v>5000</v>
      </c>
      <c r="J910" s="31" t="e">
        <f t="shared" si="491"/>
        <v>#REF!</v>
      </c>
      <c r="K910" s="156" t="e">
        <f t="shared" si="490"/>
        <v>#REF!</v>
      </c>
      <c r="L910" s="5"/>
      <c r="M910" s="5"/>
      <c r="N910" s="5"/>
      <c r="O910" s="5"/>
      <c r="Q910" s="5"/>
    </row>
    <row r="911" spans="1:17">
      <c r="A911" s="130" t="s">
        <v>142</v>
      </c>
      <c r="B911" s="136" t="s">
        <v>113</v>
      </c>
      <c r="C911" s="33">
        <f t="shared" si="488"/>
        <v>0</v>
      </c>
      <c r="D911" s="127"/>
      <c r="E911" s="53">
        <v>231000</v>
      </c>
      <c r="F911" s="53"/>
      <c r="G911" s="147"/>
      <c r="H911" s="53">
        <v>90000</v>
      </c>
      <c r="I911" s="53">
        <v>180000</v>
      </c>
      <c r="J911" s="31">
        <f t="shared" si="491"/>
        <v>-39000</v>
      </c>
      <c r="K911" s="156" t="b">
        <f t="shared" si="490"/>
        <v>0</v>
      </c>
      <c r="L911" s="5"/>
      <c r="M911" s="5"/>
      <c r="N911" s="5"/>
      <c r="O911" s="5"/>
      <c r="Q911" s="5"/>
    </row>
    <row r="912" spans="1:17">
      <c r="A912" s="35" t="s">
        <v>60</v>
      </c>
      <c r="B912" s="36"/>
      <c r="C912" s="36"/>
      <c r="D912" s="36"/>
      <c r="E912" s="36"/>
      <c r="F912" s="36"/>
      <c r="G912" s="36"/>
      <c r="H912" s="36"/>
      <c r="I912" s="36"/>
      <c r="J912" s="37"/>
      <c r="K912" s="155"/>
      <c r="L912" s="5"/>
      <c r="M912" s="5"/>
      <c r="N912" s="5"/>
      <c r="O912" s="5"/>
      <c r="Q912" s="5"/>
    </row>
    <row r="913" spans="1:17">
      <c r="A913" s="130" t="s">
        <v>142</v>
      </c>
      <c r="B913" s="38" t="s">
        <v>61</v>
      </c>
      <c r="C913" s="39" t="e">
        <f>+C877</f>
        <v>#REF!</v>
      </c>
      <c r="D913" s="51">
        <v>5000000</v>
      </c>
      <c r="E913" s="109"/>
      <c r="F913" s="51">
        <v>217445</v>
      </c>
      <c r="G913" s="148"/>
      <c r="H913" s="139">
        <v>2070495</v>
      </c>
      <c r="I913" s="134">
        <v>3286349</v>
      </c>
      <c r="J913" s="46" t="e">
        <f>+SUM(C913:G913)-(H913+I913)</f>
        <v>#REF!</v>
      </c>
      <c r="K913" s="156" t="e">
        <f>J913=I877</f>
        <v>#REF!</v>
      </c>
      <c r="L913" s="5"/>
      <c r="M913" s="5"/>
      <c r="N913" s="5"/>
      <c r="O913" s="5"/>
      <c r="Q913" s="5"/>
    </row>
    <row r="914" spans="1:17">
      <c r="A914" s="44" t="s">
        <v>62</v>
      </c>
      <c r="B914" s="25"/>
      <c r="C914" s="36"/>
      <c r="D914" s="25"/>
      <c r="E914" s="25"/>
      <c r="F914" s="25"/>
      <c r="G914" s="25"/>
      <c r="H914" s="25"/>
      <c r="I914" s="25"/>
      <c r="J914" s="37"/>
      <c r="K914" s="155"/>
      <c r="L914" s="5"/>
      <c r="M914" s="5"/>
      <c r="N914" s="5"/>
      <c r="O914" s="5"/>
      <c r="Q914" s="5"/>
    </row>
    <row r="915" spans="1:17">
      <c r="A915" s="130" t="s">
        <v>142</v>
      </c>
      <c r="B915" s="38" t="s">
        <v>63</v>
      </c>
      <c r="C915" s="133" t="e">
        <f>+#REF!</f>
        <v>#REF!</v>
      </c>
      <c r="D915" s="140">
        <v>7900099</v>
      </c>
      <c r="E915" s="51"/>
      <c r="F915" s="51"/>
      <c r="G915" s="51"/>
      <c r="H915" s="53">
        <v>3000000</v>
      </c>
      <c r="I915" s="55">
        <v>379529</v>
      </c>
      <c r="J915" s="46" t="e">
        <f>+SUM(C915:G915)-(H915+I915)</f>
        <v>#REF!</v>
      </c>
      <c r="K915" s="156" t="e">
        <f>+J915=#REF!</f>
        <v>#REF!</v>
      </c>
      <c r="L915" s="5"/>
      <c r="M915" s="5"/>
      <c r="N915" s="5"/>
      <c r="O915" s="5"/>
      <c r="Q915" s="5"/>
    </row>
    <row r="916" spans="1:17">
      <c r="A916" s="130" t="s">
        <v>142</v>
      </c>
      <c r="B916" s="38" t="s">
        <v>64</v>
      </c>
      <c r="C916" s="133" t="e">
        <f>+C876</f>
        <v>#REF!</v>
      </c>
      <c r="D916" s="51"/>
      <c r="E916" s="50"/>
      <c r="F916" s="50"/>
      <c r="G916" s="50"/>
      <c r="H916" s="33">
        <v>2000000</v>
      </c>
      <c r="I916" s="52">
        <v>5392233</v>
      </c>
      <c r="J916" s="46" t="e">
        <f>SUM(C916:G916)-(H916+I916)</f>
        <v>#REF!</v>
      </c>
      <c r="K916" s="156" t="e">
        <f>+J916=I876</f>
        <v>#REF!</v>
      </c>
      <c r="L916" s="5"/>
      <c r="M916" s="5"/>
      <c r="N916" s="5"/>
      <c r="O916" s="5"/>
      <c r="Q916" s="5"/>
    </row>
    <row r="917" spans="1:17" ht="15.75">
      <c r="C917" s="151" t="e">
        <f>SUM(C900:C916)</f>
        <v>#REF!</v>
      </c>
      <c r="I917" s="149">
        <f>SUM(I900:I916)</f>
        <v>11225561</v>
      </c>
      <c r="J917" s="111" t="e">
        <f>+SUM(J900:J916)</f>
        <v>#REF!</v>
      </c>
      <c r="K917" s="5" t="e">
        <f>J917=I889</f>
        <v>#REF!</v>
      </c>
      <c r="L917" s="5"/>
      <c r="M917" s="5"/>
      <c r="N917" s="5"/>
      <c r="O917" s="5"/>
      <c r="Q917" s="5"/>
    </row>
    <row r="918" spans="1:17" ht="16.5">
      <c r="A918" s="14"/>
      <c r="B918" s="15"/>
      <c r="C918" s="12"/>
      <c r="D918" s="12"/>
      <c r="E918" s="13"/>
      <c r="F918" s="12"/>
      <c r="G918" s="12"/>
      <c r="H918" s="12"/>
      <c r="I918" s="12"/>
      <c r="L918" s="5"/>
      <c r="M918" s="5"/>
      <c r="N918" s="5"/>
      <c r="O918" s="5"/>
      <c r="Q918" s="5"/>
    </row>
    <row r="919" spans="1:17">
      <c r="A919" s="16" t="s">
        <v>52</v>
      </c>
      <c r="B919" s="16"/>
      <c r="C919" s="16"/>
      <c r="D919" s="17"/>
      <c r="E919" s="17"/>
      <c r="F919" s="17"/>
      <c r="G919" s="17"/>
      <c r="H919" s="17"/>
      <c r="I919" s="17"/>
      <c r="L919" s="5"/>
      <c r="M919" s="5"/>
      <c r="N919" s="5"/>
      <c r="O919" s="5"/>
      <c r="Q919" s="5"/>
    </row>
    <row r="920" spans="1:17">
      <c r="A920" s="18" t="s">
        <v>131</v>
      </c>
      <c r="B920" s="18"/>
      <c r="C920" s="18"/>
      <c r="D920" s="18"/>
      <c r="E920" s="18"/>
      <c r="F920" s="18"/>
      <c r="G920" s="18"/>
      <c r="H920" s="18"/>
      <c r="I920" s="18"/>
      <c r="J920" s="17"/>
      <c r="L920" s="5"/>
      <c r="M920" s="5"/>
      <c r="N920" s="5"/>
      <c r="O920" s="5"/>
      <c r="Q920" s="5"/>
    </row>
    <row r="921" spans="1:17">
      <c r="A921" s="19"/>
      <c r="B921" s="20"/>
      <c r="C921" s="21"/>
      <c r="D921" s="21"/>
      <c r="E921" s="21"/>
      <c r="F921" s="21"/>
      <c r="G921" s="21"/>
      <c r="H921" s="20"/>
      <c r="I921" s="20"/>
      <c r="J921" s="18"/>
      <c r="L921" s="5"/>
      <c r="M921" s="5"/>
      <c r="N921" s="5"/>
      <c r="O921" s="5"/>
      <c r="Q921" s="5"/>
    </row>
    <row r="922" spans="1:17">
      <c r="A922" s="455" t="s">
        <v>53</v>
      </c>
      <c r="B922" s="457" t="s">
        <v>54</v>
      </c>
      <c r="C922" s="459" t="s">
        <v>132</v>
      </c>
      <c r="D922" s="461" t="s">
        <v>55</v>
      </c>
      <c r="E922" s="462"/>
      <c r="F922" s="462"/>
      <c r="G922" s="463"/>
      <c r="H922" s="464" t="s">
        <v>56</v>
      </c>
      <c r="I922" s="451" t="s">
        <v>57</v>
      </c>
      <c r="J922" s="20"/>
      <c r="L922" s="5"/>
      <c r="M922" s="5"/>
      <c r="N922" s="5"/>
      <c r="O922" s="5"/>
      <c r="Q922" s="5"/>
    </row>
    <row r="923" spans="1:17">
      <c r="A923" s="456"/>
      <c r="B923" s="458"/>
      <c r="C923" s="460"/>
      <c r="D923" s="22" t="s">
        <v>24</v>
      </c>
      <c r="E923" s="22" t="s">
        <v>25</v>
      </c>
      <c r="F923" s="167" t="s">
        <v>123</v>
      </c>
      <c r="G923" s="22" t="s">
        <v>58</v>
      </c>
      <c r="H923" s="465"/>
      <c r="I923" s="452"/>
      <c r="J923" s="453" t="s">
        <v>133</v>
      </c>
      <c r="K923" s="155"/>
      <c r="L923" s="5"/>
      <c r="M923" s="5"/>
      <c r="N923" s="5"/>
      <c r="O923" s="5"/>
      <c r="Q923" s="5"/>
    </row>
    <row r="924" spans="1:17">
      <c r="A924" s="24"/>
      <c r="B924" s="25" t="s">
        <v>59</v>
      </c>
      <c r="C924" s="26"/>
      <c r="D924" s="26"/>
      <c r="E924" s="26"/>
      <c r="F924" s="26"/>
      <c r="G924" s="26"/>
      <c r="H924" s="26"/>
      <c r="I924" s="27"/>
      <c r="J924" s="454"/>
      <c r="K924" s="155"/>
      <c r="L924" s="5"/>
      <c r="M924" s="5"/>
      <c r="N924" s="5"/>
      <c r="O924" s="5"/>
      <c r="Q924" s="5"/>
    </row>
    <row r="925" spans="1:17">
      <c r="A925" s="130" t="s">
        <v>134</v>
      </c>
      <c r="B925" s="135" t="s">
        <v>76</v>
      </c>
      <c r="C925" s="33">
        <v>40050</v>
      </c>
      <c r="D925" s="32"/>
      <c r="E925" s="33">
        <v>104000</v>
      </c>
      <c r="F925" s="33"/>
      <c r="G925" s="33"/>
      <c r="H925" s="57">
        <v>54000</v>
      </c>
      <c r="I925" s="33">
        <v>81000</v>
      </c>
      <c r="J925" s="31">
        <f>+SUM(C925:G925)-(H925+I925)</f>
        <v>9050</v>
      </c>
      <c r="K925" s="156" t="e">
        <f>J925=#REF!</f>
        <v>#REF!</v>
      </c>
      <c r="L925" s="5"/>
      <c r="M925" s="5"/>
      <c r="N925" s="5"/>
      <c r="O925" s="5"/>
      <c r="Q925" s="5"/>
    </row>
    <row r="926" spans="1:17">
      <c r="A926" s="130" t="s">
        <v>134</v>
      </c>
      <c r="B926" s="135" t="s">
        <v>47</v>
      </c>
      <c r="C926" s="33">
        <v>38845</v>
      </c>
      <c r="D926" s="32"/>
      <c r="E926" s="33">
        <v>1550000</v>
      </c>
      <c r="F926" s="33"/>
      <c r="G926" s="33"/>
      <c r="H926" s="57">
        <v>311000</v>
      </c>
      <c r="I926" s="33">
        <v>1017400</v>
      </c>
      <c r="J926" s="31">
        <f t="shared" ref="J926:J927" si="492">+SUM(C926:G926)-(H926+I926)</f>
        <v>260445</v>
      </c>
      <c r="K926" s="156" t="b">
        <f>J926=I878</f>
        <v>0</v>
      </c>
      <c r="L926" s="5"/>
      <c r="M926" s="5"/>
      <c r="N926" s="5"/>
      <c r="O926" s="5"/>
      <c r="Q926" s="5"/>
    </row>
    <row r="927" spans="1:17">
      <c r="A927" s="130" t="s">
        <v>134</v>
      </c>
      <c r="B927" s="135" t="s">
        <v>31</v>
      </c>
      <c r="C927" s="33">
        <v>6895</v>
      </c>
      <c r="D927" s="32"/>
      <c r="E927" s="33">
        <v>581000</v>
      </c>
      <c r="F927" s="33"/>
      <c r="G927" s="33"/>
      <c r="H927" s="33"/>
      <c r="I927" s="33">
        <v>498900</v>
      </c>
      <c r="J927" s="107">
        <f t="shared" si="492"/>
        <v>88995</v>
      </c>
      <c r="K927" s="156" t="b">
        <f>J927=I879</f>
        <v>0</v>
      </c>
      <c r="L927" s="5"/>
      <c r="M927" s="5"/>
      <c r="N927" s="5"/>
      <c r="O927" s="5"/>
      <c r="Q927" s="5"/>
    </row>
    <row r="928" spans="1:17">
      <c r="A928" s="130" t="s">
        <v>134</v>
      </c>
      <c r="B928" s="135" t="s">
        <v>77</v>
      </c>
      <c r="C928" s="33">
        <v>28540</v>
      </c>
      <c r="D928" s="110"/>
      <c r="E928" s="33">
        <v>332000</v>
      </c>
      <c r="F928" s="33">
        <v>10000</v>
      </c>
      <c r="G928" s="33"/>
      <c r="H928" s="33"/>
      <c r="I928" s="33">
        <v>302850</v>
      </c>
      <c r="J928" s="107">
        <f>+SUM(C928:G928)-(H928+I928)</f>
        <v>67690</v>
      </c>
      <c r="K928" s="156" t="b">
        <f>J928=I880</f>
        <v>0</v>
      </c>
      <c r="L928" s="5"/>
      <c r="M928" s="5"/>
      <c r="N928" s="5"/>
      <c r="O928" s="5"/>
      <c r="Q928" s="5"/>
    </row>
    <row r="929" spans="1:17">
      <c r="A929" s="130" t="s">
        <v>134</v>
      </c>
      <c r="B929" s="135" t="s">
        <v>69</v>
      </c>
      <c r="C929" s="33">
        <v>184</v>
      </c>
      <c r="D929" s="110"/>
      <c r="E929" s="33"/>
      <c r="F929" s="33"/>
      <c r="G929" s="33"/>
      <c r="H929" s="33">
        <v>184</v>
      </c>
      <c r="I929" s="33"/>
      <c r="J929" s="107">
        <f t="shared" ref="J929" si="493">+SUM(C929:G929)-(H929+I929)</f>
        <v>0</v>
      </c>
      <c r="K929" s="156" t="e">
        <f>J929=#REF!</f>
        <v>#REF!</v>
      </c>
      <c r="L929" s="5"/>
      <c r="M929" s="5"/>
      <c r="N929" s="5"/>
      <c r="O929" s="5"/>
      <c r="Q929" s="5"/>
    </row>
    <row r="930" spans="1:17">
      <c r="A930" s="130" t="s">
        <v>134</v>
      </c>
      <c r="B930" s="136" t="s">
        <v>30</v>
      </c>
      <c r="C930" s="33">
        <v>68200</v>
      </c>
      <c r="D930" s="127"/>
      <c r="E930" s="53">
        <v>638000</v>
      </c>
      <c r="F930" s="53">
        <v>45000</v>
      </c>
      <c r="G930" s="53"/>
      <c r="H930" s="53"/>
      <c r="I930" s="53">
        <v>787385</v>
      </c>
      <c r="J930" s="132">
        <f>+SUM(C930:G930)-(H930+I930)</f>
        <v>-36185</v>
      </c>
      <c r="K930" s="156" t="b">
        <f t="shared" ref="K930:K937" si="494">J930=I881</f>
        <v>0</v>
      </c>
      <c r="L930" s="5"/>
      <c r="M930" s="5"/>
      <c r="N930" s="5"/>
      <c r="O930" s="5"/>
      <c r="Q930" s="5"/>
    </row>
    <row r="931" spans="1:17">
      <c r="A931" s="130" t="s">
        <v>134</v>
      </c>
      <c r="B931" s="137" t="s">
        <v>84</v>
      </c>
      <c r="C931" s="128">
        <v>233614</v>
      </c>
      <c r="D931" s="131"/>
      <c r="E931" s="146"/>
      <c r="F931" s="146"/>
      <c r="G931" s="146"/>
      <c r="H931" s="146"/>
      <c r="I931" s="146"/>
      <c r="J931" s="129">
        <f>+SUM(C931:G931)-(H931+I931)</f>
        <v>233614</v>
      </c>
      <c r="K931" s="156" t="b">
        <f t="shared" si="494"/>
        <v>0</v>
      </c>
      <c r="L931" s="5"/>
      <c r="M931" s="5"/>
      <c r="N931" s="5"/>
      <c r="O931" s="5"/>
      <c r="Q931" s="5"/>
    </row>
    <row r="932" spans="1:17">
      <c r="A932" s="130" t="s">
        <v>134</v>
      </c>
      <c r="B932" s="137" t="s">
        <v>83</v>
      </c>
      <c r="C932" s="128">
        <v>249769</v>
      </c>
      <c r="D932" s="131"/>
      <c r="E932" s="146"/>
      <c r="F932" s="146"/>
      <c r="G932" s="146"/>
      <c r="H932" s="146"/>
      <c r="I932" s="146"/>
      <c r="J932" s="129">
        <f t="shared" ref="J932:J937" si="495">+SUM(C932:G932)-(H932+I932)</f>
        <v>249769</v>
      </c>
      <c r="K932" s="156" t="b">
        <f t="shared" si="494"/>
        <v>0</v>
      </c>
      <c r="L932" s="5"/>
      <c r="M932" s="5"/>
      <c r="N932" s="5"/>
      <c r="O932" s="5"/>
      <c r="Q932" s="5"/>
    </row>
    <row r="933" spans="1:17">
      <c r="A933" s="130" t="s">
        <v>134</v>
      </c>
      <c r="B933" s="135" t="s">
        <v>35</v>
      </c>
      <c r="C933" s="33">
        <v>-4675</v>
      </c>
      <c r="D933" s="32"/>
      <c r="E933" s="33">
        <v>494000</v>
      </c>
      <c r="F933" s="33">
        <v>256000</v>
      </c>
      <c r="G933" s="110"/>
      <c r="H933" s="110">
        <v>6500</v>
      </c>
      <c r="I933" s="33">
        <v>607250</v>
      </c>
      <c r="J933" s="31">
        <f t="shared" si="495"/>
        <v>131575</v>
      </c>
      <c r="K933" s="156" t="b">
        <f t="shared" si="494"/>
        <v>0</v>
      </c>
      <c r="L933" s="5"/>
      <c r="M933" s="5"/>
      <c r="N933" s="5"/>
      <c r="O933" s="5"/>
      <c r="Q933" s="5"/>
    </row>
    <row r="934" spans="1:17">
      <c r="A934" s="130" t="s">
        <v>134</v>
      </c>
      <c r="B934" s="135" t="s">
        <v>93</v>
      </c>
      <c r="C934" s="33">
        <v>5000</v>
      </c>
      <c r="D934" s="32"/>
      <c r="E934" s="33">
        <v>30000</v>
      </c>
      <c r="F934" s="110"/>
      <c r="G934" s="110"/>
      <c r="H934" s="110"/>
      <c r="I934" s="33">
        <v>29500</v>
      </c>
      <c r="J934" s="31">
        <f t="shared" si="495"/>
        <v>5500</v>
      </c>
      <c r="K934" s="156" t="b">
        <f t="shared" si="494"/>
        <v>0</v>
      </c>
      <c r="L934" s="5"/>
      <c r="M934" s="5"/>
      <c r="N934" s="5"/>
      <c r="O934" s="5"/>
      <c r="Q934" s="5"/>
    </row>
    <row r="935" spans="1:17">
      <c r="A935" s="130" t="s">
        <v>134</v>
      </c>
      <c r="B935" s="135" t="s">
        <v>29</v>
      </c>
      <c r="C935" s="33">
        <v>72800</v>
      </c>
      <c r="D935" s="32"/>
      <c r="E935" s="33">
        <v>446000</v>
      </c>
      <c r="F935" s="110"/>
      <c r="G935" s="110"/>
      <c r="H935" s="110"/>
      <c r="I935" s="33">
        <v>512600</v>
      </c>
      <c r="J935" s="31">
        <f t="shared" si="495"/>
        <v>6200</v>
      </c>
      <c r="K935" s="156" t="b">
        <f t="shared" si="494"/>
        <v>0</v>
      </c>
      <c r="L935" s="5"/>
      <c r="M935" s="5"/>
      <c r="N935" s="5"/>
      <c r="O935" s="5"/>
      <c r="Q935" s="5"/>
    </row>
    <row r="936" spans="1:17">
      <c r="A936" s="130" t="s">
        <v>134</v>
      </c>
      <c r="B936" s="135" t="s">
        <v>32</v>
      </c>
      <c r="C936" s="33">
        <v>47300</v>
      </c>
      <c r="D936" s="32"/>
      <c r="E936" s="33">
        <v>5000</v>
      </c>
      <c r="F936" s="110">
        <v>6500</v>
      </c>
      <c r="G936" s="110"/>
      <c r="H936" s="33">
        <v>20000</v>
      </c>
      <c r="I936" s="33">
        <v>8000</v>
      </c>
      <c r="J936" s="31">
        <f t="shared" si="495"/>
        <v>30800</v>
      </c>
      <c r="K936" s="156" t="b">
        <f t="shared" si="494"/>
        <v>0</v>
      </c>
      <c r="L936" s="5"/>
      <c r="M936" s="5"/>
      <c r="N936" s="5"/>
      <c r="O936" s="5"/>
      <c r="Q936" s="5"/>
    </row>
    <row r="937" spans="1:17">
      <c r="A937" s="130" t="s">
        <v>134</v>
      </c>
      <c r="B937" s="136" t="s">
        <v>113</v>
      </c>
      <c r="C937" s="33">
        <v>79600</v>
      </c>
      <c r="D937" s="127"/>
      <c r="E937" s="53"/>
      <c r="F937" s="53"/>
      <c r="G937" s="147"/>
      <c r="H937" s="53"/>
      <c r="I937" s="53">
        <v>37707</v>
      </c>
      <c r="J937" s="31">
        <f t="shared" si="495"/>
        <v>41893</v>
      </c>
      <c r="K937" s="156" t="b">
        <f t="shared" si="494"/>
        <v>0</v>
      </c>
      <c r="L937" s="5"/>
      <c r="M937" s="5"/>
      <c r="N937" s="5"/>
      <c r="O937" s="5"/>
      <c r="Q937" s="5"/>
    </row>
    <row r="938" spans="1:17">
      <c r="A938" s="35" t="s">
        <v>60</v>
      </c>
      <c r="B938" s="36"/>
      <c r="C938" s="36"/>
      <c r="D938" s="36"/>
      <c r="E938" s="36"/>
      <c r="F938" s="36"/>
      <c r="G938" s="36"/>
      <c r="H938" s="36"/>
      <c r="I938" s="36"/>
      <c r="J938" s="37"/>
      <c r="K938" s="155"/>
      <c r="L938" s="5"/>
      <c r="M938" s="5"/>
      <c r="N938" s="5"/>
      <c r="O938" s="5"/>
      <c r="Q938" s="5"/>
    </row>
    <row r="939" spans="1:17">
      <c r="A939" s="130" t="s">
        <v>134</v>
      </c>
      <c r="B939" s="38" t="s">
        <v>61</v>
      </c>
      <c r="C939" s="39">
        <v>467929</v>
      </c>
      <c r="D939" s="51">
        <v>6310000</v>
      </c>
      <c r="E939" s="109"/>
      <c r="F939" s="51">
        <v>74184</v>
      </c>
      <c r="G939" s="148"/>
      <c r="H939" s="139">
        <v>4180000</v>
      </c>
      <c r="I939" s="134">
        <v>1710965</v>
      </c>
      <c r="J939" s="46">
        <f>+SUM(C939:G939)-(H939+I939)</f>
        <v>961148</v>
      </c>
      <c r="K939" s="156" t="b">
        <f>J939=I877</f>
        <v>0</v>
      </c>
      <c r="L939" s="5"/>
      <c r="M939" s="5"/>
      <c r="N939" s="5"/>
      <c r="O939" s="5"/>
      <c r="Q939" s="5"/>
    </row>
    <row r="940" spans="1:17">
      <c r="A940" s="44" t="s">
        <v>62</v>
      </c>
      <c r="B940" s="25"/>
      <c r="C940" s="36"/>
      <c r="D940" s="25"/>
      <c r="E940" s="25"/>
      <c r="F940" s="25"/>
      <c r="G940" s="25"/>
      <c r="H940" s="25"/>
      <c r="I940" s="25"/>
      <c r="J940" s="37"/>
      <c r="K940" s="155"/>
      <c r="L940" s="5"/>
      <c r="M940" s="5"/>
      <c r="N940" s="5"/>
      <c r="O940" s="5"/>
      <c r="Q940" s="5"/>
    </row>
    <row r="941" spans="1:17">
      <c r="A941" s="130" t="s">
        <v>134</v>
      </c>
      <c r="B941" s="38" t="s">
        <v>63</v>
      </c>
      <c r="C941" s="133">
        <v>7405927</v>
      </c>
      <c r="D941" s="140"/>
      <c r="E941" s="51"/>
      <c r="F941" s="51"/>
      <c r="G941" s="51"/>
      <c r="H941" s="53">
        <v>2000000</v>
      </c>
      <c r="I941" s="55">
        <v>1710232</v>
      </c>
      <c r="J941" s="46">
        <f>+SUM(C941:G941)-(H941+I941)</f>
        <v>3695695</v>
      </c>
      <c r="K941" s="156" t="e">
        <f>+J941=#REF!</f>
        <v>#REF!</v>
      </c>
      <c r="L941" s="5"/>
      <c r="M941" s="5"/>
      <c r="N941" s="5"/>
      <c r="O941" s="5"/>
      <c r="Q941" s="5"/>
    </row>
    <row r="942" spans="1:17">
      <c r="A942" s="130" t="s">
        <v>134</v>
      </c>
      <c r="B942" s="38" t="s">
        <v>64</v>
      </c>
      <c r="C942" s="133">
        <v>22972065</v>
      </c>
      <c r="D942" s="51"/>
      <c r="E942" s="50"/>
      <c r="F942" s="50"/>
      <c r="G942" s="50"/>
      <c r="H942" s="33">
        <v>4310000</v>
      </c>
      <c r="I942" s="52">
        <v>3055511</v>
      </c>
      <c r="J942" s="46">
        <f>SUM(C942:G942)-(H942+I942)</f>
        <v>15606554</v>
      </c>
      <c r="K942" s="156" t="b">
        <f>+J942=I876</f>
        <v>0</v>
      </c>
      <c r="L942" s="5"/>
      <c r="M942" s="5"/>
      <c r="N942" s="5"/>
      <c r="O942" s="5"/>
      <c r="Q942" s="5"/>
    </row>
    <row r="943" spans="1:17" ht="15.75">
      <c r="C943" s="151">
        <f>SUM(C925:C942)</f>
        <v>31712043</v>
      </c>
      <c r="I943" s="149">
        <f>SUM(I925:I942)</f>
        <v>10359300</v>
      </c>
      <c r="J943" s="111">
        <f>+SUM(J925:J942)</f>
        <v>21352743</v>
      </c>
      <c r="K943" s="5" t="b">
        <f>J943=I889</f>
        <v>0</v>
      </c>
      <c r="L943" s="5"/>
      <c r="M943" s="5"/>
      <c r="N943" s="5"/>
      <c r="O943" s="5"/>
      <c r="Q943" s="5"/>
    </row>
    <row r="944" spans="1:17" ht="16.5">
      <c r="A944" s="14"/>
      <c r="B944" s="15"/>
      <c r="C944" s="12"/>
      <c r="D944" s="12"/>
      <c r="E944" s="13"/>
      <c r="F944" s="12"/>
      <c r="G944" s="12"/>
      <c r="H944" s="12"/>
      <c r="I944" s="12"/>
      <c r="L944" s="5"/>
      <c r="M944" s="5"/>
      <c r="N944" s="5"/>
      <c r="O944" s="5"/>
      <c r="Q944" s="5"/>
    </row>
    <row r="945" spans="1:17">
      <c r="A945" s="16" t="s">
        <v>52</v>
      </c>
      <c r="B945" s="16"/>
      <c r="C945" s="16"/>
      <c r="D945" s="17"/>
      <c r="E945" s="17"/>
      <c r="F945" s="17"/>
      <c r="G945" s="17"/>
      <c r="H945" s="17"/>
      <c r="I945" s="17"/>
      <c r="L945" s="5"/>
      <c r="M945" s="5"/>
      <c r="N945" s="5"/>
      <c r="O945" s="5"/>
      <c r="Q945" s="5"/>
    </row>
    <row r="946" spans="1:17">
      <c r="A946" s="18" t="s">
        <v>124</v>
      </c>
      <c r="B946" s="18"/>
      <c r="C946" s="18"/>
      <c r="D946" s="18"/>
      <c r="E946" s="18"/>
      <c r="F946" s="18"/>
      <c r="G946" s="18"/>
      <c r="H946" s="18"/>
      <c r="I946" s="18"/>
      <c r="J946" s="17"/>
      <c r="L946" s="5"/>
      <c r="M946" s="5"/>
      <c r="N946" s="5"/>
      <c r="O946" s="5"/>
      <c r="Q946" s="5"/>
    </row>
    <row r="947" spans="1:17">
      <c r="A947" s="19"/>
      <c r="B947" s="20"/>
      <c r="C947" s="21"/>
      <c r="D947" s="21"/>
      <c r="E947" s="21"/>
      <c r="F947" s="21"/>
      <c r="G947" s="21"/>
      <c r="H947" s="20"/>
      <c r="I947" s="20"/>
      <c r="J947" s="18"/>
      <c r="L947" s="5"/>
      <c r="M947" s="5"/>
      <c r="N947" s="5"/>
      <c r="O947" s="5"/>
      <c r="Q947" s="5"/>
    </row>
    <row r="948" spans="1:17">
      <c r="A948" s="455" t="s">
        <v>53</v>
      </c>
      <c r="B948" s="457" t="s">
        <v>54</v>
      </c>
      <c r="C948" s="459" t="s">
        <v>125</v>
      </c>
      <c r="D948" s="461" t="s">
        <v>55</v>
      </c>
      <c r="E948" s="462"/>
      <c r="F948" s="462"/>
      <c r="G948" s="463"/>
      <c r="H948" s="464" t="s">
        <v>56</v>
      </c>
      <c r="I948" s="451" t="s">
        <v>57</v>
      </c>
      <c r="J948" s="20"/>
      <c r="L948" s="5"/>
      <c r="M948" s="5"/>
      <c r="N948" s="5"/>
      <c r="O948" s="5"/>
      <c r="Q948" s="5"/>
    </row>
    <row r="949" spans="1:17">
      <c r="A949" s="456"/>
      <c r="B949" s="458"/>
      <c r="C949" s="460"/>
      <c r="D949" s="22" t="s">
        <v>24</v>
      </c>
      <c r="E949" s="22" t="s">
        <v>25</v>
      </c>
      <c r="F949" s="166" t="s">
        <v>123</v>
      </c>
      <c r="G949" s="22" t="s">
        <v>58</v>
      </c>
      <c r="H949" s="465"/>
      <c r="I949" s="452"/>
      <c r="J949" s="453" t="s">
        <v>126</v>
      </c>
      <c r="K949" s="155"/>
      <c r="L949" s="5"/>
      <c r="M949" s="5"/>
      <c r="N949" s="5"/>
      <c r="O949" s="5"/>
      <c r="Q949" s="5"/>
    </row>
    <row r="950" spans="1:17">
      <c r="A950" s="24"/>
      <c r="B950" s="25" t="s">
        <v>59</v>
      </c>
      <c r="C950" s="26"/>
      <c r="D950" s="26"/>
      <c r="E950" s="26"/>
      <c r="F950" s="26"/>
      <c r="G950" s="26"/>
      <c r="H950" s="26"/>
      <c r="I950" s="27"/>
      <c r="J950" s="454"/>
      <c r="K950" s="155"/>
      <c r="L950" s="5"/>
      <c r="M950" s="5"/>
      <c r="N950" s="5"/>
      <c r="O950" s="5"/>
      <c r="Q950" s="5"/>
    </row>
    <row r="951" spans="1:17">
      <c r="A951" s="130" t="s">
        <v>127</v>
      </c>
      <c r="B951" s="135" t="s">
        <v>76</v>
      </c>
      <c r="C951" s="33">
        <v>-450</v>
      </c>
      <c r="D951" s="32"/>
      <c r="E951" s="33">
        <v>168000</v>
      </c>
      <c r="F951" s="33">
        <v>55000</v>
      </c>
      <c r="G951" s="33"/>
      <c r="H951" s="57"/>
      <c r="I951" s="33">
        <v>182500</v>
      </c>
      <c r="J951" s="31">
        <f>+SUM(C951:G951)-(H951+I951)</f>
        <v>40050</v>
      </c>
      <c r="K951" s="156"/>
      <c r="L951" s="5"/>
      <c r="M951" s="5"/>
      <c r="N951" s="5"/>
      <c r="O951" s="5"/>
      <c r="Q951" s="5"/>
    </row>
    <row r="952" spans="1:17">
      <c r="A952" s="130" t="s">
        <v>127</v>
      </c>
      <c r="B952" s="135" t="s">
        <v>47</v>
      </c>
      <c r="C952" s="33">
        <v>12510</v>
      </c>
      <c r="D952" s="32"/>
      <c r="E952" s="33">
        <v>303000</v>
      </c>
      <c r="F952" s="33"/>
      <c r="G952" s="33"/>
      <c r="H952" s="57"/>
      <c r="I952" s="33">
        <v>276665</v>
      </c>
      <c r="J952" s="31">
        <f t="shared" ref="J952:J953" si="496">+SUM(C952:G952)-(H952+I952)</f>
        <v>38845</v>
      </c>
      <c r="K952" s="156"/>
      <c r="L952" s="5"/>
      <c r="M952" s="5"/>
      <c r="N952" s="5"/>
      <c r="O952" s="5"/>
      <c r="Q952" s="5"/>
    </row>
    <row r="953" spans="1:17">
      <c r="A953" s="130" t="s">
        <v>127</v>
      </c>
      <c r="B953" s="135" t="s">
        <v>31</v>
      </c>
      <c r="C953" s="33">
        <v>2895</v>
      </c>
      <c r="D953" s="32"/>
      <c r="E953" s="33">
        <v>40000</v>
      </c>
      <c r="F953" s="33"/>
      <c r="G953" s="33"/>
      <c r="H953" s="33"/>
      <c r="I953" s="33">
        <v>36000</v>
      </c>
      <c r="J953" s="107">
        <f t="shared" si="496"/>
        <v>6895</v>
      </c>
      <c r="K953" s="156"/>
      <c r="L953" s="5"/>
      <c r="M953" s="5"/>
      <c r="N953" s="5"/>
      <c r="O953" s="5"/>
      <c r="Q953" s="5"/>
    </row>
    <row r="954" spans="1:17">
      <c r="A954" s="130" t="s">
        <v>127</v>
      </c>
      <c r="B954" s="135" t="s">
        <v>77</v>
      </c>
      <c r="C954" s="33">
        <v>62040</v>
      </c>
      <c r="D954" s="110"/>
      <c r="E954" s="33"/>
      <c r="F954" s="33"/>
      <c r="G954" s="33"/>
      <c r="H954" s="33">
        <v>25000</v>
      </c>
      <c r="I954" s="33">
        <v>8500</v>
      </c>
      <c r="J954" s="107">
        <f>+SUM(C954:G954)-(H954+I954)</f>
        <v>28540</v>
      </c>
      <c r="K954" s="156"/>
      <c r="L954" s="5"/>
      <c r="M954" s="5"/>
      <c r="N954" s="5"/>
      <c r="O954" s="5"/>
      <c r="Q954" s="5"/>
    </row>
    <row r="955" spans="1:17">
      <c r="A955" s="130" t="s">
        <v>127</v>
      </c>
      <c r="B955" s="135" t="s">
        <v>69</v>
      </c>
      <c r="C955" s="33">
        <v>184</v>
      </c>
      <c r="D955" s="110"/>
      <c r="E955" s="33">
        <v>0</v>
      </c>
      <c r="F955" s="33"/>
      <c r="G955" s="33"/>
      <c r="H955" s="33"/>
      <c r="I955" s="33">
        <v>0</v>
      </c>
      <c r="J955" s="107">
        <f t="shared" ref="J955" si="497">+SUM(C955:G955)-(H955+I955)</f>
        <v>184</v>
      </c>
      <c r="K955" s="156"/>
      <c r="L955" s="5"/>
      <c r="M955" s="5"/>
      <c r="N955" s="5"/>
      <c r="O955" s="5"/>
      <c r="Q955" s="5"/>
    </row>
    <row r="956" spans="1:17">
      <c r="A956" s="130" t="s">
        <v>127</v>
      </c>
      <c r="B956" s="136" t="s">
        <v>30</v>
      </c>
      <c r="C956" s="33">
        <v>-36500</v>
      </c>
      <c r="D956" s="127"/>
      <c r="E956" s="53">
        <v>523500</v>
      </c>
      <c r="F956" s="53"/>
      <c r="G956" s="53"/>
      <c r="H956" s="53"/>
      <c r="I956" s="53">
        <v>418800</v>
      </c>
      <c r="J956" s="132">
        <f>+SUM(C956:G956)-(H956+I956)</f>
        <v>68200</v>
      </c>
      <c r="K956" s="156"/>
      <c r="L956" s="5"/>
      <c r="M956" s="5"/>
      <c r="N956" s="5"/>
      <c r="O956" s="5"/>
      <c r="Q956" s="5"/>
    </row>
    <row r="957" spans="1:17">
      <c r="A957" s="130" t="s">
        <v>127</v>
      </c>
      <c r="B957" s="137" t="s">
        <v>84</v>
      </c>
      <c r="C957" s="128">
        <v>233614</v>
      </c>
      <c r="D957" s="131"/>
      <c r="E957" s="146"/>
      <c r="F957" s="146"/>
      <c r="G957" s="146"/>
      <c r="H957" s="146"/>
      <c r="I957" s="146"/>
      <c r="J957" s="129">
        <f>+SUM(C957:G957)-(H957+I957)</f>
        <v>233614</v>
      </c>
      <c r="K957" s="156"/>
      <c r="L957" s="5"/>
      <c r="M957" s="5"/>
      <c r="N957" s="5"/>
      <c r="O957" s="5"/>
      <c r="Q957" s="5"/>
    </row>
    <row r="958" spans="1:17">
      <c r="A958" s="130" t="s">
        <v>127</v>
      </c>
      <c r="B958" s="137" t="s">
        <v>83</v>
      </c>
      <c r="C958" s="128">
        <v>249769</v>
      </c>
      <c r="D958" s="131"/>
      <c r="E958" s="146"/>
      <c r="F958" s="146"/>
      <c r="G958" s="146"/>
      <c r="H958" s="146"/>
      <c r="I958" s="146"/>
      <c r="J958" s="129">
        <f t="shared" ref="J958:J963" si="498">+SUM(C958:G958)-(H958+I958)</f>
        <v>249769</v>
      </c>
      <c r="K958" s="156"/>
      <c r="L958" s="5"/>
      <c r="M958" s="5"/>
      <c r="N958" s="5"/>
      <c r="O958" s="5"/>
      <c r="Q958" s="5"/>
    </row>
    <row r="959" spans="1:17">
      <c r="A959" s="130" t="s">
        <v>127</v>
      </c>
      <c r="B959" s="135" t="s">
        <v>35</v>
      </c>
      <c r="C959" s="33">
        <v>71200</v>
      </c>
      <c r="D959" s="32"/>
      <c r="E959" s="33">
        <v>1056000</v>
      </c>
      <c r="F959" s="33"/>
      <c r="G959" s="110"/>
      <c r="H959" s="110">
        <v>55000</v>
      </c>
      <c r="I959" s="33">
        <v>1076875</v>
      </c>
      <c r="J959" s="31">
        <f t="shared" si="498"/>
        <v>-4675</v>
      </c>
      <c r="K959" s="156"/>
      <c r="L959" s="5"/>
      <c r="M959" s="5"/>
      <c r="N959" s="5"/>
      <c r="O959" s="5"/>
      <c r="Q959" s="5"/>
    </row>
    <row r="960" spans="1:17">
      <c r="A960" s="130" t="s">
        <v>127</v>
      </c>
      <c r="B960" s="135" t="s">
        <v>93</v>
      </c>
      <c r="C960" s="33">
        <v>6000</v>
      </c>
      <c r="D960" s="32"/>
      <c r="E960" s="33">
        <v>20000</v>
      </c>
      <c r="F960" s="110"/>
      <c r="G960" s="110"/>
      <c r="H960" s="110"/>
      <c r="I960" s="33">
        <v>21000</v>
      </c>
      <c r="J960" s="31">
        <f t="shared" si="498"/>
        <v>5000</v>
      </c>
      <c r="K960" s="156"/>
      <c r="L960" s="5"/>
      <c r="M960" s="5"/>
      <c r="N960" s="5"/>
      <c r="O960" s="5"/>
      <c r="Q960" s="5"/>
    </row>
    <row r="961" spans="1:17">
      <c r="A961" s="130" t="s">
        <v>127</v>
      </c>
      <c r="B961" s="135" t="s">
        <v>29</v>
      </c>
      <c r="C961" s="33">
        <v>167700</v>
      </c>
      <c r="D961" s="32"/>
      <c r="E961" s="33">
        <v>473000</v>
      </c>
      <c r="F961" s="110"/>
      <c r="G961" s="110"/>
      <c r="H961" s="110"/>
      <c r="I961" s="33">
        <v>567900</v>
      </c>
      <c r="J961" s="31">
        <f t="shared" si="498"/>
        <v>72800</v>
      </c>
      <c r="K961" s="156"/>
      <c r="L961" s="5"/>
      <c r="M961" s="5"/>
      <c r="N961" s="5"/>
      <c r="O961" s="5"/>
      <c r="Q961" s="5"/>
    </row>
    <row r="962" spans="1:17">
      <c r="A962" s="130" t="s">
        <v>127</v>
      </c>
      <c r="B962" s="135" t="s">
        <v>32</v>
      </c>
      <c r="C962" s="33">
        <v>65300</v>
      </c>
      <c r="D962" s="32"/>
      <c r="E962" s="33">
        <v>10000</v>
      </c>
      <c r="F962" s="110"/>
      <c r="G962" s="110"/>
      <c r="H962" s="110">
        <v>20000</v>
      </c>
      <c r="I962" s="33">
        <v>8000</v>
      </c>
      <c r="J962" s="31">
        <f t="shared" si="498"/>
        <v>47300</v>
      </c>
      <c r="K962" s="156"/>
      <c r="L962" s="5"/>
      <c r="M962" s="5"/>
      <c r="N962" s="5"/>
      <c r="O962" s="5"/>
      <c r="Q962" s="5"/>
    </row>
    <row r="963" spans="1:17">
      <c r="A963" s="130" t="s">
        <v>127</v>
      </c>
      <c r="B963" s="136" t="s">
        <v>113</v>
      </c>
      <c r="C963" s="33">
        <v>-11700</v>
      </c>
      <c r="D963" s="127"/>
      <c r="E963" s="53">
        <v>385800</v>
      </c>
      <c r="F963" s="53"/>
      <c r="G963" s="147"/>
      <c r="H963" s="53"/>
      <c r="I963" s="53">
        <v>294500</v>
      </c>
      <c r="J963" s="31">
        <f t="shared" si="498"/>
        <v>79600</v>
      </c>
      <c r="K963" s="156"/>
      <c r="L963" s="5"/>
      <c r="M963" s="5"/>
      <c r="N963" s="5"/>
      <c r="O963" s="5"/>
      <c r="Q963" s="5"/>
    </row>
    <row r="964" spans="1:17">
      <c r="A964" s="35" t="s">
        <v>60</v>
      </c>
      <c r="B964" s="36"/>
      <c r="C964" s="36"/>
      <c r="D964" s="36"/>
      <c r="E964" s="36"/>
      <c r="F964" s="36"/>
      <c r="G964" s="36"/>
      <c r="H964" s="36"/>
      <c r="I964" s="36"/>
      <c r="J964" s="37"/>
      <c r="K964" s="155"/>
      <c r="L964" s="5"/>
      <c r="M964" s="5"/>
      <c r="N964" s="5"/>
      <c r="O964" s="5"/>
      <c r="Q964" s="5"/>
    </row>
    <row r="965" spans="1:17">
      <c r="A965" s="130" t="s">
        <v>127</v>
      </c>
      <c r="B965" s="38" t="s">
        <v>61</v>
      </c>
      <c r="C965" s="39">
        <v>1672959</v>
      </c>
      <c r="D965" s="51">
        <v>3341000</v>
      </c>
      <c r="E965" s="109"/>
      <c r="F965" s="109">
        <v>45000</v>
      </c>
      <c r="G965" s="148"/>
      <c r="H965" s="139">
        <v>2979300</v>
      </c>
      <c r="I965" s="134">
        <v>1611730</v>
      </c>
      <c r="J965" s="46">
        <f>+SUM(C965:G965)-(H965+I965)</f>
        <v>467929</v>
      </c>
      <c r="K965" s="156"/>
      <c r="L965" s="5"/>
      <c r="M965" s="5"/>
      <c r="N965" s="5"/>
      <c r="O965" s="5"/>
      <c r="Q965" s="5"/>
    </row>
    <row r="966" spans="1:17">
      <c r="A966" s="44" t="s">
        <v>62</v>
      </c>
      <c r="B966" s="25"/>
      <c r="C966" s="36"/>
      <c r="D966" s="25"/>
      <c r="E966" s="25"/>
      <c r="F966" s="25"/>
      <c r="G966" s="25"/>
      <c r="H966" s="25"/>
      <c r="I966" s="25"/>
      <c r="J966" s="37"/>
      <c r="K966" s="155"/>
      <c r="L966" s="5"/>
      <c r="M966" s="5"/>
      <c r="N966" s="5"/>
      <c r="O966" s="5"/>
      <c r="Q966" s="5"/>
    </row>
    <row r="967" spans="1:17">
      <c r="A967" s="130" t="s">
        <v>127</v>
      </c>
      <c r="B967" s="38" t="s">
        <v>63</v>
      </c>
      <c r="C967" s="133">
        <v>2957378</v>
      </c>
      <c r="D967" s="140">
        <v>7828953</v>
      </c>
      <c r="E967" s="51"/>
      <c r="F967" s="51"/>
      <c r="G967" s="51"/>
      <c r="H967" s="53">
        <v>3000000</v>
      </c>
      <c r="I967" s="55">
        <v>380404</v>
      </c>
      <c r="J967" s="46">
        <f>+SUM(C967:G967)-(H967+I967)</f>
        <v>7405927</v>
      </c>
      <c r="K967" s="156"/>
      <c r="L967" s="5"/>
      <c r="M967" s="5"/>
      <c r="N967" s="5"/>
      <c r="O967" s="5"/>
      <c r="Q967" s="5"/>
    </row>
    <row r="968" spans="1:17">
      <c r="A968" s="130" t="s">
        <v>127</v>
      </c>
      <c r="B968" s="38" t="s">
        <v>64</v>
      </c>
      <c r="C968" s="133">
        <v>28018504</v>
      </c>
      <c r="D968" s="51"/>
      <c r="E968" s="50"/>
      <c r="F968" s="50"/>
      <c r="G968" s="50"/>
      <c r="H968" s="33">
        <v>341000</v>
      </c>
      <c r="I968" s="52">
        <v>4705439</v>
      </c>
      <c r="J968" s="46">
        <f>SUM(C968:G968)-(H968+I968)</f>
        <v>22972065</v>
      </c>
      <c r="K968" s="156"/>
      <c r="L968" s="5"/>
      <c r="M968" s="5"/>
      <c r="N968" s="5"/>
      <c r="O968" s="5"/>
      <c r="Q968" s="5"/>
    </row>
    <row r="969" spans="1:17" ht="15.75">
      <c r="C969" s="151">
        <f>SUM(C951:C968)</f>
        <v>33471403</v>
      </c>
      <c r="I969" s="149">
        <f>SUM(I951:I968)</f>
        <v>9588313</v>
      </c>
      <c r="J969" s="111">
        <f>+SUM(J951:J968)</f>
        <v>31712043</v>
      </c>
      <c r="L969" s="5"/>
      <c r="M969" s="5"/>
      <c r="N969" s="5"/>
      <c r="O969" s="5"/>
      <c r="Q969" s="5"/>
    </row>
    <row r="970" spans="1:17" ht="16.5">
      <c r="A970" s="14"/>
      <c r="B970" s="15"/>
      <c r="C970" s="12" t="e">
        <f>C969=C889</f>
        <v>#REF!</v>
      </c>
      <c r="D970" s="12"/>
      <c r="E970" s="13"/>
      <c r="F970" s="12"/>
      <c r="G970" s="12"/>
      <c r="H970" s="12"/>
      <c r="I970" s="12"/>
      <c r="L970" s="5"/>
      <c r="M970" s="5"/>
      <c r="N970" s="5"/>
      <c r="O970" s="5"/>
      <c r="Q970" s="5"/>
    </row>
    <row r="971" spans="1:17">
      <c r="A971" s="16" t="s">
        <v>52</v>
      </c>
      <c r="B971" s="16"/>
      <c r="C971" s="16"/>
      <c r="D971" s="17"/>
      <c r="E971" s="17"/>
      <c r="F971" s="17"/>
      <c r="G971" s="17"/>
      <c r="H971" s="17"/>
      <c r="I971" s="17"/>
      <c r="L971" s="5"/>
      <c r="M971" s="5"/>
      <c r="N971" s="5"/>
      <c r="O971" s="5"/>
      <c r="Q971" s="5"/>
    </row>
    <row r="972" spans="1:17">
      <c r="A972" s="18" t="s">
        <v>119</v>
      </c>
      <c r="B972" s="18"/>
      <c r="C972" s="18"/>
      <c r="D972" s="18"/>
      <c r="E972" s="18"/>
      <c r="F972" s="18"/>
      <c r="G972" s="18"/>
      <c r="H972" s="18"/>
      <c r="I972" s="18"/>
      <c r="J972" s="17"/>
      <c r="L972" s="5"/>
      <c r="M972" s="5"/>
      <c r="N972" s="5"/>
      <c r="O972" s="5"/>
      <c r="Q972" s="5"/>
    </row>
    <row r="973" spans="1:17">
      <c r="A973" s="19"/>
      <c r="B973" s="20"/>
      <c r="C973" s="21"/>
      <c r="D973" s="21"/>
      <c r="E973" s="21"/>
      <c r="F973" s="21"/>
      <c r="G973" s="21"/>
      <c r="H973" s="20"/>
      <c r="I973" s="20"/>
      <c r="J973" s="18"/>
      <c r="L973" s="5"/>
      <c r="M973" s="5"/>
      <c r="N973" s="5"/>
      <c r="O973" s="5"/>
      <c r="Q973" s="5"/>
    </row>
    <row r="974" spans="1:17">
      <c r="A974" s="455" t="s">
        <v>53</v>
      </c>
      <c r="B974" s="457" t="s">
        <v>54</v>
      </c>
      <c r="C974" s="459" t="s">
        <v>121</v>
      </c>
      <c r="D974" s="461" t="s">
        <v>55</v>
      </c>
      <c r="E974" s="462"/>
      <c r="F974" s="462"/>
      <c r="G974" s="463"/>
      <c r="H974" s="464" t="s">
        <v>56</v>
      </c>
      <c r="I974" s="451" t="s">
        <v>57</v>
      </c>
      <c r="J974" s="20"/>
      <c r="L974" s="5"/>
      <c r="M974" s="5"/>
      <c r="N974" s="5"/>
      <c r="O974" s="5"/>
      <c r="Q974" s="5"/>
    </row>
    <row r="975" spans="1:17">
      <c r="A975" s="456"/>
      <c r="B975" s="458"/>
      <c r="C975" s="460"/>
      <c r="D975" s="22" t="s">
        <v>24</v>
      </c>
      <c r="E975" s="22" t="s">
        <v>25</v>
      </c>
      <c r="F975" s="154" t="s">
        <v>123</v>
      </c>
      <c r="G975" s="22" t="s">
        <v>58</v>
      </c>
      <c r="H975" s="465"/>
      <c r="I975" s="452"/>
      <c r="J975" s="453" t="s">
        <v>122</v>
      </c>
      <c r="K975" s="155"/>
      <c r="L975" s="5"/>
      <c r="M975" s="5"/>
      <c r="N975" s="5"/>
      <c r="O975" s="5"/>
      <c r="Q975" s="5"/>
    </row>
    <row r="976" spans="1:17">
      <c r="A976" s="24"/>
      <c r="B976" s="25" t="s">
        <v>59</v>
      </c>
      <c r="C976" s="26"/>
      <c r="D976" s="26"/>
      <c r="E976" s="26"/>
      <c r="F976" s="26"/>
      <c r="G976" s="26"/>
      <c r="H976" s="26"/>
      <c r="I976" s="27"/>
      <c r="J976" s="454"/>
      <c r="K976" s="155"/>
      <c r="L976" s="5"/>
      <c r="M976" s="5"/>
      <c r="N976" s="5"/>
      <c r="O976" s="5"/>
      <c r="Q976" s="5"/>
    </row>
    <row r="977" spans="1:17">
      <c r="A977" s="130" t="s">
        <v>120</v>
      </c>
      <c r="B977" s="135" t="s">
        <v>76</v>
      </c>
      <c r="C977" s="33">
        <v>7670</v>
      </c>
      <c r="D977" s="32"/>
      <c r="E977" s="33">
        <v>438000</v>
      </c>
      <c r="F977" s="33"/>
      <c r="G977" s="33"/>
      <c r="H977" s="57">
        <v>40000</v>
      </c>
      <c r="I977" s="33">
        <v>406120</v>
      </c>
      <c r="J977" s="31">
        <f>+SUM(C977:G977)-(H977+I977)</f>
        <v>-450</v>
      </c>
      <c r="K977" s="156" t="e">
        <f>J977=#REF!</f>
        <v>#REF!</v>
      </c>
      <c r="L977" s="5"/>
      <c r="M977" s="5"/>
      <c r="N977" s="5"/>
      <c r="O977" s="5"/>
      <c r="Q977" s="5"/>
    </row>
    <row r="978" spans="1:17">
      <c r="A978" s="130" t="s">
        <v>120</v>
      </c>
      <c r="B978" s="135" t="s">
        <v>47</v>
      </c>
      <c r="C978" s="33">
        <v>4710</v>
      </c>
      <c r="D978" s="32"/>
      <c r="E978" s="33">
        <v>303000</v>
      </c>
      <c r="F978" s="33">
        <f>25000+91000+62000</f>
        <v>178000</v>
      </c>
      <c r="G978" s="33"/>
      <c r="H978" s="57">
        <v>29000</v>
      </c>
      <c r="I978" s="33">
        <v>444200</v>
      </c>
      <c r="J978" s="31">
        <f t="shared" ref="J978:J979" si="499">+SUM(C978:G978)-(H978+I978)</f>
        <v>12510</v>
      </c>
      <c r="K978" s="156" t="b">
        <f>J978=I878</f>
        <v>0</v>
      </c>
      <c r="L978" s="5"/>
      <c r="M978" s="5"/>
      <c r="N978" s="5"/>
      <c r="O978" s="5"/>
      <c r="Q978" s="5"/>
    </row>
    <row r="979" spans="1:17">
      <c r="A979" s="130" t="s">
        <v>120</v>
      </c>
      <c r="B979" s="135" t="s">
        <v>31</v>
      </c>
      <c r="C979" s="33">
        <v>9295</v>
      </c>
      <c r="D979" s="32"/>
      <c r="E979" s="33">
        <v>743000</v>
      </c>
      <c r="F979" s="33">
        <v>2000</v>
      </c>
      <c r="G979" s="33"/>
      <c r="H979" s="33">
        <f>103000+91000+137000+101000+91000</f>
        <v>523000</v>
      </c>
      <c r="I979" s="33">
        <v>228400</v>
      </c>
      <c r="J979" s="107">
        <f t="shared" si="499"/>
        <v>2895</v>
      </c>
      <c r="K979" s="156" t="b">
        <f>J979=I879</f>
        <v>0</v>
      </c>
      <c r="L979" s="5"/>
      <c r="M979" s="5"/>
      <c r="N979" s="5"/>
      <c r="O979" s="5"/>
      <c r="Q979" s="5"/>
    </row>
    <row r="980" spans="1:17">
      <c r="A980" s="130" t="s">
        <v>120</v>
      </c>
      <c r="B980" s="135" t="s">
        <v>77</v>
      </c>
      <c r="C980" s="33">
        <v>-25100</v>
      </c>
      <c r="D980" s="110"/>
      <c r="E980" s="33">
        <v>121100</v>
      </c>
      <c r="F980" s="33">
        <f>103000+1000+28000+137000</f>
        <v>269000</v>
      </c>
      <c r="G980" s="33"/>
      <c r="H980" s="33"/>
      <c r="I980" s="33">
        <v>302960</v>
      </c>
      <c r="J980" s="107">
        <f>+SUM(C980:G980)-(H980+I980)</f>
        <v>62040</v>
      </c>
      <c r="K980" s="156" t="b">
        <f>J980=I880</f>
        <v>0</v>
      </c>
      <c r="L980" s="5"/>
      <c r="M980" s="5"/>
      <c r="N980" s="5"/>
      <c r="O980" s="5"/>
      <c r="Q980" s="5"/>
    </row>
    <row r="981" spans="1:17">
      <c r="A981" s="130" t="s">
        <v>120</v>
      </c>
      <c r="B981" s="135" t="s">
        <v>69</v>
      </c>
      <c r="C981" s="33">
        <v>7384</v>
      </c>
      <c r="D981" s="110"/>
      <c r="E981" s="33">
        <v>319000</v>
      </c>
      <c r="F981" s="33">
        <v>101000</v>
      </c>
      <c r="G981" s="33"/>
      <c r="H981" s="33">
        <v>62000</v>
      </c>
      <c r="I981" s="33">
        <v>365200</v>
      </c>
      <c r="J981" s="107">
        <f t="shared" ref="J981" si="500">+SUM(C981:G981)-(H981+I981)</f>
        <v>184</v>
      </c>
      <c r="K981" s="156" t="e">
        <f>J981=#REF!</f>
        <v>#REF!</v>
      </c>
      <c r="L981" s="5"/>
      <c r="M981" s="5"/>
      <c r="N981" s="5"/>
      <c r="O981" s="5"/>
      <c r="Q981" s="5"/>
    </row>
    <row r="982" spans="1:17">
      <c r="A982" s="130" t="s">
        <v>120</v>
      </c>
      <c r="B982" s="136" t="s">
        <v>30</v>
      </c>
      <c r="C982" s="33">
        <v>61300</v>
      </c>
      <c r="D982" s="127"/>
      <c r="E982" s="53">
        <v>931200</v>
      </c>
      <c r="F982" s="53"/>
      <c r="G982" s="53"/>
      <c r="H982" s="53">
        <v>28000</v>
      </c>
      <c r="I982" s="53">
        <v>1001000</v>
      </c>
      <c r="J982" s="132">
        <f>+SUM(C982:G982)-(H982+I982)</f>
        <v>-36500</v>
      </c>
      <c r="K982" s="156" t="b">
        <f t="shared" ref="K982:K989" si="501">J982=I881</f>
        <v>0</v>
      </c>
      <c r="L982" s="5"/>
      <c r="M982" s="5"/>
      <c r="N982" s="5"/>
      <c r="O982" s="5"/>
      <c r="Q982" s="5"/>
    </row>
    <row r="983" spans="1:17">
      <c r="A983" s="130" t="s">
        <v>120</v>
      </c>
      <c r="B983" s="137" t="s">
        <v>84</v>
      </c>
      <c r="C983" s="128">
        <v>233614</v>
      </c>
      <c r="D983" s="131"/>
      <c r="E983" s="146"/>
      <c r="F983" s="146"/>
      <c r="G983" s="146"/>
      <c r="H983" s="146"/>
      <c r="I983" s="146"/>
      <c r="J983" s="129">
        <f>+SUM(C983:G983)-(H983+I983)</f>
        <v>233614</v>
      </c>
      <c r="K983" s="156" t="b">
        <f t="shared" si="501"/>
        <v>0</v>
      </c>
      <c r="L983" s="5"/>
      <c r="M983" s="5"/>
      <c r="N983" s="5"/>
      <c r="O983" s="5"/>
      <c r="Q983" s="5"/>
    </row>
    <row r="984" spans="1:17">
      <c r="A984" s="130" t="s">
        <v>120</v>
      </c>
      <c r="B984" s="137" t="s">
        <v>83</v>
      </c>
      <c r="C984" s="128">
        <v>249769</v>
      </c>
      <c r="D984" s="131"/>
      <c r="E984" s="146"/>
      <c r="F984" s="146"/>
      <c r="G984" s="146"/>
      <c r="H984" s="146"/>
      <c r="I984" s="146"/>
      <c r="J984" s="129">
        <f t="shared" ref="J984:J987" si="502">+SUM(C984:G984)-(H984+I984)</f>
        <v>249769</v>
      </c>
      <c r="K984" s="156" t="b">
        <f t="shared" si="501"/>
        <v>0</v>
      </c>
      <c r="L984" s="5"/>
      <c r="M984" s="5"/>
      <c r="N984" s="5"/>
      <c r="O984" s="5"/>
      <c r="Q984" s="5"/>
    </row>
    <row r="985" spans="1:17">
      <c r="A985" s="130" t="s">
        <v>120</v>
      </c>
      <c r="B985" s="135" t="s">
        <v>35</v>
      </c>
      <c r="C985" s="33">
        <v>4500</v>
      </c>
      <c r="D985" s="32"/>
      <c r="E985" s="33">
        <v>234000</v>
      </c>
      <c r="F985" s="33">
        <v>40000</v>
      </c>
      <c r="G985" s="110"/>
      <c r="H985" s="110"/>
      <c r="I985" s="33">
        <v>207300</v>
      </c>
      <c r="J985" s="31">
        <f t="shared" si="502"/>
        <v>71200</v>
      </c>
      <c r="K985" s="156" t="b">
        <f t="shared" si="501"/>
        <v>0</v>
      </c>
      <c r="L985" s="5"/>
      <c r="M985" s="5"/>
      <c r="N985" s="5"/>
      <c r="O985" s="5"/>
      <c r="Q985" s="5"/>
    </row>
    <row r="986" spans="1:17">
      <c r="A986" s="130" t="s">
        <v>120</v>
      </c>
      <c r="B986" s="135" t="s">
        <v>93</v>
      </c>
      <c r="C986" s="33">
        <v>-6000</v>
      </c>
      <c r="D986" s="32"/>
      <c r="E986" s="33">
        <v>61000</v>
      </c>
      <c r="F986" s="110"/>
      <c r="G986" s="110"/>
      <c r="H986" s="110"/>
      <c r="I986" s="33">
        <v>49000</v>
      </c>
      <c r="J986" s="31">
        <f t="shared" si="502"/>
        <v>6000</v>
      </c>
      <c r="K986" s="156" t="b">
        <f t="shared" si="501"/>
        <v>0</v>
      </c>
      <c r="L986" s="5"/>
      <c r="M986" s="5"/>
      <c r="N986" s="5"/>
      <c r="O986" s="5"/>
      <c r="Q986" s="5"/>
    </row>
    <row r="987" spans="1:17">
      <c r="A987" s="130" t="s">
        <v>120</v>
      </c>
      <c r="B987" s="135" t="s">
        <v>29</v>
      </c>
      <c r="C987" s="33">
        <v>72200</v>
      </c>
      <c r="D987" s="32"/>
      <c r="E987" s="33">
        <v>722000</v>
      </c>
      <c r="F987" s="110"/>
      <c r="G987" s="110"/>
      <c r="H987" s="110"/>
      <c r="I987" s="33">
        <v>626500</v>
      </c>
      <c r="J987" s="31">
        <f t="shared" si="502"/>
        <v>167700</v>
      </c>
      <c r="K987" s="156" t="b">
        <f t="shared" si="501"/>
        <v>0</v>
      </c>
      <c r="L987" s="5"/>
      <c r="M987" s="5"/>
      <c r="N987" s="5"/>
      <c r="O987" s="5"/>
      <c r="Q987" s="5"/>
    </row>
    <row r="988" spans="1:17">
      <c r="A988" s="130" t="s">
        <v>120</v>
      </c>
      <c r="B988" s="135" t="s">
        <v>32</v>
      </c>
      <c r="C988" s="33">
        <v>9300</v>
      </c>
      <c r="D988" s="32"/>
      <c r="E988" s="33">
        <v>60000</v>
      </c>
      <c r="F988" s="110"/>
      <c r="G988" s="110"/>
      <c r="H988" s="110"/>
      <c r="I988" s="33">
        <v>4000</v>
      </c>
      <c r="J988" s="31">
        <f t="shared" ref="J988:J989" si="503">+SUM(C988:G988)-(H988+I988)</f>
        <v>65300</v>
      </c>
      <c r="K988" s="156" t="b">
        <f t="shared" si="501"/>
        <v>0</v>
      </c>
      <c r="L988" s="5"/>
      <c r="M988" s="5"/>
      <c r="N988" s="5"/>
      <c r="O988" s="5"/>
      <c r="Q988" s="5"/>
    </row>
    <row r="989" spans="1:17">
      <c r="A989" s="130" t="s">
        <v>120</v>
      </c>
      <c r="B989" s="136" t="s">
        <v>113</v>
      </c>
      <c r="C989" s="33">
        <v>-14000</v>
      </c>
      <c r="D989" s="127"/>
      <c r="E989" s="53">
        <v>378000</v>
      </c>
      <c r="F989" s="53">
        <f>29000+91000</f>
        <v>120000</v>
      </c>
      <c r="G989" s="147"/>
      <c r="H989" s="53">
        <f>2000+1000+25000</f>
        <v>28000</v>
      </c>
      <c r="I989" s="53">
        <v>467700</v>
      </c>
      <c r="J989" s="31">
        <f t="shared" si="503"/>
        <v>-11700</v>
      </c>
      <c r="K989" s="156" t="b">
        <f t="shared" si="501"/>
        <v>0</v>
      </c>
      <c r="L989" s="5"/>
      <c r="M989" s="5"/>
      <c r="N989" s="5"/>
      <c r="O989" s="5"/>
      <c r="Q989" s="5"/>
    </row>
    <row r="990" spans="1:17">
      <c r="A990" s="35" t="s">
        <v>60</v>
      </c>
      <c r="B990" s="36"/>
      <c r="C990" s="36"/>
      <c r="D990" s="36"/>
      <c r="E990" s="36"/>
      <c r="F990" s="36"/>
      <c r="G990" s="36"/>
      <c r="H990" s="36"/>
      <c r="I990" s="36"/>
      <c r="J990" s="37"/>
      <c r="K990" s="155"/>
      <c r="L990" s="5"/>
      <c r="M990" s="5"/>
      <c r="N990" s="5"/>
      <c r="O990" s="5"/>
      <c r="Q990" s="5"/>
    </row>
    <row r="991" spans="1:17">
      <c r="A991" s="130" t="s">
        <v>120</v>
      </c>
      <c r="B991" s="38" t="s">
        <v>61</v>
      </c>
      <c r="C991" s="39">
        <v>1148337</v>
      </c>
      <c r="D991" s="51">
        <v>7000000</v>
      </c>
      <c r="E991" s="109"/>
      <c r="F991" s="109"/>
      <c r="G991" s="148"/>
      <c r="H991" s="139">
        <v>4310300</v>
      </c>
      <c r="I991" s="134">
        <v>2165078</v>
      </c>
      <c r="J991" s="46">
        <f>+SUM(C991:G991)-(H991+I991)</f>
        <v>1672959</v>
      </c>
      <c r="K991" s="156" t="b">
        <f>J991=I877</f>
        <v>0</v>
      </c>
      <c r="L991" s="5"/>
      <c r="M991" s="5"/>
      <c r="N991" s="5"/>
      <c r="O991" s="5"/>
      <c r="Q991" s="5"/>
    </row>
    <row r="992" spans="1:17">
      <c r="A992" s="44" t="s">
        <v>62</v>
      </c>
      <c r="B992" s="25"/>
      <c r="C992" s="36"/>
      <c r="D992" s="25"/>
      <c r="E992" s="25"/>
      <c r="F992" s="25"/>
      <c r="G992" s="25"/>
      <c r="H992" s="25"/>
      <c r="I992" s="25"/>
      <c r="J992" s="37"/>
      <c r="K992" s="155"/>
      <c r="L992" s="5"/>
      <c r="M992" s="5"/>
      <c r="N992" s="5"/>
      <c r="O992" s="5"/>
      <c r="Q992" s="5"/>
    </row>
    <row r="993" spans="1:17">
      <c r="A993" s="130" t="s">
        <v>120</v>
      </c>
      <c r="B993" s="38" t="s">
        <v>63</v>
      </c>
      <c r="C993" s="133">
        <v>10113263</v>
      </c>
      <c r="D993" s="140">
        <v>0</v>
      </c>
      <c r="E993" s="51"/>
      <c r="F993" s="51"/>
      <c r="G993" s="51"/>
      <c r="H993" s="53">
        <v>7000000</v>
      </c>
      <c r="I993" s="55">
        <v>155885</v>
      </c>
      <c r="J993" s="46">
        <f>+SUM(C993:G993)-(H993+I993)</f>
        <v>2957378</v>
      </c>
      <c r="K993" s="156" t="e">
        <f>+J993=#REF!</f>
        <v>#REF!</v>
      </c>
      <c r="L993" s="5"/>
      <c r="M993" s="5"/>
      <c r="N993" s="5"/>
      <c r="O993" s="5"/>
      <c r="Q993" s="5"/>
    </row>
    <row r="994" spans="1:17">
      <c r="A994" s="130" t="s">
        <v>120</v>
      </c>
      <c r="B994" s="38" t="s">
        <v>64</v>
      </c>
      <c r="C994" s="133">
        <v>6219904</v>
      </c>
      <c r="D994" s="51">
        <v>28506579</v>
      </c>
      <c r="E994" s="50"/>
      <c r="F994" s="50"/>
      <c r="G994" s="50"/>
      <c r="H994" s="33"/>
      <c r="I994" s="52">
        <v>6707979</v>
      </c>
      <c r="J994" s="46">
        <f>SUM(C994:G994)-(H994+I994)</f>
        <v>28018504</v>
      </c>
      <c r="K994" s="156" t="b">
        <f>+J994=I876</f>
        <v>0</v>
      </c>
      <c r="L994" s="5"/>
      <c r="M994" s="5"/>
      <c r="N994" s="5"/>
      <c r="O994" s="5"/>
      <c r="Q994" s="5"/>
    </row>
    <row r="995" spans="1:17" ht="15.75">
      <c r="C995" s="151">
        <f>SUM(C977:C994)</f>
        <v>18096146</v>
      </c>
      <c r="I995" s="149">
        <f>SUM(I977:I994)</f>
        <v>13131322</v>
      </c>
      <c r="J995" s="111">
        <f>+SUM(J977:J994)</f>
        <v>33471403</v>
      </c>
      <c r="K995" s="5" t="b">
        <f>J995=I889</f>
        <v>0</v>
      </c>
      <c r="L995" s="5"/>
      <c r="M995" s="5"/>
      <c r="N995" s="5"/>
      <c r="O995" s="5"/>
      <c r="Q995" s="5"/>
    </row>
    <row r="996" spans="1:17" ht="16.5">
      <c r="A996" s="14"/>
      <c r="B996" s="15"/>
      <c r="C996" s="12" t="e">
        <f>C995=C889</f>
        <v>#REF!</v>
      </c>
      <c r="D996" s="12"/>
      <c r="E996" s="13"/>
      <c r="F996" s="12"/>
      <c r="G996" s="12"/>
      <c r="H996" s="12"/>
      <c r="I996" s="12"/>
      <c r="L996" s="5"/>
      <c r="M996" s="5"/>
      <c r="N996" s="5"/>
      <c r="O996" s="5"/>
      <c r="Q996" s="5"/>
    </row>
    <row r="997" spans="1:17" ht="16.5">
      <c r="A997" s="14"/>
      <c r="B997" s="15"/>
      <c r="C997" s="12"/>
      <c r="D997" s="12"/>
      <c r="E997" s="13"/>
      <c r="F997" s="12"/>
      <c r="G997" s="12"/>
      <c r="H997" s="12"/>
      <c r="I997" s="12"/>
      <c r="L997" s="5"/>
      <c r="M997" s="5"/>
      <c r="N997" s="5"/>
      <c r="O997" s="5"/>
      <c r="Q997" s="5"/>
    </row>
    <row r="998" spans="1:17">
      <c r="A998" s="16" t="s">
        <v>52</v>
      </c>
      <c r="B998" s="16"/>
      <c r="C998" s="16"/>
      <c r="D998" s="17"/>
      <c r="E998" s="17"/>
      <c r="F998" s="17"/>
      <c r="G998" s="17"/>
      <c r="H998" s="17"/>
      <c r="I998" s="17"/>
      <c r="L998" s="5"/>
      <c r="M998" s="5"/>
      <c r="N998" s="5"/>
      <c r="O998" s="5"/>
      <c r="Q998" s="5"/>
    </row>
    <row r="999" spans="1:17">
      <c r="A999" s="18" t="s">
        <v>114</v>
      </c>
      <c r="B999" s="18"/>
      <c r="C999" s="18"/>
      <c r="D999" s="18"/>
      <c r="E999" s="18"/>
      <c r="F999" s="18"/>
      <c r="G999" s="18"/>
      <c r="H999" s="18"/>
      <c r="I999" s="18"/>
      <c r="J999" s="17"/>
      <c r="L999" s="5"/>
      <c r="M999" s="5"/>
      <c r="N999" s="5"/>
      <c r="O999" s="5"/>
      <c r="Q999" s="5"/>
    </row>
    <row r="1000" spans="1:17">
      <c r="A1000" s="19"/>
      <c r="B1000" s="20"/>
      <c r="C1000" s="21"/>
      <c r="D1000" s="21"/>
      <c r="E1000" s="21"/>
      <c r="F1000" s="21"/>
      <c r="G1000" s="21"/>
      <c r="H1000" s="20"/>
      <c r="I1000" s="20"/>
      <c r="J1000" s="18"/>
      <c r="L1000" s="5"/>
      <c r="M1000" s="5"/>
      <c r="N1000" s="5"/>
      <c r="O1000" s="5"/>
      <c r="Q1000" s="5"/>
    </row>
    <row r="1001" spans="1:17">
      <c r="A1001" s="455" t="s">
        <v>53</v>
      </c>
      <c r="B1001" s="457" t="s">
        <v>54</v>
      </c>
      <c r="C1001" s="459" t="s">
        <v>116</v>
      </c>
      <c r="D1001" s="461" t="s">
        <v>55</v>
      </c>
      <c r="E1001" s="462"/>
      <c r="F1001" s="462"/>
      <c r="G1001" s="463"/>
      <c r="H1001" s="464" t="s">
        <v>56</v>
      </c>
      <c r="I1001" s="451" t="s">
        <v>57</v>
      </c>
      <c r="J1001" s="20"/>
      <c r="L1001" s="5"/>
      <c r="M1001" s="5"/>
      <c r="N1001" s="5"/>
      <c r="O1001" s="5"/>
      <c r="Q1001" s="5"/>
    </row>
    <row r="1002" spans="1:17">
      <c r="A1002" s="456"/>
      <c r="B1002" s="458"/>
      <c r="C1002" s="460"/>
      <c r="D1002" s="22" t="s">
        <v>24</v>
      </c>
      <c r="E1002" s="22" t="s">
        <v>25</v>
      </c>
      <c r="F1002" s="152" t="s">
        <v>118</v>
      </c>
      <c r="G1002" s="22" t="s">
        <v>58</v>
      </c>
      <c r="H1002" s="465"/>
      <c r="I1002" s="452"/>
      <c r="J1002" s="453" t="s">
        <v>117</v>
      </c>
      <c r="L1002" s="5"/>
      <c r="M1002" s="5"/>
      <c r="N1002" s="5"/>
      <c r="O1002" s="5"/>
      <c r="Q1002" s="5"/>
    </row>
    <row r="1003" spans="1:17">
      <c r="A1003" s="24"/>
      <c r="B1003" s="25" t="s">
        <v>59</v>
      </c>
      <c r="C1003" s="26"/>
      <c r="D1003" s="26"/>
      <c r="E1003" s="26"/>
      <c r="F1003" s="26"/>
      <c r="G1003" s="26"/>
      <c r="H1003" s="26"/>
      <c r="I1003" s="27"/>
      <c r="J1003" s="454"/>
      <c r="L1003" s="5"/>
      <c r="M1003" s="5"/>
      <c r="N1003" s="5"/>
      <c r="O1003" s="5"/>
      <c r="Q1003" s="5"/>
    </row>
    <row r="1004" spans="1:17">
      <c r="A1004" s="130" t="s">
        <v>115</v>
      </c>
      <c r="B1004" s="135" t="s">
        <v>76</v>
      </c>
      <c r="C1004" s="33">
        <v>3670</v>
      </c>
      <c r="D1004" s="32"/>
      <c r="E1004" s="33">
        <v>118000</v>
      </c>
      <c r="F1004" s="33">
        <v>4000</v>
      </c>
      <c r="G1004" s="33"/>
      <c r="H1004" s="57"/>
      <c r="I1004" s="33">
        <v>118000</v>
      </c>
      <c r="J1004" s="31">
        <f>+SUM(C1004:G1004)-(H1004+I1004)</f>
        <v>7670</v>
      </c>
      <c r="K1004" s="153"/>
      <c r="L1004" s="5"/>
      <c r="M1004" s="5"/>
      <c r="N1004" s="5"/>
      <c r="O1004" s="5"/>
      <c r="Q1004" s="5"/>
    </row>
    <row r="1005" spans="1:17">
      <c r="A1005" s="130" t="s">
        <v>115</v>
      </c>
      <c r="B1005" s="135" t="s">
        <v>47</v>
      </c>
      <c r="C1005" s="33">
        <v>-540</v>
      </c>
      <c r="D1005" s="32"/>
      <c r="E1005" s="33">
        <v>209750</v>
      </c>
      <c r="F1005" s="33">
        <v>5000</v>
      </c>
      <c r="G1005" s="33"/>
      <c r="H1005" s="57"/>
      <c r="I1005" s="33">
        <v>209500</v>
      </c>
      <c r="J1005" s="31">
        <f t="shared" ref="J1005:J1006" si="504">+SUM(C1005:G1005)-(H1005+I1005)</f>
        <v>4710</v>
      </c>
      <c r="K1005" s="153"/>
      <c r="L1005" s="5"/>
      <c r="M1005" s="5"/>
      <c r="N1005" s="5"/>
      <c r="O1005" s="5"/>
      <c r="Q1005" s="5"/>
    </row>
    <row r="1006" spans="1:17">
      <c r="A1006" s="130" t="s">
        <v>115</v>
      </c>
      <c r="B1006" s="135" t="s">
        <v>31</v>
      </c>
      <c r="C1006" s="33">
        <v>2395</v>
      </c>
      <c r="D1006" s="32"/>
      <c r="E1006" s="33">
        <v>70000</v>
      </c>
      <c r="F1006" s="33">
        <v>4000</v>
      </c>
      <c r="G1006" s="33"/>
      <c r="H1006" s="33"/>
      <c r="I1006" s="33">
        <v>67100</v>
      </c>
      <c r="J1006" s="107">
        <f t="shared" si="504"/>
        <v>9295</v>
      </c>
      <c r="K1006" s="153"/>
      <c r="L1006" s="5"/>
      <c r="M1006" s="5"/>
      <c r="N1006" s="5"/>
      <c r="O1006" s="5"/>
      <c r="Q1006" s="5"/>
    </row>
    <row r="1007" spans="1:17">
      <c r="A1007" s="130" t="s">
        <v>115</v>
      </c>
      <c r="B1007" s="135" t="s">
        <v>77</v>
      </c>
      <c r="C1007" s="33">
        <v>96100</v>
      </c>
      <c r="D1007" s="110"/>
      <c r="E1007" s="33">
        <v>488100</v>
      </c>
      <c r="F1007" s="33">
        <v>4000</v>
      </c>
      <c r="G1007" s="33"/>
      <c r="H1007" s="33">
        <v>61600</v>
      </c>
      <c r="I1007" s="33">
        <v>551700</v>
      </c>
      <c r="J1007" s="107">
        <f>+SUM(C1007:G1007)-(H1007+I1007)</f>
        <v>-25100</v>
      </c>
      <c r="K1007" s="153"/>
      <c r="L1007" s="5"/>
      <c r="M1007" s="5"/>
      <c r="N1007" s="5"/>
      <c r="O1007" s="5"/>
      <c r="Q1007" s="5"/>
    </row>
    <row r="1008" spans="1:17">
      <c r="A1008" s="130" t="s">
        <v>115</v>
      </c>
      <c r="B1008" s="135" t="s">
        <v>69</v>
      </c>
      <c r="C1008" s="33">
        <v>13884</v>
      </c>
      <c r="D1008" s="110"/>
      <c r="E1008" s="33">
        <v>194000</v>
      </c>
      <c r="F1008" s="33"/>
      <c r="G1008" s="33"/>
      <c r="H1008" s="33">
        <v>17000</v>
      </c>
      <c r="I1008" s="33">
        <v>183500</v>
      </c>
      <c r="J1008" s="107">
        <f t="shared" ref="J1008" si="505">+SUM(C1008:G1008)-(H1008+I1008)</f>
        <v>7384</v>
      </c>
      <c r="K1008" s="153"/>
      <c r="L1008" s="5"/>
      <c r="M1008" s="5"/>
      <c r="N1008" s="5"/>
      <c r="O1008" s="5"/>
      <c r="Q1008" s="5"/>
    </row>
    <row r="1009" spans="1:17">
      <c r="A1009" s="130" t="s">
        <v>115</v>
      </c>
      <c r="B1009" s="136" t="s">
        <v>30</v>
      </c>
      <c r="C1009" s="33">
        <v>72400</v>
      </c>
      <c r="D1009" s="127"/>
      <c r="E1009" s="53">
        <v>599900</v>
      </c>
      <c r="F1009" s="53"/>
      <c r="G1009" s="53"/>
      <c r="H1009" s="53"/>
      <c r="I1009" s="53">
        <v>611000</v>
      </c>
      <c r="J1009" s="132">
        <f>+SUM(C1009:G1009)-(H1009+I1009)</f>
        <v>61300</v>
      </c>
      <c r="K1009" s="153"/>
      <c r="L1009" s="5"/>
      <c r="M1009" s="5"/>
      <c r="N1009" s="5"/>
      <c r="O1009" s="5"/>
      <c r="Q1009" s="5"/>
    </row>
    <row r="1010" spans="1:17">
      <c r="A1010" s="130" t="s">
        <v>115</v>
      </c>
      <c r="B1010" s="137" t="s">
        <v>84</v>
      </c>
      <c r="C1010" s="128">
        <v>233614</v>
      </c>
      <c r="D1010" s="131"/>
      <c r="E1010" s="146"/>
      <c r="F1010" s="146"/>
      <c r="G1010" s="146"/>
      <c r="H1010" s="146"/>
      <c r="I1010" s="146"/>
      <c r="J1010" s="129">
        <f>+SUM(C1010:G1010)-(H1010+I1010)</f>
        <v>233614</v>
      </c>
      <c r="K1010" s="153"/>
      <c r="L1010" s="5"/>
      <c r="M1010" s="5"/>
      <c r="N1010" s="5"/>
      <c r="O1010" s="5"/>
      <c r="Q1010" s="5"/>
    </row>
    <row r="1011" spans="1:17">
      <c r="A1011" s="130" t="s">
        <v>115</v>
      </c>
      <c r="B1011" s="137" t="s">
        <v>83</v>
      </c>
      <c r="C1011" s="128">
        <v>249769</v>
      </c>
      <c r="D1011" s="131"/>
      <c r="E1011" s="146"/>
      <c r="F1011" s="146"/>
      <c r="G1011" s="146"/>
      <c r="H1011" s="146"/>
      <c r="I1011" s="146"/>
      <c r="J1011" s="129">
        <f t="shared" ref="J1011:J1018" si="506">+SUM(C1011:G1011)-(H1011+I1011)</f>
        <v>249769</v>
      </c>
      <c r="K1011" s="153"/>
      <c r="L1011" s="5"/>
      <c r="M1011" s="5"/>
      <c r="N1011" s="5"/>
      <c r="O1011" s="5"/>
      <c r="Q1011" s="5"/>
    </row>
    <row r="1012" spans="1:17">
      <c r="A1012" s="130" t="s">
        <v>115</v>
      </c>
      <c r="B1012" s="135" t="s">
        <v>35</v>
      </c>
      <c r="C1012" s="33">
        <v>18490</v>
      </c>
      <c r="D1012" s="32"/>
      <c r="E1012" s="33">
        <v>796460</v>
      </c>
      <c r="F1012" s="33">
        <v>61600</v>
      </c>
      <c r="G1012" s="110"/>
      <c r="H1012" s="110"/>
      <c r="I1012" s="33">
        <v>872050</v>
      </c>
      <c r="J1012" s="31">
        <f t="shared" si="506"/>
        <v>4500</v>
      </c>
      <c r="K1012" s="153"/>
      <c r="L1012" s="5"/>
      <c r="M1012" s="5"/>
      <c r="N1012" s="5"/>
      <c r="O1012" s="5"/>
      <c r="Q1012" s="5"/>
    </row>
    <row r="1013" spans="1:17">
      <c r="A1013" s="130" t="s">
        <v>115</v>
      </c>
      <c r="B1013" s="135" t="s">
        <v>93</v>
      </c>
      <c r="C1013" s="33">
        <v>4500</v>
      </c>
      <c r="D1013" s="32"/>
      <c r="E1013" s="33">
        <v>40000</v>
      </c>
      <c r="F1013" s="110"/>
      <c r="G1013" s="110"/>
      <c r="H1013" s="110"/>
      <c r="I1013" s="33">
        <v>50500</v>
      </c>
      <c r="J1013" s="31">
        <f t="shared" si="506"/>
        <v>-6000</v>
      </c>
      <c r="K1013" s="153"/>
      <c r="L1013" s="5"/>
      <c r="M1013" s="5"/>
      <c r="N1013" s="5"/>
      <c r="O1013" s="5"/>
      <c r="Q1013" s="5"/>
    </row>
    <row r="1014" spans="1:17">
      <c r="A1014" s="130" t="s">
        <v>115</v>
      </c>
      <c r="B1014" s="135" t="s">
        <v>29</v>
      </c>
      <c r="C1014" s="33">
        <v>44200</v>
      </c>
      <c r="D1014" s="32"/>
      <c r="E1014" s="33">
        <v>60000</v>
      </c>
      <c r="F1014" s="110"/>
      <c r="G1014" s="110"/>
      <c r="H1014" s="110"/>
      <c r="I1014" s="33">
        <v>32000</v>
      </c>
      <c r="J1014" s="31">
        <f t="shared" si="506"/>
        <v>72200</v>
      </c>
      <c r="K1014" s="153"/>
      <c r="L1014" s="5"/>
      <c r="M1014" s="5"/>
      <c r="N1014" s="5"/>
      <c r="O1014" s="5"/>
      <c r="Q1014" s="5"/>
    </row>
    <row r="1015" spans="1:17">
      <c r="A1015" s="130" t="s">
        <v>115</v>
      </c>
      <c r="B1015" s="135" t="s">
        <v>94</v>
      </c>
      <c r="C1015" s="33">
        <v>-851709</v>
      </c>
      <c r="D1015" s="32"/>
      <c r="E1015" s="33">
        <v>851709</v>
      </c>
      <c r="F1015" s="110"/>
      <c r="G1015" s="110"/>
      <c r="H1015" s="110"/>
      <c r="I1015" s="33"/>
      <c r="J1015" s="31">
        <f>+SUM(C1015:G1015)-(H1015+I1015)</f>
        <v>0</v>
      </c>
      <c r="K1015" s="153"/>
      <c r="L1015" s="5"/>
      <c r="M1015" s="5"/>
      <c r="N1015" s="5"/>
      <c r="O1015" s="5"/>
      <c r="Q1015" s="5"/>
    </row>
    <row r="1016" spans="1:17">
      <c r="A1016" s="130" t="s">
        <v>115</v>
      </c>
      <c r="B1016" s="135" t="s">
        <v>101</v>
      </c>
      <c r="C1016" s="33">
        <v>90300</v>
      </c>
      <c r="D1016" s="32"/>
      <c r="E1016" s="33">
        <v>69200</v>
      </c>
      <c r="F1016" s="110"/>
      <c r="G1016" s="110"/>
      <c r="H1016" s="110"/>
      <c r="I1016" s="33">
        <v>159500</v>
      </c>
      <c r="J1016" s="31">
        <f t="shared" si="506"/>
        <v>0</v>
      </c>
      <c r="K1016" s="153"/>
      <c r="L1016" s="5"/>
      <c r="M1016" s="5"/>
      <c r="N1016" s="5"/>
      <c r="O1016" s="5"/>
      <c r="Q1016" s="5"/>
    </row>
    <row r="1017" spans="1:17">
      <c r="A1017" s="130" t="s">
        <v>115</v>
      </c>
      <c r="B1017" s="135" t="s">
        <v>32</v>
      </c>
      <c r="C1017" s="33">
        <v>300</v>
      </c>
      <c r="D1017" s="32"/>
      <c r="E1017" s="33">
        <v>20000</v>
      </c>
      <c r="F1017" s="110"/>
      <c r="G1017" s="110"/>
      <c r="H1017" s="110"/>
      <c r="I1017" s="33">
        <v>11000</v>
      </c>
      <c r="J1017" s="31">
        <f t="shared" si="506"/>
        <v>9300</v>
      </c>
      <c r="K1017" s="153"/>
      <c r="L1017" s="5"/>
      <c r="M1017" s="5"/>
      <c r="N1017" s="5"/>
      <c r="O1017" s="5"/>
      <c r="Q1017" s="5"/>
    </row>
    <row r="1018" spans="1:17">
      <c r="A1018" s="130" t="s">
        <v>115</v>
      </c>
      <c r="B1018" s="136" t="s">
        <v>113</v>
      </c>
      <c r="C1018" s="33">
        <v>0</v>
      </c>
      <c r="D1018" s="127"/>
      <c r="E1018" s="145"/>
      <c r="F1018" s="145"/>
      <c r="G1018" s="147"/>
      <c r="H1018" s="145"/>
      <c r="I1018" s="53">
        <v>14000</v>
      </c>
      <c r="J1018" s="31">
        <f t="shared" si="506"/>
        <v>-14000</v>
      </c>
      <c r="K1018" s="153"/>
      <c r="L1018" s="5"/>
      <c r="M1018" s="5"/>
      <c r="N1018" s="5"/>
      <c r="O1018" s="5"/>
      <c r="Q1018" s="5"/>
    </row>
    <row r="1019" spans="1:17">
      <c r="A1019" s="35" t="s">
        <v>60</v>
      </c>
      <c r="B1019" s="36"/>
      <c r="C1019" s="36"/>
      <c r="D1019" s="36"/>
      <c r="E1019" s="36"/>
      <c r="F1019" s="36"/>
      <c r="G1019" s="36"/>
      <c r="H1019" s="36"/>
      <c r="I1019" s="36"/>
      <c r="J1019" s="37"/>
      <c r="L1019" s="5"/>
      <c r="M1019" s="5"/>
      <c r="N1019" s="5"/>
      <c r="O1019" s="5"/>
      <c r="Q1019" s="5"/>
    </row>
    <row r="1020" spans="1:17">
      <c r="A1020" s="130" t="s">
        <v>115</v>
      </c>
      <c r="B1020" s="38" t="s">
        <v>61</v>
      </c>
      <c r="C1020" s="39" t="e">
        <f>C877</f>
        <v>#REF!</v>
      </c>
      <c r="D1020" s="51">
        <v>5872000</v>
      </c>
      <c r="E1020" s="109"/>
      <c r="F1020" s="109"/>
      <c r="G1020" s="148"/>
      <c r="H1020" s="139">
        <v>3517119</v>
      </c>
      <c r="I1020" s="134">
        <v>1523260</v>
      </c>
      <c r="J1020" s="46" t="e">
        <f>+SUM(C1020:G1020)-(H1020+I1020)</f>
        <v>#REF!</v>
      </c>
      <c r="K1020" s="153"/>
      <c r="L1020" s="5"/>
      <c r="M1020" s="5"/>
      <c r="N1020" s="5"/>
      <c r="O1020" s="5"/>
      <c r="Q1020" s="5"/>
    </row>
    <row r="1021" spans="1:17">
      <c r="A1021" s="44" t="s">
        <v>62</v>
      </c>
      <c r="B1021" s="25"/>
      <c r="C1021" s="36"/>
      <c r="D1021" s="25"/>
      <c r="E1021" s="25"/>
      <c r="F1021" s="25"/>
      <c r="G1021" s="25"/>
      <c r="H1021" s="25"/>
      <c r="I1021" s="25"/>
      <c r="J1021" s="37"/>
      <c r="L1021" s="5"/>
      <c r="M1021" s="5"/>
      <c r="N1021" s="5"/>
      <c r="O1021" s="5"/>
      <c r="Q1021" s="5"/>
    </row>
    <row r="1022" spans="1:17">
      <c r="A1022" s="130" t="s">
        <v>115</v>
      </c>
      <c r="B1022" s="38" t="s">
        <v>63</v>
      </c>
      <c r="C1022" s="133" t="e">
        <f>#REF!</f>
        <v>#REF!</v>
      </c>
      <c r="D1022" s="140">
        <v>10380044</v>
      </c>
      <c r="E1022" s="51"/>
      <c r="F1022" s="51"/>
      <c r="G1022" s="51"/>
      <c r="H1022" s="53">
        <v>5500000</v>
      </c>
      <c r="I1022" s="55">
        <v>277455</v>
      </c>
      <c r="J1022" s="46" t="e">
        <f>+SUM(C1022:G1022)-(H1022+I1022)</f>
        <v>#REF!</v>
      </c>
      <c r="K1022" s="153"/>
      <c r="L1022" s="5"/>
      <c r="M1022" s="5"/>
      <c r="N1022" s="5"/>
      <c r="O1022" s="5"/>
      <c r="Q1022" s="5"/>
    </row>
    <row r="1023" spans="1:17">
      <c r="A1023" s="130" t="s">
        <v>115</v>
      </c>
      <c r="B1023" s="38" t="s">
        <v>64</v>
      </c>
      <c r="C1023" s="133" t="e">
        <f>C876</f>
        <v>#REF!</v>
      </c>
      <c r="D1023" s="51"/>
      <c r="E1023" s="50"/>
      <c r="F1023" s="50"/>
      <c r="G1023" s="50"/>
      <c r="H1023" s="33">
        <v>372000</v>
      </c>
      <c r="I1023" s="52">
        <v>4601760</v>
      </c>
      <c r="J1023" s="46" t="e">
        <f>SUM(C1023:G1023)-(H1023+I1023)</f>
        <v>#REF!</v>
      </c>
      <c r="K1023" s="153"/>
      <c r="L1023" s="5"/>
      <c r="M1023" s="5"/>
      <c r="N1023" s="5"/>
      <c r="O1023" s="5"/>
      <c r="Q1023" s="5"/>
    </row>
    <row r="1024" spans="1:17" ht="15.75">
      <c r="C1024" s="151" t="e">
        <f>SUM(C1004:C1023)</f>
        <v>#REF!</v>
      </c>
      <c r="I1024" s="149">
        <f>SUM(I1004:I1023)</f>
        <v>9282325</v>
      </c>
      <c r="J1024" s="111" t="e">
        <f>+SUM(J1004:J1023)</f>
        <v>#REF!</v>
      </c>
      <c r="L1024" s="5"/>
      <c r="M1024" s="5"/>
      <c r="N1024" s="5"/>
      <c r="O1024" s="5"/>
      <c r="Q1024" s="5"/>
    </row>
    <row r="1025" spans="1:17" ht="16.5">
      <c r="A1025" s="14"/>
      <c r="B1025" s="15"/>
      <c r="C1025" s="12"/>
      <c r="D1025" s="12"/>
      <c r="E1025" s="13"/>
      <c r="F1025" s="12"/>
      <c r="G1025" s="12"/>
      <c r="H1025" s="12"/>
      <c r="I1025" s="12"/>
      <c r="L1025" s="5"/>
      <c r="M1025" s="5"/>
      <c r="N1025" s="5"/>
      <c r="O1025" s="5"/>
      <c r="Q1025" s="5"/>
    </row>
    <row r="1026" spans="1:17">
      <c r="A1026" s="16" t="s">
        <v>52</v>
      </c>
      <c r="B1026" s="16"/>
      <c r="C1026" s="16"/>
      <c r="D1026" s="17"/>
      <c r="E1026" s="17"/>
      <c r="F1026" s="17"/>
      <c r="G1026" s="17"/>
      <c r="H1026" s="17"/>
      <c r="I1026" s="17"/>
      <c r="L1026" s="5"/>
      <c r="M1026" s="5"/>
      <c r="N1026" s="5"/>
      <c r="O1026" s="5"/>
      <c r="Q1026" s="5"/>
    </row>
    <row r="1027" spans="1:17">
      <c r="A1027" s="18" t="s">
        <v>109</v>
      </c>
      <c r="B1027" s="18"/>
      <c r="C1027" s="18"/>
      <c r="D1027" s="18"/>
      <c r="E1027" s="18"/>
      <c r="F1027" s="18"/>
      <c r="G1027" s="18"/>
      <c r="H1027" s="18"/>
      <c r="I1027" s="18"/>
      <c r="J1027" s="17"/>
      <c r="L1027" s="5"/>
      <c r="M1027" s="5"/>
      <c r="N1027" s="5"/>
      <c r="O1027" s="5"/>
      <c r="Q1027" s="5"/>
    </row>
    <row r="1028" spans="1:17">
      <c r="A1028" s="19"/>
      <c r="B1028" s="20"/>
      <c r="C1028" s="21"/>
      <c r="D1028" s="21"/>
      <c r="E1028" s="21"/>
      <c r="F1028" s="21"/>
      <c r="G1028" s="21"/>
      <c r="H1028" s="20"/>
      <c r="I1028" s="20"/>
      <c r="J1028" s="18"/>
      <c r="L1028" s="5"/>
      <c r="M1028" s="5"/>
      <c r="N1028" s="5"/>
      <c r="O1028" s="5"/>
      <c r="Q1028" s="5"/>
    </row>
    <row r="1029" spans="1:17">
      <c r="A1029" s="455" t="s">
        <v>53</v>
      </c>
      <c r="B1029" s="457" t="s">
        <v>54</v>
      </c>
      <c r="C1029" s="459" t="s">
        <v>110</v>
      </c>
      <c r="D1029" s="461" t="s">
        <v>55</v>
      </c>
      <c r="E1029" s="462"/>
      <c r="F1029" s="462"/>
      <c r="G1029" s="463"/>
      <c r="H1029" s="464" t="s">
        <v>56</v>
      </c>
      <c r="I1029" s="451" t="s">
        <v>57</v>
      </c>
      <c r="J1029" s="20"/>
      <c r="L1029" s="5"/>
      <c r="M1029" s="5"/>
      <c r="N1029" s="5"/>
      <c r="O1029" s="5"/>
      <c r="Q1029" s="5"/>
    </row>
    <row r="1030" spans="1:17">
      <c r="A1030" s="456"/>
      <c r="B1030" s="458"/>
      <c r="C1030" s="460"/>
      <c r="D1030" s="22" t="s">
        <v>24</v>
      </c>
      <c r="E1030" s="22" t="s">
        <v>25</v>
      </c>
      <c r="F1030" s="150" t="s">
        <v>112</v>
      </c>
      <c r="G1030" s="22" t="s">
        <v>58</v>
      </c>
      <c r="H1030" s="465"/>
      <c r="I1030" s="452"/>
      <c r="J1030" s="453" t="s">
        <v>111</v>
      </c>
      <c r="L1030" s="5"/>
      <c r="M1030" s="5"/>
      <c r="N1030" s="5"/>
      <c r="O1030" s="5"/>
      <c r="Q1030" s="5"/>
    </row>
    <row r="1031" spans="1:17">
      <c r="A1031" s="24"/>
      <c r="B1031" s="25" t="s">
        <v>59</v>
      </c>
      <c r="C1031" s="26"/>
      <c r="D1031" s="26"/>
      <c r="E1031" s="26"/>
      <c r="F1031" s="26"/>
      <c r="G1031" s="26"/>
      <c r="H1031" s="26"/>
      <c r="I1031" s="27"/>
      <c r="J1031" s="454"/>
      <c r="L1031" s="5"/>
      <c r="M1031" s="5"/>
      <c r="N1031" s="5"/>
      <c r="O1031" s="5"/>
      <c r="Q1031" s="5"/>
    </row>
    <row r="1032" spans="1:17">
      <c r="A1032" s="130" t="s">
        <v>108</v>
      </c>
      <c r="B1032" s="135" t="s">
        <v>76</v>
      </c>
      <c r="C1032" s="33">
        <v>-11330</v>
      </c>
      <c r="D1032" s="32"/>
      <c r="E1032" s="33">
        <v>201400</v>
      </c>
      <c r="F1032" s="33">
        <v>184300</v>
      </c>
      <c r="G1032" s="33"/>
      <c r="H1032" s="57"/>
      <c r="I1032" s="33">
        <v>370700</v>
      </c>
      <c r="J1032" s="31">
        <f>+SUM(C1032:G1032)-(H1032+I1032)</f>
        <v>3670</v>
      </c>
      <c r="K1032" s="70"/>
      <c r="L1032" s="5"/>
      <c r="M1032" s="5"/>
      <c r="N1032" s="5"/>
      <c r="O1032" s="5"/>
      <c r="Q1032" s="5"/>
    </row>
    <row r="1033" spans="1:17">
      <c r="A1033" s="130" t="s">
        <v>108</v>
      </c>
      <c r="B1033" s="135" t="s">
        <v>47</v>
      </c>
      <c r="C1033" s="33">
        <v>8260</v>
      </c>
      <c r="D1033" s="32"/>
      <c r="E1033" s="33">
        <v>357900</v>
      </c>
      <c r="F1033" s="33"/>
      <c r="G1033" s="33"/>
      <c r="H1033" s="57">
        <v>50000</v>
      </c>
      <c r="I1033" s="33">
        <v>316700</v>
      </c>
      <c r="J1033" s="31">
        <f t="shared" ref="J1033:J1034" si="507">+SUM(C1033:G1033)-(H1033+I1033)</f>
        <v>-540</v>
      </c>
      <c r="K1033" s="70"/>
      <c r="L1033" s="5"/>
      <c r="M1033" s="5"/>
      <c r="N1033" s="5"/>
      <c r="O1033" s="5"/>
      <c r="Q1033" s="5"/>
    </row>
    <row r="1034" spans="1:17">
      <c r="A1034" s="130" t="s">
        <v>108</v>
      </c>
      <c r="B1034" s="135" t="s">
        <v>31</v>
      </c>
      <c r="C1034" s="33">
        <v>3795</v>
      </c>
      <c r="D1034" s="32"/>
      <c r="E1034" s="33">
        <v>20000</v>
      </c>
      <c r="F1034" s="33"/>
      <c r="G1034" s="33"/>
      <c r="H1034" s="33"/>
      <c r="I1034" s="33">
        <v>21400</v>
      </c>
      <c r="J1034" s="107">
        <f t="shared" si="507"/>
        <v>2395</v>
      </c>
      <c r="K1034" s="70"/>
      <c r="L1034" s="5"/>
      <c r="M1034" s="5"/>
      <c r="N1034" s="5"/>
      <c r="O1034" s="5"/>
      <c r="Q1034" s="5"/>
    </row>
    <row r="1035" spans="1:17">
      <c r="A1035" s="130" t="s">
        <v>108</v>
      </c>
      <c r="B1035" s="135" t="s">
        <v>77</v>
      </c>
      <c r="C1035" s="33">
        <v>-83100</v>
      </c>
      <c r="D1035" s="110"/>
      <c r="E1035" s="33">
        <v>699200</v>
      </c>
      <c r="F1035" s="33"/>
      <c r="G1035" s="33"/>
      <c r="H1035" s="33"/>
      <c r="I1035" s="33">
        <v>520000</v>
      </c>
      <c r="J1035" s="107">
        <f>+SUM(C1035:G1035)-(H1035+I1035)</f>
        <v>96100</v>
      </c>
      <c r="K1035" s="70"/>
      <c r="L1035" s="5"/>
      <c r="M1035" s="5"/>
      <c r="N1035" s="5"/>
      <c r="O1035" s="5"/>
      <c r="Q1035" s="5"/>
    </row>
    <row r="1036" spans="1:17">
      <c r="A1036" s="130" t="s">
        <v>108</v>
      </c>
      <c r="B1036" s="135" t="s">
        <v>69</v>
      </c>
      <c r="C1036" s="33">
        <v>1784</v>
      </c>
      <c r="D1036" s="110"/>
      <c r="E1036" s="33">
        <v>568600</v>
      </c>
      <c r="F1036" s="33">
        <v>50000</v>
      </c>
      <c r="G1036" s="33"/>
      <c r="H1036" s="33">
        <v>184300</v>
      </c>
      <c r="I1036" s="33">
        <v>422200</v>
      </c>
      <c r="J1036" s="107">
        <f t="shared" ref="J1036" si="508">+SUM(C1036:G1036)-(H1036+I1036)</f>
        <v>13884</v>
      </c>
      <c r="K1036" s="70"/>
      <c r="L1036" s="5"/>
      <c r="M1036" s="5"/>
      <c r="N1036" s="5"/>
      <c r="O1036" s="5"/>
      <c r="Q1036" s="5"/>
    </row>
    <row r="1037" spans="1:17">
      <c r="A1037" s="130" t="s">
        <v>108</v>
      </c>
      <c r="B1037" s="136" t="s">
        <v>30</v>
      </c>
      <c r="C1037" s="33">
        <v>88800</v>
      </c>
      <c r="D1037" s="127"/>
      <c r="E1037" s="53">
        <v>694600</v>
      </c>
      <c r="F1037" s="53"/>
      <c r="G1037" s="53"/>
      <c r="H1037" s="53"/>
      <c r="I1037" s="53">
        <v>711000</v>
      </c>
      <c r="J1037" s="132">
        <f>+SUM(C1037:G1037)-(H1037+I1037)</f>
        <v>72400</v>
      </c>
      <c r="K1037" s="70"/>
      <c r="L1037" s="5"/>
      <c r="M1037" s="5"/>
      <c r="N1037" s="5"/>
      <c r="O1037" s="5"/>
      <c r="Q1037" s="5"/>
    </row>
    <row r="1038" spans="1:17">
      <c r="A1038" s="130" t="s">
        <v>108</v>
      </c>
      <c r="B1038" s="137" t="s">
        <v>84</v>
      </c>
      <c r="C1038" s="128">
        <v>233614</v>
      </c>
      <c r="D1038" s="131"/>
      <c r="E1038" s="146"/>
      <c r="F1038" s="146"/>
      <c r="G1038" s="146"/>
      <c r="H1038" s="146"/>
      <c r="I1038" s="146"/>
      <c r="J1038" s="129">
        <f>+SUM(C1038:G1038)-(H1038+I1038)</f>
        <v>233614</v>
      </c>
      <c r="K1038" s="70"/>
      <c r="L1038" s="5"/>
      <c r="M1038" s="5"/>
      <c r="N1038" s="5"/>
      <c r="O1038" s="5"/>
      <c r="Q1038" s="5"/>
    </row>
    <row r="1039" spans="1:17">
      <c r="A1039" s="130" t="s">
        <v>108</v>
      </c>
      <c r="B1039" s="137" t="s">
        <v>83</v>
      </c>
      <c r="C1039" s="128">
        <v>249769</v>
      </c>
      <c r="D1039" s="131"/>
      <c r="E1039" s="146"/>
      <c r="F1039" s="146"/>
      <c r="G1039" s="146"/>
      <c r="H1039" s="146"/>
      <c r="I1039" s="146"/>
      <c r="J1039" s="129">
        <f t="shared" ref="J1039:J1043" si="509">+SUM(C1039:G1039)-(H1039+I1039)</f>
        <v>249769</v>
      </c>
      <c r="K1039" s="70"/>
      <c r="L1039" s="5"/>
      <c r="M1039" s="5"/>
      <c r="N1039" s="5"/>
      <c r="O1039" s="5"/>
      <c r="Q1039" s="5"/>
    </row>
    <row r="1040" spans="1:17">
      <c r="A1040" s="130" t="s">
        <v>108</v>
      </c>
      <c r="B1040" s="135" t="s">
        <v>35</v>
      </c>
      <c r="C1040" s="33">
        <v>7890</v>
      </c>
      <c r="D1040" s="32"/>
      <c r="E1040" s="33">
        <v>135600</v>
      </c>
      <c r="F1040" s="110"/>
      <c r="G1040" s="110"/>
      <c r="H1040" s="110"/>
      <c r="I1040" s="33">
        <v>125000</v>
      </c>
      <c r="J1040" s="31">
        <f t="shared" si="509"/>
        <v>18490</v>
      </c>
      <c r="K1040" s="70"/>
      <c r="L1040" s="5"/>
      <c r="M1040" s="5"/>
      <c r="N1040" s="5"/>
      <c r="O1040" s="5"/>
      <c r="Q1040" s="5"/>
    </row>
    <row r="1041" spans="1:17">
      <c r="A1041" s="130" t="s">
        <v>108</v>
      </c>
      <c r="B1041" s="135" t="s">
        <v>93</v>
      </c>
      <c r="C1041" s="33">
        <v>5000</v>
      </c>
      <c r="D1041" s="32"/>
      <c r="E1041" s="33">
        <v>30000</v>
      </c>
      <c r="F1041" s="110"/>
      <c r="G1041" s="110"/>
      <c r="H1041" s="110"/>
      <c r="I1041" s="33">
        <v>30500</v>
      </c>
      <c r="J1041" s="31">
        <f t="shared" si="509"/>
        <v>4500</v>
      </c>
      <c r="K1041" s="70"/>
      <c r="L1041" s="5"/>
      <c r="M1041" s="5"/>
      <c r="N1041" s="5"/>
      <c r="O1041" s="5"/>
      <c r="Q1041" s="5"/>
    </row>
    <row r="1042" spans="1:17">
      <c r="A1042" s="130" t="s">
        <v>108</v>
      </c>
      <c r="B1042" s="135" t="s">
        <v>29</v>
      </c>
      <c r="C1042" s="33">
        <v>57700</v>
      </c>
      <c r="D1042" s="32"/>
      <c r="E1042" s="33">
        <v>639000</v>
      </c>
      <c r="F1042" s="110"/>
      <c r="G1042" s="110"/>
      <c r="H1042" s="110"/>
      <c r="I1042" s="33">
        <v>652500</v>
      </c>
      <c r="J1042" s="31">
        <f t="shared" si="509"/>
        <v>44200</v>
      </c>
      <c r="K1042" s="70"/>
      <c r="L1042" s="5"/>
      <c r="M1042" s="5"/>
      <c r="N1042" s="5"/>
      <c r="O1042" s="5"/>
      <c r="Q1042" s="5"/>
    </row>
    <row r="1043" spans="1:17">
      <c r="A1043" s="130" t="s">
        <v>108</v>
      </c>
      <c r="B1043" s="135" t="s">
        <v>94</v>
      </c>
      <c r="C1043" s="33">
        <v>-32081</v>
      </c>
      <c r="D1043" s="32"/>
      <c r="E1043" s="110"/>
      <c r="F1043" s="110"/>
      <c r="G1043" s="110"/>
      <c r="H1043" s="110"/>
      <c r="I1043" s="33">
        <v>819628</v>
      </c>
      <c r="J1043" s="31">
        <f t="shared" si="509"/>
        <v>-851709</v>
      </c>
      <c r="K1043" s="70"/>
      <c r="L1043" s="5"/>
      <c r="M1043" s="5"/>
      <c r="N1043" s="5"/>
      <c r="O1043" s="5"/>
      <c r="Q1043" s="5"/>
    </row>
    <row r="1044" spans="1:17">
      <c r="A1044" s="130" t="s">
        <v>108</v>
      </c>
      <c r="B1044" s="135" t="s">
        <v>101</v>
      </c>
      <c r="C1044" s="33">
        <v>62000</v>
      </c>
      <c r="D1044" s="32"/>
      <c r="E1044" s="33">
        <v>622600</v>
      </c>
      <c r="F1044" s="110"/>
      <c r="G1044" s="110"/>
      <c r="H1044" s="110"/>
      <c r="I1044" s="33">
        <v>594300</v>
      </c>
      <c r="J1044" s="31">
        <f>+SUM(C1044:G1044)-(H1044+I1044)</f>
        <v>90300</v>
      </c>
      <c r="K1044" s="70"/>
      <c r="L1044" s="5"/>
      <c r="M1044" s="5"/>
      <c r="N1044" s="5"/>
      <c r="O1044" s="5"/>
      <c r="Q1044" s="5"/>
    </row>
    <row r="1045" spans="1:17">
      <c r="A1045" s="130" t="s">
        <v>108</v>
      </c>
      <c r="B1045" s="136" t="s">
        <v>32</v>
      </c>
      <c r="C1045" s="33">
        <v>4300</v>
      </c>
      <c r="D1045" s="127"/>
      <c r="E1045" s="145"/>
      <c r="F1045" s="145"/>
      <c r="G1045" s="147"/>
      <c r="H1045" s="145"/>
      <c r="I1045" s="53">
        <v>4000</v>
      </c>
      <c r="J1045" s="31">
        <f t="shared" ref="J1045" si="510">+SUM(C1045:G1045)-(H1045+I1045)</f>
        <v>300</v>
      </c>
      <c r="K1045" s="70"/>
      <c r="L1045" s="5"/>
      <c r="M1045" s="5"/>
      <c r="N1045" s="5"/>
      <c r="O1045" s="5"/>
      <c r="Q1045" s="5"/>
    </row>
    <row r="1046" spans="1:17">
      <c r="A1046" s="35" t="s">
        <v>60</v>
      </c>
      <c r="B1046" s="36"/>
      <c r="C1046" s="36"/>
      <c r="D1046" s="36"/>
      <c r="E1046" s="36"/>
      <c r="F1046" s="36"/>
      <c r="G1046" s="36"/>
      <c r="H1046" s="36"/>
      <c r="I1046" s="36"/>
      <c r="J1046" s="37"/>
      <c r="K1046" s="70"/>
      <c r="L1046" s="5"/>
      <c r="M1046" s="5"/>
      <c r="N1046" s="5"/>
      <c r="O1046" s="5"/>
      <c r="Q1046" s="5"/>
    </row>
    <row r="1047" spans="1:17">
      <c r="A1047" s="130" t="s">
        <v>108</v>
      </c>
      <c r="B1047" s="38" t="s">
        <v>61</v>
      </c>
      <c r="C1047" s="39">
        <v>62150</v>
      </c>
      <c r="D1047" s="51">
        <v>5500000</v>
      </c>
      <c r="E1047" s="109"/>
      <c r="F1047" s="109"/>
      <c r="G1047" s="148"/>
      <c r="H1047" s="139">
        <v>3968900</v>
      </c>
      <c r="I1047" s="134">
        <v>1276534</v>
      </c>
      <c r="J1047" s="46">
        <f>+SUM(C1047:G1047)-(H1047+I1047)</f>
        <v>316716</v>
      </c>
      <c r="K1047" s="70"/>
      <c r="L1047" s="5"/>
      <c r="M1047" s="5"/>
      <c r="N1047" s="5"/>
      <c r="O1047" s="5"/>
      <c r="Q1047" s="5"/>
    </row>
    <row r="1048" spans="1:17">
      <c r="A1048" s="44" t="s">
        <v>62</v>
      </c>
      <c r="B1048" s="25"/>
      <c r="C1048" s="36"/>
      <c r="D1048" s="25"/>
      <c r="E1048" s="25"/>
      <c r="F1048" s="25"/>
      <c r="G1048" s="25"/>
      <c r="H1048" s="25"/>
      <c r="I1048" s="25"/>
      <c r="J1048" s="37"/>
      <c r="L1048" s="5"/>
      <c r="M1048" s="5"/>
      <c r="N1048" s="5"/>
      <c r="O1048" s="5"/>
      <c r="Q1048" s="5"/>
    </row>
    <row r="1049" spans="1:17">
      <c r="A1049" s="130" t="s">
        <v>108</v>
      </c>
      <c r="B1049" s="38" t="s">
        <v>63</v>
      </c>
      <c r="C1049" s="133">
        <v>11284555</v>
      </c>
      <c r="D1049" s="140"/>
      <c r="E1049" s="51"/>
      <c r="F1049" s="51"/>
      <c r="G1049" s="51"/>
      <c r="H1049" s="53">
        <v>5500000</v>
      </c>
      <c r="I1049" s="55">
        <v>273881</v>
      </c>
      <c r="J1049" s="46">
        <f>+SUM(C1049:G1049)-(H1049+I1049)</f>
        <v>5510674</v>
      </c>
      <c r="K1049" s="70"/>
      <c r="L1049" s="5"/>
      <c r="M1049" s="5"/>
      <c r="N1049" s="5"/>
      <c r="O1049" s="5"/>
      <c r="Q1049" s="5"/>
    </row>
    <row r="1050" spans="1:17">
      <c r="A1050" s="130" t="s">
        <v>108</v>
      </c>
      <c r="B1050" s="38" t="s">
        <v>64</v>
      </c>
      <c r="C1050" s="133">
        <v>2158645</v>
      </c>
      <c r="D1050" s="51">
        <v>15435980</v>
      </c>
      <c r="E1050" s="50"/>
      <c r="F1050" s="50"/>
      <c r="G1050" s="50"/>
      <c r="H1050" s="33"/>
      <c r="I1050" s="52">
        <v>6400961</v>
      </c>
      <c r="J1050" s="46">
        <f>SUM(C1050:G1050)-(H1050+I1050)</f>
        <v>11193664</v>
      </c>
      <c r="K1050" s="70"/>
      <c r="L1050" s="5"/>
      <c r="M1050" s="5"/>
      <c r="N1050" s="5"/>
      <c r="O1050" s="5"/>
      <c r="Q1050" s="5"/>
    </row>
    <row r="1051" spans="1:17" ht="15.75">
      <c r="C1051" s="151">
        <f>SUM(C1032:C1050)</f>
        <v>14101751</v>
      </c>
      <c r="I1051" s="149">
        <f>SUM(I1032:I1050)</f>
        <v>12539304</v>
      </c>
      <c r="J1051" s="111">
        <f>+SUM(J1032:J1050)</f>
        <v>16998427</v>
      </c>
      <c r="L1051" s="5"/>
      <c r="M1051" s="5"/>
      <c r="N1051" s="5"/>
      <c r="O1051" s="5"/>
      <c r="Q1051" s="5"/>
    </row>
    <row r="1052" spans="1:17" ht="16.5">
      <c r="A1052" s="10"/>
      <c r="B1052" s="11"/>
      <c r="C1052" s="12"/>
      <c r="D1052" s="12"/>
      <c r="E1052" s="12"/>
      <c r="F1052" s="12"/>
      <c r="G1052" s="12"/>
      <c r="H1052" s="12"/>
      <c r="I1052" s="12"/>
      <c r="J1052" s="141"/>
      <c r="L1052" s="5"/>
      <c r="M1052" s="5"/>
      <c r="N1052" s="5"/>
      <c r="O1052" s="5"/>
      <c r="Q1052" s="5"/>
    </row>
    <row r="1053" spans="1:17" ht="16.5">
      <c r="A1053" s="14"/>
      <c r="B1053" s="15"/>
      <c r="C1053" s="12"/>
      <c r="D1053" s="12"/>
      <c r="E1053" s="13"/>
      <c r="F1053" s="12"/>
      <c r="G1053" s="12"/>
      <c r="H1053" s="12"/>
      <c r="I1053" s="12"/>
      <c r="L1053" s="5"/>
      <c r="M1053" s="5"/>
      <c r="N1053" s="5"/>
      <c r="O1053" s="5"/>
      <c r="Q1053" s="5"/>
    </row>
    <row r="1054" spans="1:17">
      <c r="A1054" s="16" t="s">
        <v>52</v>
      </c>
      <c r="B1054" s="16"/>
      <c r="C1054" s="16"/>
      <c r="D1054" s="17"/>
      <c r="E1054" s="17"/>
      <c r="F1054" s="17"/>
      <c r="G1054" s="17"/>
      <c r="H1054" s="17"/>
      <c r="I1054" s="17"/>
      <c r="L1054" s="5"/>
      <c r="M1054" s="5"/>
      <c r="N1054" s="5"/>
      <c r="O1054" s="5"/>
      <c r="Q1054" s="5"/>
    </row>
    <row r="1055" spans="1:17">
      <c r="A1055" s="18" t="s">
        <v>106</v>
      </c>
      <c r="B1055" s="18"/>
      <c r="C1055" s="18"/>
      <c r="D1055" s="18"/>
      <c r="E1055" s="18"/>
      <c r="F1055" s="18"/>
      <c r="G1055" s="18"/>
      <c r="H1055" s="18"/>
      <c r="I1055" s="18"/>
      <c r="J1055" s="17"/>
      <c r="L1055" s="5"/>
      <c r="M1055" s="5"/>
      <c r="N1055" s="5"/>
      <c r="O1055" s="5"/>
      <c r="Q1055" s="5"/>
    </row>
    <row r="1056" spans="1:17">
      <c r="A1056" s="19"/>
      <c r="B1056" s="20"/>
      <c r="C1056" s="21"/>
      <c r="D1056" s="21"/>
      <c r="E1056" s="21"/>
      <c r="F1056" s="21"/>
      <c r="G1056" s="21"/>
      <c r="H1056" s="20"/>
      <c r="I1056" s="20"/>
      <c r="J1056" s="18"/>
      <c r="L1056" s="5"/>
      <c r="M1056" s="5"/>
      <c r="N1056" s="5"/>
      <c r="O1056" s="5"/>
      <c r="Q1056" s="5"/>
    </row>
    <row r="1057" spans="1:17">
      <c r="A1057" s="455" t="s">
        <v>53</v>
      </c>
      <c r="B1057" s="457" t="s">
        <v>54</v>
      </c>
      <c r="C1057" s="459" t="s">
        <v>104</v>
      </c>
      <c r="D1057" s="461" t="s">
        <v>55</v>
      </c>
      <c r="E1057" s="462"/>
      <c r="F1057" s="462"/>
      <c r="G1057" s="463"/>
      <c r="H1057" s="464" t="s">
        <v>56</v>
      </c>
      <c r="I1057" s="451" t="s">
        <v>57</v>
      </c>
      <c r="J1057" s="20"/>
      <c r="L1057" s="5"/>
      <c r="M1057" s="5"/>
      <c r="N1057" s="5"/>
      <c r="O1057" s="5"/>
      <c r="Q1057" s="5"/>
    </row>
    <row r="1058" spans="1:17">
      <c r="A1058" s="456"/>
      <c r="B1058" s="458"/>
      <c r="C1058" s="460"/>
      <c r="D1058" s="22" t="s">
        <v>24</v>
      </c>
      <c r="E1058" s="22" t="s">
        <v>25</v>
      </c>
      <c r="F1058" s="142" t="s">
        <v>107</v>
      </c>
      <c r="G1058" s="22" t="s">
        <v>58</v>
      </c>
      <c r="H1058" s="465"/>
      <c r="I1058" s="452"/>
      <c r="J1058" s="453" t="s">
        <v>105</v>
      </c>
      <c r="L1058" s="5"/>
      <c r="M1058" s="5"/>
      <c r="N1058" s="5"/>
      <c r="O1058" s="5"/>
      <c r="Q1058" s="5"/>
    </row>
    <row r="1059" spans="1:17">
      <c r="A1059" s="24"/>
      <c r="B1059" s="25" t="s">
        <v>59</v>
      </c>
      <c r="C1059" s="26"/>
      <c r="D1059" s="26"/>
      <c r="E1059" s="26"/>
      <c r="F1059" s="26"/>
      <c r="G1059" s="26"/>
      <c r="H1059" s="26"/>
      <c r="I1059" s="27"/>
      <c r="J1059" s="454"/>
      <c r="L1059" s="5"/>
      <c r="M1059" s="5"/>
      <c r="N1059" s="5"/>
      <c r="O1059" s="5"/>
      <c r="Q1059" s="5"/>
    </row>
    <row r="1060" spans="1:17">
      <c r="A1060" s="130" t="s">
        <v>103</v>
      </c>
      <c r="B1060" s="135" t="s">
        <v>76</v>
      </c>
      <c r="C1060" s="33">
        <v>22200</v>
      </c>
      <c r="D1060" s="32"/>
      <c r="E1060" s="33">
        <v>439970</v>
      </c>
      <c r="F1060" s="110"/>
      <c r="G1060" s="110"/>
      <c r="H1060" s="144"/>
      <c r="I1060" s="33">
        <v>473500</v>
      </c>
      <c r="J1060" s="31">
        <f>+SUM(C1060:G1060)-(H1060+I1060)</f>
        <v>-11330</v>
      </c>
      <c r="K1060" s="70"/>
      <c r="L1060" s="5"/>
      <c r="M1060" s="5"/>
      <c r="N1060" s="5"/>
      <c r="O1060" s="5"/>
      <c r="Q1060" s="5"/>
    </row>
    <row r="1061" spans="1:17">
      <c r="A1061" s="130" t="s">
        <v>103</v>
      </c>
      <c r="B1061" s="135" t="s">
        <v>47</v>
      </c>
      <c r="C1061" s="33">
        <v>3060</v>
      </c>
      <c r="D1061" s="32"/>
      <c r="E1061" s="33">
        <v>157200</v>
      </c>
      <c r="F1061" s="33"/>
      <c r="G1061" s="33"/>
      <c r="H1061" s="57"/>
      <c r="I1061" s="33">
        <v>152000</v>
      </c>
      <c r="J1061" s="31">
        <f t="shared" ref="J1061:J1062" si="511">+SUM(C1061:G1061)-(H1061+I1061)</f>
        <v>8260</v>
      </c>
      <c r="K1061" s="70"/>
      <c r="L1061" s="5"/>
      <c r="M1061" s="5"/>
      <c r="N1061" s="5"/>
      <c r="O1061" s="5"/>
      <c r="Q1061" s="5"/>
    </row>
    <row r="1062" spans="1:17">
      <c r="A1062" s="130" t="s">
        <v>103</v>
      </c>
      <c r="B1062" s="135" t="s">
        <v>31</v>
      </c>
      <c r="C1062" s="33">
        <v>3795</v>
      </c>
      <c r="D1062" s="32"/>
      <c r="E1062" s="33">
        <v>45000</v>
      </c>
      <c r="F1062" s="33"/>
      <c r="G1062" s="33"/>
      <c r="H1062" s="33"/>
      <c r="I1062" s="33">
        <v>45000</v>
      </c>
      <c r="J1062" s="107">
        <f t="shared" si="511"/>
        <v>3795</v>
      </c>
      <c r="K1062" s="70"/>
      <c r="L1062" s="5"/>
      <c r="M1062" s="5"/>
      <c r="N1062" s="5"/>
      <c r="O1062" s="5"/>
      <c r="Q1062" s="5"/>
    </row>
    <row r="1063" spans="1:17">
      <c r="A1063" s="130" t="s">
        <v>103</v>
      </c>
      <c r="B1063" s="135" t="s">
        <v>77</v>
      </c>
      <c r="C1063" s="33">
        <v>2300</v>
      </c>
      <c r="D1063" s="110"/>
      <c r="E1063" s="33">
        <v>266600</v>
      </c>
      <c r="F1063" s="33">
        <v>159900</v>
      </c>
      <c r="G1063" s="33"/>
      <c r="H1063" s="33">
        <v>25000</v>
      </c>
      <c r="I1063" s="33">
        <v>486900</v>
      </c>
      <c r="J1063" s="107">
        <f>+SUM(C1063:G1063)-(H1063+I1063)</f>
        <v>-83100</v>
      </c>
      <c r="K1063" s="70"/>
      <c r="L1063" s="5"/>
      <c r="M1063" s="5"/>
      <c r="N1063" s="5"/>
      <c r="O1063" s="5"/>
      <c r="Q1063" s="5"/>
    </row>
    <row r="1064" spans="1:17">
      <c r="A1064" s="130" t="s">
        <v>103</v>
      </c>
      <c r="B1064" s="135" t="s">
        <v>69</v>
      </c>
      <c r="C1064" s="33">
        <v>-14216</v>
      </c>
      <c r="D1064" s="110"/>
      <c r="E1064" s="33">
        <v>622600</v>
      </c>
      <c r="F1064" s="33">
        <v>25000</v>
      </c>
      <c r="G1064" s="33"/>
      <c r="H1064" s="33">
        <v>260700</v>
      </c>
      <c r="I1064" s="33">
        <v>370900</v>
      </c>
      <c r="J1064" s="107">
        <f>+SUM(C1064:G1064)-(H1064+I1064)</f>
        <v>1784</v>
      </c>
      <c r="K1064" s="70"/>
      <c r="L1064" s="5"/>
      <c r="M1064" s="5"/>
      <c r="N1064" s="5"/>
      <c r="O1064" s="5"/>
      <c r="Q1064" s="5"/>
    </row>
    <row r="1065" spans="1:17">
      <c r="A1065" s="130" t="s">
        <v>103</v>
      </c>
      <c r="B1065" s="136" t="s">
        <v>30</v>
      </c>
      <c r="C1065" s="53">
        <v>143300</v>
      </c>
      <c r="D1065" s="127"/>
      <c r="E1065" s="53">
        <v>466500</v>
      </c>
      <c r="F1065" s="145"/>
      <c r="G1065" s="145"/>
      <c r="H1065" s="145"/>
      <c r="I1065" s="53">
        <v>521000</v>
      </c>
      <c r="J1065" s="132">
        <f>+SUM(C1065:G1065)-(H1065+I1065)</f>
        <v>88800</v>
      </c>
      <c r="K1065" s="70"/>
      <c r="L1065" s="5"/>
      <c r="M1065" s="5"/>
      <c r="N1065" s="5"/>
      <c r="O1065" s="5"/>
      <c r="Q1065" s="5"/>
    </row>
    <row r="1066" spans="1:17">
      <c r="A1066" s="130" t="s">
        <v>103</v>
      </c>
      <c r="B1066" s="137" t="s">
        <v>84</v>
      </c>
      <c r="C1066" s="128">
        <v>233614</v>
      </c>
      <c r="D1066" s="131"/>
      <c r="E1066" s="146"/>
      <c r="F1066" s="146"/>
      <c r="G1066" s="146"/>
      <c r="H1066" s="146"/>
      <c r="I1066" s="146"/>
      <c r="J1066" s="129">
        <f>+SUM(C1066:G1066)-(H1066+I1066)</f>
        <v>233614</v>
      </c>
      <c r="K1066" s="70"/>
      <c r="L1066" s="5"/>
      <c r="M1066" s="5"/>
      <c r="N1066" s="5"/>
      <c r="O1066" s="5"/>
      <c r="Q1066" s="5"/>
    </row>
    <row r="1067" spans="1:17">
      <c r="A1067" s="130" t="s">
        <v>103</v>
      </c>
      <c r="B1067" s="137" t="s">
        <v>83</v>
      </c>
      <c r="C1067" s="128">
        <v>249768</v>
      </c>
      <c r="D1067" s="131"/>
      <c r="E1067" s="146"/>
      <c r="F1067" s="146"/>
      <c r="G1067" s="146"/>
      <c r="H1067" s="146"/>
      <c r="I1067" s="146"/>
      <c r="J1067" s="129">
        <f t="shared" ref="J1067:J1073" si="512">+SUM(C1067:G1067)-(H1067+I1067)</f>
        <v>249768</v>
      </c>
      <c r="K1067" s="70"/>
      <c r="L1067" s="5"/>
      <c r="M1067" s="5"/>
      <c r="N1067" s="5"/>
      <c r="O1067" s="5"/>
      <c r="Q1067" s="5"/>
    </row>
    <row r="1068" spans="1:17">
      <c r="A1068" s="130" t="s">
        <v>103</v>
      </c>
      <c r="B1068" s="135" t="s">
        <v>35</v>
      </c>
      <c r="C1068" s="33">
        <v>55090</v>
      </c>
      <c r="D1068" s="32"/>
      <c r="E1068" s="33">
        <v>143000</v>
      </c>
      <c r="F1068" s="33">
        <v>70800</v>
      </c>
      <c r="G1068" s="110"/>
      <c r="H1068" s="110"/>
      <c r="I1068" s="33">
        <v>261000</v>
      </c>
      <c r="J1068" s="31">
        <f t="shared" si="512"/>
        <v>7890</v>
      </c>
      <c r="K1068" s="70"/>
      <c r="L1068" s="5"/>
      <c r="M1068" s="5"/>
      <c r="N1068" s="5"/>
      <c r="O1068" s="5"/>
      <c r="Q1068" s="5"/>
    </row>
    <row r="1069" spans="1:17">
      <c r="A1069" s="130" t="s">
        <v>103</v>
      </c>
      <c r="B1069" s="135" t="s">
        <v>93</v>
      </c>
      <c r="C1069" s="33">
        <v>0</v>
      </c>
      <c r="D1069" s="32"/>
      <c r="E1069" s="33">
        <v>30000</v>
      </c>
      <c r="F1069" s="110"/>
      <c r="G1069" s="110"/>
      <c r="H1069" s="110"/>
      <c r="I1069" s="33">
        <v>25000</v>
      </c>
      <c r="J1069" s="31">
        <f t="shared" si="512"/>
        <v>5000</v>
      </c>
      <c r="K1069" s="70"/>
      <c r="L1069" s="5"/>
      <c r="M1069" s="5"/>
      <c r="N1069" s="5"/>
      <c r="O1069" s="5"/>
      <c r="Q1069" s="5"/>
    </row>
    <row r="1070" spans="1:17">
      <c r="A1070" s="130" t="s">
        <v>103</v>
      </c>
      <c r="B1070" s="135" t="s">
        <v>29</v>
      </c>
      <c r="C1070" s="33">
        <v>110700</v>
      </c>
      <c r="D1070" s="32"/>
      <c r="E1070" s="33">
        <v>375000</v>
      </c>
      <c r="F1070" s="33">
        <v>30000</v>
      </c>
      <c r="G1070" s="110"/>
      <c r="H1070" s="110"/>
      <c r="I1070" s="33">
        <v>458000</v>
      </c>
      <c r="J1070" s="31">
        <f t="shared" si="512"/>
        <v>57700</v>
      </c>
      <c r="K1070" s="70"/>
      <c r="L1070" s="5"/>
      <c r="M1070" s="5"/>
      <c r="N1070" s="5"/>
      <c r="O1070" s="5"/>
      <c r="Q1070" s="5"/>
    </row>
    <row r="1071" spans="1:17">
      <c r="A1071" s="130" t="s">
        <v>103</v>
      </c>
      <c r="B1071" s="135" t="s">
        <v>94</v>
      </c>
      <c r="C1071" s="33">
        <v>-32081</v>
      </c>
      <c r="D1071" s="32"/>
      <c r="E1071" s="110">
        <v>0</v>
      </c>
      <c r="F1071" s="110"/>
      <c r="G1071" s="110"/>
      <c r="H1071" s="110"/>
      <c r="I1071" s="110">
        <v>0</v>
      </c>
      <c r="J1071" s="31">
        <f t="shared" si="512"/>
        <v>-32081</v>
      </c>
      <c r="K1071" s="70"/>
      <c r="L1071" s="5"/>
      <c r="M1071" s="5"/>
      <c r="N1071" s="5"/>
      <c r="O1071" s="5"/>
      <c r="Q1071" s="5"/>
    </row>
    <row r="1072" spans="1:17">
      <c r="A1072" s="130" t="s">
        <v>103</v>
      </c>
      <c r="B1072" s="135" t="s">
        <v>101</v>
      </c>
      <c r="C1072" s="33">
        <v>0</v>
      </c>
      <c r="D1072" s="32"/>
      <c r="E1072" s="33">
        <v>82000</v>
      </c>
      <c r="F1072" s="110"/>
      <c r="G1072" s="110"/>
      <c r="H1072" s="110"/>
      <c r="I1072" s="33">
        <v>20000</v>
      </c>
      <c r="J1072" s="31">
        <f>+SUM(C1072:G1072)-(H1072+I1072)</f>
        <v>62000</v>
      </c>
      <c r="K1072" s="70"/>
      <c r="L1072" s="5"/>
      <c r="M1072" s="5"/>
      <c r="N1072" s="5"/>
      <c r="O1072" s="5"/>
      <c r="Q1072" s="5"/>
    </row>
    <row r="1073" spans="1:17">
      <c r="A1073" s="130" t="s">
        <v>103</v>
      </c>
      <c r="B1073" s="136" t="s">
        <v>32</v>
      </c>
      <c r="C1073" s="53">
        <v>7300</v>
      </c>
      <c r="D1073" s="127"/>
      <c r="E1073" s="145"/>
      <c r="F1073" s="145"/>
      <c r="G1073" s="147"/>
      <c r="H1073" s="145"/>
      <c r="I1073" s="53">
        <v>3000</v>
      </c>
      <c r="J1073" s="31">
        <f t="shared" si="512"/>
        <v>4300</v>
      </c>
      <c r="K1073" s="70"/>
      <c r="L1073" s="5"/>
      <c r="M1073" s="5"/>
      <c r="N1073" s="5"/>
      <c r="O1073" s="5"/>
      <c r="Q1073" s="5"/>
    </row>
    <row r="1074" spans="1:17">
      <c r="A1074" s="35" t="s">
        <v>60</v>
      </c>
      <c r="B1074" s="36"/>
      <c r="C1074" s="36"/>
      <c r="D1074" s="36"/>
      <c r="E1074" s="36"/>
      <c r="F1074" s="36"/>
      <c r="G1074" s="36"/>
      <c r="H1074" s="36"/>
      <c r="I1074" s="36"/>
      <c r="J1074" s="37"/>
      <c r="K1074" s="70"/>
      <c r="L1074" s="5"/>
      <c r="M1074" s="5"/>
      <c r="N1074" s="5"/>
      <c r="O1074" s="5"/>
      <c r="Q1074" s="5"/>
    </row>
    <row r="1075" spans="1:17">
      <c r="A1075" s="130" t="s">
        <v>103</v>
      </c>
      <c r="B1075" s="38" t="s">
        <v>61</v>
      </c>
      <c r="C1075" s="39">
        <v>817769</v>
      </c>
      <c r="D1075" s="51">
        <v>3000000</v>
      </c>
      <c r="E1075" s="109"/>
      <c r="F1075" s="109"/>
      <c r="G1075" s="148"/>
      <c r="H1075" s="139">
        <v>2627870</v>
      </c>
      <c r="I1075" s="134">
        <v>1127749</v>
      </c>
      <c r="J1075" s="46">
        <f>+SUM(C1075:G1075)-(H1075+I1075)</f>
        <v>62150</v>
      </c>
      <c r="K1075" s="70"/>
      <c r="L1075" s="5"/>
      <c r="M1075" s="5"/>
      <c r="N1075" s="5"/>
      <c r="O1075" s="5"/>
      <c r="Q1075" s="5"/>
    </row>
    <row r="1076" spans="1:17">
      <c r="A1076" s="44" t="s">
        <v>62</v>
      </c>
      <c r="B1076" s="25"/>
      <c r="C1076" s="36"/>
      <c r="D1076" s="25"/>
      <c r="E1076" s="25"/>
      <c r="F1076" s="25"/>
      <c r="G1076" s="25"/>
      <c r="H1076" s="25"/>
      <c r="I1076" s="25"/>
      <c r="J1076" s="37"/>
      <c r="L1076" s="5"/>
      <c r="M1076" s="5"/>
      <c r="N1076" s="5"/>
      <c r="O1076" s="5"/>
      <c r="Q1076" s="5"/>
    </row>
    <row r="1077" spans="1:17">
      <c r="A1077" s="130" t="s">
        <v>103</v>
      </c>
      <c r="B1077" s="38" t="s">
        <v>63</v>
      </c>
      <c r="C1077" s="133">
        <v>14712920</v>
      </c>
      <c r="D1077" s="140"/>
      <c r="E1077" s="51"/>
      <c r="F1077" s="51"/>
      <c r="G1077" s="51"/>
      <c r="H1077" s="53">
        <v>3000000</v>
      </c>
      <c r="I1077" s="55">
        <v>428365</v>
      </c>
      <c r="J1077" s="46">
        <f>+SUM(C1077:G1077)-(H1077+I1077)</f>
        <v>11284555</v>
      </c>
      <c r="K1077" s="70"/>
      <c r="L1077" s="5"/>
      <c r="M1077" s="5"/>
      <c r="N1077" s="5"/>
      <c r="O1077" s="5"/>
      <c r="Q1077" s="5"/>
    </row>
    <row r="1078" spans="1:17">
      <c r="A1078" s="130" t="s">
        <v>103</v>
      </c>
      <c r="B1078" s="38" t="s">
        <v>64</v>
      </c>
      <c r="C1078" s="133">
        <v>8361083</v>
      </c>
      <c r="D1078" s="51"/>
      <c r="E1078" s="50"/>
      <c r="F1078" s="50"/>
      <c r="G1078" s="50"/>
      <c r="H1078" s="33"/>
      <c r="I1078" s="52">
        <v>6202438</v>
      </c>
      <c r="J1078" s="46">
        <f>SUM(C1078:G1078)-(H1078+I1078)</f>
        <v>2158645</v>
      </c>
      <c r="K1078" s="70"/>
      <c r="L1078" s="5"/>
      <c r="M1078" s="5"/>
      <c r="N1078" s="5"/>
      <c r="O1078" s="5"/>
      <c r="Q1078" s="5"/>
    </row>
    <row r="1079" spans="1:17" ht="15.75">
      <c r="C1079" s="9"/>
      <c r="I1079" s="149">
        <f>SUM(I1060:I1078)</f>
        <v>10574852</v>
      </c>
      <c r="J1079" s="111">
        <f>+SUM(J1060:J1078)</f>
        <v>14101750</v>
      </c>
      <c r="K1079" s="9">
        <f>J1079-C1051</f>
        <v>-1</v>
      </c>
      <c r="L1079" s="5"/>
      <c r="M1079" s="5"/>
      <c r="N1079" s="5"/>
      <c r="O1079" s="5"/>
      <c r="Q1079" s="5"/>
    </row>
    <row r="1080" spans="1:17" ht="16.5">
      <c r="A1080" s="10"/>
      <c r="B1080" s="11"/>
      <c r="C1080" s="12"/>
      <c r="D1080" s="12"/>
      <c r="E1080" s="12"/>
      <c r="F1080" s="12"/>
      <c r="G1080" s="12"/>
      <c r="H1080" s="12"/>
      <c r="I1080" s="12"/>
      <c r="J1080" s="141"/>
      <c r="L1080" s="5"/>
      <c r="M1080" s="5"/>
      <c r="N1080" s="5"/>
      <c r="O1080" s="5"/>
      <c r="Q1080" s="5"/>
    </row>
    <row r="1081" spans="1:17">
      <c r="A1081" s="16" t="s">
        <v>52</v>
      </c>
      <c r="B1081" s="16"/>
      <c r="C1081" s="16"/>
      <c r="D1081" s="17"/>
      <c r="E1081" s="17"/>
      <c r="F1081" s="17"/>
      <c r="G1081" s="17"/>
      <c r="H1081" s="17"/>
      <c r="I1081" s="17"/>
      <c r="L1081" s="5"/>
      <c r="M1081" s="5"/>
      <c r="N1081" s="5"/>
      <c r="O1081" s="5"/>
      <c r="Q1081" s="5"/>
    </row>
    <row r="1082" spans="1:17">
      <c r="A1082" s="18" t="s">
        <v>95</v>
      </c>
      <c r="B1082" s="18"/>
      <c r="C1082" s="18"/>
      <c r="D1082" s="18"/>
      <c r="E1082" s="18"/>
      <c r="F1082" s="18"/>
      <c r="G1082" s="18"/>
      <c r="H1082" s="18"/>
      <c r="I1082" s="18"/>
      <c r="J1082" s="17"/>
      <c r="L1082" s="5"/>
      <c r="M1082" s="5"/>
      <c r="N1082" s="5"/>
      <c r="O1082" s="5"/>
      <c r="Q1082" s="5"/>
    </row>
    <row r="1083" spans="1:17">
      <c r="A1083" s="19"/>
      <c r="B1083" s="20"/>
      <c r="C1083" s="21"/>
      <c r="D1083" s="21"/>
      <c r="E1083" s="21"/>
      <c r="F1083" s="21"/>
      <c r="G1083" s="21"/>
      <c r="H1083" s="20"/>
      <c r="I1083" s="20"/>
      <c r="J1083" s="18"/>
      <c r="L1083" s="5"/>
      <c r="M1083" s="5"/>
      <c r="N1083" s="5"/>
      <c r="O1083" s="5"/>
      <c r="Q1083" s="5"/>
    </row>
    <row r="1084" spans="1:17" ht="15" customHeight="1">
      <c r="A1084" s="455" t="s">
        <v>53</v>
      </c>
      <c r="B1084" s="457" t="s">
        <v>54</v>
      </c>
      <c r="C1084" s="459" t="s">
        <v>96</v>
      </c>
      <c r="D1084" s="461" t="s">
        <v>55</v>
      </c>
      <c r="E1084" s="462"/>
      <c r="F1084" s="462"/>
      <c r="G1084" s="463"/>
      <c r="H1084" s="464" t="s">
        <v>56</v>
      </c>
      <c r="I1084" s="451" t="s">
        <v>57</v>
      </c>
      <c r="J1084" s="20"/>
      <c r="L1084" s="5"/>
      <c r="M1084" s="5"/>
      <c r="N1084" s="5"/>
      <c r="O1084" s="5"/>
      <c r="Q1084" s="5"/>
    </row>
    <row r="1085" spans="1:17" ht="15" customHeight="1">
      <c r="A1085" s="456"/>
      <c r="B1085" s="458"/>
      <c r="C1085" s="460"/>
      <c r="D1085" s="22" t="s">
        <v>24</v>
      </c>
      <c r="E1085" s="22" t="s">
        <v>25</v>
      </c>
      <c r="F1085" s="122" t="s">
        <v>99</v>
      </c>
      <c r="G1085" s="22" t="s">
        <v>58</v>
      </c>
      <c r="H1085" s="465"/>
      <c r="I1085" s="452"/>
      <c r="J1085" s="453" t="s">
        <v>97</v>
      </c>
      <c r="L1085" s="5"/>
      <c r="M1085" s="5"/>
      <c r="N1085" s="5"/>
      <c r="O1085" s="5"/>
      <c r="Q1085" s="5"/>
    </row>
    <row r="1086" spans="1:17">
      <c r="A1086" s="24"/>
      <c r="B1086" s="25" t="s">
        <v>59</v>
      </c>
      <c r="C1086" s="26"/>
      <c r="D1086" s="26"/>
      <c r="E1086" s="26"/>
      <c r="F1086" s="26"/>
      <c r="G1086" s="26"/>
      <c r="H1086" s="26"/>
      <c r="I1086" s="27"/>
      <c r="J1086" s="454"/>
      <c r="L1086" s="5"/>
      <c r="M1086" s="5"/>
      <c r="N1086" s="5"/>
      <c r="O1086" s="5"/>
      <c r="Q1086" s="5"/>
    </row>
    <row r="1087" spans="1:17">
      <c r="A1087" s="130" t="s">
        <v>98</v>
      </c>
      <c r="B1087" s="135" t="s">
        <v>76</v>
      </c>
      <c r="C1087" s="33">
        <v>-10750</v>
      </c>
      <c r="D1087" s="32"/>
      <c r="E1087" s="32">
        <v>170625</v>
      </c>
      <c r="F1087" s="32">
        <v>301700</v>
      </c>
      <c r="G1087" s="32"/>
      <c r="H1087" s="57">
        <v>27000</v>
      </c>
      <c r="I1087" s="33">
        <v>412375</v>
      </c>
      <c r="J1087" s="31">
        <f>+SUM(C1087:G1087)-(H1087+I1087)</f>
        <v>22200</v>
      </c>
      <c r="K1087" s="70"/>
      <c r="L1087" s="5"/>
      <c r="M1087" s="5"/>
      <c r="N1087" s="5"/>
      <c r="O1087" s="5"/>
      <c r="Q1087" s="5"/>
    </row>
    <row r="1088" spans="1:17">
      <c r="A1088" s="130" t="s">
        <v>98</v>
      </c>
      <c r="B1088" s="135" t="s">
        <v>47</v>
      </c>
      <c r="C1088" s="33">
        <v>9060</v>
      </c>
      <c r="D1088" s="32"/>
      <c r="E1088" s="32">
        <v>0</v>
      </c>
      <c r="F1088" s="32"/>
      <c r="G1088" s="32"/>
      <c r="H1088" s="57"/>
      <c r="I1088" s="33">
        <v>6000</v>
      </c>
      <c r="J1088" s="31">
        <f t="shared" ref="J1088:J1089" si="513">+SUM(C1088:G1088)-(H1088+I1088)</f>
        <v>3060</v>
      </c>
      <c r="K1088" s="70"/>
      <c r="L1088" s="5"/>
      <c r="M1088" s="5"/>
      <c r="N1088" s="5"/>
      <c r="O1088" s="5"/>
      <c r="Q1088" s="5"/>
    </row>
    <row r="1089" spans="1:17">
      <c r="A1089" s="130" t="s">
        <v>98</v>
      </c>
      <c r="B1089" s="135" t="s">
        <v>31</v>
      </c>
      <c r="C1089" s="33">
        <v>1195</v>
      </c>
      <c r="D1089" s="32"/>
      <c r="E1089" s="32">
        <v>75000</v>
      </c>
      <c r="F1089" s="33"/>
      <c r="G1089" s="33"/>
      <c r="H1089" s="33"/>
      <c r="I1089" s="33">
        <v>72400</v>
      </c>
      <c r="J1089" s="107">
        <f t="shared" si="513"/>
        <v>3795</v>
      </c>
      <c r="K1089" s="70"/>
      <c r="L1089" s="5"/>
      <c r="M1089" s="5"/>
      <c r="N1089" s="5"/>
      <c r="O1089" s="5"/>
      <c r="Q1089" s="5"/>
    </row>
    <row r="1090" spans="1:17">
      <c r="A1090" s="130" t="s">
        <v>98</v>
      </c>
      <c r="B1090" s="135" t="s">
        <v>77</v>
      </c>
      <c r="C1090" s="33">
        <v>-8600</v>
      </c>
      <c r="D1090" s="110"/>
      <c r="E1090" s="32">
        <v>596900</v>
      </c>
      <c r="F1090" s="33"/>
      <c r="G1090" s="33"/>
      <c r="H1090" s="33"/>
      <c r="I1090" s="33">
        <v>586000</v>
      </c>
      <c r="J1090" s="107">
        <f>+SUM(C1090:G1090)-(H1090+I1090)</f>
        <v>2300</v>
      </c>
      <c r="K1090" s="70"/>
      <c r="L1090" s="5"/>
      <c r="M1090" s="5"/>
      <c r="N1090" s="5"/>
      <c r="O1090" s="5"/>
      <c r="Q1090" s="5"/>
    </row>
    <row r="1091" spans="1:17">
      <c r="A1091" s="130" t="s">
        <v>98</v>
      </c>
      <c r="B1091" s="135" t="s">
        <v>69</v>
      </c>
      <c r="C1091" s="33">
        <v>8884</v>
      </c>
      <c r="D1091" s="110"/>
      <c r="E1091" s="32">
        <v>618600</v>
      </c>
      <c r="F1091" s="33">
        <v>27000</v>
      </c>
      <c r="G1091" s="33"/>
      <c r="H1091" s="33">
        <v>301700</v>
      </c>
      <c r="I1091" s="33">
        <v>367000</v>
      </c>
      <c r="J1091" s="107">
        <f t="shared" ref="J1091" si="514">+SUM(C1091:G1091)-(H1091+I1091)</f>
        <v>-14216</v>
      </c>
      <c r="K1091" s="70"/>
      <c r="L1091" s="5"/>
      <c r="M1091" s="5"/>
      <c r="N1091" s="5"/>
      <c r="O1091" s="5"/>
      <c r="Q1091" s="5"/>
    </row>
    <row r="1092" spans="1:17">
      <c r="A1092" s="127" t="s">
        <v>98</v>
      </c>
      <c r="B1092" s="136" t="s">
        <v>30</v>
      </c>
      <c r="C1092" s="53">
        <v>191600</v>
      </c>
      <c r="D1092" s="127"/>
      <c r="E1092" s="127">
        <v>777000</v>
      </c>
      <c r="F1092" s="53"/>
      <c r="G1092" s="53"/>
      <c r="H1092" s="53"/>
      <c r="I1092" s="53">
        <v>825300</v>
      </c>
      <c r="J1092" s="132">
        <f>+SUM(C1092:G1092)-(H1092+I1092)</f>
        <v>143300</v>
      </c>
      <c r="K1092" s="70"/>
      <c r="L1092" s="5"/>
      <c r="M1092" s="5"/>
      <c r="N1092" s="5"/>
      <c r="O1092" s="5"/>
      <c r="Q1092" s="5"/>
    </row>
    <row r="1093" spans="1:17">
      <c r="A1093" s="131" t="s">
        <v>98</v>
      </c>
      <c r="B1093" s="137" t="s">
        <v>84</v>
      </c>
      <c r="C1093" s="128">
        <v>233614</v>
      </c>
      <c r="D1093" s="131"/>
      <c r="E1093" s="131"/>
      <c r="F1093" s="131"/>
      <c r="G1093" s="131"/>
      <c r="H1093" s="128"/>
      <c r="I1093" s="128"/>
      <c r="J1093" s="129">
        <f>+SUM(C1093:G1093)-(H1093+I1093)</f>
        <v>233614</v>
      </c>
      <c r="K1093" s="70"/>
      <c r="L1093" s="5"/>
      <c r="M1093" s="5"/>
      <c r="N1093" s="5"/>
      <c r="O1093" s="5"/>
      <c r="Q1093" s="5"/>
    </row>
    <row r="1094" spans="1:17">
      <c r="A1094" s="131" t="s">
        <v>98</v>
      </c>
      <c r="B1094" s="137" t="s">
        <v>83</v>
      </c>
      <c r="C1094" s="128">
        <v>249769</v>
      </c>
      <c r="D1094" s="131"/>
      <c r="E1094" s="131"/>
      <c r="F1094" s="131"/>
      <c r="G1094" s="131"/>
      <c r="H1094" s="128"/>
      <c r="I1094" s="128"/>
      <c r="J1094" s="129">
        <f t="shared" ref="J1094:J1099" si="515">+SUM(C1094:G1094)-(H1094+I1094)</f>
        <v>249769</v>
      </c>
      <c r="K1094" s="70"/>
      <c r="L1094" s="5"/>
      <c r="M1094" s="5"/>
      <c r="N1094" s="5"/>
      <c r="O1094" s="5"/>
      <c r="Q1094" s="5"/>
    </row>
    <row r="1095" spans="1:17">
      <c r="A1095" s="130" t="s">
        <v>98</v>
      </c>
      <c r="B1095" s="135" t="s">
        <v>35</v>
      </c>
      <c r="C1095" s="33">
        <v>-3510</v>
      </c>
      <c r="D1095" s="32"/>
      <c r="E1095" s="32">
        <v>240100</v>
      </c>
      <c r="F1095" s="32"/>
      <c r="G1095" s="32"/>
      <c r="H1095" s="33"/>
      <c r="I1095" s="33">
        <v>181500</v>
      </c>
      <c r="J1095" s="31">
        <f t="shared" si="515"/>
        <v>55090</v>
      </c>
      <c r="K1095" s="70"/>
      <c r="L1095" s="5"/>
      <c r="M1095" s="5"/>
      <c r="N1095" s="5"/>
      <c r="O1095" s="5"/>
      <c r="Q1095" s="5"/>
    </row>
    <row r="1096" spans="1:17">
      <c r="A1096" s="130" t="s">
        <v>98</v>
      </c>
      <c r="B1096" s="135" t="s">
        <v>93</v>
      </c>
      <c r="C1096" s="33">
        <v>0</v>
      </c>
      <c r="D1096" s="32"/>
      <c r="E1096" s="32">
        <v>5000</v>
      </c>
      <c r="F1096" s="32"/>
      <c r="G1096" s="32"/>
      <c r="H1096" s="33"/>
      <c r="I1096" s="33">
        <v>5000</v>
      </c>
      <c r="J1096" s="31">
        <f t="shared" si="515"/>
        <v>0</v>
      </c>
      <c r="K1096" s="70"/>
      <c r="L1096" s="5"/>
      <c r="M1096" s="5"/>
      <c r="N1096" s="5"/>
      <c r="O1096" s="5"/>
      <c r="Q1096" s="5"/>
    </row>
    <row r="1097" spans="1:17">
      <c r="A1097" s="130" t="s">
        <v>98</v>
      </c>
      <c r="B1097" s="135" t="s">
        <v>29</v>
      </c>
      <c r="C1097" s="33">
        <v>111200</v>
      </c>
      <c r="D1097" s="32"/>
      <c r="E1097" s="32">
        <v>704000</v>
      </c>
      <c r="F1097" s="32"/>
      <c r="G1097" s="32"/>
      <c r="H1097" s="33"/>
      <c r="I1097" s="33">
        <v>704500</v>
      </c>
      <c r="J1097" s="31">
        <f t="shared" si="515"/>
        <v>110700</v>
      </c>
      <c r="K1097" s="70"/>
      <c r="L1097" s="5"/>
      <c r="M1097" s="5"/>
      <c r="N1097" s="5"/>
      <c r="O1097" s="5"/>
      <c r="Q1097" s="5"/>
    </row>
    <row r="1098" spans="1:17">
      <c r="A1098" s="130" t="s">
        <v>98</v>
      </c>
      <c r="B1098" s="135" t="s">
        <v>94</v>
      </c>
      <c r="C1098" s="33">
        <v>-32081</v>
      </c>
      <c r="D1098" s="32"/>
      <c r="E1098" s="32">
        <v>0</v>
      </c>
      <c r="F1098" s="32"/>
      <c r="G1098" s="32"/>
      <c r="H1098" s="33"/>
      <c r="I1098" s="33">
        <v>0</v>
      </c>
      <c r="J1098" s="31">
        <f t="shared" si="515"/>
        <v>-32081</v>
      </c>
      <c r="K1098" s="70"/>
      <c r="L1098" s="5"/>
      <c r="M1098" s="5"/>
      <c r="N1098" s="5"/>
      <c r="O1098" s="5"/>
      <c r="Q1098" s="5"/>
    </row>
    <row r="1099" spans="1:17">
      <c r="A1099" s="130" t="s">
        <v>98</v>
      </c>
      <c r="B1099" s="136" t="s">
        <v>32</v>
      </c>
      <c r="C1099" s="53">
        <v>5300</v>
      </c>
      <c r="D1099" s="127"/>
      <c r="E1099" s="127">
        <v>10000</v>
      </c>
      <c r="F1099" s="127"/>
      <c r="G1099" s="138"/>
      <c r="H1099" s="53"/>
      <c r="I1099" s="53">
        <v>8000</v>
      </c>
      <c r="J1099" s="31">
        <f t="shared" si="515"/>
        <v>7300</v>
      </c>
      <c r="K1099" s="70"/>
      <c r="L1099" s="5"/>
      <c r="M1099" s="5"/>
      <c r="N1099" s="5"/>
      <c r="O1099" s="5"/>
      <c r="Q1099" s="5"/>
    </row>
    <row r="1100" spans="1:17">
      <c r="A1100" s="35" t="s">
        <v>60</v>
      </c>
      <c r="B1100" s="36"/>
      <c r="C1100" s="36"/>
      <c r="D1100" s="36"/>
      <c r="E1100" s="36"/>
      <c r="F1100" s="36"/>
      <c r="G1100" s="36"/>
      <c r="H1100" s="36"/>
      <c r="I1100" s="36"/>
      <c r="J1100" s="37"/>
      <c r="K1100" s="70"/>
      <c r="L1100" s="5"/>
      <c r="M1100" s="5"/>
      <c r="N1100" s="5"/>
      <c r="O1100" s="5"/>
      <c r="Q1100" s="5"/>
    </row>
    <row r="1101" spans="1:17">
      <c r="A1101" s="28" t="s">
        <v>98</v>
      </c>
      <c r="B1101" s="38" t="s">
        <v>61</v>
      </c>
      <c r="C1101" s="39">
        <v>733034</v>
      </c>
      <c r="D1101" s="40">
        <v>4293000</v>
      </c>
      <c r="E1101" s="40"/>
      <c r="F1101" s="40"/>
      <c r="G1101" s="133"/>
      <c r="H1101" s="139">
        <v>3197225</v>
      </c>
      <c r="I1101" s="134">
        <v>1011040</v>
      </c>
      <c r="J1101" s="46">
        <f>+SUM(C1101:G1101)-(H1101+I1101)</f>
        <v>817769</v>
      </c>
      <c r="K1101" s="70"/>
      <c r="L1101" s="5"/>
      <c r="M1101" s="5"/>
      <c r="N1101" s="5"/>
      <c r="O1101" s="5"/>
      <c r="Q1101" s="5"/>
    </row>
    <row r="1102" spans="1:17">
      <c r="A1102" s="44" t="s">
        <v>62</v>
      </c>
      <c r="B1102" s="25"/>
      <c r="C1102" s="36"/>
      <c r="D1102" s="25"/>
      <c r="E1102" s="25"/>
      <c r="F1102" s="25"/>
      <c r="G1102" s="25"/>
      <c r="H1102" s="25"/>
      <c r="I1102" s="25"/>
      <c r="J1102" s="37"/>
      <c r="L1102" s="5"/>
      <c r="M1102" s="5"/>
      <c r="N1102" s="5"/>
      <c r="O1102" s="5"/>
      <c r="Q1102" s="5"/>
    </row>
    <row r="1103" spans="1:17">
      <c r="A1103" s="28" t="s">
        <v>98</v>
      </c>
      <c r="B1103" s="38" t="s">
        <v>63</v>
      </c>
      <c r="C1103" s="133">
        <v>19184971</v>
      </c>
      <c r="D1103" s="140"/>
      <c r="E1103" s="51"/>
      <c r="F1103" s="51"/>
      <c r="G1103" s="51"/>
      <c r="H1103" s="53">
        <v>4000000</v>
      </c>
      <c r="I1103" s="55">
        <v>472051</v>
      </c>
      <c r="J1103" s="46">
        <f>+SUM(C1103:G1103)-(H1103+I1103)</f>
        <v>14712920</v>
      </c>
      <c r="K1103" s="70"/>
      <c r="L1103" s="5"/>
      <c r="M1103" s="5"/>
      <c r="N1103" s="5"/>
      <c r="O1103" s="5"/>
      <c r="Q1103" s="5"/>
    </row>
    <row r="1104" spans="1:17">
      <c r="A1104" s="28" t="s">
        <v>98</v>
      </c>
      <c r="B1104" s="38" t="s">
        <v>64</v>
      </c>
      <c r="C1104" s="133">
        <v>14419055</v>
      </c>
      <c r="D1104" s="51"/>
      <c r="E1104" s="50"/>
      <c r="F1104" s="50"/>
      <c r="G1104" s="50"/>
      <c r="H1104" s="33">
        <v>293000</v>
      </c>
      <c r="I1104" s="52">
        <v>5764972</v>
      </c>
      <c r="J1104" s="46">
        <f>SUM(C1104:G1104)-(H1104+I1104)</f>
        <v>8361083</v>
      </c>
      <c r="K1104" s="70"/>
      <c r="L1104" s="5"/>
      <c r="M1104" s="5"/>
      <c r="N1104" s="5"/>
      <c r="O1104" s="5"/>
      <c r="Q1104" s="5"/>
    </row>
    <row r="1105" spans="1:17" ht="15.75">
      <c r="C1105" s="9"/>
      <c r="I1105" s="9"/>
      <c r="J1105" s="111">
        <f>+SUM(J1087:J1104)</f>
        <v>24676603</v>
      </c>
      <c r="L1105" s="5"/>
      <c r="M1105" s="5"/>
      <c r="N1105" s="5"/>
      <c r="O1105" s="5"/>
      <c r="Q1105" s="5"/>
    </row>
    <row r="1106" spans="1:17" ht="16.5">
      <c r="A1106" s="10"/>
      <c r="B1106" s="11"/>
      <c r="C1106" s="12"/>
      <c r="D1106" s="12"/>
      <c r="E1106" s="12"/>
      <c r="F1106" s="12"/>
      <c r="G1106" s="12"/>
      <c r="H1106" s="12"/>
      <c r="I1106" s="12"/>
      <c r="J1106" s="141"/>
      <c r="L1106" s="5"/>
      <c r="M1106" s="5"/>
      <c r="N1106" s="5"/>
      <c r="O1106" s="5"/>
      <c r="Q1106" s="5"/>
    </row>
    <row r="1107" spans="1:17">
      <c r="A1107" s="16" t="s">
        <v>52</v>
      </c>
      <c r="B1107" s="16"/>
      <c r="C1107" s="16"/>
      <c r="D1107" s="17"/>
      <c r="E1107" s="17"/>
      <c r="F1107" s="17"/>
      <c r="G1107" s="17"/>
      <c r="H1107" s="17"/>
      <c r="I1107" s="17"/>
      <c r="L1107" s="5"/>
      <c r="M1107" s="5"/>
      <c r="N1107" s="5"/>
      <c r="O1107" s="5"/>
      <c r="Q1107" s="5"/>
    </row>
    <row r="1108" spans="1:17">
      <c r="A1108" s="18" t="s">
        <v>87</v>
      </c>
      <c r="B1108" s="18"/>
      <c r="C1108" s="18"/>
      <c r="D1108" s="18"/>
      <c r="E1108" s="18"/>
      <c r="F1108" s="18"/>
      <c r="G1108" s="18"/>
      <c r="H1108" s="18"/>
      <c r="I1108" s="18"/>
      <c r="J1108" s="17"/>
      <c r="L1108" s="5"/>
      <c r="M1108" s="5"/>
      <c r="N1108" s="5"/>
      <c r="O1108" s="5"/>
      <c r="Q1108" s="5"/>
    </row>
    <row r="1109" spans="1:17" ht="15" customHeight="1">
      <c r="A1109" s="19"/>
      <c r="B1109" s="20"/>
      <c r="C1109" s="21"/>
      <c r="D1109" s="21"/>
      <c r="E1109" s="21"/>
      <c r="F1109" s="21"/>
      <c r="G1109" s="21"/>
      <c r="H1109" s="20"/>
      <c r="I1109" s="20"/>
      <c r="J1109" s="18"/>
      <c r="L1109" s="5"/>
      <c r="M1109" s="5"/>
      <c r="N1109" s="5"/>
      <c r="O1109" s="5"/>
      <c r="Q1109" s="5"/>
    </row>
    <row r="1110" spans="1:17" ht="15" customHeight="1">
      <c r="A1110" s="455" t="s">
        <v>53</v>
      </c>
      <c r="B1110" s="457" t="s">
        <v>54</v>
      </c>
      <c r="C1110" s="459" t="s">
        <v>88</v>
      </c>
      <c r="D1110" s="461" t="s">
        <v>55</v>
      </c>
      <c r="E1110" s="462"/>
      <c r="F1110" s="462"/>
      <c r="G1110" s="463"/>
      <c r="H1110" s="464" t="s">
        <v>56</v>
      </c>
      <c r="I1110" s="451" t="s">
        <v>57</v>
      </c>
      <c r="J1110" s="20"/>
      <c r="L1110" s="5"/>
      <c r="M1110" s="5"/>
      <c r="N1110" s="5"/>
      <c r="O1110" s="5"/>
      <c r="Q1110" s="5"/>
    </row>
    <row r="1111" spans="1:17" ht="15" customHeight="1">
      <c r="A1111" s="456"/>
      <c r="B1111" s="458"/>
      <c r="C1111" s="460"/>
      <c r="D1111" s="22" t="s">
        <v>24</v>
      </c>
      <c r="E1111" s="22" t="s">
        <v>25</v>
      </c>
      <c r="F1111" s="112" t="s">
        <v>91</v>
      </c>
      <c r="G1111" s="22" t="s">
        <v>58</v>
      </c>
      <c r="H1111" s="465"/>
      <c r="I1111" s="452"/>
      <c r="J1111" s="453" t="s">
        <v>89</v>
      </c>
      <c r="L1111" s="5"/>
      <c r="M1111" s="5"/>
      <c r="N1111" s="5"/>
      <c r="O1111" s="5"/>
      <c r="Q1111" s="5"/>
    </row>
    <row r="1112" spans="1:17">
      <c r="A1112" s="24"/>
      <c r="B1112" s="25" t="s">
        <v>59</v>
      </c>
      <c r="C1112" s="26"/>
      <c r="D1112" s="26"/>
      <c r="E1112" s="26"/>
      <c r="F1112" s="26"/>
      <c r="G1112" s="26"/>
      <c r="H1112" s="26"/>
      <c r="I1112" s="27"/>
      <c r="J1112" s="454"/>
      <c r="L1112" s="5"/>
      <c r="M1112" s="5"/>
      <c r="N1112" s="5"/>
      <c r="O1112" s="5"/>
      <c r="Q1112" s="5"/>
    </row>
    <row r="1113" spans="1:17" ht="16.5">
      <c r="A1113" s="28" t="s">
        <v>90</v>
      </c>
      <c r="B1113" s="8" t="s">
        <v>76</v>
      </c>
      <c r="C1113" s="29" t="e">
        <f>+#REF!</f>
        <v>#REF!</v>
      </c>
      <c r="D1113" s="30"/>
      <c r="E1113" s="30">
        <v>271100</v>
      </c>
      <c r="F1113" s="30">
        <f>112800+126500</f>
        <v>239300</v>
      </c>
      <c r="G1113" s="30"/>
      <c r="H1113" s="57"/>
      <c r="I1113" s="34">
        <v>521950</v>
      </c>
      <c r="J1113" s="31" t="e">
        <f>+SUM(C1113:G1113)-(H1113+I1113)</f>
        <v>#REF!</v>
      </c>
      <c r="L1113" s="5"/>
      <c r="M1113" s="5"/>
      <c r="N1113" s="5"/>
      <c r="O1113" s="5"/>
      <c r="Q1113" s="5"/>
    </row>
    <row r="1114" spans="1:17" ht="16.5">
      <c r="A1114" s="28" t="s">
        <v>90</v>
      </c>
      <c r="B1114" s="8" t="s">
        <v>47</v>
      </c>
      <c r="C1114" s="29" t="e">
        <f>+C878</f>
        <v>#REF!</v>
      </c>
      <c r="D1114" s="30"/>
      <c r="E1114" s="30">
        <v>625000</v>
      </c>
      <c r="F1114" s="30"/>
      <c r="G1114" s="30"/>
      <c r="H1114" s="57">
        <v>247500</v>
      </c>
      <c r="I1114" s="34">
        <v>371500</v>
      </c>
      <c r="J1114" s="31" t="e">
        <f t="shared" ref="J1114:J1115" si="516">+SUM(C1114:G1114)-(H1114+I1114)</f>
        <v>#REF!</v>
      </c>
      <c r="L1114" s="5"/>
      <c r="M1114" s="5"/>
      <c r="N1114" s="5"/>
      <c r="O1114" s="5"/>
      <c r="Q1114" s="5"/>
    </row>
    <row r="1115" spans="1:17" ht="16.5">
      <c r="A1115" s="28" t="s">
        <v>90</v>
      </c>
      <c r="B1115" s="8" t="s">
        <v>31</v>
      </c>
      <c r="C1115" s="29" t="e">
        <f>+C879</f>
        <v>#REF!</v>
      </c>
      <c r="D1115" s="30"/>
      <c r="E1115" s="30">
        <v>60000</v>
      </c>
      <c r="F1115" s="106"/>
      <c r="G1115" s="106"/>
      <c r="H1115" s="33"/>
      <c r="I1115" s="56">
        <v>67200</v>
      </c>
      <c r="J1115" s="107" t="e">
        <f t="shared" si="516"/>
        <v>#REF!</v>
      </c>
      <c r="L1115" s="5"/>
      <c r="M1115" s="5"/>
      <c r="N1115" s="5"/>
      <c r="O1115" s="5"/>
      <c r="Q1115" s="5"/>
    </row>
    <row r="1116" spans="1:17" ht="15.75" customHeight="1">
      <c r="A1116" s="28" t="s">
        <v>90</v>
      </c>
      <c r="B1116" s="8" t="s">
        <v>77</v>
      </c>
      <c r="C1116" s="29" t="e">
        <f>+C880</f>
        <v>#REF!</v>
      </c>
      <c r="D1116" s="58"/>
      <c r="E1116" s="30">
        <v>140000</v>
      </c>
      <c r="F1116" s="106">
        <v>270500</v>
      </c>
      <c r="G1116" s="106"/>
      <c r="H1116" s="33"/>
      <c r="I1116" s="33">
        <v>417300</v>
      </c>
      <c r="J1116" s="107" t="e">
        <f>+SUM(C1116:G1116)-(H1116+I1116)</f>
        <v>#REF!</v>
      </c>
      <c r="L1116" s="5"/>
      <c r="M1116" s="5"/>
      <c r="N1116" s="5"/>
      <c r="O1116" s="5"/>
      <c r="Q1116" s="5"/>
    </row>
    <row r="1117" spans="1:17" ht="16.5">
      <c r="A1117" s="28" t="s">
        <v>90</v>
      </c>
      <c r="B1117" s="8" t="s">
        <v>69</v>
      </c>
      <c r="C1117" s="29">
        <v>15984</v>
      </c>
      <c r="D1117" s="58"/>
      <c r="E1117" s="30">
        <v>256400</v>
      </c>
      <c r="F1117" s="106"/>
      <c r="G1117" s="106"/>
      <c r="H1117" s="33"/>
      <c r="I1117" s="34">
        <v>263500</v>
      </c>
      <c r="J1117" s="107">
        <f t="shared" ref="J1117" si="517">+SUM(C1117:G1117)-(H1117+I1117)</f>
        <v>8884</v>
      </c>
      <c r="L1117" s="5"/>
      <c r="M1117" s="5"/>
      <c r="N1117" s="5"/>
      <c r="O1117" s="5"/>
      <c r="Q1117" s="5"/>
    </row>
    <row r="1118" spans="1:17" ht="16.5">
      <c r="A1118" s="28" t="s">
        <v>90</v>
      </c>
      <c r="B1118" s="8" t="s">
        <v>30</v>
      </c>
      <c r="C1118" s="29" t="e">
        <f t="shared" ref="C1118:C1122" si="518">+C881</f>
        <v>#REF!</v>
      </c>
      <c r="D1118" s="30"/>
      <c r="E1118" s="30">
        <v>858500</v>
      </c>
      <c r="F1118" s="106"/>
      <c r="G1118" s="106"/>
      <c r="H1118" s="33"/>
      <c r="I1118" s="34">
        <v>645000</v>
      </c>
      <c r="J1118" s="107" t="e">
        <f>+SUM(C1118:G1118)-(H1118+I1118)</f>
        <v>#REF!</v>
      </c>
      <c r="L1118" s="5"/>
      <c r="M1118" s="5"/>
      <c r="N1118" s="5"/>
      <c r="O1118" s="5"/>
      <c r="Q1118" s="5"/>
    </row>
    <row r="1119" spans="1:17" ht="16.5">
      <c r="A1119" s="28" t="s">
        <v>90</v>
      </c>
      <c r="B1119" s="8" t="s">
        <v>35</v>
      </c>
      <c r="C1119" s="29" t="e">
        <f t="shared" si="518"/>
        <v>#REF!</v>
      </c>
      <c r="D1119" s="30"/>
      <c r="E1119" s="30">
        <v>800700</v>
      </c>
      <c r="F1119" s="30"/>
      <c r="G1119" s="30"/>
      <c r="H1119" s="33">
        <v>262300</v>
      </c>
      <c r="I1119" s="34">
        <v>543600</v>
      </c>
      <c r="J1119" s="31" t="e">
        <f>+SUM(C1119:G1119)-(H1119+I1119)</f>
        <v>#REF!</v>
      </c>
      <c r="L1119" s="5"/>
      <c r="M1119" s="5"/>
      <c r="N1119" s="5"/>
      <c r="O1119" s="5"/>
      <c r="Q1119" s="5"/>
    </row>
    <row r="1120" spans="1:17" ht="16.5">
      <c r="A1120" s="28" t="s">
        <v>90</v>
      </c>
      <c r="B1120" s="8" t="s">
        <v>29</v>
      </c>
      <c r="C1120" s="29" t="e">
        <f t="shared" si="518"/>
        <v>#REF!</v>
      </c>
      <c r="D1120" s="30"/>
      <c r="E1120" s="30">
        <v>971600</v>
      </c>
      <c r="F1120" s="30"/>
      <c r="G1120" s="30"/>
      <c r="H1120" s="33">
        <v>200000</v>
      </c>
      <c r="I1120" s="34">
        <v>639450</v>
      </c>
      <c r="J1120" s="31" t="e">
        <f t="shared" ref="J1120:J1121" si="519">+SUM(C1120:G1120)-(H1120+I1120)</f>
        <v>#REF!</v>
      </c>
      <c r="L1120" s="5"/>
      <c r="M1120" s="5"/>
      <c r="N1120" s="5"/>
      <c r="O1120" s="5"/>
      <c r="Q1120" s="5"/>
    </row>
    <row r="1121" spans="1:17" ht="16.5">
      <c r="A1121" s="28" t="s">
        <v>90</v>
      </c>
      <c r="B1121" s="8" t="s">
        <v>5</v>
      </c>
      <c r="C1121" s="29" t="e">
        <f t="shared" si="518"/>
        <v>#REF!</v>
      </c>
      <c r="D1121" s="30"/>
      <c r="E1121" s="30"/>
      <c r="F1121" s="30"/>
      <c r="G1121" s="30"/>
      <c r="H1121" s="33"/>
      <c r="I1121" s="56">
        <v>23000</v>
      </c>
      <c r="J1121" s="31" t="e">
        <f t="shared" si="519"/>
        <v>#REF!</v>
      </c>
      <c r="L1121" s="5"/>
      <c r="M1121" s="5"/>
      <c r="N1121" s="5"/>
      <c r="O1121" s="5"/>
      <c r="Q1121" s="5"/>
    </row>
    <row r="1122" spans="1:17" ht="16.5">
      <c r="A1122" s="28" t="s">
        <v>90</v>
      </c>
      <c r="B1122" s="8" t="s">
        <v>32</v>
      </c>
      <c r="C1122" s="29" t="e">
        <f t="shared" si="518"/>
        <v>#REF!</v>
      </c>
      <c r="D1122" s="30"/>
      <c r="E1122" s="30"/>
      <c r="F1122" s="30"/>
      <c r="G1122" s="30"/>
      <c r="H1122" s="33"/>
      <c r="I1122" s="34">
        <v>0</v>
      </c>
      <c r="J1122" s="31" t="e">
        <f>+SUM(C1122:G1122)-(H1122+I1122)</f>
        <v>#REF!</v>
      </c>
      <c r="L1122" s="5"/>
      <c r="M1122" s="5"/>
      <c r="N1122" s="5"/>
      <c r="O1122" s="5"/>
      <c r="Q1122" s="5"/>
    </row>
    <row r="1123" spans="1:17" ht="16.5">
      <c r="A1123" s="114" t="s">
        <v>90</v>
      </c>
      <c r="B1123" s="115" t="s">
        <v>92</v>
      </c>
      <c r="C1123" s="116">
        <v>3721074</v>
      </c>
      <c r="D1123" s="117"/>
      <c r="E1123" s="118"/>
      <c r="F1123" s="117"/>
      <c r="G1123" s="119"/>
      <c r="H1123" s="116">
        <v>3721074</v>
      </c>
      <c r="I1123" s="120"/>
      <c r="J1123" s="121">
        <f>+SUM(C1123:G1123)-(H1123+I1123)</f>
        <v>0</v>
      </c>
      <c r="L1123" s="5"/>
      <c r="M1123" s="5"/>
      <c r="N1123" s="5"/>
      <c r="O1123" s="5"/>
      <c r="Q1123" s="5"/>
    </row>
    <row r="1124" spans="1:17">
      <c r="A1124" s="35" t="s">
        <v>60</v>
      </c>
      <c r="B1124" s="36"/>
      <c r="C1124" s="36"/>
      <c r="D1124" s="36"/>
      <c r="E1124" s="36"/>
      <c r="F1124" s="36"/>
      <c r="G1124" s="36"/>
      <c r="H1124" s="36"/>
      <c r="I1124" s="36"/>
      <c r="J1124" s="37"/>
      <c r="L1124" s="5"/>
      <c r="M1124" s="5"/>
      <c r="N1124" s="5"/>
      <c r="O1124" s="5"/>
      <c r="Q1124" s="5"/>
    </row>
    <row r="1125" spans="1:17">
      <c r="A1125" s="28" t="s">
        <v>90</v>
      </c>
      <c r="B1125" s="38" t="s">
        <v>61</v>
      </c>
      <c r="C1125" s="39" t="e">
        <f>+C877</f>
        <v>#REF!</v>
      </c>
      <c r="D1125" s="40">
        <v>5000000</v>
      </c>
      <c r="E1125" s="40"/>
      <c r="F1125" s="40"/>
      <c r="G1125" s="41">
        <v>200000</v>
      </c>
      <c r="H1125" s="49">
        <v>3983300</v>
      </c>
      <c r="I1125" s="42">
        <v>776245</v>
      </c>
      <c r="J1125" s="43" t="e">
        <f>+SUM(C1125:G1125)-(H1125+I1125)</f>
        <v>#REF!</v>
      </c>
      <c r="L1125" s="5"/>
      <c r="M1125" s="5"/>
      <c r="N1125" s="5"/>
      <c r="O1125" s="5"/>
      <c r="Q1125" s="5"/>
    </row>
    <row r="1126" spans="1:17">
      <c r="A1126" s="44" t="s">
        <v>62</v>
      </c>
      <c r="B1126" s="25"/>
      <c r="C1126" s="36"/>
      <c r="D1126" s="25"/>
      <c r="E1126" s="25"/>
      <c r="F1126" s="25"/>
      <c r="G1126" s="25"/>
      <c r="H1126" s="25"/>
      <c r="I1126" s="25"/>
      <c r="J1126" s="37"/>
      <c r="L1126" s="5"/>
      <c r="M1126" s="5"/>
      <c r="N1126" s="5"/>
      <c r="O1126" s="5"/>
      <c r="Q1126" s="5"/>
    </row>
    <row r="1127" spans="1:17">
      <c r="A1127" s="28" t="s">
        <v>90</v>
      </c>
      <c r="B1127" s="38" t="s">
        <v>63</v>
      </c>
      <c r="C1127" s="45" t="e">
        <f>+#REF!</f>
        <v>#REF!</v>
      </c>
      <c r="D1127" s="54">
        <v>19826114</v>
      </c>
      <c r="E1127" s="51"/>
      <c r="F1127" s="51"/>
      <c r="G1127" s="51"/>
      <c r="H1127" s="53">
        <v>5000000</v>
      </c>
      <c r="I1127" s="55">
        <v>455737</v>
      </c>
      <c r="J1127" s="46" t="e">
        <f>+SUM(C1127:G1127)-(H1127+I1127)</f>
        <v>#REF!</v>
      </c>
      <c r="L1127" s="5"/>
      <c r="M1127" s="5"/>
      <c r="N1127" s="5"/>
      <c r="O1127" s="5"/>
      <c r="Q1127" s="5"/>
    </row>
    <row r="1128" spans="1:17">
      <c r="A1128" s="28" t="s">
        <v>90</v>
      </c>
      <c r="B1128" s="38" t="s">
        <v>64</v>
      </c>
      <c r="C1128" s="45" t="e">
        <f>+C876</f>
        <v>#REF!</v>
      </c>
      <c r="D1128" s="51">
        <v>13119140</v>
      </c>
      <c r="E1128" s="50"/>
      <c r="F1128" s="50"/>
      <c r="G1128" s="50"/>
      <c r="H1128" s="33"/>
      <c r="I1128" s="52">
        <v>3445919</v>
      </c>
      <c r="J1128" s="46" t="e">
        <f>SUM(C1128:G1128)-(H1128+I1128)</f>
        <v>#REF!</v>
      </c>
      <c r="L1128" s="5"/>
      <c r="M1128" s="5"/>
      <c r="N1128" s="5"/>
      <c r="O1128" s="5"/>
      <c r="Q1128" s="5"/>
    </row>
    <row r="1129" spans="1:17">
      <c r="A1129" s="162" t="s">
        <v>90</v>
      </c>
      <c r="B1129" s="158" t="s">
        <v>83</v>
      </c>
      <c r="C1129" s="163">
        <v>249769</v>
      </c>
      <c r="D1129" s="51"/>
      <c r="E1129" s="51"/>
      <c r="F1129" s="51"/>
      <c r="G1129" s="51"/>
      <c r="H1129" s="33"/>
      <c r="I1129" s="52"/>
      <c r="J1129" s="164">
        <f>SUM(C1129:G1129)-(H1129+I1129)</f>
        <v>249769</v>
      </c>
      <c r="L1129" s="5"/>
      <c r="M1129" s="5"/>
      <c r="N1129" s="5"/>
      <c r="O1129" s="5"/>
      <c r="Q1129" s="5"/>
    </row>
    <row r="1130" spans="1:17">
      <c r="A1130" s="162" t="s">
        <v>90</v>
      </c>
      <c r="B1130" s="160" t="s">
        <v>84</v>
      </c>
      <c r="C1130" s="163">
        <v>233614</v>
      </c>
      <c r="D1130" s="51"/>
      <c r="E1130" s="51"/>
      <c r="F1130" s="51"/>
      <c r="G1130" s="51"/>
      <c r="H1130" s="33"/>
      <c r="I1130" s="52"/>
      <c r="J1130" s="164">
        <f>SUM(C1130:G1130)-(H1130+I1130)</f>
        <v>233614</v>
      </c>
      <c r="L1130" s="5"/>
      <c r="M1130" s="5"/>
      <c r="N1130" s="5"/>
      <c r="O1130" s="5"/>
      <c r="Q1130" s="5"/>
    </row>
    <row r="1131" spans="1:17">
      <c r="A1131" s="162" t="s">
        <v>90</v>
      </c>
      <c r="B1131" s="161" t="s">
        <v>85</v>
      </c>
      <c r="C1131" s="163">
        <v>330169</v>
      </c>
      <c r="D1131" s="165"/>
      <c r="E1131" s="165"/>
      <c r="F1131" s="165"/>
      <c r="G1131" s="165"/>
      <c r="H1131" s="165"/>
      <c r="I1131" s="165"/>
      <c r="J1131" s="164">
        <f>SUM(C1131:G1131)-(H1131+I1131)</f>
        <v>330169</v>
      </c>
      <c r="L1131" s="5"/>
      <c r="M1131" s="5"/>
      <c r="N1131" s="5"/>
      <c r="O1131" s="5"/>
      <c r="Q1131" s="5"/>
    </row>
    <row r="1132" spans="1:17" ht="15.75">
      <c r="C1132" s="9"/>
      <c r="I1132" s="9"/>
      <c r="J1132" s="111" t="e">
        <f>+SUM(J1113:J1131)</f>
        <v>#REF!</v>
      </c>
      <c r="K1132" s="113" t="e">
        <f>+J1132-I889</f>
        <v>#REF!</v>
      </c>
      <c r="L1132" s="5"/>
      <c r="M1132" s="5"/>
      <c r="N1132" s="5"/>
      <c r="O1132" s="5"/>
      <c r="Q1132" s="5"/>
    </row>
    <row r="1134" spans="1:17">
      <c r="A1134" s="16" t="s">
        <v>52</v>
      </c>
      <c r="B1134" s="16"/>
      <c r="C1134" s="16"/>
      <c r="D1134" s="17"/>
      <c r="E1134" s="17"/>
      <c r="F1134" s="17"/>
      <c r="G1134" s="17"/>
      <c r="H1134" s="17"/>
      <c r="I1134" s="17"/>
      <c r="L1134" s="5"/>
      <c r="M1134" s="5"/>
      <c r="N1134" s="5"/>
      <c r="O1134" s="5"/>
      <c r="Q1134" s="5"/>
    </row>
    <row r="1135" spans="1:17">
      <c r="A1135" s="18" t="s">
        <v>78</v>
      </c>
      <c r="B1135" s="18"/>
      <c r="C1135" s="18"/>
      <c r="D1135" s="18"/>
      <c r="E1135" s="18"/>
      <c r="F1135" s="18"/>
      <c r="G1135" s="18"/>
      <c r="H1135" s="18"/>
      <c r="I1135" s="18"/>
      <c r="J1135" s="17"/>
      <c r="L1135" s="5"/>
      <c r="M1135" s="5"/>
      <c r="N1135" s="5"/>
      <c r="O1135" s="5"/>
      <c r="Q1135" s="5"/>
    </row>
    <row r="1136" spans="1:17">
      <c r="A1136" s="19"/>
      <c r="B1136" s="20"/>
      <c r="C1136" s="21"/>
      <c r="D1136" s="21"/>
      <c r="E1136" s="21"/>
      <c r="F1136" s="21"/>
      <c r="G1136" s="21"/>
      <c r="H1136" s="20"/>
      <c r="I1136" s="20"/>
      <c r="J1136" s="18"/>
      <c r="L1136" s="5"/>
      <c r="M1136" s="5"/>
      <c r="N1136" s="5"/>
      <c r="O1136" s="5"/>
      <c r="Q1136" s="5"/>
    </row>
    <row r="1137" spans="1:17">
      <c r="A1137" s="455" t="s">
        <v>53</v>
      </c>
      <c r="B1137" s="457" t="s">
        <v>54</v>
      </c>
      <c r="C1137" s="459" t="s">
        <v>80</v>
      </c>
      <c r="D1137" s="461" t="s">
        <v>55</v>
      </c>
      <c r="E1137" s="462"/>
      <c r="F1137" s="462"/>
      <c r="G1137" s="463"/>
      <c r="H1137" s="464" t="s">
        <v>56</v>
      </c>
      <c r="I1137" s="451" t="s">
        <v>57</v>
      </c>
      <c r="J1137" s="20"/>
      <c r="L1137" s="5"/>
      <c r="M1137" s="5"/>
      <c r="N1137" s="5"/>
      <c r="O1137" s="5"/>
      <c r="Q1137" s="5"/>
    </row>
    <row r="1138" spans="1:17" ht="36.75" customHeight="1">
      <c r="A1138" s="456"/>
      <c r="B1138" s="458"/>
      <c r="C1138" s="460"/>
      <c r="D1138" s="22" t="s">
        <v>24</v>
      </c>
      <c r="E1138" s="22" t="s">
        <v>25</v>
      </c>
      <c r="F1138" s="23" t="s">
        <v>69</v>
      </c>
      <c r="G1138" s="22" t="s">
        <v>58</v>
      </c>
      <c r="H1138" s="465"/>
      <c r="I1138" s="452"/>
      <c r="J1138" s="453" t="s">
        <v>86</v>
      </c>
      <c r="L1138" s="5"/>
      <c r="M1138" s="5"/>
      <c r="N1138" s="5"/>
      <c r="O1138" s="5"/>
      <c r="Q1138" s="5"/>
    </row>
    <row r="1139" spans="1:17">
      <c r="A1139" s="24"/>
      <c r="B1139" s="25" t="s">
        <v>59</v>
      </c>
      <c r="C1139" s="26"/>
      <c r="D1139" s="26"/>
      <c r="E1139" s="26"/>
      <c r="F1139" s="26"/>
      <c r="G1139" s="26"/>
      <c r="H1139" s="26"/>
      <c r="I1139" s="27"/>
      <c r="J1139" s="454"/>
      <c r="L1139" s="5"/>
      <c r="M1139" s="5"/>
      <c r="N1139" s="5"/>
      <c r="O1139" s="5"/>
      <c r="Q1139" s="5"/>
    </row>
    <row r="1140" spans="1:17" ht="16.5">
      <c r="A1140" s="28" t="s">
        <v>79</v>
      </c>
      <c r="B1140" s="8" t="s">
        <v>76</v>
      </c>
      <c r="C1140" s="29">
        <v>0</v>
      </c>
      <c r="D1140" s="30"/>
      <c r="E1140" s="30">
        <v>40000</v>
      </c>
      <c r="F1140" s="30"/>
      <c r="G1140" s="30"/>
      <c r="H1140" s="57"/>
      <c r="I1140" s="34">
        <v>39200</v>
      </c>
      <c r="J1140" s="31">
        <f>+SUM(C1140:G1140)-(H1140+I1140)</f>
        <v>800</v>
      </c>
      <c r="L1140" s="5"/>
      <c r="M1140" s="5"/>
      <c r="N1140" s="5"/>
      <c r="O1140" s="5"/>
      <c r="Q1140" s="5"/>
    </row>
    <row r="1141" spans="1:17" ht="16.5">
      <c r="A1141" s="28" t="s">
        <v>79</v>
      </c>
      <c r="B1141" s="8" t="str">
        <f>+A878</f>
        <v>JUILLET</v>
      </c>
      <c r="C1141" s="29">
        <v>19060</v>
      </c>
      <c r="D1141" s="30"/>
      <c r="E1141" s="30">
        <v>20000</v>
      </c>
      <c r="F1141" s="30"/>
      <c r="G1141" s="30"/>
      <c r="H1141" s="57"/>
      <c r="I1141" s="34">
        <v>36000</v>
      </c>
      <c r="J1141" s="31">
        <f t="shared" ref="J1141:J1148" si="520">+SUM(C1141:G1141)-(H1141+I1141)</f>
        <v>3060</v>
      </c>
      <c r="L1141" s="5"/>
      <c r="M1141" s="5"/>
      <c r="N1141" s="5"/>
      <c r="O1141" s="5"/>
      <c r="Q1141" s="5"/>
    </row>
    <row r="1142" spans="1:17" ht="16.5">
      <c r="A1142" s="28" t="s">
        <v>79</v>
      </c>
      <c r="B1142" s="8" t="str">
        <f>+A879</f>
        <v>JUILLET</v>
      </c>
      <c r="C1142" s="29">
        <v>8395</v>
      </c>
      <c r="D1142" s="30"/>
      <c r="E1142" s="30">
        <v>20000</v>
      </c>
      <c r="F1142" s="106"/>
      <c r="G1142" s="106"/>
      <c r="H1142" s="33"/>
      <c r="I1142" s="56">
        <v>20000</v>
      </c>
      <c r="J1142" s="107">
        <f t="shared" si="520"/>
        <v>8395</v>
      </c>
      <c r="L1142" s="5"/>
      <c r="M1142" s="5"/>
      <c r="N1142" s="5"/>
      <c r="O1142" s="5"/>
      <c r="Q1142" s="5"/>
    </row>
    <row r="1143" spans="1:17" ht="16.5">
      <c r="A1143" s="28" t="s">
        <v>79</v>
      </c>
      <c r="B1143" s="8" t="str">
        <f>+A880</f>
        <v>JUILLET</v>
      </c>
      <c r="C1143" s="29">
        <v>0</v>
      </c>
      <c r="D1143" s="58"/>
      <c r="E1143" s="30">
        <v>100000</v>
      </c>
      <c r="F1143" s="106">
        <v>102200</v>
      </c>
      <c r="G1143" s="106"/>
      <c r="H1143" s="33"/>
      <c r="I1143" s="33">
        <v>204000</v>
      </c>
      <c r="J1143" s="107">
        <f>+SUM(C1143:G1143)-(H1143+I1143)</f>
        <v>-1800</v>
      </c>
      <c r="L1143" s="5"/>
      <c r="M1143" s="5"/>
      <c r="N1143" s="5"/>
      <c r="O1143" s="5"/>
      <c r="Q1143" s="5"/>
    </row>
    <row r="1144" spans="1:17" ht="16.5">
      <c r="A1144" s="28" t="s">
        <v>79</v>
      </c>
      <c r="B1144" s="8" t="e">
        <f>+#REF!</f>
        <v>#REF!</v>
      </c>
      <c r="C1144" s="29">
        <v>7559</v>
      </c>
      <c r="D1144" s="58"/>
      <c r="E1144" s="30">
        <v>866200</v>
      </c>
      <c r="F1144" s="106"/>
      <c r="G1144" s="106"/>
      <c r="H1144" s="33">
        <v>252200</v>
      </c>
      <c r="I1144" s="34">
        <v>605575</v>
      </c>
      <c r="J1144" s="107">
        <f t="shared" si="520"/>
        <v>15984</v>
      </c>
      <c r="L1144" s="5"/>
      <c r="M1144" s="5"/>
      <c r="N1144" s="5"/>
      <c r="O1144" s="5"/>
      <c r="Q1144" s="5"/>
    </row>
    <row r="1145" spans="1:17" ht="16.5">
      <c r="A1145" s="28" t="s">
        <v>79</v>
      </c>
      <c r="B1145" s="8" t="str">
        <f t="shared" ref="B1145:B1148" si="521">+A881</f>
        <v>JUILLET</v>
      </c>
      <c r="C1145" s="29">
        <v>214000</v>
      </c>
      <c r="D1145" s="30"/>
      <c r="E1145" s="30">
        <v>724100</v>
      </c>
      <c r="F1145" s="106"/>
      <c r="G1145" s="106"/>
      <c r="H1145" s="33"/>
      <c r="I1145" s="34">
        <v>960000</v>
      </c>
      <c r="J1145" s="107">
        <f>+SUM(C1145:G1145)-(H1145+I1145)</f>
        <v>-21900</v>
      </c>
      <c r="L1145" s="5"/>
      <c r="M1145" s="5"/>
      <c r="N1145" s="5"/>
      <c r="O1145" s="5"/>
      <c r="Q1145" s="5"/>
    </row>
    <row r="1146" spans="1:17" ht="16.5">
      <c r="A1146" s="28" t="s">
        <v>79</v>
      </c>
      <c r="B1146" s="8" t="str">
        <f t="shared" si="521"/>
        <v>JUILLET</v>
      </c>
      <c r="C1146" s="29">
        <v>-13805</v>
      </c>
      <c r="D1146" s="30"/>
      <c r="E1146" s="30">
        <v>333400</v>
      </c>
      <c r="F1146" s="30">
        <v>150000</v>
      </c>
      <c r="G1146" s="30"/>
      <c r="H1146" s="33">
        <v>129000</v>
      </c>
      <c r="I1146" s="34">
        <v>338905</v>
      </c>
      <c r="J1146" s="31">
        <f>+SUM(C1146:G1146)-(H1146+I1146)</f>
        <v>1690</v>
      </c>
      <c r="L1146" s="5"/>
      <c r="M1146" s="5"/>
      <c r="N1146" s="5"/>
      <c r="O1146" s="5"/>
      <c r="Q1146" s="5"/>
    </row>
    <row r="1147" spans="1:17" ht="16.5">
      <c r="A1147" s="28" t="s">
        <v>79</v>
      </c>
      <c r="B1147" s="8" t="str">
        <f t="shared" si="521"/>
        <v>JUILLET</v>
      </c>
      <c r="C1147" s="29">
        <v>84350</v>
      </c>
      <c r="D1147" s="30"/>
      <c r="E1147" s="30">
        <v>669400</v>
      </c>
      <c r="F1147" s="30"/>
      <c r="G1147" s="30"/>
      <c r="H1147" s="33">
        <v>100000</v>
      </c>
      <c r="I1147" s="34">
        <v>674700</v>
      </c>
      <c r="J1147" s="31">
        <f>+SUM(C1147:G1147)-(H1147+I1147)</f>
        <v>-20950</v>
      </c>
      <c r="L1147" s="5"/>
      <c r="M1147" s="5"/>
      <c r="N1147" s="5"/>
      <c r="O1147" s="5"/>
      <c r="Q1147" s="5"/>
    </row>
    <row r="1148" spans="1:17" ht="16.5">
      <c r="A1148" s="28" t="s">
        <v>79</v>
      </c>
      <c r="B1148" s="8" t="str">
        <f t="shared" si="521"/>
        <v>JUILLET</v>
      </c>
      <c r="C1148" s="29">
        <v>-216251</v>
      </c>
      <c r="D1148" s="30"/>
      <c r="E1148" s="30">
        <v>242000</v>
      </c>
      <c r="F1148" s="30"/>
      <c r="G1148" s="30"/>
      <c r="H1148" s="33"/>
      <c r="I1148" s="56">
        <v>34830</v>
      </c>
      <c r="J1148" s="31">
        <f t="shared" si="520"/>
        <v>-9081</v>
      </c>
      <c r="L1148" s="5"/>
      <c r="M1148" s="5"/>
      <c r="N1148" s="5"/>
      <c r="O1148" s="5"/>
      <c r="Q1148" s="5"/>
    </row>
    <row r="1149" spans="1:17" ht="16.5">
      <c r="A1149" s="28" t="s">
        <v>79</v>
      </c>
      <c r="B1149" s="8" t="s">
        <v>33</v>
      </c>
      <c r="C1149" s="29">
        <v>2025</v>
      </c>
      <c r="D1149" s="30"/>
      <c r="E1149" s="30">
        <v>25000</v>
      </c>
      <c r="F1149" s="30"/>
      <c r="G1149" s="30"/>
      <c r="H1149" s="33">
        <v>3025</v>
      </c>
      <c r="I1149" s="34">
        <v>24000</v>
      </c>
      <c r="J1149" s="31">
        <f>+SUM(C1149:G1149)-(H1149+I1149)</f>
        <v>0</v>
      </c>
      <c r="L1149" s="5"/>
      <c r="M1149" s="5"/>
      <c r="N1149" s="5"/>
      <c r="O1149" s="5"/>
      <c r="Q1149" s="5"/>
    </row>
    <row r="1150" spans="1:17" ht="16.5">
      <c r="A1150" s="28" t="s">
        <v>79</v>
      </c>
      <c r="B1150" s="8" t="s">
        <v>32</v>
      </c>
      <c r="C1150" s="29">
        <v>10000</v>
      </c>
      <c r="D1150" s="32"/>
      <c r="E1150" s="30">
        <v>0</v>
      </c>
      <c r="F1150" s="32"/>
      <c r="G1150" s="32"/>
      <c r="H1150" s="33"/>
      <c r="I1150" s="34">
        <v>4700</v>
      </c>
      <c r="J1150" s="31">
        <f>+SUM(C1150:G1150)-(H1150+I1150)</f>
        <v>5300</v>
      </c>
      <c r="L1150" s="5"/>
      <c r="M1150" s="5"/>
      <c r="N1150" s="5"/>
      <c r="O1150" s="5"/>
      <c r="Q1150" s="5"/>
    </row>
    <row r="1151" spans="1:17">
      <c r="A1151" s="35" t="s">
        <v>60</v>
      </c>
      <c r="B1151" s="36"/>
      <c r="C1151" s="36"/>
      <c r="D1151" s="36"/>
      <c r="E1151" s="36"/>
      <c r="F1151" s="36"/>
      <c r="G1151" s="36"/>
      <c r="H1151" s="36"/>
      <c r="I1151" s="36"/>
      <c r="J1151" s="37"/>
      <c r="L1151" s="5"/>
      <c r="M1151" s="5"/>
      <c r="N1151" s="5"/>
      <c r="O1151" s="5"/>
      <c r="Q1151" s="5"/>
    </row>
    <row r="1152" spans="1:17">
      <c r="A1152" s="28" t="s">
        <v>79</v>
      </c>
      <c r="B1152" s="38" t="s">
        <v>61</v>
      </c>
      <c r="C1152" s="39">
        <v>791675</v>
      </c>
      <c r="D1152" s="40">
        <v>3185100</v>
      </c>
      <c r="E1152" s="40"/>
      <c r="F1152" s="40"/>
      <c r="G1152" s="41">
        <v>237025</v>
      </c>
      <c r="H1152" s="49">
        <v>3045100</v>
      </c>
      <c r="I1152" s="42">
        <v>876121</v>
      </c>
      <c r="J1152" s="43">
        <f>+SUM(C1152:G1152)-(H1152+I1152)</f>
        <v>292579</v>
      </c>
      <c r="L1152" s="5"/>
      <c r="M1152" s="5"/>
      <c r="N1152" s="5"/>
      <c r="O1152" s="5"/>
      <c r="Q1152" s="5"/>
    </row>
    <row r="1153" spans="1:17">
      <c r="A1153" s="44" t="s">
        <v>62</v>
      </c>
      <c r="B1153" s="25"/>
      <c r="C1153" s="36"/>
      <c r="D1153" s="25"/>
      <c r="E1153" s="25"/>
      <c r="F1153" s="25"/>
      <c r="G1153" s="25"/>
      <c r="H1153" s="25"/>
      <c r="I1153" s="25"/>
      <c r="J1153" s="37"/>
      <c r="L1153" s="5"/>
      <c r="M1153" s="5"/>
      <c r="N1153" s="5"/>
      <c r="O1153" s="5"/>
      <c r="Q1153" s="5"/>
    </row>
    <row r="1154" spans="1:17">
      <c r="A1154" s="28" t="s">
        <v>79</v>
      </c>
      <c r="B1154" s="38" t="s">
        <v>63</v>
      </c>
      <c r="C1154" s="45">
        <v>8039273</v>
      </c>
      <c r="D1154" s="54">
        <v>0</v>
      </c>
      <c r="E1154" s="51"/>
      <c r="F1154" s="51"/>
      <c r="G1154" s="51"/>
      <c r="H1154" s="53">
        <v>3000000</v>
      </c>
      <c r="I1154" s="55">
        <v>224679</v>
      </c>
      <c r="J1154" s="46">
        <f>+SUM(C1154:G1154)-(H1154+I1154)</f>
        <v>4814594</v>
      </c>
      <c r="L1154" s="5"/>
      <c r="M1154" s="5"/>
      <c r="N1154" s="5"/>
      <c r="O1154" s="5"/>
      <c r="Q1154" s="5"/>
    </row>
    <row r="1155" spans="1:17">
      <c r="A1155" s="28" t="s">
        <v>79</v>
      </c>
      <c r="B1155" s="38" t="s">
        <v>64</v>
      </c>
      <c r="C1155" s="45">
        <v>13283340</v>
      </c>
      <c r="D1155" s="51">
        <v>0</v>
      </c>
      <c r="E1155" s="50"/>
      <c r="F1155" s="50"/>
      <c r="G1155" s="50"/>
      <c r="H1155" s="33">
        <v>185100</v>
      </c>
      <c r="I1155" s="52">
        <v>8352406</v>
      </c>
      <c r="J1155" s="46">
        <f>SUM(C1155:G1155)-(H1155+I1155)</f>
        <v>4745834</v>
      </c>
      <c r="Q1155" s="5"/>
    </row>
    <row r="1156" spans="1:17">
      <c r="A1156" s="157" t="s">
        <v>79</v>
      </c>
      <c r="B1156" s="158" t="s">
        <v>82</v>
      </c>
      <c r="C1156" s="45">
        <v>3721074</v>
      </c>
      <c r="D1156" s="157"/>
      <c r="E1156" s="157"/>
      <c r="F1156" s="157"/>
      <c r="G1156" s="157"/>
      <c r="H1156" s="157"/>
      <c r="I1156" s="157"/>
      <c r="J1156" s="159">
        <f>SUM(C1156:G1156)-(H1156+I1156)</f>
        <v>3721074</v>
      </c>
      <c r="Q1156" s="5"/>
    </row>
    <row r="1157" spans="1:17">
      <c r="A1157" s="157" t="s">
        <v>79</v>
      </c>
      <c r="B1157" s="158" t="s">
        <v>83</v>
      </c>
      <c r="C1157" s="45">
        <v>249769</v>
      </c>
      <c r="D1157" s="51"/>
      <c r="E1157" s="51"/>
      <c r="F1157" s="51"/>
      <c r="G1157" s="51"/>
      <c r="H1157" s="33"/>
      <c r="I1157" s="52"/>
      <c r="J1157" s="159">
        <f>SUM(C1157:G1157)-(H1157+I1157)</f>
        <v>249769</v>
      </c>
      <c r="Q1157" s="5"/>
    </row>
    <row r="1158" spans="1:17">
      <c r="A1158" s="157" t="s">
        <v>79</v>
      </c>
      <c r="B1158" s="160" t="s">
        <v>84</v>
      </c>
      <c r="C1158" s="45">
        <v>233614</v>
      </c>
      <c r="D1158" s="51"/>
      <c r="E1158" s="51"/>
      <c r="F1158" s="51"/>
      <c r="G1158" s="51"/>
      <c r="H1158" s="33"/>
      <c r="I1158" s="52"/>
      <c r="J1158" s="159">
        <f>SUM(C1158:G1158)-(H1158+I1158)</f>
        <v>233614</v>
      </c>
      <c r="Q1158" s="5"/>
    </row>
    <row r="1159" spans="1:17">
      <c r="A1159" s="157" t="s">
        <v>79</v>
      </c>
      <c r="B1159" s="161" t="s">
        <v>85</v>
      </c>
      <c r="C1159" s="45">
        <v>330169</v>
      </c>
      <c r="D1159" s="157"/>
      <c r="E1159" s="157"/>
      <c r="F1159" s="157"/>
      <c r="G1159" s="157"/>
      <c r="H1159" s="157"/>
      <c r="I1159" s="157"/>
      <c r="J1159" s="159">
        <f>SUM(C1159:G1159)-(H1159+I1159)</f>
        <v>330169</v>
      </c>
      <c r="Q1159" s="5"/>
    </row>
    <row r="1160" spans="1:17" ht="15.75">
      <c r="C1160" s="9"/>
      <c r="I1160" s="9"/>
      <c r="J1160" s="111">
        <f>+SUM(J1140:J1159)</f>
        <v>14369131</v>
      </c>
      <c r="Q1160" s="5"/>
    </row>
    <row r="1161" spans="1:17">
      <c r="C1161" s="9"/>
      <c r="I1161" s="9"/>
      <c r="J1161" s="9"/>
      <c r="Q1161" s="5"/>
    </row>
    <row r="1162" spans="1:17" s="74" customFormat="1">
      <c r="A1162" s="72" t="s">
        <v>65</v>
      </c>
      <c r="B1162" s="72"/>
      <c r="C1162" s="72"/>
      <c r="D1162" s="72"/>
      <c r="E1162" s="72"/>
      <c r="F1162" s="72"/>
      <c r="G1162" s="72"/>
      <c r="H1162" s="72"/>
      <c r="I1162" s="72"/>
      <c r="J1162" s="73"/>
      <c r="L1162" s="75"/>
      <c r="M1162" s="75"/>
      <c r="N1162" s="75"/>
      <c r="O1162" s="75"/>
    </row>
    <row r="1163" spans="1:17" s="74" customFormat="1">
      <c r="A1163" s="76"/>
      <c r="B1163" s="73"/>
      <c r="C1163" s="77"/>
      <c r="D1163" s="77"/>
      <c r="E1163" s="77"/>
      <c r="F1163" s="77"/>
      <c r="G1163" s="77"/>
      <c r="H1163" s="73"/>
      <c r="I1163" s="73"/>
      <c r="J1163" s="72"/>
      <c r="L1163" s="75"/>
      <c r="M1163" s="75"/>
      <c r="N1163" s="75"/>
      <c r="O1163" s="75"/>
    </row>
    <row r="1164" spans="1:17" s="74" customFormat="1">
      <c r="A1164" s="455" t="s">
        <v>53</v>
      </c>
      <c r="B1164" s="457" t="s">
        <v>54</v>
      </c>
      <c r="C1164" s="459" t="s">
        <v>67</v>
      </c>
      <c r="D1164" s="478" t="s">
        <v>55</v>
      </c>
      <c r="E1164" s="479"/>
      <c r="F1164" s="479"/>
      <c r="G1164" s="480"/>
      <c r="H1164" s="481" t="s">
        <v>56</v>
      </c>
      <c r="I1164" s="483" t="s">
        <v>57</v>
      </c>
      <c r="J1164" s="73"/>
      <c r="L1164" s="75"/>
      <c r="M1164" s="75"/>
      <c r="N1164" s="75"/>
      <c r="O1164" s="75"/>
    </row>
    <row r="1165" spans="1:17" s="74" customFormat="1">
      <c r="A1165" s="456"/>
      <c r="B1165" s="458"/>
      <c r="C1165" s="460"/>
      <c r="D1165" s="22" t="s">
        <v>24</v>
      </c>
      <c r="E1165" s="22" t="s">
        <v>25</v>
      </c>
      <c r="F1165" s="71" t="s">
        <v>69</v>
      </c>
      <c r="G1165" s="22" t="s">
        <v>58</v>
      </c>
      <c r="H1165" s="482"/>
      <c r="I1165" s="484"/>
      <c r="J1165" s="453" t="s">
        <v>68</v>
      </c>
      <c r="L1165" s="75"/>
      <c r="M1165" s="75"/>
      <c r="N1165" s="75"/>
      <c r="O1165" s="75"/>
    </row>
    <row r="1166" spans="1:17" s="74" customFormat="1">
      <c r="A1166" s="78"/>
      <c r="B1166" s="79" t="s">
        <v>59</v>
      </c>
      <c r="C1166" s="80"/>
      <c r="D1166" s="80"/>
      <c r="E1166" s="80"/>
      <c r="F1166" s="80"/>
      <c r="G1166" s="80"/>
      <c r="H1166" s="80"/>
      <c r="I1166" s="81"/>
      <c r="J1166" s="454"/>
      <c r="L1166" s="75"/>
      <c r="M1166" s="75"/>
      <c r="N1166" s="75"/>
      <c r="O1166" s="75"/>
    </row>
    <row r="1167" spans="1:17" s="74" customFormat="1" ht="16.5">
      <c r="A1167" s="82" t="s">
        <v>66</v>
      </c>
      <c r="B1167" s="8" t="s">
        <v>47</v>
      </c>
      <c r="C1167" s="83">
        <v>40560</v>
      </c>
      <c r="D1167" s="30"/>
      <c r="E1167" s="30">
        <v>0</v>
      </c>
      <c r="F1167" s="30"/>
      <c r="G1167" s="30"/>
      <c r="H1167" s="84"/>
      <c r="I1167" s="85">
        <f>+SUM([1]COMPTA_CREPIN!$F$3050:$F$3066)</f>
        <v>21500</v>
      </c>
      <c r="J1167" s="31">
        <f>+SUM(C1167:G1167)-(H1167+I1167)</f>
        <v>19060</v>
      </c>
      <c r="L1167" s="75"/>
      <c r="M1167" s="75"/>
      <c r="N1167" s="75"/>
      <c r="O1167" s="75"/>
    </row>
    <row r="1168" spans="1:17" s="74" customFormat="1" ht="16.5">
      <c r="A1168" s="82" t="s">
        <v>66</v>
      </c>
      <c r="B1168" s="8" t="s">
        <v>28</v>
      </c>
      <c r="C1168" s="83">
        <v>227975</v>
      </c>
      <c r="D1168" s="30"/>
      <c r="E1168" s="30">
        <f>+'[2]Compta Dalia (2)'!$E$1908+'[2]Compta Dalia (2)'!$E$1909+'[2]Compta Dalia (2)'!$E$1911+'[2]Compta Dalia (2)'!$E$1917</f>
        <v>119600</v>
      </c>
      <c r="F1168" s="30"/>
      <c r="G1168" s="30"/>
      <c r="H1168" s="84">
        <f>+'[2]Compta Dalia (2)'!$F$1919</f>
        <v>1635</v>
      </c>
      <c r="I1168" s="85">
        <v>345940</v>
      </c>
      <c r="J1168" s="31">
        <f t="shared" ref="J1168:J1175" si="522">+SUM(C1168:G1168)-(H1168+I1168)</f>
        <v>0</v>
      </c>
      <c r="L1168" s="75"/>
      <c r="M1168" s="75"/>
      <c r="N1168" s="75"/>
      <c r="O1168" s="75"/>
    </row>
    <row r="1169" spans="1:15" s="74" customFormat="1" ht="16.5">
      <c r="A1169" s="82" t="s">
        <v>66</v>
      </c>
      <c r="B1169" s="8" t="s">
        <v>31</v>
      </c>
      <c r="C1169" s="83">
        <v>-605</v>
      </c>
      <c r="D1169" s="30"/>
      <c r="E1169" s="30">
        <f>+'[3]compta (3)'!$E$2556+'[3]compta (3)'!$E$2557+'[3]compta (3)'!$E$2558</f>
        <v>30000</v>
      </c>
      <c r="F1169" s="30"/>
      <c r="G1169" s="30"/>
      <c r="H1169" s="86"/>
      <c r="I1169" s="87">
        <f>'[3]compta (3)'!$F$2559</f>
        <v>21000</v>
      </c>
      <c r="J1169" s="31">
        <f t="shared" si="522"/>
        <v>8395</v>
      </c>
      <c r="L1169" s="75"/>
      <c r="M1169" s="75"/>
      <c r="N1169" s="75"/>
      <c r="O1169" s="75"/>
    </row>
    <row r="1170" spans="1:15" s="74" customFormat="1" ht="16.5">
      <c r="A1170" s="82" t="s">
        <v>66</v>
      </c>
      <c r="B1170" s="105" t="s">
        <v>26</v>
      </c>
      <c r="C1170" s="83">
        <v>264659</v>
      </c>
      <c r="D1170" s="106"/>
      <c r="E1170" s="106">
        <f>+'[4]compta (2)'!$E$2521+'[4]compta (2)'!$E$2525+'[4]compta (2)'!$E$2527+'[4]compta (2)'!$E$2529</f>
        <v>325000</v>
      </c>
      <c r="F1170" s="106"/>
      <c r="G1170" s="106"/>
      <c r="H1170" s="33">
        <f>'[4]compta (2)'!$F$2528+60000</f>
        <v>75000</v>
      </c>
      <c r="I1170" s="33">
        <f>'[4]compta (2)'!$F$2522+'[4]compta (2)'!$F$2523+'[4]compta (2)'!$F$2524+'[4]compta (2)'!$F$2526+'[4]compta (2)'!$F$2530+'[4]compta (2)'!$F$2532+'[4]compta (2)'!$F$2533+'[4]compta (2)'!$F$2534</f>
        <v>507100</v>
      </c>
      <c r="J1170" s="107">
        <f t="shared" si="522"/>
        <v>7559</v>
      </c>
      <c r="L1170" s="75"/>
      <c r="M1170" s="75"/>
      <c r="N1170" s="75"/>
      <c r="O1170" s="75"/>
    </row>
    <row r="1171" spans="1:15" s="74" customFormat="1" ht="16.5">
      <c r="A1171" s="82" t="s">
        <v>66</v>
      </c>
      <c r="B1171" s="105" t="s">
        <v>48</v>
      </c>
      <c r="C1171" s="83">
        <v>272500</v>
      </c>
      <c r="D1171" s="106"/>
      <c r="E1171" s="106">
        <f>+'[5]COMPTA_I23C (2)'!$E$4171+'[5]COMPTA_I23C (2)'!$E$4172+'[5]COMPTA_I23C (2)'!$E$4174+'[5]COMPTA_I23C (2)'!$E$4178+'[5]COMPTA_I23C (2)'!$E$4180+'[5]COMPTA_I23C (2)'!$E$4181</f>
        <v>695000</v>
      </c>
      <c r="F1171" s="106"/>
      <c r="G1171" s="106"/>
      <c r="H1171" s="33"/>
      <c r="I1171" s="83">
        <v>753500</v>
      </c>
      <c r="J1171" s="107">
        <f t="shared" si="522"/>
        <v>214000</v>
      </c>
      <c r="L1171" s="75"/>
      <c r="M1171" s="75"/>
      <c r="N1171" s="75"/>
      <c r="O1171" s="75"/>
    </row>
    <row r="1172" spans="1:15" s="74" customFormat="1" ht="16.5">
      <c r="A1172" s="82" t="s">
        <v>66</v>
      </c>
      <c r="B1172" s="8" t="s">
        <v>35</v>
      </c>
      <c r="C1172" s="83">
        <v>284595</v>
      </c>
      <c r="D1172" s="30"/>
      <c r="E1172" s="30">
        <f>+'[6]Feuil1 (2)'!$E$2684+'[6]Feuil1 (2)'!$E$2689+'[6]Feuil1 (2)'!$E$2691</f>
        <v>275000</v>
      </c>
      <c r="F1172" s="30">
        <f>'[4]compta (2)'!$F$2531</f>
        <v>60000</v>
      </c>
      <c r="G1172" s="30"/>
      <c r="H1172" s="86"/>
      <c r="I1172" s="85">
        <v>633400</v>
      </c>
      <c r="J1172" s="31">
        <f t="shared" si="522"/>
        <v>-13805</v>
      </c>
      <c r="L1172" s="75"/>
      <c r="M1172" s="75"/>
      <c r="N1172" s="75"/>
      <c r="O1172" s="75"/>
    </row>
    <row r="1173" spans="1:15" s="74" customFormat="1" ht="16.5">
      <c r="A1173" s="82" t="s">
        <v>66</v>
      </c>
      <c r="B1173" s="8" t="s">
        <v>27</v>
      </c>
      <c r="C1173" s="83">
        <v>-1750</v>
      </c>
      <c r="D1173" s="30"/>
      <c r="E1173" s="30">
        <f>+'[7]Compta Jospin (2)'!$E$1583+'[7]Compta Jospin (2)'!$E$1584+'[7]Compta Jospin (2)'!$E$1587</f>
        <v>96400</v>
      </c>
      <c r="F1173" s="30"/>
      <c r="G1173" s="30"/>
      <c r="H1173" s="86">
        <f>+'[7]Compta Jospin (2)'!$F$1592</f>
        <v>950</v>
      </c>
      <c r="I1173" s="85">
        <v>93700</v>
      </c>
      <c r="J1173" s="31">
        <f t="shared" si="522"/>
        <v>0</v>
      </c>
      <c r="L1173" s="75"/>
      <c r="M1173" s="75"/>
      <c r="N1173" s="75"/>
      <c r="O1173" s="75"/>
    </row>
    <row r="1174" spans="1:15" s="74" customFormat="1" ht="16.5">
      <c r="A1174" s="82" t="s">
        <v>66</v>
      </c>
      <c r="B1174" s="8" t="s">
        <v>29</v>
      </c>
      <c r="C1174" s="83">
        <v>265600</v>
      </c>
      <c r="D1174" s="30"/>
      <c r="E1174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1174" s="30"/>
      <c r="G1174" s="30"/>
      <c r="H1174" s="86"/>
      <c r="I1174" s="85">
        <v>1036850</v>
      </c>
      <c r="J1174" s="31">
        <f t="shared" si="522"/>
        <v>84350</v>
      </c>
      <c r="L1174" s="75"/>
      <c r="M1174" s="75"/>
      <c r="N1174" s="75"/>
      <c r="O1174" s="75"/>
    </row>
    <row r="1175" spans="1:15" s="74" customFormat="1" ht="16.5">
      <c r="A1175" s="82" t="s">
        <v>66</v>
      </c>
      <c r="B1175" s="8" t="s">
        <v>49</v>
      </c>
      <c r="C1175" s="83">
        <f t="shared" ref="C1175" si="523">+C1148</f>
        <v>-216251</v>
      </c>
      <c r="D1175" s="30"/>
      <c r="E1175" s="30">
        <v>0</v>
      </c>
      <c r="F1175" s="30"/>
      <c r="G1175" s="30"/>
      <c r="H1175" s="86"/>
      <c r="I1175" s="87">
        <v>0</v>
      </c>
      <c r="J1175" s="31">
        <f t="shared" si="522"/>
        <v>-216251</v>
      </c>
      <c r="L1175" s="75"/>
      <c r="M1175" s="75"/>
      <c r="N1175" s="75"/>
      <c r="O1175" s="75"/>
    </row>
    <row r="1176" spans="1:15" s="74" customFormat="1" ht="16.5">
      <c r="A1176" s="82" t="s">
        <v>66</v>
      </c>
      <c r="B1176" s="8" t="s">
        <v>33</v>
      </c>
      <c r="C1176" s="83">
        <v>1025</v>
      </c>
      <c r="D1176" s="30"/>
      <c r="E1176" s="30">
        <f>+'[9]compta shely'!$E$90+'[9]compta shely'!$E$97+'[9]compta shely'!$E$100</f>
        <v>25000</v>
      </c>
      <c r="F1176" s="30"/>
      <c r="G1176" s="30"/>
      <c r="H1176" s="86"/>
      <c r="I1176" s="85">
        <v>24000</v>
      </c>
      <c r="J1176" s="31">
        <f>+SUM(C1176:G1176)-(H1176+I1176)</f>
        <v>2025</v>
      </c>
      <c r="L1176" s="75"/>
      <c r="M1176" s="75"/>
      <c r="N1176" s="75"/>
      <c r="O1176" s="75"/>
    </row>
    <row r="1177" spans="1:15" s="74" customFormat="1" ht="16.5">
      <c r="A1177" s="32" t="s">
        <v>66</v>
      </c>
      <c r="B1177" s="8" t="s">
        <v>32</v>
      </c>
      <c r="C1177" s="83">
        <v>0</v>
      </c>
      <c r="D1177" s="32"/>
      <c r="E1177" s="32">
        <f>+'[10]compta ted'!$E$11</f>
        <v>10000</v>
      </c>
      <c r="F1177" s="32"/>
      <c r="G1177" s="32"/>
      <c r="H1177" s="86"/>
      <c r="I1177" s="85">
        <v>0</v>
      </c>
      <c r="J1177" s="31">
        <f>+SUM(C1177:G1177)-(H1177+I1177)</f>
        <v>10000</v>
      </c>
      <c r="L1177" s="75"/>
      <c r="M1177" s="75"/>
      <c r="N1177" s="75"/>
      <c r="O1177" s="75"/>
    </row>
    <row r="1178" spans="1:15" s="74" customFormat="1">
      <c r="A1178" s="88" t="s">
        <v>60</v>
      </c>
      <c r="B1178" s="89"/>
      <c r="C1178" s="89"/>
      <c r="D1178" s="89"/>
      <c r="E1178" s="89"/>
      <c r="F1178" s="89"/>
      <c r="G1178" s="89"/>
      <c r="H1178" s="89"/>
      <c r="I1178" s="89"/>
      <c r="J1178" s="90"/>
      <c r="L1178" s="75"/>
      <c r="M1178" s="75"/>
      <c r="N1178" s="75"/>
      <c r="O1178" s="75"/>
    </row>
    <row r="1179" spans="1:15" s="74" customFormat="1">
      <c r="A1179" s="32" t="s">
        <v>66</v>
      </c>
      <c r="B1179" s="38" t="s">
        <v>61</v>
      </c>
      <c r="C1179" s="39">
        <v>954796</v>
      </c>
      <c r="D1179" s="30">
        <v>3000000</v>
      </c>
      <c r="E1179" s="30"/>
      <c r="F1179" s="30"/>
      <c r="G1179" s="91">
        <v>17585</v>
      </c>
      <c r="H1179" s="92">
        <v>2431600</v>
      </c>
      <c r="I1179" s="93">
        <v>749106</v>
      </c>
      <c r="J1179" s="94">
        <f>+SUM(C1179:G1179)-(H1179+I1179)</f>
        <v>791675</v>
      </c>
      <c r="L1179" s="75"/>
      <c r="M1179" s="75"/>
      <c r="N1179" s="75"/>
      <c r="O1179" s="75"/>
    </row>
    <row r="1180" spans="1:15" s="74" customFormat="1">
      <c r="A1180" s="95" t="s">
        <v>62</v>
      </c>
      <c r="B1180" s="79"/>
      <c r="C1180" s="89"/>
      <c r="D1180" s="79"/>
      <c r="E1180" s="79"/>
      <c r="F1180" s="79"/>
      <c r="G1180" s="79"/>
      <c r="H1180" s="79"/>
      <c r="I1180" s="79"/>
      <c r="J1180" s="90"/>
      <c r="L1180" s="75"/>
      <c r="M1180" s="75"/>
      <c r="N1180" s="75"/>
      <c r="O1180" s="75"/>
    </row>
    <row r="1181" spans="1:15" s="74" customFormat="1">
      <c r="A1181" s="32" t="s">
        <v>66</v>
      </c>
      <c r="B1181" s="38" t="s">
        <v>63</v>
      </c>
      <c r="C1181" s="83">
        <v>705838</v>
      </c>
      <c r="D1181" s="96">
        <v>10801800</v>
      </c>
      <c r="E1181" s="97"/>
      <c r="F1181" s="97"/>
      <c r="G1181" s="97"/>
      <c r="H1181" s="98">
        <v>3000000</v>
      </c>
      <c r="I1181" s="99">
        <v>468365</v>
      </c>
      <c r="J1181" s="31">
        <f>+SUM(C1181:G1181)-(H1181+I1181)</f>
        <v>8039273</v>
      </c>
      <c r="L1181" s="75"/>
      <c r="M1181" s="75"/>
      <c r="N1181" s="75"/>
      <c r="O1181" s="75"/>
    </row>
    <row r="1182" spans="1:15" s="74" customFormat="1">
      <c r="A1182" s="32" t="s">
        <v>66</v>
      </c>
      <c r="B1182" s="38" t="s">
        <v>64</v>
      </c>
      <c r="C1182" s="83">
        <v>14874402</v>
      </c>
      <c r="D1182" s="97">
        <v>3279785</v>
      </c>
      <c r="E1182" s="100"/>
      <c r="F1182" s="100"/>
      <c r="G1182" s="100"/>
      <c r="H1182" s="101"/>
      <c r="I1182" s="102">
        <v>4870847</v>
      </c>
      <c r="J1182" s="31">
        <f>SUM(C1182:G1182)-(H1182+I1182)</f>
        <v>13283340</v>
      </c>
      <c r="L1182" s="75"/>
      <c r="M1182" s="75"/>
      <c r="N1182" s="75"/>
      <c r="O1182" s="75"/>
    </row>
    <row r="1183" spans="1:15" s="74" customFormat="1">
      <c r="L1183" s="75"/>
      <c r="M1183" s="75"/>
      <c r="N1183" s="75"/>
      <c r="O1183" s="75"/>
    </row>
    <row r="1184" spans="1:15" s="74" customFormat="1">
      <c r="C1184" s="103">
        <f>+SUM(C1167:C1182)</f>
        <v>17673344</v>
      </c>
      <c r="I1184" s="103">
        <f>SUM(I1167:I1182)</f>
        <v>9525308</v>
      </c>
      <c r="J1184" s="103">
        <f>+SUM(J1167:J1182)</f>
        <v>22229621</v>
      </c>
      <c r="L1184" s="75"/>
      <c r="M1184" s="75"/>
      <c r="N1184" s="75"/>
      <c r="O1184" s="75"/>
    </row>
    <row r="1185" spans="1:17">
      <c r="C1185" s="9"/>
      <c r="I1185" s="9"/>
      <c r="J1185" s="9"/>
      <c r="Q1185" s="5"/>
    </row>
    <row r="1186" spans="1:17">
      <c r="A1186" s="64" t="s">
        <v>70</v>
      </c>
      <c r="B1186" s="64"/>
      <c r="Q1186" s="5"/>
    </row>
    <row r="1187" spans="1:17">
      <c r="A1187" s="65" t="s">
        <v>71</v>
      </c>
      <c r="B1187" s="65"/>
      <c r="C1187" s="65"/>
      <c r="D1187" s="65"/>
      <c r="E1187" s="65"/>
      <c r="F1187" s="65"/>
      <c r="G1187" s="65"/>
      <c r="H1187" s="65"/>
      <c r="I1187" s="65"/>
      <c r="J1187" s="65"/>
      <c r="L1187" s="5"/>
      <c r="M1187" s="5"/>
      <c r="N1187" s="5"/>
      <c r="O1187" s="5"/>
      <c r="Q1187" s="5"/>
    </row>
    <row r="1189" spans="1:17" ht="15" customHeight="1">
      <c r="A1189" s="466" t="s">
        <v>53</v>
      </c>
      <c r="B1189" s="466" t="s">
        <v>54</v>
      </c>
      <c r="C1189" s="477" t="s">
        <v>73</v>
      </c>
      <c r="D1189" s="472" t="s">
        <v>55</v>
      </c>
      <c r="E1189" s="472"/>
      <c r="F1189" s="472"/>
      <c r="G1189" s="472"/>
      <c r="H1189" s="473" t="s">
        <v>56</v>
      </c>
      <c r="I1189" s="475" t="s">
        <v>57</v>
      </c>
      <c r="J1189" s="468" t="s">
        <v>74</v>
      </c>
      <c r="K1189" s="469"/>
      <c r="L1189" s="5"/>
      <c r="M1189" s="5"/>
      <c r="N1189" s="5"/>
      <c r="O1189" s="5"/>
      <c r="Q1189" s="5"/>
    </row>
    <row r="1190" spans="1:17" ht="28.5" customHeight="1">
      <c r="A1190" s="467"/>
      <c r="B1190" s="467"/>
      <c r="C1190" s="467"/>
      <c r="D1190" s="69" t="s">
        <v>24</v>
      </c>
      <c r="E1190" s="66" t="s">
        <v>25</v>
      </c>
      <c r="F1190" s="66" t="s">
        <v>27</v>
      </c>
      <c r="G1190" s="66" t="s">
        <v>58</v>
      </c>
      <c r="H1190" s="474"/>
      <c r="I1190" s="476"/>
      <c r="J1190" s="470"/>
      <c r="K1190" s="471"/>
      <c r="L1190" s="5"/>
      <c r="M1190" s="5"/>
      <c r="N1190" s="5"/>
      <c r="O1190" s="5"/>
      <c r="Q1190" s="5"/>
    </row>
    <row r="1191" spans="1:17">
      <c r="A1191" s="47"/>
      <c r="B1191" s="47" t="s">
        <v>59</v>
      </c>
      <c r="C1191" s="49"/>
      <c r="D1191" s="49"/>
      <c r="E1191" s="49"/>
      <c r="F1191" s="49"/>
      <c r="G1191" s="49"/>
      <c r="H1191" s="49"/>
      <c r="I1191" s="49"/>
      <c r="J1191" s="49"/>
      <c r="K1191" s="47"/>
      <c r="L1191" s="5"/>
      <c r="M1191" s="5"/>
      <c r="N1191" s="5"/>
      <c r="O1191" s="5"/>
      <c r="Q1191" s="5"/>
    </row>
    <row r="1192" spans="1:17">
      <c r="A1192" s="47" t="s">
        <v>72</v>
      </c>
      <c r="B1192" s="47" t="s">
        <v>47</v>
      </c>
      <c r="C1192" s="49">
        <v>89360</v>
      </c>
      <c r="D1192" s="49"/>
      <c r="E1192" s="49">
        <v>13000</v>
      </c>
      <c r="F1192" s="49"/>
      <c r="G1192" s="49"/>
      <c r="H1192" s="49"/>
      <c r="I1192" s="49">
        <v>61800</v>
      </c>
      <c r="J1192" s="49">
        <v>40560</v>
      </c>
      <c r="K1192" s="47"/>
      <c r="L1192" s="5"/>
      <c r="M1192" s="5"/>
      <c r="N1192" s="5"/>
      <c r="O1192" s="5"/>
      <c r="Q1192" s="5"/>
    </row>
    <row r="1193" spans="1:17">
      <c r="A1193" s="47" t="s">
        <v>72</v>
      </c>
      <c r="B1193" s="47" t="s">
        <v>28</v>
      </c>
      <c r="C1193" s="49">
        <v>-1025</v>
      </c>
      <c r="D1193" s="49"/>
      <c r="E1193" s="49">
        <v>684500</v>
      </c>
      <c r="F1193" s="49"/>
      <c r="G1193" s="49"/>
      <c r="H1193" s="49"/>
      <c r="I1193" s="49">
        <v>455500</v>
      </c>
      <c r="J1193" s="49">
        <v>227975</v>
      </c>
      <c r="K1193" s="47"/>
      <c r="L1193" s="5"/>
      <c r="M1193" s="5"/>
      <c r="N1193" s="5"/>
      <c r="O1193" s="5"/>
      <c r="Q1193" s="5"/>
    </row>
    <row r="1194" spans="1:17">
      <c r="A1194" s="47" t="s">
        <v>72</v>
      </c>
      <c r="B1194" s="47" t="s">
        <v>31</v>
      </c>
      <c r="C1194" s="49">
        <v>14395</v>
      </c>
      <c r="D1194" s="49"/>
      <c r="E1194" s="49">
        <v>40000</v>
      </c>
      <c r="F1194" s="49"/>
      <c r="G1194" s="49"/>
      <c r="H1194" s="49"/>
      <c r="I1194" s="49">
        <v>55000</v>
      </c>
      <c r="J1194" s="49">
        <v>-605</v>
      </c>
      <c r="K1194" s="47"/>
      <c r="L1194" s="5"/>
      <c r="M1194" s="5"/>
      <c r="N1194" s="5"/>
      <c r="O1194" s="5"/>
      <c r="Q1194" s="5"/>
    </row>
    <row r="1195" spans="1:17">
      <c r="A1195" s="47" t="s">
        <v>72</v>
      </c>
      <c r="B1195" s="47" t="s">
        <v>26</v>
      </c>
      <c r="C1195" s="49">
        <v>8559</v>
      </c>
      <c r="D1195" s="49"/>
      <c r="E1195" s="49">
        <v>428750</v>
      </c>
      <c r="F1195" s="49">
        <v>280200</v>
      </c>
      <c r="G1195" s="49"/>
      <c r="H1195" s="49"/>
      <c r="I1195" s="49">
        <v>452850</v>
      </c>
      <c r="J1195" s="49">
        <v>264659</v>
      </c>
      <c r="K1195" s="47"/>
      <c r="L1195" s="5"/>
      <c r="M1195" s="5"/>
      <c r="N1195" s="5"/>
      <c r="O1195" s="5"/>
      <c r="Q1195" s="5"/>
    </row>
    <row r="1196" spans="1:17">
      <c r="A1196" s="47" t="s">
        <v>72</v>
      </c>
      <c r="B1196" s="47" t="s">
        <v>48</v>
      </c>
      <c r="C1196" s="49">
        <v>-5750</v>
      </c>
      <c r="D1196" s="49"/>
      <c r="E1196" s="49">
        <v>1161750</v>
      </c>
      <c r="F1196" s="49"/>
      <c r="G1196" s="49"/>
      <c r="H1196" s="49">
        <v>124000</v>
      </c>
      <c r="I1196" s="49">
        <v>759500</v>
      </c>
      <c r="J1196" s="49">
        <v>272500</v>
      </c>
      <c r="K1196" s="47"/>
      <c r="L1196" s="5"/>
      <c r="M1196" s="5"/>
      <c r="N1196" s="5"/>
      <c r="O1196" s="5"/>
      <c r="Q1196" s="5"/>
    </row>
    <row r="1197" spans="1:17">
      <c r="A1197" s="47" t="s">
        <v>72</v>
      </c>
      <c r="B1197" s="47" t="s">
        <v>35</v>
      </c>
      <c r="C1197" s="49">
        <v>12995</v>
      </c>
      <c r="D1197" s="49"/>
      <c r="E1197" s="49">
        <v>726000</v>
      </c>
      <c r="F1197" s="49"/>
      <c r="G1197" s="49"/>
      <c r="H1197" s="49"/>
      <c r="I1197" s="49">
        <v>454400</v>
      </c>
      <c r="J1197" s="49">
        <v>284595</v>
      </c>
      <c r="K1197" s="47"/>
      <c r="L1197" s="5"/>
      <c r="M1197" s="5"/>
      <c r="N1197" s="5"/>
      <c r="O1197" s="5"/>
      <c r="Q1197" s="5"/>
    </row>
    <row r="1198" spans="1:17">
      <c r="A1198" s="47" t="s">
        <v>72</v>
      </c>
      <c r="B1198" s="47" t="s">
        <v>27</v>
      </c>
      <c r="C1198" s="49">
        <v>6050</v>
      </c>
      <c r="D1198" s="49"/>
      <c r="E1198" s="49">
        <v>736300</v>
      </c>
      <c r="F1198" s="49"/>
      <c r="G1198" s="49"/>
      <c r="H1198" s="49">
        <v>405200</v>
      </c>
      <c r="I1198" s="49">
        <v>338900</v>
      </c>
      <c r="J1198" s="49">
        <v>-1750</v>
      </c>
      <c r="K1198" s="47"/>
      <c r="L1198" s="5"/>
      <c r="M1198" s="5"/>
      <c r="N1198" s="5"/>
      <c r="O1198" s="5"/>
      <c r="Q1198" s="5"/>
    </row>
    <row r="1199" spans="1:17">
      <c r="A1199" s="47" t="s">
        <v>72</v>
      </c>
      <c r="B1199" s="47" t="s">
        <v>29</v>
      </c>
      <c r="C1199" s="49">
        <v>142400</v>
      </c>
      <c r="D1199" s="49"/>
      <c r="E1199" s="49">
        <v>1014000</v>
      </c>
      <c r="F1199" s="49"/>
      <c r="G1199" s="49"/>
      <c r="H1199" s="49">
        <v>100000</v>
      </c>
      <c r="I1199" s="49">
        <v>790800</v>
      </c>
      <c r="J1199" s="49">
        <v>265600</v>
      </c>
      <c r="K1199" s="47"/>
      <c r="L1199" s="5"/>
      <c r="M1199" s="5"/>
      <c r="N1199" s="5"/>
      <c r="O1199" s="5"/>
      <c r="Q1199" s="5"/>
    </row>
    <row r="1200" spans="1:17">
      <c r="A1200" s="47" t="s">
        <v>72</v>
      </c>
      <c r="B1200" s="47" t="s">
        <v>49</v>
      </c>
      <c r="C1200" s="49">
        <v>-221251.00072999997</v>
      </c>
      <c r="D1200" s="49"/>
      <c r="E1200" s="49">
        <v>485000</v>
      </c>
      <c r="F1200" s="49"/>
      <c r="G1200" s="49"/>
      <c r="H1200" s="49">
        <v>5000</v>
      </c>
      <c r="I1200" s="49">
        <v>475000</v>
      </c>
      <c r="J1200" s="49">
        <v>-216251.00072999997</v>
      </c>
      <c r="K1200" s="47"/>
      <c r="L1200" s="5"/>
      <c r="M1200" s="5"/>
      <c r="N1200" s="5"/>
      <c r="O1200" s="5"/>
      <c r="Q1200" s="5"/>
    </row>
    <row r="1201" spans="1:17">
      <c r="A1201" s="47" t="s">
        <v>72</v>
      </c>
      <c r="B1201" s="47" t="s">
        <v>33</v>
      </c>
      <c r="C1201" s="49">
        <v>14225</v>
      </c>
      <c r="D1201" s="49"/>
      <c r="E1201" s="49">
        <v>30000</v>
      </c>
      <c r="F1201" s="49"/>
      <c r="G1201" s="49"/>
      <c r="H1201" s="49"/>
      <c r="I1201" s="49">
        <v>43200</v>
      </c>
      <c r="J1201" s="49">
        <v>1025</v>
      </c>
      <c r="K1201" s="47"/>
      <c r="L1201" s="5"/>
      <c r="M1201" s="5"/>
      <c r="N1201" s="5"/>
      <c r="O1201" s="5"/>
      <c r="Q1201" s="5"/>
    </row>
    <row r="1202" spans="1:17">
      <c r="A1202" s="67" t="s">
        <v>60</v>
      </c>
      <c r="B1202" s="67"/>
      <c r="C1202" s="68"/>
      <c r="D1202" s="68"/>
      <c r="E1202" s="68"/>
      <c r="F1202" s="68"/>
      <c r="G1202" s="68"/>
      <c r="H1202" s="68"/>
      <c r="I1202" s="68"/>
      <c r="J1202" s="68"/>
      <c r="K1202" s="67"/>
      <c r="L1202" s="5"/>
      <c r="M1202" s="5"/>
      <c r="N1202" s="5"/>
      <c r="O1202" s="5"/>
      <c r="Q1202" s="5"/>
    </row>
    <row r="1203" spans="1:17">
      <c r="A1203" s="47" t="s">
        <v>72</v>
      </c>
      <c r="B1203" s="47" t="s">
        <v>61</v>
      </c>
      <c r="C1203" s="49">
        <v>494738</v>
      </c>
      <c r="D1203" s="49">
        <v>6000000</v>
      </c>
      <c r="E1203" s="49"/>
      <c r="F1203" s="49"/>
      <c r="G1203" s="49">
        <v>105000</v>
      </c>
      <c r="H1203" s="49">
        <v>5070300</v>
      </c>
      <c r="I1203" s="49">
        <v>574642</v>
      </c>
      <c r="J1203" s="49">
        <v>954796</v>
      </c>
      <c r="K1203" s="47"/>
      <c r="L1203" s="5"/>
      <c r="M1203" s="5"/>
      <c r="N1203" s="5"/>
      <c r="O1203" s="5"/>
      <c r="Q1203" s="5"/>
    </row>
    <row r="1204" spans="1:17">
      <c r="A1204" s="67" t="s">
        <v>62</v>
      </c>
      <c r="B1204" s="67"/>
      <c r="C1204" s="68"/>
      <c r="D1204" s="68"/>
      <c r="E1204" s="68"/>
      <c r="F1204" s="68"/>
      <c r="G1204" s="68"/>
      <c r="H1204" s="68"/>
      <c r="I1204" s="68"/>
      <c r="J1204" s="68"/>
      <c r="K1204" s="67"/>
      <c r="L1204" s="5"/>
      <c r="M1204" s="5"/>
      <c r="N1204" s="5"/>
      <c r="O1204" s="5"/>
      <c r="Q1204" s="5"/>
    </row>
    <row r="1205" spans="1:17">
      <c r="A1205" s="47" t="s">
        <v>72</v>
      </c>
      <c r="B1205" s="47" t="s">
        <v>63</v>
      </c>
      <c r="C1205" s="49">
        <v>11363703</v>
      </c>
      <c r="D1205" s="49"/>
      <c r="E1205" s="49"/>
      <c r="F1205" s="49"/>
      <c r="G1205" s="49"/>
      <c r="H1205" s="49">
        <v>10000000</v>
      </c>
      <c r="I1205" s="49">
        <v>657865</v>
      </c>
      <c r="J1205" s="49">
        <v>705838</v>
      </c>
      <c r="K1205" s="47"/>
      <c r="L1205" s="5"/>
      <c r="M1205" s="5"/>
      <c r="N1205" s="5"/>
      <c r="O1205" s="5"/>
      <c r="Q1205" s="5"/>
    </row>
    <row r="1206" spans="1:17">
      <c r="A1206" s="47" t="s">
        <v>72</v>
      </c>
      <c r="B1206" s="47" t="s">
        <v>64</v>
      </c>
      <c r="C1206" s="49">
        <v>4902843</v>
      </c>
      <c r="D1206" s="49">
        <v>17119140</v>
      </c>
      <c r="E1206" s="49"/>
      <c r="F1206" s="49"/>
      <c r="G1206" s="49"/>
      <c r="H1206" s="49"/>
      <c r="I1206" s="49">
        <v>7147581</v>
      </c>
      <c r="J1206" s="49">
        <v>14874402</v>
      </c>
      <c r="K1206" s="47"/>
      <c r="L1206" s="5"/>
      <c r="M1206" s="5"/>
      <c r="N1206" s="5"/>
      <c r="O1206" s="5"/>
      <c r="Q1206" s="5"/>
    </row>
    <row r="1207" spans="1:17">
      <c r="A1207" s="47"/>
      <c r="B1207" s="47"/>
      <c r="C1207" s="49"/>
      <c r="D1207" s="49"/>
      <c r="E1207" s="49"/>
      <c r="F1207" s="49"/>
      <c r="G1207" s="49"/>
      <c r="H1207" s="49"/>
      <c r="I1207" s="49"/>
      <c r="J1207" s="49"/>
      <c r="K1207" s="47"/>
      <c r="L1207" s="5"/>
      <c r="M1207" s="5"/>
      <c r="N1207" s="5"/>
      <c r="O1207" s="5"/>
      <c r="Q1207" s="5"/>
    </row>
    <row r="1208" spans="1:17">
      <c r="A1208" s="47"/>
      <c r="B1208" s="47"/>
      <c r="C1208" s="49"/>
      <c r="D1208" s="49"/>
      <c r="E1208" s="49"/>
      <c r="F1208" s="49"/>
      <c r="G1208" s="49"/>
      <c r="H1208" s="49"/>
      <c r="I1208" s="49">
        <v>12267038</v>
      </c>
      <c r="J1208" s="49">
        <v>17673343.99927</v>
      </c>
      <c r="K1208" s="47" t="b">
        <v>1</v>
      </c>
      <c r="L1208" s="5"/>
      <c r="M1208" s="5"/>
      <c r="N1208" s="5"/>
      <c r="O1208" s="5"/>
      <c r="Q1208" s="5"/>
    </row>
    <row r="1209" spans="1:17">
      <c r="J1209" s="70" t="b">
        <f>J1208=[11]TABLEAU!$I$16</f>
        <v>1</v>
      </c>
      <c r="L1209" s="5"/>
      <c r="M1209" s="5"/>
      <c r="N1209" s="5"/>
      <c r="O1209" s="5"/>
      <c r="Q1209" s="5"/>
    </row>
  </sheetData>
  <mergeCells count="133">
    <mergeCell ref="A728:A729"/>
    <mergeCell ref="B728:B729"/>
    <mergeCell ref="C728:C729"/>
    <mergeCell ref="D728:G728"/>
    <mergeCell ref="H728:H729"/>
    <mergeCell ref="I728:I729"/>
    <mergeCell ref="J729:J730"/>
    <mergeCell ref="A681:A682"/>
    <mergeCell ref="B681:B682"/>
    <mergeCell ref="C681:C682"/>
    <mergeCell ref="D681:G681"/>
    <mergeCell ref="H681:H682"/>
    <mergeCell ref="I681:I682"/>
    <mergeCell ref="J682:J683"/>
    <mergeCell ref="A776:A777"/>
    <mergeCell ref="B776:B777"/>
    <mergeCell ref="C776:C777"/>
    <mergeCell ref="D776:G776"/>
    <mergeCell ref="H776:H777"/>
    <mergeCell ref="I776:I777"/>
    <mergeCell ref="J777:J778"/>
    <mergeCell ref="A897:A898"/>
    <mergeCell ref="B897:B898"/>
    <mergeCell ref="C897:C898"/>
    <mergeCell ref="D897:G897"/>
    <mergeCell ref="H897:H898"/>
    <mergeCell ref="I826:I827"/>
    <mergeCell ref="J827:J828"/>
    <mergeCell ref="A826:A827"/>
    <mergeCell ref="B826:B827"/>
    <mergeCell ref="C826:C827"/>
    <mergeCell ref="D826:G826"/>
    <mergeCell ref="H826:H827"/>
    <mergeCell ref="I849:I850"/>
    <mergeCell ref="J850:J851"/>
    <mergeCell ref="A849:A850"/>
    <mergeCell ref="B849:B850"/>
    <mergeCell ref="C849:C850"/>
    <mergeCell ref="B873:B874"/>
    <mergeCell ref="C873:C874"/>
    <mergeCell ref="D873:G873"/>
    <mergeCell ref="H873:H874"/>
    <mergeCell ref="H974:H975"/>
    <mergeCell ref="B922:B923"/>
    <mergeCell ref="C922:C923"/>
    <mergeCell ref="D922:G922"/>
    <mergeCell ref="H922:H923"/>
    <mergeCell ref="A1189:A1190"/>
    <mergeCell ref="J1138:J1139"/>
    <mergeCell ref="A1137:A1138"/>
    <mergeCell ref="B1137:B1138"/>
    <mergeCell ref="C1137:C1138"/>
    <mergeCell ref="D1137:G1137"/>
    <mergeCell ref="H1137:H1138"/>
    <mergeCell ref="I1137:I1138"/>
    <mergeCell ref="B1189:B1190"/>
    <mergeCell ref="J1189:K1190"/>
    <mergeCell ref="D1189:G1189"/>
    <mergeCell ref="H1189:H1190"/>
    <mergeCell ref="I1189:I1190"/>
    <mergeCell ref="C1189:C1190"/>
    <mergeCell ref="B1164:B1165"/>
    <mergeCell ref="C1164:C1165"/>
    <mergeCell ref="A1164:A1165"/>
    <mergeCell ref="D1164:G1164"/>
    <mergeCell ref="H1164:H1165"/>
    <mergeCell ref="J1165:J1166"/>
    <mergeCell ref="I1164:I1165"/>
    <mergeCell ref="I974:I975"/>
    <mergeCell ref="J975:J976"/>
    <mergeCell ref="A974:A975"/>
    <mergeCell ref="B974:B975"/>
    <mergeCell ref="C974:C975"/>
    <mergeCell ref="D974:G974"/>
    <mergeCell ref="J1111:J1112"/>
    <mergeCell ref="A1110:A1111"/>
    <mergeCell ref="B1110:B1111"/>
    <mergeCell ref="C1110:C1111"/>
    <mergeCell ref="D1110:G1110"/>
    <mergeCell ref="H1110:H1111"/>
    <mergeCell ref="I1001:I1002"/>
    <mergeCell ref="J1002:J1003"/>
    <mergeCell ref="A1001:A1002"/>
    <mergeCell ref="B1001:B1002"/>
    <mergeCell ref="C1001:C1002"/>
    <mergeCell ref="D1001:G1001"/>
    <mergeCell ref="H1001:H1002"/>
    <mergeCell ref="B1057:B1058"/>
    <mergeCell ref="C1057:C1058"/>
    <mergeCell ref="D1057:G1057"/>
    <mergeCell ref="H1057:H1058"/>
    <mergeCell ref="I1110:I1111"/>
    <mergeCell ref="I1084:I1085"/>
    <mergeCell ref="J1085:J1086"/>
    <mergeCell ref="A1084:A1085"/>
    <mergeCell ref="B1084:B1085"/>
    <mergeCell ref="C1084:C1085"/>
    <mergeCell ref="D1084:G1084"/>
    <mergeCell ref="H1084:H1085"/>
    <mergeCell ref="I1029:I1030"/>
    <mergeCell ref="J1030:J1031"/>
    <mergeCell ref="A1029:A1030"/>
    <mergeCell ref="B1029:B1030"/>
    <mergeCell ref="C1029:C1030"/>
    <mergeCell ref="D1029:G1029"/>
    <mergeCell ref="H1029:H1030"/>
    <mergeCell ref="I1057:I1058"/>
    <mergeCell ref="J1058:J1059"/>
    <mergeCell ref="A1057:A1058"/>
    <mergeCell ref="I948:I949"/>
    <mergeCell ref="J949:J950"/>
    <mergeCell ref="A948:A949"/>
    <mergeCell ref="B948:B949"/>
    <mergeCell ref="C948:C949"/>
    <mergeCell ref="D948:G948"/>
    <mergeCell ref="H948:H949"/>
    <mergeCell ref="A801:A802"/>
    <mergeCell ref="B801:B802"/>
    <mergeCell ref="C801:C802"/>
    <mergeCell ref="D801:G801"/>
    <mergeCell ref="H801:H802"/>
    <mergeCell ref="I801:I802"/>
    <mergeCell ref="J802:J803"/>
    <mergeCell ref="I873:I874"/>
    <mergeCell ref="J874:J875"/>
    <mergeCell ref="A873:A874"/>
    <mergeCell ref="A922:A923"/>
    <mergeCell ref="I897:I898"/>
    <mergeCell ref="I922:I923"/>
    <mergeCell ref="J898:J899"/>
    <mergeCell ref="J923:J924"/>
    <mergeCell ref="D849:G849"/>
    <mergeCell ref="H849:H8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21"/>
  <sheetViews>
    <sheetView workbookViewId="0">
      <selection activeCell="G15" sqref="G15"/>
    </sheetView>
  </sheetViews>
  <sheetFormatPr baseColWidth="10" defaultRowHeight="15"/>
  <cols>
    <col min="1" max="1" width="21" customWidth="1"/>
    <col min="2" max="2" width="16.140625" customWidth="1"/>
    <col min="3" max="4" width="8" customWidth="1"/>
    <col min="5" max="5" width="12.5703125" bestFit="1" customWidth="1"/>
  </cols>
  <sheetData>
    <row r="3" spans="1:5">
      <c r="A3" s="1" t="s">
        <v>128</v>
      </c>
      <c r="B3" t="s">
        <v>135</v>
      </c>
    </row>
    <row r="4" spans="1:5">
      <c r="A4" s="2" t="s">
        <v>500</v>
      </c>
      <c r="B4" s="169">
        <v>820345</v>
      </c>
    </row>
    <row r="5" spans="1:5">
      <c r="A5" s="2" t="s">
        <v>102</v>
      </c>
      <c r="B5" s="169">
        <v>4026946</v>
      </c>
    </row>
    <row r="6" spans="1:5">
      <c r="A6" s="2" t="s">
        <v>542</v>
      </c>
      <c r="B6" s="169">
        <v>4532968</v>
      </c>
    </row>
    <row r="7" spans="1:5">
      <c r="A7" s="2" t="s">
        <v>129</v>
      </c>
      <c r="B7" s="169">
        <v>9380259</v>
      </c>
    </row>
    <row r="14" spans="1:5">
      <c r="A14" s="1" t="s">
        <v>135</v>
      </c>
      <c r="B14" s="1" t="s">
        <v>130</v>
      </c>
    </row>
    <row r="15" spans="1:5">
      <c r="A15" s="1" t="s">
        <v>128</v>
      </c>
      <c r="B15" s="449" t="s">
        <v>500</v>
      </c>
      <c r="C15" t="s">
        <v>102</v>
      </c>
      <c r="D15" t="s">
        <v>542</v>
      </c>
      <c r="E15" t="s">
        <v>129</v>
      </c>
    </row>
    <row r="16" spans="1:5">
      <c r="A16" s="2" t="s">
        <v>205</v>
      </c>
      <c r="B16" s="450">
        <v>607345</v>
      </c>
      <c r="C16" s="169"/>
      <c r="D16" s="169">
        <v>3340868</v>
      </c>
      <c r="E16" s="169">
        <v>3948213</v>
      </c>
    </row>
    <row r="17" spans="1:5">
      <c r="A17" s="2" t="s">
        <v>206</v>
      </c>
      <c r="B17" s="450">
        <v>213000</v>
      </c>
      <c r="C17" s="169">
        <v>4026946</v>
      </c>
      <c r="D17" s="169">
        <v>1192100</v>
      </c>
      <c r="E17" s="169">
        <v>5432046</v>
      </c>
    </row>
    <row r="18" spans="1:5">
      <c r="A18" s="2" t="s">
        <v>129</v>
      </c>
      <c r="B18" s="450">
        <v>820345</v>
      </c>
      <c r="C18" s="169">
        <v>4026946</v>
      </c>
      <c r="D18" s="169">
        <v>4532968</v>
      </c>
      <c r="E18" s="169">
        <v>9380259</v>
      </c>
    </row>
    <row r="20" spans="1:5">
      <c r="C20" s="210">
        <f>(C17*100%)/E17</f>
        <v>0.74133135102316883</v>
      </c>
      <c r="D20" s="211" t="s">
        <v>207</v>
      </c>
    </row>
    <row r="21" spans="1:5">
      <c r="C21" s="210">
        <f>((D17+B17)*100%)/E17</f>
        <v>0.25866864897683117</v>
      </c>
      <c r="D21" s="211" t="s">
        <v>511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S21"/>
  <sheetViews>
    <sheetView workbookViewId="0">
      <pane xSplit="1" topLeftCell="AL1" activePane="topRight" state="frozen"/>
      <selection pane="topRight" activeCell="AR12" sqref="AR12"/>
    </sheetView>
  </sheetViews>
  <sheetFormatPr baseColWidth="10" defaultRowHeight="15"/>
  <cols>
    <col min="1" max="1" width="21" customWidth="1"/>
    <col min="2" max="2" width="23.85546875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customWidth="1"/>
    <col min="8" max="8" width="19.140625" customWidth="1"/>
    <col min="9" max="9" width="16.140625" bestFit="1" customWidth="1"/>
    <col min="10" max="10" width="19.140625" bestFit="1" customWidth="1"/>
    <col min="11" max="11" width="16.140625" customWidth="1"/>
    <col min="12" max="12" width="19.140625" bestFit="1" customWidth="1"/>
    <col min="13" max="13" width="16.140625" customWidth="1"/>
    <col min="14" max="14" width="19.140625" customWidth="1"/>
    <col min="15" max="15" width="16.140625" bestFit="1" customWidth="1"/>
    <col min="16" max="16" width="19.140625" customWidth="1"/>
    <col min="17" max="17" width="16.140625" customWidth="1"/>
    <col min="18" max="18" width="19.140625" bestFit="1" customWidth="1"/>
    <col min="19" max="19" width="16.140625" customWidth="1"/>
    <col min="20" max="20" width="19.140625" customWidth="1"/>
    <col min="21" max="21" width="16.140625" bestFit="1" customWidth="1"/>
    <col min="22" max="22" width="19.140625" customWidth="1"/>
    <col min="23" max="23" width="16.140625" customWidth="1"/>
    <col min="24" max="24" width="19.140625" bestFit="1" customWidth="1"/>
    <col min="25" max="25" width="16.140625" customWidth="1"/>
    <col min="26" max="26" width="19.140625" customWidth="1"/>
    <col min="27" max="27" width="16.140625" customWidth="1"/>
    <col min="28" max="28" width="19.140625" bestFit="1" customWidth="1"/>
    <col min="29" max="29" width="16.140625" bestFit="1" customWidth="1"/>
    <col min="30" max="30" width="19.140625" customWidth="1"/>
    <col min="31" max="31" width="16.140625" bestFit="1" customWidth="1"/>
    <col min="32" max="32" width="19.140625" customWidth="1"/>
    <col min="33" max="33" width="16.140625" customWidth="1"/>
    <col min="34" max="34" width="19.140625" bestFit="1" customWidth="1"/>
    <col min="35" max="35" width="16.140625" customWidth="1"/>
    <col min="36" max="36" width="19.140625" bestFit="1" customWidth="1"/>
    <col min="37" max="37" width="16.140625" bestFit="1" customWidth="1"/>
    <col min="38" max="38" width="24.140625" customWidth="1"/>
    <col min="39" max="39" width="21" customWidth="1"/>
    <col min="40" max="40" width="24.140625" bestFit="1" customWidth="1"/>
    <col min="41" max="41" width="21" bestFit="1" customWidth="1"/>
    <col min="42" max="43" width="16.42578125" customWidth="1"/>
  </cols>
  <sheetData>
    <row r="3" spans="1:45">
      <c r="B3" s="1" t="s">
        <v>130</v>
      </c>
    </row>
    <row r="4" spans="1:45">
      <c r="B4" t="s">
        <v>372</v>
      </c>
      <c r="D4" t="s">
        <v>237</v>
      </c>
      <c r="F4" t="s">
        <v>446</v>
      </c>
      <c r="H4" t="s">
        <v>346</v>
      </c>
      <c r="J4" t="s">
        <v>378</v>
      </c>
      <c r="L4" t="s">
        <v>275</v>
      </c>
      <c r="N4" t="s">
        <v>441</v>
      </c>
      <c r="P4" t="s">
        <v>293</v>
      </c>
      <c r="R4" t="s">
        <v>246</v>
      </c>
      <c r="T4" t="s">
        <v>177</v>
      </c>
      <c r="V4" t="s">
        <v>181</v>
      </c>
      <c r="X4" t="s">
        <v>3</v>
      </c>
      <c r="Z4" t="s">
        <v>178</v>
      </c>
      <c r="AB4" t="s">
        <v>220</v>
      </c>
      <c r="AD4" t="s">
        <v>34</v>
      </c>
      <c r="AF4" t="s">
        <v>278</v>
      </c>
      <c r="AH4" t="s">
        <v>459</v>
      </c>
      <c r="AJ4" t="s">
        <v>75</v>
      </c>
      <c r="AL4" t="s">
        <v>136</v>
      </c>
      <c r="AM4" t="s">
        <v>138</v>
      </c>
    </row>
    <row r="5" spans="1:45">
      <c r="A5" s="1" t="s">
        <v>128</v>
      </c>
      <c r="B5" t="s">
        <v>137</v>
      </c>
      <c r="C5" t="s">
        <v>135</v>
      </c>
      <c r="D5" t="s">
        <v>137</v>
      </c>
      <c r="E5" t="s">
        <v>135</v>
      </c>
      <c r="F5" t="s">
        <v>137</v>
      </c>
      <c r="G5" t="s">
        <v>135</v>
      </c>
      <c r="H5" t="s">
        <v>137</v>
      </c>
      <c r="I5" t="s">
        <v>135</v>
      </c>
      <c r="J5" t="s">
        <v>137</v>
      </c>
      <c r="K5" t="s">
        <v>135</v>
      </c>
      <c r="L5" t="s">
        <v>137</v>
      </c>
      <c r="M5" t="s">
        <v>135</v>
      </c>
      <c r="N5" t="s">
        <v>137</v>
      </c>
      <c r="O5" t="s">
        <v>135</v>
      </c>
      <c r="P5" t="s">
        <v>137</v>
      </c>
      <c r="Q5" t="s">
        <v>135</v>
      </c>
      <c r="R5" t="s">
        <v>137</v>
      </c>
      <c r="S5" t="s">
        <v>135</v>
      </c>
      <c r="T5" t="s">
        <v>137</v>
      </c>
      <c r="U5" t="s">
        <v>135</v>
      </c>
      <c r="V5" t="s">
        <v>137</v>
      </c>
      <c r="W5" t="s">
        <v>135</v>
      </c>
      <c r="X5" t="s">
        <v>137</v>
      </c>
      <c r="Y5" t="s">
        <v>135</v>
      </c>
      <c r="Z5" t="s">
        <v>137</v>
      </c>
      <c r="AA5" t="s">
        <v>135</v>
      </c>
      <c r="AB5" t="s">
        <v>137</v>
      </c>
      <c r="AC5" t="s">
        <v>135</v>
      </c>
      <c r="AD5" t="s">
        <v>137</v>
      </c>
      <c r="AE5" t="s">
        <v>135</v>
      </c>
      <c r="AF5" t="s">
        <v>137</v>
      </c>
      <c r="AG5" t="s">
        <v>135</v>
      </c>
      <c r="AH5" t="s">
        <v>137</v>
      </c>
      <c r="AI5" t="s">
        <v>135</v>
      </c>
      <c r="AJ5" t="s">
        <v>137</v>
      </c>
      <c r="AK5" t="s">
        <v>135</v>
      </c>
      <c r="AP5" s="47" t="s">
        <v>42</v>
      </c>
      <c r="AQ5" s="47" t="s">
        <v>43</v>
      </c>
      <c r="AR5" s="47" t="s">
        <v>44</v>
      </c>
      <c r="AS5" s="47" t="s">
        <v>45</v>
      </c>
    </row>
    <row r="6" spans="1:45">
      <c r="A6" s="2" t="s">
        <v>24</v>
      </c>
      <c r="B6" s="169"/>
      <c r="C6" s="169">
        <v>23345</v>
      </c>
      <c r="D6" s="169"/>
      <c r="E6" s="169"/>
      <c r="F6" s="169"/>
      <c r="G6" s="169"/>
      <c r="H6" s="169"/>
      <c r="I6" s="169"/>
      <c r="J6" s="169">
        <v>17494973</v>
      </c>
      <c r="K6" s="169"/>
      <c r="L6" s="169"/>
      <c r="M6" s="169"/>
      <c r="N6" s="169"/>
      <c r="O6" s="169"/>
      <c r="P6" s="169"/>
      <c r="Q6" s="169">
        <v>150000</v>
      </c>
      <c r="R6" s="169"/>
      <c r="S6" s="169"/>
      <c r="T6" s="169"/>
      <c r="U6" s="169"/>
      <c r="V6" s="169"/>
      <c r="W6" s="169"/>
      <c r="X6" s="169"/>
      <c r="Y6" s="169">
        <v>520000</v>
      </c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>
        <v>2000000</v>
      </c>
      <c r="AL6" s="169">
        <v>17494973</v>
      </c>
      <c r="AM6" s="169">
        <v>2693345</v>
      </c>
      <c r="AO6" s="289" t="str">
        <f>A6</f>
        <v>BCI</v>
      </c>
      <c r="AP6" s="49">
        <f>AJ6</f>
        <v>0</v>
      </c>
      <c r="AQ6" s="49">
        <f>AK6</f>
        <v>2000000</v>
      </c>
      <c r="AR6" s="49">
        <f>AM6-AK6</f>
        <v>693345</v>
      </c>
      <c r="AS6" s="49">
        <f>+J6</f>
        <v>17494973</v>
      </c>
    </row>
    <row r="7" spans="1:45">
      <c r="A7" s="2" t="s">
        <v>155</v>
      </c>
      <c r="B7" s="169"/>
      <c r="C7" s="169">
        <v>14701</v>
      </c>
      <c r="D7" s="169"/>
      <c r="E7" s="169"/>
      <c r="F7" s="169"/>
      <c r="G7" s="169"/>
      <c r="H7" s="169"/>
      <c r="I7" s="169"/>
      <c r="J7" s="169">
        <v>19110651</v>
      </c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>
        <v>2210100</v>
      </c>
      <c r="V7" s="169"/>
      <c r="W7" s="169">
        <v>500000</v>
      </c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>
        <v>4000000</v>
      </c>
      <c r="AL7" s="169">
        <v>19110651</v>
      </c>
      <c r="AM7" s="169">
        <v>6724801</v>
      </c>
      <c r="AO7" s="289" t="str">
        <f t="shared" ref="AO7:AO19" si="0">A7</f>
        <v>BCI-Sous Compte</v>
      </c>
      <c r="AP7" s="49">
        <f t="shared" ref="AP7:AP18" si="1">AJ7</f>
        <v>0</v>
      </c>
      <c r="AQ7" s="49">
        <f t="shared" ref="AQ7:AQ18" si="2">AK7</f>
        <v>4000000</v>
      </c>
      <c r="AR7" s="49">
        <f t="shared" ref="AR7:AR18" si="3">AM7-AK7</f>
        <v>2724801</v>
      </c>
      <c r="AS7" s="49">
        <f>+J7</f>
        <v>19110651</v>
      </c>
    </row>
    <row r="8" spans="1:45">
      <c r="A8" s="2" t="s">
        <v>25</v>
      </c>
      <c r="B8" s="169"/>
      <c r="C8" s="169"/>
      <c r="D8" s="169"/>
      <c r="E8" s="169">
        <v>453000</v>
      </c>
      <c r="F8" s="169"/>
      <c r="G8" s="169"/>
      <c r="H8" s="169"/>
      <c r="I8" s="169">
        <v>250000</v>
      </c>
      <c r="J8" s="169"/>
      <c r="K8" s="169"/>
      <c r="L8" s="169"/>
      <c r="M8" s="169">
        <v>45050</v>
      </c>
      <c r="N8" s="169"/>
      <c r="O8" s="169"/>
      <c r="P8" s="169"/>
      <c r="Q8" s="169">
        <v>252000</v>
      </c>
      <c r="R8" s="169"/>
      <c r="S8" s="169">
        <v>142330</v>
      </c>
      <c r="T8" s="169"/>
      <c r="U8" s="169">
        <v>610136</v>
      </c>
      <c r="V8" s="169"/>
      <c r="W8" s="169">
        <v>65887</v>
      </c>
      <c r="X8" s="169"/>
      <c r="Y8" s="169">
        <v>95625</v>
      </c>
      <c r="Z8" s="169"/>
      <c r="AA8" s="169">
        <v>284000</v>
      </c>
      <c r="AB8" s="169"/>
      <c r="AC8" s="169">
        <v>72760</v>
      </c>
      <c r="AD8" s="169"/>
      <c r="AE8" s="169"/>
      <c r="AF8" s="169"/>
      <c r="AG8" s="169">
        <v>10000</v>
      </c>
      <c r="AH8" s="169"/>
      <c r="AI8" s="169"/>
      <c r="AJ8" s="169">
        <v>6008000</v>
      </c>
      <c r="AK8" s="169">
        <v>4242000</v>
      </c>
      <c r="AL8" s="169">
        <v>6008000</v>
      </c>
      <c r="AM8" s="169">
        <v>6522788</v>
      </c>
      <c r="AO8" s="289" t="str">
        <f t="shared" si="0"/>
        <v>Caisse</v>
      </c>
      <c r="AP8" s="49">
        <f t="shared" si="1"/>
        <v>6008000</v>
      </c>
      <c r="AQ8" s="49">
        <f t="shared" si="2"/>
        <v>4242000</v>
      </c>
      <c r="AR8" s="49">
        <f t="shared" si="3"/>
        <v>2280788</v>
      </c>
      <c r="AS8" s="49">
        <v>0</v>
      </c>
    </row>
    <row r="9" spans="1:45">
      <c r="A9" s="2" t="s">
        <v>47</v>
      </c>
      <c r="B9" s="169"/>
      <c r="C9" s="169"/>
      <c r="D9" s="169"/>
      <c r="E9" s="169">
        <v>100000</v>
      </c>
      <c r="F9" s="169"/>
      <c r="G9" s="169"/>
      <c r="H9" s="169"/>
      <c r="I9" s="169"/>
      <c r="J9" s="169"/>
      <c r="K9" s="169"/>
      <c r="L9" s="169"/>
      <c r="M9" s="169"/>
      <c r="N9" s="169"/>
      <c r="O9" s="169">
        <v>46925</v>
      </c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>
        <v>304100</v>
      </c>
      <c r="AF9" s="169"/>
      <c r="AG9" s="169">
        <v>693000</v>
      </c>
      <c r="AH9" s="169"/>
      <c r="AI9" s="169"/>
      <c r="AJ9" s="169">
        <v>1304000</v>
      </c>
      <c r="AK9" s="169"/>
      <c r="AL9" s="169">
        <v>1304000</v>
      </c>
      <c r="AM9" s="169">
        <v>1144025</v>
      </c>
      <c r="AO9" s="289" t="str">
        <f t="shared" si="0"/>
        <v>Crépin</v>
      </c>
      <c r="AP9" s="49">
        <f t="shared" si="1"/>
        <v>1304000</v>
      </c>
      <c r="AQ9" s="49">
        <f t="shared" si="2"/>
        <v>0</v>
      </c>
      <c r="AR9" s="49">
        <f t="shared" si="3"/>
        <v>1144025</v>
      </c>
      <c r="AS9" s="49">
        <v>0</v>
      </c>
    </row>
    <row r="10" spans="1:45">
      <c r="A10" s="2" t="s">
        <v>277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>
        <v>1000</v>
      </c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>
        <v>160400</v>
      </c>
      <c r="AF10" s="169"/>
      <c r="AG10" s="169">
        <v>517000</v>
      </c>
      <c r="AH10" s="169"/>
      <c r="AI10" s="169">
        <v>16000</v>
      </c>
      <c r="AJ10" s="169">
        <v>692000</v>
      </c>
      <c r="AK10" s="169"/>
      <c r="AL10" s="169">
        <v>692000</v>
      </c>
      <c r="AM10" s="169">
        <v>694400</v>
      </c>
      <c r="AO10" s="289" t="str">
        <f t="shared" si="0"/>
        <v>D58</v>
      </c>
      <c r="AP10" s="49">
        <f t="shared" si="1"/>
        <v>692000</v>
      </c>
      <c r="AQ10" s="49">
        <f t="shared" si="2"/>
        <v>0</v>
      </c>
      <c r="AR10" s="49">
        <f t="shared" si="3"/>
        <v>694400</v>
      </c>
      <c r="AS10" s="49">
        <v>0</v>
      </c>
    </row>
    <row r="11" spans="1:45">
      <c r="A11" s="2" t="s">
        <v>263</v>
      </c>
      <c r="B11" s="169"/>
      <c r="C11" s="169"/>
      <c r="D11" s="169"/>
      <c r="E11" s="169"/>
      <c r="F11" s="169"/>
      <c r="G11" s="169">
        <v>20000</v>
      </c>
      <c r="H11" s="169"/>
      <c r="I11" s="169"/>
      <c r="J11" s="169"/>
      <c r="K11" s="169"/>
      <c r="L11" s="169"/>
      <c r="M11" s="169"/>
      <c r="N11" s="169"/>
      <c r="O11" s="169">
        <v>3000</v>
      </c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>
        <v>56300</v>
      </c>
      <c r="AF11" s="169"/>
      <c r="AG11" s="169">
        <v>40000</v>
      </c>
      <c r="AH11" s="169"/>
      <c r="AI11" s="169"/>
      <c r="AJ11" s="169">
        <v>130000</v>
      </c>
      <c r="AK11" s="169"/>
      <c r="AL11" s="169">
        <v>130000</v>
      </c>
      <c r="AM11" s="169">
        <v>119300</v>
      </c>
      <c r="AO11" s="289" t="str">
        <f t="shared" si="0"/>
        <v>Donald</v>
      </c>
      <c r="AP11" s="49">
        <f t="shared" si="1"/>
        <v>130000</v>
      </c>
      <c r="AQ11" s="49">
        <f t="shared" si="2"/>
        <v>0</v>
      </c>
      <c r="AR11" s="49">
        <f t="shared" si="3"/>
        <v>119300</v>
      </c>
      <c r="AS11" s="49">
        <v>0</v>
      </c>
    </row>
    <row r="12" spans="1:45">
      <c r="A12" s="2" t="s">
        <v>31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>
        <v>106900</v>
      </c>
      <c r="AF12" s="169"/>
      <c r="AG12" s="169">
        <v>50000</v>
      </c>
      <c r="AH12" s="169"/>
      <c r="AI12" s="169"/>
      <c r="AJ12" s="169">
        <v>164000</v>
      </c>
      <c r="AK12" s="169"/>
      <c r="AL12" s="169">
        <v>164000</v>
      </c>
      <c r="AM12" s="169">
        <v>156900</v>
      </c>
      <c r="AO12" s="289" t="str">
        <f t="shared" si="0"/>
        <v>Evariste</v>
      </c>
      <c r="AP12" s="49">
        <f t="shared" si="1"/>
        <v>164000</v>
      </c>
      <c r="AQ12" s="49">
        <f t="shared" si="2"/>
        <v>0</v>
      </c>
      <c r="AR12" s="49">
        <f t="shared" si="3"/>
        <v>156900</v>
      </c>
      <c r="AS12" s="49">
        <v>0</v>
      </c>
    </row>
    <row r="13" spans="1:45">
      <c r="A13" s="2" t="s">
        <v>150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>
        <v>5650</v>
      </c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>
        <v>52000</v>
      </c>
      <c r="AF13" s="169"/>
      <c r="AG13" s="169">
        <v>125000</v>
      </c>
      <c r="AH13" s="169"/>
      <c r="AI13" s="169"/>
      <c r="AJ13" s="169">
        <v>363000</v>
      </c>
      <c r="AK13" s="169">
        <v>25000</v>
      </c>
      <c r="AL13" s="169">
        <v>363000</v>
      </c>
      <c r="AM13" s="169">
        <v>207650</v>
      </c>
      <c r="AO13" s="289" t="str">
        <f t="shared" si="0"/>
        <v>Grace</v>
      </c>
      <c r="AP13" s="49">
        <f t="shared" si="1"/>
        <v>363000</v>
      </c>
      <c r="AQ13" s="49">
        <f t="shared" si="2"/>
        <v>25000</v>
      </c>
      <c r="AR13" s="49">
        <f t="shared" si="3"/>
        <v>182650</v>
      </c>
      <c r="AS13" s="49">
        <v>0</v>
      </c>
    </row>
    <row r="14" spans="1:45">
      <c r="A14" s="2" t="s">
        <v>204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>
        <v>21250</v>
      </c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>
        <v>67100</v>
      </c>
      <c r="AF14" s="169"/>
      <c r="AG14" s="169">
        <v>100000</v>
      </c>
      <c r="AH14" s="169"/>
      <c r="AI14" s="169"/>
      <c r="AJ14" s="169">
        <v>185000</v>
      </c>
      <c r="AK14" s="169">
        <v>8000</v>
      </c>
      <c r="AL14" s="169">
        <v>185000</v>
      </c>
      <c r="AM14" s="169">
        <v>196350</v>
      </c>
      <c r="AO14" s="289" t="str">
        <f t="shared" si="0"/>
        <v>Hurielle</v>
      </c>
      <c r="AP14" s="49">
        <f t="shared" si="1"/>
        <v>185000</v>
      </c>
      <c r="AQ14" s="49">
        <f t="shared" si="2"/>
        <v>8000</v>
      </c>
      <c r="AR14" s="49">
        <f t="shared" si="3"/>
        <v>188350</v>
      </c>
      <c r="AS14" s="49">
        <v>0</v>
      </c>
    </row>
    <row r="15" spans="1:45">
      <c r="A15" s="2" t="s">
        <v>93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>
        <v>30500</v>
      </c>
      <c r="AF15" s="169"/>
      <c r="AG15" s="169"/>
      <c r="AH15" s="169"/>
      <c r="AI15" s="169"/>
      <c r="AJ15" s="169">
        <v>35000</v>
      </c>
      <c r="AK15" s="169"/>
      <c r="AL15" s="169">
        <v>35000</v>
      </c>
      <c r="AM15" s="169">
        <v>30500</v>
      </c>
      <c r="AO15" s="289" t="str">
        <f t="shared" si="0"/>
        <v>Merveille</v>
      </c>
      <c r="AP15" s="49">
        <f t="shared" si="1"/>
        <v>35000</v>
      </c>
      <c r="AQ15" s="49">
        <f t="shared" si="2"/>
        <v>0</v>
      </c>
      <c r="AR15" s="49">
        <f t="shared" si="3"/>
        <v>30500</v>
      </c>
      <c r="AS15" s="49">
        <v>0</v>
      </c>
    </row>
    <row r="16" spans="1:45">
      <c r="A16" s="2" t="s">
        <v>29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>
        <v>127100</v>
      </c>
      <c r="AF16" s="169"/>
      <c r="AG16" s="169">
        <v>300000</v>
      </c>
      <c r="AH16" s="169"/>
      <c r="AI16" s="169">
        <v>26500</v>
      </c>
      <c r="AJ16" s="169">
        <v>589000</v>
      </c>
      <c r="AK16" s="169"/>
      <c r="AL16" s="169">
        <v>589000</v>
      </c>
      <c r="AM16" s="169">
        <v>453600</v>
      </c>
      <c r="AO16" s="289" t="str">
        <f t="shared" si="0"/>
        <v>P29</v>
      </c>
      <c r="AP16" s="49">
        <f t="shared" si="1"/>
        <v>589000</v>
      </c>
      <c r="AQ16" s="49">
        <f t="shared" si="2"/>
        <v>0</v>
      </c>
      <c r="AR16" s="49">
        <f t="shared" si="3"/>
        <v>453600</v>
      </c>
      <c r="AS16" s="49">
        <v>0</v>
      </c>
    </row>
    <row r="17" spans="1:45">
      <c r="A17" s="2" t="s">
        <v>276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>
        <v>164100</v>
      </c>
      <c r="AF17" s="169"/>
      <c r="AG17" s="169">
        <v>502000</v>
      </c>
      <c r="AH17" s="169"/>
      <c r="AI17" s="169">
        <v>35500</v>
      </c>
      <c r="AJ17" s="169">
        <v>805000</v>
      </c>
      <c r="AK17" s="169"/>
      <c r="AL17" s="169">
        <v>805000</v>
      </c>
      <c r="AM17" s="169">
        <v>701600</v>
      </c>
      <c r="AO17" s="289" t="str">
        <f t="shared" si="0"/>
        <v>T73</v>
      </c>
      <c r="AP17" s="49">
        <f t="shared" si="1"/>
        <v>805000</v>
      </c>
      <c r="AQ17" s="49">
        <f t="shared" si="2"/>
        <v>0</v>
      </c>
      <c r="AR17" s="49">
        <f t="shared" si="3"/>
        <v>701600</v>
      </c>
      <c r="AS17" s="49">
        <v>0</v>
      </c>
    </row>
    <row r="18" spans="1:45">
      <c r="A18" s="2" t="s">
        <v>113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>
        <v>10000</v>
      </c>
      <c r="AF18" s="169"/>
      <c r="AG18" s="169"/>
      <c r="AH18" s="169"/>
      <c r="AI18" s="169"/>
      <c r="AJ18" s="169"/>
      <c r="AK18" s="169"/>
      <c r="AL18" s="169"/>
      <c r="AM18" s="169">
        <v>10000</v>
      </c>
      <c r="AO18" s="289" t="str">
        <f t="shared" si="0"/>
        <v>Tiffany</v>
      </c>
      <c r="AP18" s="49">
        <f t="shared" si="1"/>
        <v>0</v>
      </c>
      <c r="AQ18" s="49">
        <f t="shared" si="2"/>
        <v>0</v>
      </c>
      <c r="AR18" s="49">
        <f t="shared" si="3"/>
        <v>10000</v>
      </c>
      <c r="AS18" s="49">
        <v>0</v>
      </c>
    </row>
    <row r="19" spans="1:45">
      <c r="A19" s="2" t="s">
        <v>129</v>
      </c>
      <c r="B19" s="169"/>
      <c r="C19" s="169">
        <v>38046</v>
      </c>
      <c r="D19" s="169"/>
      <c r="E19" s="169">
        <v>553000</v>
      </c>
      <c r="F19" s="169"/>
      <c r="G19" s="169">
        <v>20000</v>
      </c>
      <c r="H19" s="169"/>
      <c r="I19" s="169">
        <v>250000</v>
      </c>
      <c r="J19" s="169">
        <v>36605624</v>
      </c>
      <c r="K19" s="169"/>
      <c r="L19" s="169"/>
      <c r="M19" s="169">
        <v>45050</v>
      </c>
      <c r="N19" s="169"/>
      <c r="O19" s="169">
        <v>76825</v>
      </c>
      <c r="P19" s="169"/>
      <c r="Q19" s="169">
        <v>402000</v>
      </c>
      <c r="R19" s="169"/>
      <c r="S19" s="169">
        <v>143330</v>
      </c>
      <c r="T19" s="169"/>
      <c r="U19" s="169">
        <v>2820236</v>
      </c>
      <c r="V19" s="169"/>
      <c r="W19" s="169">
        <v>565887</v>
      </c>
      <c r="X19" s="169"/>
      <c r="Y19" s="169">
        <v>615625</v>
      </c>
      <c r="Z19" s="169"/>
      <c r="AA19" s="169">
        <v>284000</v>
      </c>
      <c r="AB19" s="169"/>
      <c r="AC19" s="169">
        <v>72760</v>
      </c>
      <c r="AD19" s="169"/>
      <c r="AE19" s="169">
        <v>1078500</v>
      </c>
      <c r="AF19" s="169"/>
      <c r="AG19" s="169">
        <v>2337000</v>
      </c>
      <c r="AH19" s="169"/>
      <c r="AI19" s="169">
        <v>78000</v>
      </c>
      <c r="AJ19" s="169">
        <v>10275000</v>
      </c>
      <c r="AK19" s="169">
        <v>10275000</v>
      </c>
      <c r="AL19" s="169">
        <v>46880624</v>
      </c>
      <c r="AM19" s="169">
        <v>19655259</v>
      </c>
      <c r="AO19" s="289" t="str">
        <f t="shared" si="0"/>
        <v>Total général</v>
      </c>
      <c r="AP19" s="49">
        <f>+SUM(AP6:AP18)</f>
        <v>10275000</v>
      </c>
      <c r="AQ19" s="49">
        <f t="shared" ref="AQ19:AR19" si="4">+SUM(AQ6:AQ18)</f>
        <v>10275000</v>
      </c>
      <c r="AR19" s="49">
        <f t="shared" si="4"/>
        <v>9380259</v>
      </c>
      <c r="AS19" s="49">
        <f>+SUM(AS6:AS18)</f>
        <v>36605624</v>
      </c>
    </row>
    <row r="21" spans="1:45">
      <c r="AP21" s="187">
        <f>+AQ19-AP19</f>
        <v>0</v>
      </c>
      <c r="AQ21" s="338" t="b">
        <f>AR19=GETPIVOTDATA("Spent",Donateurs!$A$3)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R313"/>
  <sheetViews>
    <sheetView tabSelected="1" zoomScale="62" zoomScaleNormal="62" workbookViewId="0">
      <pane ySplit="12" topLeftCell="A118" activePane="bottomLeft" state="frozen"/>
      <selection pane="bottomLeft" activeCell="A136" sqref="A136:XFD136"/>
    </sheetView>
  </sheetViews>
  <sheetFormatPr baseColWidth="10" defaultRowHeight="15"/>
  <cols>
    <col min="1" max="1" width="13.42578125" customWidth="1"/>
    <col min="2" max="2" width="105.85546875" customWidth="1"/>
    <col min="3" max="3" width="21" customWidth="1"/>
    <col min="4" max="4" width="13.85546875" customWidth="1"/>
    <col min="5" max="5" width="13.28515625" customWidth="1"/>
    <col min="6" max="6" width="13.5703125" customWidth="1"/>
    <col min="7" max="7" width="18.28515625" customWidth="1"/>
    <col min="8" max="8" width="17.85546875" customWidth="1"/>
    <col min="9" max="9" width="12.140625" customWidth="1"/>
    <col min="10" max="10" width="16.42578125" customWidth="1"/>
    <col min="13" max="13" width="18.140625" customWidth="1"/>
    <col min="14" max="14" width="11.42578125" customWidth="1"/>
  </cols>
  <sheetData>
    <row r="1" spans="1:18" s="185" customFormat="1" ht="26.25" customHeight="1">
      <c r="A1" s="485" t="s">
        <v>332</v>
      </c>
      <c r="B1" s="485"/>
      <c r="C1" s="485"/>
      <c r="D1" s="485"/>
      <c r="E1" s="486"/>
      <c r="F1" s="487"/>
      <c r="G1" s="485"/>
      <c r="H1" s="485"/>
      <c r="I1" s="488"/>
      <c r="J1" s="485"/>
      <c r="K1" s="485"/>
      <c r="L1" s="485"/>
      <c r="M1" s="485"/>
      <c r="N1" s="485"/>
      <c r="O1" s="489"/>
    </row>
    <row r="2" spans="1:18" s="182" customFormat="1" ht="16.5">
      <c r="A2" s="297"/>
      <c r="B2" s="315" t="s">
        <v>331</v>
      </c>
      <c r="C2" s="316">
        <v>9139120</v>
      </c>
      <c r="D2" s="309"/>
      <c r="E2" s="310"/>
      <c r="F2" s="317"/>
      <c r="G2" s="318"/>
      <c r="I2" s="308"/>
      <c r="J2" s="308"/>
      <c r="N2" s="309"/>
      <c r="O2" s="319"/>
    </row>
    <row r="3" spans="1:18" s="182" customFormat="1" ht="16.5">
      <c r="A3" s="297"/>
      <c r="C3" s="309"/>
      <c r="D3" s="309"/>
      <c r="E3" s="310"/>
      <c r="F3" s="317"/>
      <c r="G3" s="318"/>
      <c r="I3" s="308"/>
      <c r="J3" s="308"/>
      <c r="N3" s="309"/>
      <c r="O3" s="319"/>
    </row>
    <row r="4" spans="1:18" s="182" customFormat="1" ht="16.5">
      <c r="A4" s="297"/>
      <c r="B4" s="320" t="s">
        <v>6</v>
      </c>
      <c r="C4" s="321" t="s">
        <v>7</v>
      </c>
      <c r="D4" s="309"/>
      <c r="E4" s="310"/>
      <c r="F4" s="317"/>
      <c r="G4" s="318"/>
      <c r="I4" s="313"/>
      <c r="J4" s="308"/>
      <c r="N4" s="309"/>
      <c r="O4" s="319"/>
    </row>
    <row r="5" spans="1:18" s="182" customFormat="1" ht="16.5">
      <c r="A5" s="297"/>
      <c r="B5" s="182" t="s">
        <v>8</v>
      </c>
      <c r="C5" s="322">
        <f>SUM(E13:E1077)</f>
        <v>46880624</v>
      </c>
      <c r="D5" s="309"/>
      <c r="E5" s="323" t="s">
        <v>100</v>
      </c>
      <c r="F5" s="317"/>
      <c r="G5" s="318"/>
      <c r="H5" s="311"/>
      <c r="I5" s="308"/>
      <c r="J5" s="308"/>
      <c r="N5" s="309"/>
      <c r="O5" s="319"/>
    </row>
    <row r="6" spans="1:18" s="182" customFormat="1" ht="16.5">
      <c r="A6" s="297"/>
      <c r="B6" s="182" t="s">
        <v>9</v>
      </c>
      <c r="C6" s="322">
        <f>SUM(F13:F1078)</f>
        <v>19655259</v>
      </c>
      <c r="D6" s="309"/>
      <c r="E6" s="324">
        <f>+C7-Récapitulatif!I18</f>
        <v>0</v>
      </c>
      <c r="F6" s="317"/>
      <c r="G6" s="318"/>
      <c r="I6" s="308"/>
      <c r="J6" s="325"/>
      <c r="K6" s="312"/>
      <c r="N6" s="309"/>
      <c r="O6" s="319"/>
    </row>
    <row r="7" spans="1:18" s="182" customFormat="1" ht="16.5">
      <c r="A7" s="297"/>
      <c r="B7" s="326" t="s">
        <v>10</v>
      </c>
      <c r="C7" s="327">
        <f>C2+C5-C6</f>
        <v>36364485</v>
      </c>
      <c r="D7" s="328">
        <f>C7-Récapitulatif!I18</f>
        <v>0</v>
      </c>
      <c r="E7" s="310"/>
      <c r="F7" s="317"/>
      <c r="G7" s="318"/>
      <c r="I7" s="308"/>
      <c r="J7" s="308"/>
      <c r="K7" s="312"/>
      <c r="N7" s="309"/>
      <c r="O7" s="319"/>
    </row>
    <row r="8" spans="1:18" s="182" customFormat="1" ht="16.5">
      <c r="A8" s="297"/>
      <c r="C8" s="309"/>
      <c r="D8" s="309"/>
      <c r="E8" s="310"/>
      <c r="F8" s="317"/>
      <c r="G8" s="318"/>
      <c r="I8" s="308"/>
      <c r="J8" s="308"/>
      <c r="N8" s="309"/>
      <c r="O8" s="319"/>
    </row>
    <row r="9" spans="1:18" s="307" customFormat="1" ht="16.5"/>
    <row r="10" spans="1:18" s="289" customFormat="1"/>
    <row r="11" spans="1:18" s="289" customFormat="1"/>
    <row r="12" spans="1:18" ht="16.5">
      <c r="A12" s="299" t="s">
        <v>0</v>
      </c>
      <c r="B12" s="300" t="s">
        <v>11</v>
      </c>
      <c r="C12" s="301" t="s">
        <v>12</v>
      </c>
      <c r="D12" s="301" t="s">
        <v>13</v>
      </c>
      <c r="E12" s="302" t="s">
        <v>14</v>
      </c>
      <c r="F12" s="303" t="s">
        <v>15</v>
      </c>
      <c r="G12" s="304" t="s">
        <v>16</v>
      </c>
      <c r="H12" s="300" t="s">
        <v>17</v>
      </c>
      <c r="I12" s="305" t="s">
        <v>18</v>
      </c>
      <c r="J12" s="305" t="s">
        <v>19</v>
      </c>
      <c r="K12" s="300" t="s">
        <v>20</v>
      </c>
      <c r="L12" s="300" t="s">
        <v>21</v>
      </c>
      <c r="M12" s="300" t="s">
        <v>81</v>
      </c>
      <c r="N12" s="301" t="s">
        <v>23</v>
      </c>
      <c r="O12" s="300" t="s">
        <v>22</v>
      </c>
      <c r="P12" s="306"/>
      <c r="Q12" s="306"/>
      <c r="R12" s="306"/>
    </row>
    <row r="13" spans="1:18" s="307" customFormat="1" ht="16.5">
      <c r="A13" s="298">
        <v>44986</v>
      </c>
      <c r="B13" s="339" t="s">
        <v>285</v>
      </c>
      <c r="C13" s="339"/>
      <c r="D13" s="339"/>
      <c r="E13" s="340"/>
      <c r="F13" s="341"/>
      <c r="G13" s="342">
        <f>+C2</f>
        <v>9139120</v>
      </c>
      <c r="H13" s="339"/>
      <c r="I13" s="339"/>
      <c r="J13" s="339"/>
      <c r="K13" s="339"/>
      <c r="L13" s="339"/>
      <c r="M13" s="339"/>
      <c r="N13" s="339"/>
      <c r="O13" s="308"/>
      <c r="P13" s="308"/>
      <c r="Q13" s="308"/>
      <c r="R13" s="308"/>
    </row>
    <row r="14" spans="1:18" s="313" customFormat="1" ht="16.5">
      <c r="A14" s="298">
        <v>44986</v>
      </c>
      <c r="B14" s="313" t="s">
        <v>333</v>
      </c>
      <c r="C14" s="313" t="s">
        <v>237</v>
      </c>
      <c r="D14" s="313" t="s">
        <v>161</v>
      </c>
      <c r="F14" s="439">
        <v>20000</v>
      </c>
      <c r="G14" s="314">
        <f t="shared" ref="G14:G77" si="0">+G13+E14-F14</f>
        <v>9119120</v>
      </c>
      <c r="H14" s="314" t="s">
        <v>25</v>
      </c>
      <c r="I14" s="313" t="s">
        <v>309</v>
      </c>
      <c r="J14" s="313" t="s">
        <v>542</v>
      </c>
      <c r="K14" s="313" t="s">
        <v>205</v>
      </c>
      <c r="L14" s="313" t="s">
        <v>318</v>
      </c>
      <c r="M14" s="330"/>
      <c r="Q14" s="329"/>
      <c r="R14" s="329"/>
    </row>
    <row r="15" spans="1:18" s="313" customFormat="1" ht="16.5" hidden="1">
      <c r="A15" s="332">
        <v>44986</v>
      </c>
      <c r="B15" s="313" t="s">
        <v>295</v>
      </c>
      <c r="C15" s="313" t="s">
        <v>75</v>
      </c>
      <c r="F15" s="440">
        <v>175000</v>
      </c>
      <c r="G15" s="314">
        <f t="shared" si="0"/>
        <v>8944120</v>
      </c>
      <c r="H15" s="329" t="s">
        <v>25</v>
      </c>
      <c r="M15" s="330"/>
      <c r="O15" s="335"/>
      <c r="Q15" s="314"/>
      <c r="R15" s="329"/>
    </row>
    <row r="16" spans="1:18" s="313" customFormat="1" ht="16.5">
      <c r="A16" s="331">
        <v>44986</v>
      </c>
      <c r="B16" s="335" t="s">
        <v>334</v>
      </c>
      <c r="C16" s="335" t="s">
        <v>293</v>
      </c>
      <c r="D16" s="313" t="s">
        <v>161</v>
      </c>
      <c r="E16" s="335"/>
      <c r="F16" s="441">
        <v>103000</v>
      </c>
      <c r="G16" s="314">
        <f t="shared" si="0"/>
        <v>8841120</v>
      </c>
      <c r="H16" s="335" t="s">
        <v>25</v>
      </c>
      <c r="I16" s="313" t="s">
        <v>302</v>
      </c>
      <c r="J16" s="313" t="s">
        <v>102</v>
      </c>
      <c r="K16" s="313" t="s">
        <v>206</v>
      </c>
      <c r="L16" s="313" t="s">
        <v>318</v>
      </c>
      <c r="M16" s="330" t="s">
        <v>524</v>
      </c>
      <c r="N16" s="335" t="s">
        <v>321</v>
      </c>
      <c r="O16" s="335"/>
      <c r="Q16" s="314"/>
      <c r="R16" s="329"/>
    </row>
    <row r="17" spans="1:18" s="313" customFormat="1" ht="16.5" hidden="1">
      <c r="A17" s="298">
        <v>44986</v>
      </c>
      <c r="B17" s="373" t="s">
        <v>305</v>
      </c>
      <c r="C17" s="335" t="s">
        <v>75</v>
      </c>
      <c r="D17" s="406"/>
      <c r="E17" s="403">
        <v>175000</v>
      </c>
      <c r="F17" s="314"/>
      <c r="G17" s="314">
        <f t="shared" si="0"/>
        <v>9016120</v>
      </c>
      <c r="H17" s="329" t="s">
        <v>47</v>
      </c>
      <c r="I17" s="389"/>
      <c r="K17" s="335"/>
      <c r="L17" s="335"/>
      <c r="M17" s="330"/>
      <c r="Q17" s="314"/>
      <c r="R17" s="329"/>
    </row>
    <row r="18" spans="1:18" s="313" customFormat="1" ht="16.5">
      <c r="A18" s="298">
        <v>44986</v>
      </c>
      <c r="B18" s="313" t="s">
        <v>644</v>
      </c>
      <c r="C18" s="335" t="s">
        <v>34</v>
      </c>
      <c r="D18" s="313" t="s">
        <v>4</v>
      </c>
      <c r="E18" s="314"/>
      <c r="F18" s="439">
        <v>15000</v>
      </c>
      <c r="G18" s="314">
        <f t="shared" si="0"/>
        <v>9001120</v>
      </c>
      <c r="H18" s="313" t="s">
        <v>277</v>
      </c>
      <c r="I18" s="313" t="s">
        <v>302</v>
      </c>
      <c r="J18" s="313" t="s">
        <v>542</v>
      </c>
      <c r="K18" s="313" t="s">
        <v>205</v>
      </c>
      <c r="L18" s="313" t="s">
        <v>318</v>
      </c>
      <c r="M18" s="330"/>
      <c r="N18" s="335"/>
      <c r="Q18" s="314"/>
      <c r="R18" s="329"/>
    </row>
    <row r="19" spans="1:18" s="313" customFormat="1" ht="16.5">
      <c r="A19" s="337">
        <v>44986</v>
      </c>
      <c r="B19" s="313" t="s">
        <v>476</v>
      </c>
      <c r="C19" s="335" t="s">
        <v>278</v>
      </c>
      <c r="D19" s="313" t="s">
        <v>4</v>
      </c>
      <c r="E19" s="314"/>
      <c r="F19" s="314">
        <v>60000</v>
      </c>
      <c r="G19" s="314">
        <f t="shared" si="0"/>
        <v>8941120</v>
      </c>
      <c r="H19" s="313" t="s">
        <v>277</v>
      </c>
      <c r="I19" s="313" t="s">
        <v>309</v>
      </c>
      <c r="J19" s="313" t="s">
        <v>542</v>
      </c>
      <c r="K19" s="313" t="s">
        <v>205</v>
      </c>
      <c r="L19" s="313" t="s">
        <v>318</v>
      </c>
      <c r="M19" s="330"/>
      <c r="O19" s="336"/>
      <c r="Q19" s="314"/>
      <c r="R19" s="329"/>
    </row>
    <row r="20" spans="1:18" s="313" customFormat="1" ht="16.5">
      <c r="A20" s="298">
        <v>44986</v>
      </c>
      <c r="B20" s="314" t="s">
        <v>380</v>
      </c>
      <c r="C20" s="335" t="s">
        <v>372</v>
      </c>
      <c r="D20" s="389" t="s">
        <v>291</v>
      </c>
      <c r="E20" s="441"/>
      <c r="F20" s="440">
        <v>14701</v>
      </c>
      <c r="G20" s="314">
        <f t="shared" si="0"/>
        <v>8926419</v>
      </c>
      <c r="H20" s="313" t="s">
        <v>155</v>
      </c>
      <c r="I20" s="389" t="s">
        <v>303</v>
      </c>
      <c r="J20" s="335" t="s">
        <v>102</v>
      </c>
      <c r="K20" s="313" t="s">
        <v>206</v>
      </c>
      <c r="L20" s="335" t="s">
        <v>318</v>
      </c>
      <c r="M20" s="330" t="s">
        <v>525</v>
      </c>
      <c r="N20" s="335" t="s">
        <v>319</v>
      </c>
      <c r="O20" s="335"/>
      <c r="Q20" s="314"/>
      <c r="R20" s="329"/>
    </row>
    <row r="21" spans="1:18" s="313" customFormat="1" ht="16.5" hidden="1">
      <c r="A21" s="298">
        <v>44987</v>
      </c>
      <c r="B21" s="313" t="s">
        <v>335</v>
      </c>
      <c r="C21" s="313" t="s">
        <v>75</v>
      </c>
      <c r="E21" s="314">
        <v>2000000</v>
      </c>
      <c r="F21" s="439"/>
      <c r="G21" s="314">
        <f t="shared" si="0"/>
        <v>10926419</v>
      </c>
      <c r="H21" s="313" t="s">
        <v>25</v>
      </c>
      <c r="M21" s="330"/>
      <c r="Q21" s="314"/>
      <c r="R21" s="329"/>
    </row>
    <row r="22" spans="1:18" s="313" customFormat="1" ht="16.5" hidden="1">
      <c r="A22" s="298">
        <v>44987</v>
      </c>
      <c r="B22" s="313" t="s">
        <v>277</v>
      </c>
      <c r="C22" s="314" t="s">
        <v>75</v>
      </c>
      <c r="D22" s="314"/>
      <c r="F22" s="313">
        <v>99000</v>
      </c>
      <c r="G22" s="314">
        <f t="shared" si="0"/>
        <v>10827419</v>
      </c>
      <c r="H22" s="313" t="s">
        <v>25</v>
      </c>
      <c r="I22" s="389"/>
      <c r="L22" s="335"/>
      <c r="M22" s="330"/>
      <c r="N22" s="335"/>
      <c r="Q22" s="314"/>
      <c r="R22" s="329"/>
    </row>
    <row r="23" spans="1:18" s="313" customFormat="1" ht="16.5">
      <c r="A23" s="332">
        <v>44987</v>
      </c>
      <c r="B23" s="373" t="s">
        <v>336</v>
      </c>
      <c r="C23" s="406" t="s">
        <v>220</v>
      </c>
      <c r="D23" s="406" t="s">
        <v>291</v>
      </c>
      <c r="E23" s="403"/>
      <c r="F23" s="439">
        <v>2970</v>
      </c>
      <c r="G23" s="314">
        <f t="shared" si="0"/>
        <v>10824449</v>
      </c>
      <c r="H23" s="329" t="s">
        <v>25</v>
      </c>
      <c r="I23" s="313" t="s">
        <v>302</v>
      </c>
      <c r="J23" s="313" t="s">
        <v>542</v>
      </c>
      <c r="K23" s="313" t="s">
        <v>205</v>
      </c>
      <c r="L23" s="313" t="s">
        <v>318</v>
      </c>
      <c r="M23" s="330"/>
      <c r="Q23" s="314"/>
      <c r="R23" s="329"/>
    </row>
    <row r="24" spans="1:18" s="313" customFormat="1" ht="16.5" hidden="1">
      <c r="A24" s="298">
        <v>44987</v>
      </c>
      <c r="B24" s="335" t="s">
        <v>29</v>
      </c>
      <c r="C24" s="335" t="s">
        <v>75</v>
      </c>
      <c r="E24" s="335"/>
      <c r="F24" s="441">
        <v>150000</v>
      </c>
      <c r="G24" s="314">
        <f t="shared" si="0"/>
        <v>10674449</v>
      </c>
      <c r="H24" s="335" t="s">
        <v>25</v>
      </c>
      <c r="J24" s="335"/>
      <c r="K24" s="335"/>
      <c r="L24" s="335"/>
      <c r="M24" s="330"/>
      <c r="N24" s="335"/>
      <c r="O24" s="335"/>
      <c r="Q24" s="314"/>
      <c r="R24" s="329"/>
    </row>
    <row r="25" spans="1:18" s="313" customFormat="1" ht="16.5">
      <c r="A25" s="332">
        <v>44987</v>
      </c>
      <c r="B25" s="313" t="s">
        <v>290</v>
      </c>
      <c r="C25" s="406" t="s">
        <v>246</v>
      </c>
      <c r="D25" s="313" t="s">
        <v>291</v>
      </c>
      <c r="E25" s="314"/>
      <c r="F25" s="439">
        <v>18000</v>
      </c>
      <c r="G25" s="314">
        <f t="shared" si="0"/>
        <v>10656449</v>
      </c>
      <c r="H25" s="313" t="s">
        <v>25</v>
      </c>
      <c r="I25" s="313" t="s">
        <v>302</v>
      </c>
      <c r="J25" s="313" t="s">
        <v>102</v>
      </c>
      <c r="K25" s="335" t="s">
        <v>206</v>
      </c>
      <c r="L25" s="335" t="s">
        <v>318</v>
      </c>
      <c r="M25" s="330" t="s">
        <v>526</v>
      </c>
      <c r="N25" s="335" t="s">
        <v>322</v>
      </c>
      <c r="Q25" s="314"/>
      <c r="R25" s="329"/>
    </row>
    <row r="26" spans="1:18" s="313" customFormat="1" ht="16.5" hidden="1">
      <c r="A26" s="298">
        <v>44987</v>
      </c>
      <c r="B26" s="313" t="s">
        <v>276</v>
      </c>
      <c r="C26" s="313" t="s">
        <v>75</v>
      </c>
      <c r="F26" s="440">
        <v>20000</v>
      </c>
      <c r="G26" s="314">
        <f t="shared" si="0"/>
        <v>10636449</v>
      </c>
      <c r="H26" s="313" t="s">
        <v>25</v>
      </c>
      <c r="M26" s="330"/>
      <c r="N26" s="314"/>
      <c r="O26" s="314"/>
      <c r="Q26" s="314"/>
      <c r="R26" s="329"/>
    </row>
    <row r="27" spans="1:18" s="313" customFormat="1" ht="16.5">
      <c r="A27" s="332">
        <v>44987</v>
      </c>
      <c r="B27" s="314" t="s">
        <v>381</v>
      </c>
      <c r="C27" s="314" t="s">
        <v>177</v>
      </c>
      <c r="D27" s="313" t="s">
        <v>4</v>
      </c>
      <c r="E27" s="440"/>
      <c r="F27" s="440">
        <v>240000</v>
      </c>
      <c r="G27" s="314">
        <f t="shared" si="0"/>
        <v>10396449</v>
      </c>
      <c r="H27" s="313" t="s">
        <v>155</v>
      </c>
      <c r="I27" s="389">
        <v>3667311</v>
      </c>
      <c r="J27" s="335" t="s">
        <v>102</v>
      </c>
      <c r="K27" s="313" t="s">
        <v>206</v>
      </c>
      <c r="L27" s="335" t="s">
        <v>318</v>
      </c>
      <c r="M27" s="330" t="s">
        <v>527</v>
      </c>
      <c r="N27" s="335" t="s">
        <v>508</v>
      </c>
      <c r="P27" s="336"/>
      <c r="Q27" s="329"/>
      <c r="R27" s="329"/>
    </row>
    <row r="28" spans="1:18" s="313" customFormat="1" ht="16.5" hidden="1">
      <c r="A28" s="331">
        <v>44987</v>
      </c>
      <c r="B28" s="313" t="s">
        <v>382</v>
      </c>
      <c r="C28" s="314" t="s">
        <v>75</v>
      </c>
      <c r="D28" s="445"/>
      <c r="E28" s="440"/>
      <c r="F28" s="440">
        <v>2000000</v>
      </c>
      <c r="G28" s="314">
        <f t="shared" si="0"/>
        <v>8396449</v>
      </c>
      <c r="H28" s="313" t="s">
        <v>155</v>
      </c>
      <c r="I28" s="373">
        <v>3654537</v>
      </c>
      <c r="J28" s="335"/>
      <c r="L28" s="335"/>
      <c r="M28" s="330"/>
      <c r="N28" s="335"/>
      <c r="Q28" s="314"/>
      <c r="R28" s="329"/>
    </row>
    <row r="29" spans="1:18" s="313" customFormat="1" ht="16.5">
      <c r="A29" s="331">
        <v>44987</v>
      </c>
      <c r="B29" s="335" t="s">
        <v>394</v>
      </c>
      <c r="C29" s="335" t="s">
        <v>278</v>
      </c>
      <c r="D29" s="313" t="s">
        <v>2</v>
      </c>
      <c r="E29" s="335"/>
      <c r="F29" s="335">
        <v>250000</v>
      </c>
      <c r="G29" s="314">
        <f t="shared" si="0"/>
        <v>8146449</v>
      </c>
      <c r="H29" s="335" t="s">
        <v>47</v>
      </c>
      <c r="I29" s="313" t="s">
        <v>309</v>
      </c>
      <c r="J29" s="313" t="s">
        <v>542</v>
      </c>
      <c r="K29" s="329" t="s">
        <v>206</v>
      </c>
      <c r="L29" s="313" t="s">
        <v>318</v>
      </c>
      <c r="M29" s="330" t="s">
        <v>528</v>
      </c>
      <c r="N29" s="335" t="s">
        <v>330</v>
      </c>
      <c r="O29" s="335"/>
      <c r="Q29" s="314"/>
      <c r="R29" s="329"/>
    </row>
    <row r="30" spans="1:18" s="313" customFormat="1" ht="16.5">
      <c r="A30" s="298">
        <v>44987</v>
      </c>
      <c r="B30" s="313" t="s">
        <v>304</v>
      </c>
      <c r="C30" s="313" t="s">
        <v>34</v>
      </c>
      <c r="D30" s="313" t="s">
        <v>2</v>
      </c>
      <c r="F30" s="313">
        <v>10000</v>
      </c>
      <c r="G30" s="314">
        <f t="shared" si="0"/>
        <v>8136449</v>
      </c>
      <c r="H30" s="335" t="s">
        <v>47</v>
      </c>
      <c r="I30" s="313" t="s">
        <v>302</v>
      </c>
      <c r="J30" s="313" t="s">
        <v>542</v>
      </c>
      <c r="K30" s="313" t="s">
        <v>206</v>
      </c>
      <c r="L30" s="313" t="s">
        <v>318</v>
      </c>
      <c r="M30" s="330" t="s">
        <v>529</v>
      </c>
      <c r="N30" s="313" t="s">
        <v>329</v>
      </c>
      <c r="Q30" s="314"/>
      <c r="R30" s="329"/>
    </row>
    <row r="31" spans="1:18" s="313" customFormat="1" ht="16.5" hidden="1">
      <c r="A31" s="331">
        <v>44987</v>
      </c>
      <c r="B31" s="373" t="s">
        <v>316</v>
      </c>
      <c r="C31" s="335" t="s">
        <v>311</v>
      </c>
      <c r="D31" s="406"/>
      <c r="E31" s="404">
        <v>20000</v>
      </c>
      <c r="F31" s="314"/>
      <c r="G31" s="314">
        <f t="shared" si="0"/>
        <v>8156449</v>
      </c>
      <c r="H31" s="313" t="s">
        <v>276</v>
      </c>
      <c r="J31" s="335"/>
      <c r="K31" s="335"/>
      <c r="L31" s="335"/>
      <c r="M31" s="330"/>
      <c r="N31" s="335"/>
      <c r="Q31" s="314"/>
      <c r="R31" s="329"/>
    </row>
    <row r="32" spans="1:18" s="313" customFormat="1" ht="16.5" hidden="1">
      <c r="A32" s="331">
        <v>44987</v>
      </c>
      <c r="B32" s="313" t="s">
        <v>308</v>
      </c>
      <c r="C32" s="313" t="s">
        <v>75</v>
      </c>
      <c r="E32" s="313">
        <v>150000</v>
      </c>
      <c r="G32" s="314">
        <f t="shared" si="0"/>
        <v>8306449</v>
      </c>
      <c r="H32" s="335" t="s">
        <v>29</v>
      </c>
      <c r="M32" s="330"/>
      <c r="Q32" s="314"/>
      <c r="R32" s="329"/>
    </row>
    <row r="33" spans="1:18" s="313" customFormat="1" ht="16.5">
      <c r="A33" s="298">
        <v>44987</v>
      </c>
      <c r="B33" s="335" t="s">
        <v>482</v>
      </c>
      <c r="C33" s="335" t="s">
        <v>34</v>
      </c>
      <c r="D33" s="313" t="s">
        <v>4</v>
      </c>
      <c r="E33" s="335"/>
      <c r="F33" s="403">
        <v>10000</v>
      </c>
      <c r="G33" s="314">
        <f t="shared" si="0"/>
        <v>8296449</v>
      </c>
      <c r="H33" s="335" t="s">
        <v>29</v>
      </c>
      <c r="I33" s="313" t="s">
        <v>302</v>
      </c>
      <c r="J33" s="313" t="s">
        <v>500</v>
      </c>
      <c r="K33" s="313" t="s">
        <v>206</v>
      </c>
      <c r="L33" s="313" t="s">
        <v>318</v>
      </c>
      <c r="M33" s="330" t="s">
        <v>530</v>
      </c>
      <c r="N33" s="313" t="s">
        <v>329</v>
      </c>
      <c r="O33" s="335"/>
      <c r="Q33" s="314"/>
      <c r="R33" s="329"/>
    </row>
    <row r="34" spans="1:18" s="313" customFormat="1" ht="16.5" hidden="1">
      <c r="A34" s="298">
        <v>44988</v>
      </c>
      <c r="B34" s="313" t="s">
        <v>276</v>
      </c>
      <c r="C34" s="313" t="s">
        <v>75</v>
      </c>
      <c r="E34" s="314"/>
      <c r="F34" s="314">
        <v>150000</v>
      </c>
      <c r="G34" s="314">
        <f t="shared" si="0"/>
        <v>8146449</v>
      </c>
      <c r="H34" s="313" t="s">
        <v>25</v>
      </c>
      <c r="M34" s="330"/>
      <c r="Q34" s="314"/>
      <c r="R34" s="329"/>
    </row>
    <row r="35" spans="1:18" s="313" customFormat="1" ht="16.5" hidden="1">
      <c r="A35" s="331">
        <v>44988</v>
      </c>
      <c r="B35" s="335" t="s">
        <v>316</v>
      </c>
      <c r="C35" s="335" t="s">
        <v>311</v>
      </c>
      <c r="D35" s="60"/>
      <c r="E35" s="335">
        <v>150000</v>
      </c>
      <c r="F35" s="403"/>
      <c r="G35" s="314">
        <f t="shared" si="0"/>
        <v>8296449</v>
      </c>
      <c r="H35" s="335" t="s">
        <v>276</v>
      </c>
      <c r="J35" s="335"/>
      <c r="K35" s="335"/>
      <c r="L35" s="335"/>
      <c r="M35" s="330"/>
      <c r="N35" s="335"/>
      <c r="O35" s="335"/>
      <c r="Q35" s="329"/>
      <c r="R35" s="329"/>
    </row>
    <row r="36" spans="1:18" s="313" customFormat="1" ht="16.5">
      <c r="A36" s="298">
        <v>44988</v>
      </c>
      <c r="B36" s="313" t="s">
        <v>483</v>
      </c>
      <c r="C36" s="335" t="s">
        <v>278</v>
      </c>
      <c r="D36" s="313" t="s">
        <v>4</v>
      </c>
      <c r="F36" s="334">
        <v>100000</v>
      </c>
      <c r="G36" s="314">
        <f t="shared" si="0"/>
        <v>8196449</v>
      </c>
      <c r="H36" s="313" t="s">
        <v>29</v>
      </c>
      <c r="I36" s="313" t="s">
        <v>309</v>
      </c>
      <c r="J36" s="313" t="s">
        <v>500</v>
      </c>
      <c r="K36" s="313" t="s">
        <v>206</v>
      </c>
      <c r="L36" s="313" t="s">
        <v>318</v>
      </c>
      <c r="M36" s="330" t="s">
        <v>531</v>
      </c>
      <c r="N36" s="313" t="s">
        <v>330</v>
      </c>
      <c r="Q36" s="329"/>
      <c r="R36" s="329"/>
    </row>
    <row r="37" spans="1:18" s="313" customFormat="1" ht="16.5" hidden="1">
      <c r="A37" s="298">
        <v>44989</v>
      </c>
      <c r="B37" s="335" t="s">
        <v>317</v>
      </c>
      <c r="C37" s="313" t="s">
        <v>75</v>
      </c>
      <c r="E37" s="313">
        <v>99000</v>
      </c>
      <c r="F37" s="60"/>
      <c r="G37" s="314">
        <f t="shared" si="0"/>
        <v>8295449</v>
      </c>
      <c r="H37" s="313" t="s">
        <v>277</v>
      </c>
      <c r="I37" s="389"/>
      <c r="M37" s="330"/>
      <c r="N37" s="335"/>
      <c r="Q37" s="329"/>
      <c r="R37" s="329"/>
    </row>
    <row r="38" spans="1:18" s="313" customFormat="1" ht="16.5">
      <c r="A38" s="332">
        <v>44990</v>
      </c>
      <c r="B38" s="373" t="s">
        <v>395</v>
      </c>
      <c r="C38" s="335" t="s">
        <v>278</v>
      </c>
      <c r="D38" s="406" t="s">
        <v>2</v>
      </c>
      <c r="F38" s="439">
        <v>45000</v>
      </c>
      <c r="G38" s="314">
        <f t="shared" si="0"/>
        <v>8250449</v>
      </c>
      <c r="H38" s="329" t="s">
        <v>47</v>
      </c>
      <c r="I38" s="313" t="s">
        <v>302</v>
      </c>
      <c r="J38" s="313" t="s">
        <v>542</v>
      </c>
      <c r="K38" s="329" t="s">
        <v>206</v>
      </c>
      <c r="L38" s="313" t="s">
        <v>318</v>
      </c>
      <c r="M38" s="330" t="s">
        <v>532</v>
      </c>
      <c r="N38" s="335" t="s">
        <v>330</v>
      </c>
      <c r="Q38" s="329"/>
      <c r="R38" s="329"/>
    </row>
    <row r="39" spans="1:18" s="313" customFormat="1" ht="16.5">
      <c r="A39" s="298">
        <v>44990</v>
      </c>
      <c r="B39" s="373" t="s">
        <v>396</v>
      </c>
      <c r="C39" s="335" t="s">
        <v>34</v>
      </c>
      <c r="D39" s="60" t="s">
        <v>2</v>
      </c>
      <c r="F39" s="314">
        <v>5000</v>
      </c>
      <c r="G39" s="314">
        <f t="shared" si="0"/>
        <v>8245449</v>
      </c>
      <c r="H39" s="313" t="s">
        <v>47</v>
      </c>
      <c r="I39" s="313" t="s">
        <v>302</v>
      </c>
      <c r="J39" s="313" t="s">
        <v>542</v>
      </c>
      <c r="K39" s="313" t="s">
        <v>206</v>
      </c>
      <c r="L39" s="313" t="s">
        <v>318</v>
      </c>
      <c r="M39" s="330" t="s">
        <v>533</v>
      </c>
      <c r="N39" s="313" t="s">
        <v>329</v>
      </c>
      <c r="Q39" s="329"/>
      <c r="R39" s="329"/>
    </row>
    <row r="40" spans="1:18" s="313" customFormat="1" ht="16.5">
      <c r="A40" s="298">
        <v>44990</v>
      </c>
      <c r="B40" s="313" t="s">
        <v>484</v>
      </c>
      <c r="C40" s="335" t="s">
        <v>278</v>
      </c>
      <c r="D40" s="313" t="s">
        <v>4</v>
      </c>
      <c r="E40" s="314"/>
      <c r="F40" s="314">
        <v>30000</v>
      </c>
      <c r="G40" s="314">
        <f t="shared" si="0"/>
        <v>8215449</v>
      </c>
      <c r="H40" s="313" t="s">
        <v>29</v>
      </c>
      <c r="I40" s="313" t="s">
        <v>302</v>
      </c>
      <c r="J40" s="313" t="s">
        <v>500</v>
      </c>
      <c r="K40" s="313" t="s">
        <v>206</v>
      </c>
      <c r="L40" s="313" t="s">
        <v>318</v>
      </c>
      <c r="M40" s="330" t="s">
        <v>534</v>
      </c>
      <c r="N40" s="313" t="s">
        <v>330</v>
      </c>
      <c r="Q40" s="329"/>
      <c r="R40" s="329"/>
    </row>
    <row r="41" spans="1:18" s="313" customFormat="1" ht="16.5">
      <c r="A41" s="298">
        <v>44990</v>
      </c>
      <c r="B41" s="313" t="s">
        <v>485</v>
      </c>
      <c r="C41" s="313" t="s">
        <v>34</v>
      </c>
      <c r="D41" s="313" t="s">
        <v>4</v>
      </c>
      <c r="E41" s="314"/>
      <c r="F41" s="314">
        <v>10000</v>
      </c>
      <c r="G41" s="314">
        <f t="shared" si="0"/>
        <v>8205449</v>
      </c>
      <c r="H41" s="313" t="s">
        <v>29</v>
      </c>
      <c r="I41" s="313" t="s">
        <v>302</v>
      </c>
      <c r="J41" s="313" t="s">
        <v>500</v>
      </c>
      <c r="K41" s="313" t="s">
        <v>206</v>
      </c>
      <c r="L41" s="313" t="s">
        <v>318</v>
      </c>
      <c r="M41" s="330" t="s">
        <v>535</v>
      </c>
      <c r="N41" s="313" t="s">
        <v>329</v>
      </c>
      <c r="Q41" s="329"/>
      <c r="R41" s="329"/>
    </row>
    <row r="42" spans="1:18" s="313" customFormat="1" ht="16.5" hidden="1">
      <c r="A42" s="298">
        <v>44991</v>
      </c>
      <c r="B42" s="313" t="s">
        <v>295</v>
      </c>
      <c r="C42" s="335" t="s">
        <v>75</v>
      </c>
      <c r="D42" s="334"/>
      <c r="F42" s="313">
        <f>139000-27000</f>
        <v>112000</v>
      </c>
      <c r="G42" s="314">
        <f t="shared" si="0"/>
        <v>8093449</v>
      </c>
      <c r="H42" s="329" t="s">
        <v>25</v>
      </c>
      <c r="K42" s="335"/>
      <c r="L42" s="335"/>
      <c r="M42" s="330"/>
      <c r="N42" s="335"/>
      <c r="Q42" s="329"/>
      <c r="R42" s="329"/>
    </row>
    <row r="43" spans="1:18" s="313" customFormat="1" ht="16.5" hidden="1">
      <c r="A43" s="298">
        <v>44991</v>
      </c>
      <c r="B43" s="335" t="s">
        <v>204</v>
      </c>
      <c r="C43" s="335" t="s">
        <v>75</v>
      </c>
      <c r="E43" s="335"/>
      <c r="F43" s="441">
        <v>91000</v>
      </c>
      <c r="G43" s="314">
        <f t="shared" si="0"/>
        <v>8002449</v>
      </c>
      <c r="H43" s="335" t="s">
        <v>25</v>
      </c>
      <c r="J43" s="335"/>
      <c r="K43" s="335"/>
      <c r="L43" s="335"/>
      <c r="M43" s="330"/>
      <c r="N43" s="335"/>
      <c r="O43" s="335"/>
      <c r="Q43" s="329"/>
      <c r="R43" s="329"/>
    </row>
    <row r="44" spans="1:18" s="313" customFormat="1" ht="16.5">
      <c r="A44" s="337">
        <v>44991</v>
      </c>
      <c r="B44" s="314" t="s">
        <v>337</v>
      </c>
      <c r="C44" s="314" t="s">
        <v>220</v>
      </c>
      <c r="D44" s="406" t="s">
        <v>291</v>
      </c>
      <c r="F44" s="313">
        <v>6900</v>
      </c>
      <c r="G44" s="314">
        <f t="shared" si="0"/>
        <v>7995549</v>
      </c>
      <c r="H44" s="313" t="s">
        <v>25</v>
      </c>
      <c r="I44" s="313" t="s">
        <v>302</v>
      </c>
      <c r="J44" s="313" t="s">
        <v>102</v>
      </c>
      <c r="K44" s="313" t="s">
        <v>206</v>
      </c>
      <c r="L44" s="313" t="s">
        <v>318</v>
      </c>
      <c r="M44" s="330" t="s">
        <v>536</v>
      </c>
      <c r="N44" s="313" t="s">
        <v>319</v>
      </c>
      <c r="O44" s="336"/>
      <c r="Q44" s="329"/>
      <c r="R44" s="329"/>
    </row>
    <row r="45" spans="1:18" s="313" customFormat="1" ht="16.5">
      <c r="A45" s="298">
        <v>44991</v>
      </c>
      <c r="B45" s="313" t="s">
        <v>338</v>
      </c>
      <c r="C45" s="335" t="s">
        <v>181</v>
      </c>
      <c r="D45" s="335" t="s">
        <v>291</v>
      </c>
      <c r="F45" s="313">
        <v>54532</v>
      </c>
      <c r="G45" s="314">
        <f t="shared" si="0"/>
        <v>7941017</v>
      </c>
      <c r="H45" s="313" t="s">
        <v>25</v>
      </c>
      <c r="I45" s="389" t="s">
        <v>302</v>
      </c>
      <c r="J45" s="313" t="s">
        <v>102</v>
      </c>
      <c r="K45" s="335" t="s">
        <v>206</v>
      </c>
      <c r="L45" s="335" t="s">
        <v>318</v>
      </c>
      <c r="M45" s="330" t="s">
        <v>537</v>
      </c>
      <c r="N45" s="335" t="s">
        <v>326</v>
      </c>
      <c r="O45" s="335"/>
      <c r="P45" s="336"/>
      <c r="Q45" s="329"/>
      <c r="R45" s="329"/>
    </row>
    <row r="46" spans="1:18" s="313" customFormat="1" ht="16.5">
      <c r="A46" s="298">
        <v>44991</v>
      </c>
      <c r="B46" s="335" t="s">
        <v>339</v>
      </c>
      <c r="C46" s="335" t="s">
        <v>181</v>
      </c>
      <c r="D46" s="60" t="s">
        <v>291</v>
      </c>
      <c r="E46" s="335"/>
      <c r="F46" s="335">
        <f>65887-F45</f>
        <v>11355</v>
      </c>
      <c r="G46" s="314">
        <f t="shared" si="0"/>
        <v>7929662</v>
      </c>
      <c r="H46" s="335" t="s">
        <v>25</v>
      </c>
      <c r="I46" s="313" t="s">
        <v>302</v>
      </c>
      <c r="J46" s="313" t="s">
        <v>542</v>
      </c>
      <c r="K46" s="335" t="s">
        <v>205</v>
      </c>
      <c r="L46" s="335" t="s">
        <v>318</v>
      </c>
      <c r="M46" s="330"/>
      <c r="N46" s="335"/>
      <c r="O46" s="335"/>
      <c r="Q46" s="329"/>
      <c r="R46" s="329"/>
    </row>
    <row r="47" spans="1:18" s="313" customFormat="1" ht="16.5" hidden="1">
      <c r="A47" s="298">
        <v>44991</v>
      </c>
      <c r="B47" s="313" t="s">
        <v>29</v>
      </c>
      <c r="C47" s="335" t="s">
        <v>75</v>
      </c>
      <c r="E47" s="314"/>
      <c r="F47" s="314">
        <v>166000</v>
      </c>
      <c r="G47" s="314">
        <f t="shared" si="0"/>
        <v>7763662</v>
      </c>
      <c r="H47" s="313" t="s">
        <v>25</v>
      </c>
      <c r="J47" s="335"/>
      <c r="K47" s="335"/>
      <c r="L47" s="335"/>
      <c r="M47" s="330"/>
      <c r="N47" s="335"/>
      <c r="Q47" s="329"/>
      <c r="R47" s="329"/>
    </row>
    <row r="48" spans="1:18" s="313" customFormat="1" ht="16.5">
      <c r="A48" s="331">
        <v>44991</v>
      </c>
      <c r="B48" s="313" t="s">
        <v>340</v>
      </c>
      <c r="C48" s="335" t="s">
        <v>220</v>
      </c>
      <c r="D48" s="313" t="s">
        <v>291</v>
      </c>
      <c r="F48" s="440">
        <v>4150</v>
      </c>
      <c r="G48" s="314">
        <f t="shared" si="0"/>
        <v>7759512</v>
      </c>
      <c r="H48" s="313" t="s">
        <v>25</v>
      </c>
      <c r="I48" s="313" t="s">
        <v>302</v>
      </c>
      <c r="J48" s="313" t="s">
        <v>102</v>
      </c>
      <c r="K48" s="313" t="s">
        <v>206</v>
      </c>
      <c r="L48" s="313" t="s">
        <v>318</v>
      </c>
      <c r="M48" s="330" t="s">
        <v>538</v>
      </c>
      <c r="N48" s="313" t="s">
        <v>319</v>
      </c>
      <c r="O48" s="336"/>
      <c r="Q48" s="329"/>
      <c r="R48" s="329"/>
    </row>
    <row r="49" spans="1:18" s="313" customFormat="1" ht="16.5">
      <c r="A49" s="298">
        <v>44991</v>
      </c>
      <c r="B49" s="373" t="s">
        <v>371</v>
      </c>
      <c r="C49" s="445" t="s">
        <v>372</v>
      </c>
      <c r="D49" s="445" t="s">
        <v>291</v>
      </c>
      <c r="F49" s="313">
        <f>14701+8644</f>
        <v>23345</v>
      </c>
      <c r="G49" s="314">
        <f t="shared" si="0"/>
        <v>7736167</v>
      </c>
      <c r="H49" s="313" t="s">
        <v>24</v>
      </c>
      <c r="I49" s="389" t="s">
        <v>303</v>
      </c>
      <c r="J49" s="313" t="s">
        <v>500</v>
      </c>
      <c r="K49" s="313" t="s">
        <v>205</v>
      </c>
      <c r="L49" s="313" t="s">
        <v>318</v>
      </c>
      <c r="M49" s="330"/>
      <c r="Q49" s="329"/>
      <c r="R49" s="329"/>
    </row>
    <row r="50" spans="1:18" s="313" customFormat="1" ht="16.5">
      <c r="A50" s="298">
        <v>44991</v>
      </c>
      <c r="B50" s="373" t="s">
        <v>373</v>
      </c>
      <c r="C50" s="335" t="s">
        <v>3</v>
      </c>
      <c r="D50" s="373" t="s">
        <v>291</v>
      </c>
      <c r="F50" s="441">
        <v>260000</v>
      </c>
      <c r="G50" s="314">
        <f t="shared" si="0"/>
        <v>7476167</v>
      </c>
      <c r="H50" s="313" t="s">
        <v>24</v>
      </c>
      <c r="I50" s="389">
        <v>3654539</v>
      </c>
      <c r="J50" s="313" t="s">
        <v>500</v>
      </c>
      <c r="K50" s="313" t="s">
        <v>205</v>
      </c>
      <c r="L50" s="313" t="s">
        <v>318</v>
      </c>
      <c r="M50" s="330"/>
      <c r="O50" s="336"/>
      <c r="P50" s="336"/>
      <c r="Q50" s="329"/>
      <c r="R50" s="329"/>
    </row>
    <row r="51" spans="1:18" s="313" customFormat="1" ht="16.5">
      <c r="A51" s="298">
        <v>44991</v>
      </c>
      <c r="B51" s="389" t="s">
        <v>374</v>
      </c>
      <c r="C51" s="445" t="s">
        <v>375</v>
      </c>
      <c r="D51" s="313" t="s">
        <v>161</v>
      </c>
      <c r="F51" s="313">
        <v>150000</v>
      </c>
      <c r="G51" s="314">
        <f t="shared" si="0"/>
        <v>7326167</v>
      </c>
      <c r="H51" s="313" t="s">
        <v>24</v>
      </c>
      <c r="I51" s="389">
        <v>3654540</v>
      </c>
      <c r="J51" s="313" t="s">
        <v>500</v>
      </c>
      <c r="K51" s="313" t="s">
        <v>205</v>
      </c>
      <c r="L51" s="313" t="s">
        <v>318</v>
      </c>
      <c r="M51" s="330"/>
      <c r="O51" s="336"/>
      <c r="Q51" s="329"/>
      <c r="R51" s="329"/>
    </row>
    <row r="52" spans="1:18" s="313" customFormat="1" ht="16.5">
      <c r="A52" s="298">
        <v>44991</v>
      </c>
      <c r="B52" s="313" t="s">
        <v>397</v>
      </c>
      <c r="C52" s="335" t="s">
        <v>278</v>
      </c>
      <c r="D52" s="313" t="s">
        <v>2</v>
      </c>
      <c r="E52" s="335"/>
      <c r="F52" s="440">
        <v>15000</v>
      </c>
      <c r="G52" s="314">
        <f t="shared" si="0"/>
        <v>7311167</v>
      </c>
      <c r="H52" s="313" t="s">
        <v>47</v>
      </c>
      <c r="I52" s="313" t="s">
        <v>302</v>
      </c>
      <c r="J52" s="313" t="s">
        <v>542</v>
      </c>
      <c r="K52" s="329" t="s">
        <v>206</v>
      </c>
      <c r="L52" s="313" t="s">
        <v>318</v>
      </c>
      <c r="M52" s="330" t="s">
        <v>539</v>
      </c>
      <c r="N52" s="335" t="s">
        <v>330</v>
      </c>
      <c r="Q52" s="329"/>
      <c r="R52" s="329"/>
    </row>
    <row r="53" spans="1:18" s="313" customFormat="1" ht="16.5">
      <c r="A53" s="332">
        <v>44991</v>
      </c>
      <c r="B53" s="373" t="s">
        <v>398</v>
      </c>
      <c r="C53" s="313" t="s">
        <v>34</v>
      </c>
      <c r="D53" s="313" t="s">
        <v>2</v>
      </c>
      <c r="F53" s="439">
        <v>5000</v>
      </c>
      <c r="G53" s="314">
        <f t="shared" si="0"/>
        <v>7306167</v>
      </c>
      <c r="H53" s="329" t="s">
        <v>47</v>
      </c>
      <c r="I53" s="313" t="s">
        <v>302</v>
      </c>
      <c r="J53" s="313" t="s">
        <v>542</v>
      </c>
      <c r="K53" s="313" t="s">
        <v>206</v>
      </c>
      <c r="L53" s="313" t="s">
        <v>318</v>
      </c>
      <c r="M53" s="330" t="s">
        <v>540</v>
      </c>
      <c r="N53" s="313" t="s">
        <v>329</v>
      </c>
      <c r="P53" s="336"/>
      <c r="Q53" s="329"/>
      <c r="R53" s="329"/>
    </row>
    <row r="54" spans="1:18" s="313" customFormat="1" ht="16.5" hidden="1">
      <c r="A54" s="332">
        <v>44991</v>
      </c>
      <c r="B54" s="373" t="s">
        <v>399</v>
      </c>
      <c r="C54" s="313" t="s">
        <v>75</v>
      </c>
      <c r="E54" s="403">
        <v>112000</v>
      </c>
      <c r="F54" s="439"/>
      <c r="G54" s="314">
        <f t="shared" si="0"/>
        <v>7418167</v>
      </c>
      <c r="H54" s="329" t="s">
        <v>47</v>
      </c>
      <c r="M54" s="330"/>
      <c r="Q54" s="329"/>
      <c r="R54" s="329"/>
    </row>
    <row r="55" spans="1:18" s="313" customFormat="1" ht="16.5" hidden="1">
      <c r="A55" s="298">
        <v>44991</v>
      </c>
      <c r="B55" s="313" t="s">
        <v>435</v>
      </c>
      <c r="C55" s="313" t="s">
        <v>311</v>
      </c>
      <c r="E55" s="314">
        <v>91000</v>
      </c>
      <c r="F55" s="439"/>
      <c r="G55" s="314">
        <f t="shared" si="0"/>
        <v>7509167</v>
      </c>
      <c r="H55" s="313" t="s">
        <v>204</v>
      </c>
      <c r="M55" s="330"/>
      <c r="Q55" s="329"/>
      <c r="R55" s="329"/>
    </row>
    <row r="56" spans="1:18" s="313" customFormat="1" ht="16.5">
      <c r="A56" s="298">
        <v>44991</v>
      </c>
      <c r="B56" s="313" t="s">
        <v>313</v>
      </c>
      <c r="C56" s="335" t="s">
        <v>34</v>
      </c>
      <c r="D56" s="313" t="s">
        <v>161</v>
      </c>
      <c r="E56" s="314"/>
      <c r="F56" s="439">
        <v>10000</v>
      </c>
      <c r="G56" s="314">
        <f t="shared" si="0"/>
        <v>7499167</v>
      </c>
      <c r="H56" s="313" t="s">
        <v>204</v>
      </c>
      <c r="I56" s="313" t="s">
        <v>302</v>
      </c>
      <c r="J56" s="313" t="s">
        <v>542</v>
      </c>
      <c r="K56" s="313" t="s">
        <v>206</v>
      </c>
      <c r="L56" s="313" t="s">
        <v>318</v>
      </c>
      <c r="M56" s="330" t="s">
        <v>543</v>
      </c>
      <c r="N56" s="313" t="s">
        <v>329</v>
      </c>
      <c r="Q56" s="329"/>
      <c r="R56" s="329"/>
    </row>
    <row r="57" spans="1:18" s="313" customFormat="1" ht="16.5">
      <c r="A57" s="298">
        <v>44991</v>
      </c>
      <c r="B57" s="335" t="s">
        <v>436</v>
      </c>
      <c r="C57" s="335" t="s">
        <v>278</v>
      </c>
      <c r="D57" s="313" t="s">
        <v>161</v>
      </c>
      <c r="E57" s="335"/>
      <c r="F57" s="335">
        <v>20000</v>
      </c>
      <c r="G57" s="314">
        <f t="shared" si="0"/>
        <v>7479167</v>
      </c>
      <c r="H57" s="335" t="s">
        <v>204</v>
      </c>
      <c r="I57" s="313" t="s">
        <v>309</v>
      </c>
      <c r="J57" s="313" t="s">
        <v>542</v>
      </c>
      <c r="K57" s="329" t="s">
        <v>206</v>
      </c>
      <c r="L57" s="313" t="s">
        <v>318</v>
      </c>
      <c r="M57" s="330" t="s">
        <v>544</v>
      </c>
      <c r="N57" s="335" t="s">
        <v>330</v>
      </c>
      <c r="O57" s="335"/>
      <c r="Q57" s="329"/>
      <c r="R57" s="329"/>
    </row>
    <row r="58" spans="1:18" s="313" customFormat="1" ht="16.5">
      <c r="A58" s="298">
        <v>44991</v>
      </c>
      <c r="B58" s="313" t="s">
        <v>460</v>
      </c>
      <c r="C58" s="313" t="s">
        <v>34</v>
      </c>
      <c r="D58" s="313" t="s">
        <v>4</v>
      </c>
      <c r="E58" s="314"/>
      <c r="F58" s="314">
        <v>15000</v>
      </c>
      <c r="G58" s="314">
        <f t="shared" si="0"/>
        <v>7464167</v>
      </c>
      <c r="H58" s="313" t="s">
        <v>276</v>
      </c>
      <c r="I58" s="313" t="s">
        <v>302</v>
      </c>
      <c r="J58" s="313" t="s">
        <v>500</v>
      </c>
      <c r="K58" s="313" t="s">
        <v>205</v>
      </c>
      <c r="L58" s="313" t="s">
        <v>318</v>
      </c>
      <c r="M58" s="330"/>
      <c r="Q58" s="329"/>
      <c r="R58" s="329"/>
    </row>
    <row r="59" spans="1:18" s="313" customFormat="1" ht="16.5">
      <c r="A59" s="331">
        <v>44991</v>
      </c>
      <c r="B59" s="313" t="s">
        <v>636</v>
      </c>
      <c r="C59" s="335" t="s">
        <v>278</v>
      </c>
      <c r="D59" s="313" t="s">
        <v>4</v>
      </c>
      <c r="E59" s="314"/>
      <c r="F59" s="314">
        <v>120000</v>
      </c>
      <c r="G59" s="314">
        <f t="shared" si="0"/>
        <v>7344167</v>
      </c>
      <c r="H59" s="313" t="s">
        <v>276</v>
      </c>
      <c r="I59" s="313" t="s">
        <v>309</v>
      </c>
      <c r="J59" s="313" t="s">
        <v>500</v>
      </c>
      <c r="K59" s="313" t="s">
        <v>205</v>
      </c>
      <c r="L59" s="313" t="s">
        <v>318</v>
      </c>
      <c r="M59" s="330"/>
      <c r="N59" s="335"/>
      <c r="P59" s="336"/>
      <c r="Q59" s="329"/>
      <c r="R59" s="329"/>
    </row>
    <row r="60" spans="1:18" s="313" customFormat="1" ht="16.5" hidden="1">
      <c r="A60" s="331">
        <v>44991</v>
      </c>
      <c r="B60" s="313" t="s">
        <v>308</v>
      </c>
      <c r="C60" s="313" t="s">
        <v>75</v>
      </c>
      <c r="E60" s="314">
        <v>166000</v>
      </c>
      <c r="F60" s="314"/>
      <c r="G60" s="314">
        <f t="shared" si="0"/>
        <v>7510167</v>
      </c>
      <c r="H60" s="313" t="s">
        <v>29</v>
      </c>
      <c r="M60" s="330"/>
      <c r="Q60" s="329"/>
      <c r="R60" s="329"/>
    </row>
    <row r="61" spans="1:18" s="313" customFormat="1" ht="16.5">
      <c r="A61" s="298">
        <v>44992</v>
      </c>
      <c r="B61" s="373" t="s">
        <v>341</v>
      </c>
      <c r="C61" s="313" t="s">
        <v>177</v>
      </c>
      <c r="D61" s="314" t="s">
        <v>342</v>
      </c>
      <c r="E61" s="404"/>
      <c r="F61" s="439">
        <v>57000</v>
      </c>
      <c r="G61" s="314">
        <f t="shared" si="0"/>
        <v>7453167</v>
      </c>
      <c r="H61" s="314" t="s">
        <v>25</v>
      </c>
      <c r="I61" s="313" t="s">
        <v>302</v>
      </c>
      <c r="J61" s="313" t="s">
        <v>542</v>
      </c>
      <c r="K61" s="313" t="s">
        <v>205</v>
      </c>
      <c r="L61" s="313" t="s">
        <v>318</v>
      </c>
      <c r="M61" s="330"/>
      <c r="Q61" s="329"/>
      <c r="R61" s="329"/>
    </row>
    <row r="62" spans="1:18" s="313" customFormat="1" ht="16.5" hidden="1">
      <c r="A62" s="298">
        <v>44992</v>
      </c>
      <c r="B62" s="313" t="s">
        <v>292</v>
      </c>
      <c r="C62" s="313" t="s">
        <v>75</v>
      </c>
      <c r="D62" s="314"/>
      <c r="E62" s="314"/>
      <c r="F62" s="439">
        <v>50000</v>
      </c>
      <c r="G62" s="314">
        <f t="shared" si="0"/>
        <v>7403167</v>
      </c>
      <c r="H62" s="313" t="s">
        <v>25</v>
      </c>
      <c r="M62" s="330"/>
      <c r="Q62" s="329"/>
      <c r="R62" s="329"/>
    </row>
    <row r="63" spans="1:18" s="313" customFormat="1" ht="16.5" hidden="1">
      <c r="A63" s="331">
        <v>44992</v>
      </c>
      <c r="B63" s="335" t="s">
        <v>315</v>
      </c>
      <c r="C63" s="335" t="s">
        <v>75</v>
      </c>
      <c r="E63" s="313">
        <v>50000</v>
      </c>
      <c r="G63" s="314">
        <f t="shared" si="0"/>
        <v>7453167</v>
      </c>
      <c r="H63" s="313" t="s">
        <v>263</v>
      </c>
      <c r="M63" s="330"/>
      <c r="Q63" s="329"/>
      <c r="R63" s="329"/>
    </row>
    <row r="64" spans="1:18" s="313" customFormat="1" ht="16.5">
      <c r="A64" s="298">
        <v>44992</v>
      </c>
      <c r="B64" s="313" t="s">
        <v>477</v>
      </c>
      <c r="C64" s="335" t="s">
        <v>278</v>
      </c>
      <c r="D64" s="313" t="s">
        <v>4</v>
      </c>
      <c r="F64" s="60">
        <v>90000</v>
      </c>
      <c r="G64" s="314">
        <f t="shared" si="0"/>
        <v>7363167</v>
      </c>
      <c r="H64" s="313" t="s">
        <v>277</v>
      </c>
      <c r="I64" s="313" t="s">
        <v>302</v>
      </c>
      <c r="J64" s="313" t="s">
        <v>542</v>
      </c>
      <c r="K64" s="313" t="s">
        <v>205</v>
      </c>
      <c r="L64" s="313" t="s">
        <v>318</v>
      </c>
      <c r="M64" s="330"/>
      <c r="N64" s="335"/>
      <c r="Q64" s="329"/>
      <c r="R64" s="329"/>
    </row>
    <row r="65" spans="1:18" s="313" customFormat="1" ht="16.5">
      <c r="A65" s="298">
        <v>44992</v>
      </c>
      <c r="B65" s="313" t="s">
        <v>455</v>
      </c>
      <c r="C65" s="406" t="s">
        <v>34</v>
      </c>
      <c r="D65" s="313" t="s">
        <v>4</v>
      </c>
      <c r="F65" s="60">
        <v>15000</v>
      </c>
      <c r="G65" s="314">
        <f t="shared" si="0"/>
        <v>7348167</v>
      </c>
      <c r="H65" s="313" t="s">
        <v>277</v>
      </c>
      <c r="I65" s="313" t="s">
        <v>302</v>
      </c>
      <c r="J65" s="313" t="s">
        <v>542</v>
      </c>
      <c r="K65" s="313" t="s">
        <v>205</v>
      </c>
      <c r="L65" s="313" t="s">
        <v>318</v>
      </c>
      <c r="M65" s="330"/>
      <c r="Q65" s="329"/>
      <c r="R65" s="329"/>
    </row>
    <row r="66" spans="1:18" s="313" customFormat="1" ht="16.5">
      <c r="A66" s="298">
        <v>44992</v>
      </c>
      <c r="B66" s="335" t="s">
        <v>486</v>
      </c>
      <c r="C66" s="335" t="s">
        <v>278</v>
      </c>
      <c r="D66" s="313" t="s">
        <v>4</v>
      </c>
      <c r="E66" s="335"/>
      <c r="F66" s="335">
        <v>20000</v>
      </c>
      <c r="G66" s="314">
        <f t="shared" si="0"/>
        <v>7328167</v>
      </c>
      <c r="H66" s="335" t="s">
        <v>29</v>
      </c>
      <c r="I66" s="313" t="s">
        <v>302</v>
      </c>
      <c r="J66" s="313" t="s">
        <v>500</v>
      </c>
      <c r="K66" s="313" t="s">
        <v>206</v>
      </c>
      <c r="L66" s="313" t="s">
        <v>318</v>
      </c>
      <c r="M66" s="330" t="s">
        <v>545</v>
      </c>
      <c r="N66" s="313" t="s">
        <v>330</v>
      </c>
      <c r="O66" s="335"/>
      <c r="Q66" s="314"/>
      <c r="R66" s="329"/>
    </row>
    <row r="67" spans="1:18" s="313" customFormat="1" ht="16.5">
      <c r="A67" s="298">
        <v>44992</v>
      </c>
      <c r="B67" s="373" t="s">
        <v>487</v>
      </c>
      <c r="C67" s="313" t="s">
        <v>34</v>
      </c>
      <c r="D67" s="313" t="s">
        <v>4</v>
      </c>
      <c r="F67" s="314">
        <v>3000</v>
      </c>
      <c r="G67" s="314">
        <f t="shared" si="0"/>
        <v>7325167</v>
      </c>
      <c r="H67" s="313" t="s">
        <v>29</v>
      </c>
      <c r="I67" s="313" t="s">
        <v>302</v>
      </c>
      <c r="J67" s="313" t="s">
        <v>500</v>
      </c>
      <c r="K67" s="313" t="s">
        <v>206</v>
      </c>
      <c r="L67" s="313" t="s">
        <v>318</v>
      </c>
      <c r="M67" s="330" t="s">
        <v>546</v>
      </c>
      <c r="N67" s="313" t="s">
        <v>329</v>
      </c>
      <c r="Q67" s="314"/>
      <c r="R67" s="329"/>
    </row>
    <row r="68" spans="1:18" s="313" customFormat="1" ht="16.5">
      <c r="A68" s="298">
        <v>44993</v>
      </c>
      <c r="B68" s="313" t="s">
        <v>437</v>
      </c>
      <c r="C68" s="335" t="s">
        <v>34</v>
      </c>
      <c r="D68" s="313" t="s">
        <v>161</v>
      </c>
      <c r="E68" s="314"/>
      <c r="F68" s="439">
        <v>10000</v>
      </c>
      <c r="G68" s="314">
        <f t="shared" si="0"/>
        <v>7315167</v>
      </c>
      <c r="H68" s="313" t="s">
        <v>204</v>
      </c>
      <c r="I68" s="313" t="s">
        <v>302</v>
      </c>
      <c r="J68" s="313" t="s">
        <v>542</v>
      </c>
      <c r="K68" s="313" t="s">
        <v>206</v>
      </c>
      <c r="L68" s="313" t="s">
        <v>318</v>
      </c>
      <c r="M68" s="330" t="s">
        <v>547</v>
      </c>
      <c r="N68" s="313" t="s">
        <v>329</v>
      </c>
      <c r="Q68" s="329"/>
      <c r="R68" s="329"/>
    </row>
    <row r="69" spans="1:18" s="313" customFormat="1" ht="16.5" hidden="1">
      <c r="A69" s="298">
        <v>44993</v>
      </c>
      <c r="B69" s="313" t="s">
        <v>276</v>
      </c>
      <c r="C69" s="314" t="s">
        <v>75</v>
      </c>
      <c r="D69" s="314"/>
      <c r="F69" s="313">
        <v>227000</v>
      </c>
      <c r="G69" s="314">
        <f t="shared" si="0"/>
        <v>7088167</v>
      </c>
      <c r="H69" s="313" t="s">
        <v>25</v>
      </c>
      <c r="I69" s="389"/>
      <c r="Q69" s="329"/>
      <c r="R69" s="329"/>
    </row>
    <row r="70" spans="1:18" s="313" customFormat="1" ht="16.5">
      <c r="A70" s="331">
        <v>44993</v>
      </c>
      <c r="B70" s="335" t="s">
        <v>297</v>
      </c>
      <c r="C70" s="335" t="s">
        <v>220</v>
      </c>
      <c r="D70" s="60" t="s">
        <v>291</v>
      </c>
      <c r="E70" s="335"/>
      <c r="F70" s="403">
        <v>6810</v>
      </c>
      <c r="G70" s="314">
        <f t="shared" si="0"/>
        <v>7081357</v>
      </c>
      <c r="H70" s="335" t="s">
        <v>25</v>
      </c>
      <c r="I70" s="335" t="s">
        <v>302</v>
      </c>
      <c r="J70" s="313" t="s">
        <v>542</v>
      </c>
      <c r="K70" s="313" t="s">
        <v>205</v>
      </c>
      <c r="L70" s="313" t="s">
        <v>318</v>
      </c>
      <c r="M70" s="335"/>
      <c r="N70" s="335"/>
      <c r="O70" s="335"/>
      <c r="Q70" s="329"/>
      <c r="R70" s="329"/>
    </row>
    <row r="71" spans="1:18" s="313" customFormat="1" ht="16.5" hidden="1">
      <c r="A71" s="298">
        <v>44993</v>
      </c>
      <c r="B71" s="313" t="s">
        <v>292</v>
      </c>
      <c r="C71" s="313" t="s">
        <v>75</v>
      </c>
      <c r="E71" s="314"/>
      <c r="F71" s="439">
        <v>60000</v>
      </c>
      <c r="G71" s="314">
        <f t="shared" si="0"/>
        <v>7021357</v>
      </c>
      <c r="H71" s="313" t="s">
        <v>25</v>
      </c>
      <c r="M71" s="330"/>
      <c r="Q71" s="329"/>
      <c r="R71" s="329"/>
    </row>
    <row r="72" spans="1:18" s="313" customFormat="1" ht="16.5">
      <c r="A72" s="331">
        <v>44993</v>
      </c>
      <c r="B72" s="313" t="s">
        <v>541</v>
      </c>
      <c r="C72" s="335" t="s">
        <v>293</v>
      </c>
      <c r="D72" s="313" t="s">
        <v>161</v>
      </c>
      <c r="E72" s="335"/>
      <c r="F72" s="440">
        <f>71500+1500</f>
        <v>73000</v>
      </c>
      <c r="G72" s="314">
        <f t="shared" si="0"/>
        <v>6948357</v>
      </c>
      <c r="H72" s="313" t="s">
        <v>25</v>
      </c>
      <c r="I72" s="313" t="s">
        <v>302</v>
      </c>
      <c r="J72" s="313" t="s">
        <v>102</v>
      </c>
      <c r="K72" s="313" t="s">
        <v>206</v>
      </c>
      <c r="L72" s="313" t="s">
        <v>318</v>
      </c>
      <c r="M72" s="330" t="s">
        <v>548</v>
      </c>
      <c r="N72" s="335" t="s">
        <v>321</v>
      </c>
      <c r="Q72" s="329"/>
      <c r="R72" s="329"/>
    </row>
    <row r="73" spans="1:18" s="313" customFormat="1" ht="16.5" hidden="1">
      <c r="A73" s="298">
        <v>44993</v>
      </c>
      <c r="B73" s="373" t="s">
        <v>93</v>
      </c>
      <c r="C73" s="335" t="s">
        <v>75</v>
      </c>
      <c r="E73" s="404"/>
      <c r="F73" s="439">
        <v>15000</v>
      </c>
      <c r="G73" s="314">
        <f t="shared" si="0"/>
        <v>6933357</v>
      </c>
      <c r="H73" s="314" t="s">
        <v>25</v>
      </c>
      <c r="Q73" s="329"/>
      <c r="R73" s="329"/>
    </row>
    <row r="74" spans="1:18" s="313" customFormat="1" ht="16.5">
      <c r="A74" s="298">
        <v>44993</v>
      </c>
      <c r="B74" s="313" t="s">
        <v>501</v>
      </c>
      <c r="C74" s="335" t="s">
        <v>237</v>
      </c>
      <c r="D74" s="335" t="s">
        <v>162</v>
      </c>
      <c r="F74" s="313">
        <v>150000</v>
      </c>
      <c r="G74" s="314">
        <f t="shared" si="0"/>
        <v>6783357</v>
      </c>
      <c r="H74" s="313" t="s">
        <v>25</v>
      </c>
      <c r="I74" s="313" t="s">
        <v>309</v>
      </c>
      <c r="J74" s="313" t="s">
        <v>542</v>
      </c>
      <c r="K74" s="313" t="s">
        <v>205</v>
      </c>
      <c r="L74" s="313" t="s">
        <v>318</v>
      </c>
      <c r="M74" s="330"/>
      <c r="N74" s="335"/>
      <c r="O74" s="335"/>
      <c r="Q74" s="329"/>
      <c r="R74" s="329"/>
    </row>
    <row r="75" spans="1:18" s="313" customFormat="1" ht="16.5">
      <c r="A75" s="298">
        <v>44993</v>
      </c>
      <c r="B75" s="313" t="s">
        <v>343</v>
      </c>
      <c r="C75" s="314" t="s">
        <v>237</v>
      </c>
      <c r="D75" s="313" t="s">
        <v>162</v>
      </c>
      <c r="E75" s="314"/>
      <c r="F75" s="314">
        <v>35000</v>
      </c>
      <c r="G75" s="314">
        <f t="shared" si="0"/>
        <v>6748357</v>
      </c>
      <c r="H75" s="313" t="s">
        <v>25</v>
      </c>
      <c r="I75" s="313" t="s">
        <v>309</v>
      </c>
      <c r="J75" s="313" t="s">
        <v>542</v>
      </c>
      <c r="K75" s="313" t="s">
        <v>205</v>
      </c>
      <c r="L75" s="313" t="s">
        <v>318</v>
      </c>
      <c r="M75" s="330"/>
      <c r="Q75" s="329"/>
      <c r="R75" s="329"/>
    </row>
    <row r="76" spans="1:18" s="313" customFormat="1" ht="16.5" hidden="1">
      <c r="A76" s="332">
        <v>44993</v>
      </c>
      <c r="B76" s="313" t="s">
        <v>428</v>
      </c>
      <c r="C76" s="335" t="s">
        <v>75</v>
      </c>
      <c r="E76" s="314">
        <v>15000</v>
      </c>
      <c r="F76" s="314"/>
      <c r="G76" s="314">
        <f t="shared" si="0"/>
        <v>6763357</v>
      </c>
      <c r="H76" s="313" t="s">
        <v>93</v>
      </c>
      <c r="J76" s="335"/>
      <c r="K76" s="335"/>
      <c r="L76" s="335"/>
      <c r="M76" s="330"/>
      <c r="N76" s="335"/>
      <c r="Q76" s="329"/>
      <c r="R76" s="329"/>
    </row>
    <row r="77" spans="1:18" s="313" customFormat="1" ht="16.5">
      <c r="A77" s="298">
        <v>44993</v>
      </c>
      <c r="B77" s="313" t="s">
        <v>438</v>
      </c>
      <c r="C77" s="335" t="s">
        <v>278</v>
      </c>
      <c r="D77" s="313" t="s">
        <v>161</v>
      </c>
      <c r="E77" s="314"/>
      <c r="F77" s="439">
        <v>30000</v>
      </c>
      <c r="G77" s="314">
        <f t="shared" si="0"/>
        <v>6733357</v>
      </c>
      <c r="H77" s="313" t="s">
        <v>204</v>
      </c>
      <c r="I77" s="313" t="s">
        <v>302</v>
      </c>
      <c r="J77" s="313" t="s">
        <v>542</v>
      </c>
      <c r="K77" s="329" t="s">
        <v>206</v>
      </c>
      <c r="L77" s="313" t="s">
        <v>318</v>
      </c>
      <c r="M77" s="330" t="s">
        <v>549</v>
      </c>
      <c r="N77" s="335" t="s">
        <v>330</v>
      </c>
      <c r="Q77" s="329"/>
      <c r="R77" s="329"/>
    </row>
    <row r="78" spans="1:18" s="313" customFormat="1" ht="16.5">
      <c r="A78" s="298">
        <v>44993</v>
      </c>
      <c r="B78" s="313" t="s">
        <v>445</v>
      </c>
      <c r="C78" s="335" t="s">
        <v>446</v>
      </c>
      <c r="D78" s="313" t="s">
        <v>161</v>
      </c>
      <c r="E78" s="314"/>
      <c r="F78" s="314">
        <v>20000</v>
      </c>
      <c r="G78" s="314">
        <f t="shared" ref="G78:G141" si="1">+G77+E78-F78</f>
        <v>6713357</v>
      </c>
      <c r="H78" s="313" t="s">
        <v>263</v>
      </c>
      <c r="I78" s="313" t="s">
        <v>302</v>
      </c>
      <c r="J78" s="313" t="s">
        <v>542</v>
      </c>
      <c r="K78" s="335" t="s">
        <v>205</v>
      </c>
      <c r="L78" s="335" t="s">
        <v>318</v>
      </c>
      <c r="M78" s="330"/>
      <c r="N78" s="335"/>
      <c r="Q78" s="329"/>
      <c r="R78" s="329"/>
    </row>
    <row r="79" spans="1:18" s="313" customFormat="1" ht="16.5" hidden="1">
      <c r="A79" s="298">
        <v>44993</v>
      </c>
      <c r="B79" s="313" t="s">
        <v>315</v>
      </c>
      <c r="C79" s="313" t="s">
        <v>75</v>
      </c>
      <c r="E79" s="314">
        <v>60000</v>
      </c>
      <c r="F79" s="314"/>
      <c r="G79" s="314">
        <f t="shared" si="1"/>
        <v>6773357</v>
      </c>
      <c r="H79" s="313" t="s">
        <v>263</v>
      </c>
      <c r="Q79" s="329"/>
      <c r="R79" s="329"/>
    </row>
    <row r="80" spans="1:18" s="313" customFormat="1" ht="16.5" hidden="1">
      <c r="A80" s="405">
        <v>44993</v>
      </c>
      <c r="B80" s="407" t="s">
        <v>316</v>
      </c>
      <c r="C80" s="335" t="s">
        <v>311</v>
      </c>
      <c r="D80" s="407"/>
      <c r="E80" s="407">
        <v>227000</v>
      </c>
      <c r="G80" s="314">
        <f t="shared" si="1"/>
        <v>7000357</v>
      </c>
      <c r="H80" s="313" t="s">
        <v>276</v>
      </c>
      <c r="P80" s="336"/>
      <c r="Q80" s="329"/>
      <c r="R80" s="329"/>
    </row>
    <row r="81" spans="1:18" s="313" customFormat="1" ht="16.5">
      <c r="A81" s="298">
        <v>44993</v>
      </c>
      <c r="B81" s="313" t="s">
        <v>641</v>
      </c>
      <c r="C81" s="335" t="s">
        <v>278</v>
      </c>
      <c r="D81" s="313" t="s">
        <v>4</v>
      </c>
      <c r="E81" s="335"/>
      <c r="F81" s="313">
        <v>30000</v>
      </c>
      <c r="G81" s="314">
        <f t="shared" si="1"/>
        <v>6970357</v>
      </c>
      <c r="H81" s="313" t="s">
        <v>276</v>
      </c>
      <c r="I81" s="313" t="s">
        <v>302</v>
      </c>
      <c r="J81" s="313" t="s">
        <v>500</v>
      </c>
      <c r="K81" s="313" t="s">
        <v>205</v>
      </c>
      <c r="L81" s="313" t="s">
        <v>318</v>
      </c>
      <c r="M81" s="330"/>
      <c r="N81" s="335"/>
      <c r="O81" s="335"/>
      <c r="P81" s="336"/>
      <c r="Q81" s="329"/>
      <c r="R81" s="329"/>
    </row>
    <row r="82" spans="1:18" s="313" customFormat="1" ht="16.5">
      <c r="A82" s="298">
        <v>44993</v>
      </c>
      <c r="B82" s="313" t="s">
        <v>461</v>
      </c>
      <c r="C82" s="335" t="s">
        <v>34</v>
      </c>
      <c r="D82" s="313" t="s">
        <v>4</v>
      </c>
      <c r="E82" s="314"/>
      <c r="F82" s="314">
        <v>2000</v>
      </c>
      <c r="G82" s="314">
        <f t="shared" si="1"/>
        <v>6968357</v>
      </c>
      <c r="H82" s="313" t="s">
        <v>276</v>
      </c>
      <c r="I82" s="313" t="s">
        <v>302</v>
      </c>
      <c r="J82" s="313" t="s">
        <v>500</v>
      </c>
      <c r="K82" s="313" t="s">
        <v>205</v>
      </c>
      <c r="L82" s="313" t="s">
        <v>318</v>
      </c>
      <c r="M82" s="330"/>
      <c r="Q82" s="329"/>
      <c r="R82" s="329"/>
    </row>
    <row r="83" spans="1:18" s="313" customFormat="1" ht="16.5">
      <c r="A83" s="331">
        <v>44994</v>
      </c>
      <c r="B83" s="313" t="s">
        <v>447</v>
      </c>
      <c r="C83" s="335" t="s">
        <v>34</v>
      </c>
      <c r="D83" s="313" t="s">
        <v>161</v>
      </c>
      <c r="F83" s="440">
        <v>10000</v>
      </c>
      <c r="G83" s="314">
        <f t="shared" si="1"/>
        <v>6958357</v>
      </c>
      <c r="H83" s="335" t="s">
        <v>263</v>
      </c>
      <c r="I83" s="313" t="s">
        <v>302</v>
      </c>
      <c r="J83" s="313" t="s">
        <v>542</v>
      </c>
      <c r="K83" s="313" t="s">
        <v>206</v>
      </c>
      <c r="L83" s="313" t="s">
        <v>318</v>
      </c>
      <c r="M83" s="330" t="s">
        <v>550</v>
      </c>
      <c r="N83" s="313" t="s">
        <v>329</v>
      </c>
    </row>
    <row r="84" spans="1:18" s="313" customFormat="1" ht="16.5">
      <c r="A84" s="298">
        <v>44994</v>
      </c>
      <c r="B84" s="313" t="s">
        <v>448</v>
      </c>
      <c r="C84" s="335" t="s">
        <v>34</v>
      </c>
      <c r="D84" s="313" t="s">
        <v>161</v>
      </c>
      <c r="E84" s="314"/>
      <c r="F84" s="439">
        <v>4500</v>
      </c>
      <c r="G84" s="314">
        <f t="shared" si="1"/>
        <v>6953857</v>
      </c>
      <c r="H84" s="313" t="s">
        <v>263</v>
      </c>
      <c r="I84" s="313" t="s">
        <v>302</v>
      </c>
      <c r="J84" s="313" t="s">
        <v>542</v>
      </c>
      <c r="K84" s="313" t="s">
        <v>206</v>
      </c>
      <c r="L84" s="313" t="s">
        <v>318</v>
      </c>
      <c r="M84" s="330" t="s">
        <v>551</v>
      </c>
      <c r="N84" s="313" t="s">
        <v>329</v>
      </c>
    </row>
    <row r="85" spans="1:18" s="313" customFormat="1" ht="16.5">
      <c r="A85" s="337">
        <v>44994</v>
      </c>
      <c r="B85" s="335" t="s">
        <v>449</v>
      </c>
      <c r="C85" s="335" t="s">
        <v>278</v>
      </c>
      <c r="D85" s="313" t="s">
        <v>161</v>
      </c>
      <c r="F85" s="440">
        <v>20000</v>
      </c>
      <c r="G85" s="314">
        <f t="shared" si="1"/>
        <v>6933857</v>
      </c>
      <c r="H85" s="313" t="s">
        <v>263</v>
      </c>
      <c r="I85" s="313" t="s">
        <v>309</v>
      </c>
      <c r="J85" s="313" t="s">
        <v>542</v>
      </c>
      <c r="K85" s="329" t="s">
        <v>206</v>
      </c>
      <c r="L85" s="313" t="s">
        <v>318</v>
      </c>
      <c r="M85" s="330" t="s">
        <v>552</v>
      </c>
      <c r="N85" s="335" t="s">
        <v>330</v>
      </c>
    </row>
    <row r="86" spans="1:18" s="313" customFormat="1" ht="16.5" hidden="1">
      <c r="A86" s="337">
        <v>44995</v>
      </c>
      <c r="B86" s="313" t="s">
        <v>295</v>
      </c>
      <c r="C86" s="335" t="s">
        <v>75</v>
      </c>
      <c r="D86" s="314"/>
      <c r="F86" s="313">
        <v>462000</v>
      </c>
      <c r="G86" s="314">
        <f t="shared" si="1"/>
        <v>6471857</v>
      </c>
      <c r="H86" s="329" t="s">
        <v>25</v>
      </c>
      <c r="K86" s="335"/>
      <c r="L86" s="335"/>
      <c r="M86" s="330"/>
      <c r="N86" s="335"/>
      <c r="O86" s="336"/>
    </row>
    <row r="87" spans="1:18" s="313" customFormat="1" ht="16.5">
      <c r="A87" s="298">
        <v>44995</v>
      </c>
      <c r="B87" s="335" t="s">
        <v>296</v>
      </c>
      <c r="C87" s="335" t="s">
        <v>220</v>
      </c>
      <c r="D87" s="313" t="s">
        <v>291</v>
      </c>
      <c r="E87" s="335"/>
      <c r="F87" s="335">
        <v>13860</v>
      </c>
      <c r="G87" s="314">
        <f t="shared" si="1"/>
        <v>6457997</v>
      </c>
      <c r="H87" s="335" t="s">
        <v>25</v>
      </c>
      <c r="I87" s="313" t="s">
        <v>302</v>
      </c>
      <c r="J87" s="313" t="s">
        <v>102</v>
      </c>
      <c r="K87" s="313" t="s">
        <v>206</v>
      </c>
      <c r="L87" s="313" t="s">
        <v>318</v>
      </c>
      <c r="M87" s="330" t="s">
        <v>553</v>
      </c>
      <c r="N87" s="313" t="s">
        <v>319</v>
      </c>
      <c r="O87" s="335"/>
    </row>
    <row r="88" spans="1:18" s="313" customFormat="1" ht="16.5" hidden="1">
      <c r="A88" s="298">
        <v>44995</v>
      </c>
      <c r="B88" s="313" t="s">
        <v>277</v>
      </c>
      <c r="C88" s="335" t="s">
        <v>75</v>
      </c>
      <c r="D88" s="314"/>
      <c r="F88" s="313">
        <v>20000</v>
      </c>
      <c r="G88" s="314">
        <f t="shared" si="1"/>
        <v>6437997</v>
      </c>
      <c r="H88" s="313" t="s">
        <v>25</v>
      </c>
      <c r="M88" s="330"/>
      <c r="N88" s="335"/>
      <c r="Q88" s="329"/>
      <c r="R88" s="329"/>
    </row>
    <row r="89" spans="1:18" s="313" customFormat="1" ht="16.5" hidden="1">
      <c r="A89" s="337">
        <v>44995</v>
      </c>
      <c r="B89" s="313" t="s">
        <v>277</v>
      </c>
      <c r="C89" s="335" t="s">
        <v>75</v>
      </c>
      <c r="D89" s="314"/>
      <c r="F89" s="313">
        <v>113000</v>
      </c>
      <c r="G89" s="314">
        <f t="shared" si="1"/>
        <v>6324997</v>
      </c>
      <c r="H89" s="329" t="s">
        <v>25</v>
      </c>
      <c r="J89" s="335"/>
      <c r="K89" s="335"/>
      <c r="L89" s="335"/>
      <c r="M89" s="330"/>
      <c r="N89" s="335"/>
      <c r="Q89" s="329"/>
      <c r="R89" s="329"/>
    </row>
    <row r="90" spans="1:18" s="313" customFormat="1" ht="16.5" hidden="1">
      <c r="A90" s="298">
        <v>44995</v>
      </c>
      <c r="B90" s="335" t="s">
        <v>305</v>
      </c>
      <c r="C90" s="335" t="s">
        <v>75</v>
      </c>
      <c r="E90" s="335">
        <v>462000</v>
      </c>
      <c r="F90" s="335"/>
      <c r="G90" s="314">
        <f t="shared" si="1"/>
        <v>6786997</v>
      </c>
      <c r="H90" s="335" t="s">
        <v>47</v>
      </c>
      <c r="J90" s="335"/>
      <c r="K90" s="335"/>
      <c r="L90" s="335"/>
      <c r="M90" s="330"/>
      <c r="N90" s="335"/>
      <c r="O90" s="335"/>
      <c r="Q90" s="329"/>
      <c r="R90" s="329"/>
    </row>
    <row r="91" spans="1:18" s="313" customFormat="1" ht="16.5">
      <c r="A91" s="298">
        <v>44995</v>
      </c>
      <c r="B91" s="313" t="s">
        <v>450</v>
      </c>
      <c r="C91" s="335" t="s">
        <v>441</v>
      </c>
      <c r="D91" s="313" t="s">
        <v>161</v>
      </c>
      <c r="F91" s="441">
        <v>3000</v>
      </c>
      <c r="G91" s="314">
        <f t="shared" si="1"/>
        <v>6783997</v>
      </c>
      <c r="H91" s="313" t="s">
        <v>263</v>
      </c>
      <c r="I91" s="313" t="s">
        <v>309</v>
      </c>
      <c r="J91" s="313" t="s">
        <v>542</v>
      </c>
      <c r="K91" s="313" t="s">
        <v>205</v>
      </c>
      <c r="L91" s="313" t="s">
        <v>318</v>
      </c>
      <c r="M91" s="330"/>
      <c r="N91" s="335"/>
      <c r="P91" s="329"/>
      <c r="Q91" s="329"/>
      <c r="R91" s="329"/>
    </row>
    <row r="92" spans="1:18" s="313" customFormat="1" ht="16.5" hidden="1">
      <c r="A92" s="332">
        <v>44995</v>
      </c>
      <c r="B92" s="313" t="s">
        <v>317</v>
      </c>
      <c r="C92" s="406" t="s">
        <v>75</v>
      </c>
      <c r="E92" s="313">
        <v>20000</v>
      </c>
      <c r="F92" s="60"/>
      <c r="G92" s="314">
        <f t="shared" si="1"/>
        <v>6803997</v>
      </c>
      <c r="H92" s="313" t="s">
        <v>277</v>
      </c>
      <c r="I92" s="389"/>
      <c r="M92" s="330"/>
      <c r="P92" s="329"/>
      <c r="Q92" s="329"/>
      <c r="R92" s="329"/>
    </row>
    <row r="93" spans="1:18" s="313" customFormat="1" ht="16.5" hidden="1">
      <c r="A93" s="298">
        <v>44995</v>
      </c>
      <c r="B93" s="335" t="s">
        <v>317</v>
      </c>
      <c r="C93" s="406" t="s">
        <v>75</v>
      </c>
      <c r="D93" s="314"/>
      <c r="E93" s="313">
        <v>113000</v>
      </c>
      <c r="F93" s="60"/>
      <c r="G93" s="314">
        <f t="shared" si="1"/>
        <v>6916997</v>
      </c>
      <c r="H93" s="313" t="s">
        <v>277</v>
      </c>
      <c r="I93" s="389"/>
      <c r="M93" s="330"/>
      <c r="P93" s="329"/>
      <c r="Q93" s="329"/>
      <c r="R93" s="329"/>
    </row>
    <row r="94" spans="1:18" s="313" customFormat="1" ht="16.5">
      <c r="A94" s="298">
        <v>44995</v>
      </c>
      <c r="B94" s="313" t="s">
        <v>462</v>
      </c>
      <c r="C94" s="335" t="s">
        <v>34</v>
      </c>
      <c r="D94" s="313" t="s">
        <v>4</v>
      </c>
      <c r="E94" s="314"/>
      <c r="F94" s="314">
        <v>2000</v>
      </c>
      <c r="G94" s="314">
        <f t="shared" si="1"/>
        <v>6914997</v>
      </c>
      <c r="H94" s="313" t="s">
        <v>276</v>
      </c>
      <c r="I94" s="313" t="s">
        <v>302</v>
      </c>
      <c r="J94" s="313" t="s">
        <v>500</v>
      </c>
      <c r="K94" s="313" t="s">
        <v>205</v>
      </c>
      <c r="L94" s="313" t="s">
        <v>318</v>
      </c>
      <c r="M94" s="330"/>
      <c r="N94" s="335"/>
      <c r="P94" s="329"/>
      <c r="Q94" s="329"/>
      <c r="R94" s="329"/>
    </row>
    <row r="95" spans="1:18" s="313" customFormat="1" ht="16.5">
      <c r="A95" s="298">
        <v>44996</v>
      </c>
      <c r="B95" s="313" t="s">
        <v>400</v>
      </c>
      <c r="C95" s="314" t="s">
        <v>34</v>
      </c>
      <c r="D95" s="313" t="s">
        <v>2</v>
      </c>
      <c r="E95" s="314"/>
      <c r="F95" s="314">
        <v>2000</v>
      </c>
      <c r="G95" s="314">
        <f t="shared" si="1"/>
        <v>6912997</v>
      </c>
      <c r="H95" s="313" t="s">
        <v>47</v>
      </c>
      <c r="I95" s="313" t="s">
        <v>302</v>
      </c>
      <c r="J95" s="313" t="s">
        <v>542</v>
      </c>
      <c r="K95" s="313" t="s">
        <v>206</v>
      </c>
      <c r="L95" s="313" t="s">
        <v>318</v>
      </c>
      <c r="M95" s="330" t="s">
        <v>554</v>
      </c>
      <c r="N95" s="313" t="s">
        <v>329</v>
      </c>
      <c r="O95" s="314"/>
      <c r="P95" s="336"/>
      <c r="Q95" s="329"/>
      <c r="R95" s="329"/>
    </row>
    <row r="96" spans="1:18" s="313" customFormat="1" ht="16.5">
      <c r="A96" s="298">
        <v>44996</v>
      </c>
      <c r="B96" s="313" t="s">
        <v>401</v>
      </c>
      <c r="C96" s="314" t="s">
        <v>34</v>
      </c>
      <c r="D96" s="313" t="s">
        <v>2</v>
      </c>
      <c r="E96" s="314"/>
      <c r="F96" s="314">
        <v>2000</v>
      </c>
      <c r="G96" s="314">
        <f t="shared" si="1"/>
        <v>6910997</v>
      </c>
      <c r="H96" s="313" t="s">
        <v>47</v>
      </c>
      <c r="I96" s="313" t="s">
        <v>302</v>
      </c>
      <c r="J96" s="313" t="s">
        <v>542</v>
      </c>
      <c r="K96" s="313" t="s">
        <v>206</v>
      </c>
      <c r="L96" s="313" t="s">
        <v>318</v>
      </c>
      <c r="M96" s="330" t="s">
        <v>555</v>
      </c>
      <c r="N96" s="313" t="s">
        <v>329</v>
      </c>
      <c r="P96" s="336"/>
      <c r="Q96" s="329"/>
      <c r="R96" s="329"/>
    </row>
    <row r="97" spans="1:18" s="313" customFormat="1" ht="16.5">
      <c r="A97" s="298">
        <v>44996</v>
      </c>
      <c r="B97" s="335" t="s">
        <v>402</v>
      </c>
      <c r="C97" s="314" t="s">
        <v>34</v>
      </c>
      <c r="D97" s="313" t="s">
        <v>359</v>
      </c>
      <c r="E97" s="335"/>
      <c r="F97" s="335">
        <v>5000</v>
      </c>
      <c r="G97" s="314">
        <f t="shared" si="1"/>
        <v>6905997</v>
      </c>
      <c r="H97" s="335" t="s">
        <v>47</v>
      </c>
      <c r="I97" s="313" t="s">
        <v>302</v>
      </c>
      <c r="J97" s="313" t="s">
        <v>542</v>
      </c>
      <c r="K97" s="313" t="s">
        <v>205</v>
      </c>
      <c r="L97" s="313" t="s">
        <v>318</v>
      </c>
      <c r="M97" s="330"/>
      <c r="O97" s="335"/>
      <c r="P97" s="336"/>
      <c r="Q97" s="329"/>
      <c r="R97" s="329"/>
    </row>
    <row r="98" spans="1:18" s="313" customFormat="1" ht="16.5">
      <c r="A98" s="332">
        <v>44996</v>
      </c>
      <c r="B98" s="313" t="s">
        <v>403</v>
      </c>
      <c r="C98" s="335" t="s">
        <v>278</v>
      </c>
      <c r="D98" s="60" t="s">
        <v>359</v>
      </c>
      <c r="F98" s="335">
        <v>14000</v>
      </c>
      <c r="G98" s="314">
        <f t="shared" si="1"/>
        <v>6891997</v>
      </c>
      <c r="H98" s="313" t="s">
        <v>47</v>
      </c>
      <c r="I98" s="313" t="s">
        <v>302</v>
      </c>
      <c r="J98" s="313" t="s">
        <v>542</v>
      </c>
      <c r="K98" s="313" t="s">
        <v>205</v>
      </c>
      <c r="L98" s="313" t="s">
        <v>318</v>
      </c>
      <c r="M98" s="330"/>
      <c r="N98" s="335"/>
      <c r="P98" s="336"/>
      <c r="Q98" s="329"/>
      <c r="R98" s="329"/>
    </row>
    <row r="99" spans="1:18" s="313" customFormat="1" ht="16.5">
      <c r="A99" s="298">
        <v>44996</v>
      </c>
      <c r="B99" s="373" t="s">
        <v>404</v>
      </c>
      <c r="C99" s="406" t="s">
        <v>34</v>
      </c>
      <c r="D99" s="406" t="s">
        <v>359</v>
      </c>
      <c r="E99" s="403"/>
      <c r="F99" s="403">
        <v>150000</v>
      </c>
      <c r="G99" s="314">
        <f t="shared" si="1"/>
        <v>6741997</v>
      </c>
      <c r="H99" s="329" t="s">
        <v>47</v>
      </c>
      <c r="I99" s="313" t="s">
        <v>302</v>
      </c>
      <c r="J99" s="313" t="s">
        <v>542</v>
      </c>
      <c r="K99" s="313" t="s">
        <v>205</v>
      </c>
      <c r="L99" s="313" t="s">
        <v>318</v>
      </c>
      <c r="M99" s="330"/>
      <c r="P99" s="336"/>
      <c r="Q99" s="329"/>
      <c r="R99" s="329"/>
    </row>
    <row r="100" spans="1:18" s="313" customFormat="1" ht="16.5">
      <c r="A100" s="298">
        <v>44996</v>
      </c>
      <c r="B100" s="313" t="s">
        <v>451</v>
      </c>
      <c r="C100" s="335" t="s">
        <v>278</v>
      </c>
      <c r="D100" s="313" t="s">
        <v>161</v>
      </c>
      <c r="E100" s="314"/>
      <c r="F100" s="439">
        <v>20000</v>
      </c>
      <c r="G100" s="314">
        <f t="shared" si="1"/>
        <v>6721997</v>
      </c>
      <c r="H100" s="313" t="s">
        <v>263</v>
      </c>
      <c r="I100" s="313" t="s">
        <v>302</v>
      </c>
      <c r="J100" s="313" t="s">
        <v>542</v>
      </c>
      <c r="K100" s="329" t="s">
        <v>206</v>
      </c>
      <c r="L100" s="313" t="s">
        <v>318</v>
      </c>
      <c r="M100" s="330" t="s">
        <v>556</v>
      </c>
      <c r="N100" s="335" t="s">
        <v>330</v>
      </c>
      <c r="Q100" s="329"/>
      <c r="R100" s="329"/>
    </row>
    <row r="101" spans="1:18" s="313" customFormat="1" ht="16.5">
      <c r="A101" s="332">
        <v>44996</v>
      </c>
      <c r="B101" s="333" t="s">
        <v>452</v>
      </c>
      <c r="C101" s="335" t="s">
        <v>34</v>
      </c>
      <c r="D101" s="313" t="s">
        <v>161</v>
      </c>
      <c r="E101" s="334"/>
      <c r="F101" s="408">
        <v>4500</v>
      </c>
      <c r="G101" s="314">
        <f t="shared" si="1"/>
        <v>6717497</v>
      </c>
      <c r="H101" s="442" t="s">
        <v>263</v>
      </c>
      <c r="I101" s="313" t="s">
        <v>302</v>
      </c>
      <c r="J101" s="313" t="s">
        <v>542</v>
      </c>
      <c r="K101" s="313" t="s">
        <v>206</v>
      </c>
      <c r="L101" s="313" t="s">
        <v>318</v>
      </c>
      <c r="M101" s="330" t="s">
        <v>557</v>
      </c>
      <c r="N101" s="313" t="s">
        <v>329</v>
      </c>
      <c r="P101" s="336"/>
      <c r="Q101" s="329"/>
      <c r="R101" s="329"/>
    </row>
    <row r="102" spans="1:18" s="313" customFormat="1" ht="16.5">
      <c r="A102" s="298">
        <v>44996</v>
      </c>
      <c r="B102" s="335" t="s">
        <v>453</v>
      </c>
      <c r="C102" s="335" t="s">
        <v>34</v>
      </c>
      <c r="D102" s="313" t="s">
        <v>161</v>
      </c>
      <c r="E102" s="335"/>
      <c r="F102" s="441">
        <v>10000</v>
      </c>
      <c r="G102" s="314">
        <f t="shared" si="1"/>
        <v>6707497</v>
      </c>
      <c r="H102" s="335" t="s">
        <v>263</v>
      </c>
      <c r="I102" s="313" t="s">
        <v>302</v>
      </c>
      <c r="J102" s="313" t="s">
        <v>542</v>
      </c>
      <c r="K102" s="313" t="s">
        <v>206</v>
      </c>
      <c r="L102" s="313" t="s">
        <v>318</v>
      </c>
      <c r="M102" s="330" t="s">
        <v>558</v>
      </c>
      <c r="N102" s="313" t="s">
        <v>329</v>
      </c>
      <c r="O102" s="335"/>
    </row>
    <row r="103" spans="1:18" s="313" customFormat="1" ht="16.5">
      <c r="A103" s="337">
        <v>44996</v>
      </c>
      <c r="B103" s="313" t="s">
        <v>463</v>
      </c>
      <c r="C103" s="335" t="s">
        <v>34</v>
      </c>
      <c r="D103" s="313" t="s">
        <v>4</v>
      </c>
      <c r="E103" s="314"/>
      <c r="F103" s="314">
        <v>1500</v>
      </c>
      <c r="G103" s="314">
        <f t="shared" si="1"/>
        <v>6705997</v>
      </c>
      <c r="H103" s="313" t="s">
        <v>276</v>
      </c>
      <c r="I103" s="313" t="s">
        <v>302</v>
      </c>
      <c r="J103" s="313" t="s">
        <v>542</v>
      </c>
      <c r="K103" s="313" t="s">
        <v>205</v>
      </c>
      <c r="L103" s="313" t="s">
        <v>318</v>
      </c>
      <c r="M103" s="330"/>
      <c r="N103" s="335"/>
    </row>
    <row r="104" spans="1:18" s="313" customFormat="1" ht="16.5">
      <c r="A104" s="331">
        <v>44996</v>
      </c>
      <c r="B104" s="313" t="s">
        <v>464</v>
      </c>
      <c r="C104" s="335" t="s">
        <v>34</v>
      </c>
      <c r="D104" s="313" t="s">
        <v>4</v>
      </c>
      <c r="E104" s="314"/>
      <c r="F104" s="314">
        <v>1500</v>
      </c>
      <c r="G104" s="314">
        <f t="shared" si="1"/>
        <v>6704497</v>
      </c>
      <c r="H104" s="313" t="s">
        <v>276</v>
      </c>
      <c r="I104" s="313" t="s">
        <v>302</v>
      </c>
      <c r="J104" s="313" t="s">
        <v>542</v>
      </c>
      <c r="K104" s="313" t="s">
        <v>205</v>
      </c>
      <c r="L104" s="313" t="s">
        <v>318</v>
      </c>
      <c r="M104" s="330"/>
      <c r="N104" s="335"/>
    </row>
    <row r="105" spans="1:18" s="313" customFormat="1" ht="17.25" customHeight="1">
      <c r="A105" s="298">
        <v>44996</v>
      </c>
      <c r="B105" s="313" t="s">
        <v>488</v>
      </c>
      <c r="C105" s="335" t="s">
        <v>278</v>
      </c>
      <c r="D105" s="313" t="s">
        <v>4</v>
      </c>
      <c r="E105" s="314"/>
      <c r="F105" s="314">
        <v>40000</v>
      </c>
      <c r="G105" s="314">
        <f t="shared" si="1"/>
        <v>6664497</v>
      </c>
      <c r="H105" s="313" t="s">
        <v>29</v>
      </c>
      <c r="I105" s="313" t="s">
        <v>302</v>
      </c>
      <c r="J105" s="313" t="s">
        <v>500</v>
      </c>
      <c r="K105" s="313" t="s">
        <v>206</v>
      </c>
      <c r="L105" s="313" t="s">
        <v>318</v>
      </c>
      <c r="M105" s="330" t="s">
        <v>559</v>
      </c>
      <c r="N105" s="313" t="s">
        <v>330</v>
      </c>
    </row>
    <row r="106" spans="1:18" s="313" customFormat="1" ht="17.25" customHeight="1">
      <c r="A106" s="298">
        <v>44997</v>
      </c>
      <c r="B106" s="373" t="s">
        <v>405</v>
      </c>
      <c r="C106" s="335" t="s">
        <v>278</v>
      </c>
      <c r="D106" s="406" t="s">
        <v>359</v>
      </c>
      <c r="F106" s="403">
        <v>39000</v>
      </c>
      <c r="G106" s="314">
        <f t="shared" si="1"/>
        <v>6625497</v>
      </c>
      <c r="H106" s="329" t="s">
        <v>47</v>
      </c>
      <c r="I106" s="313" t="s">
        <v>302</v>
      </c>
      <c r="J106" s="313" t="s">
        <v>542</v>
      </c>
      <c r="K106" s="313" t="s">
        <v>205</v>
      </c>
      <c r="L106" s="313" t="s">
        <v>318</v>
      </c>
      <c r="M106" s="330"/>
    </row>
    <row r="107" spans="1:18" s="313" customFormat="1" ht="17.25" customHeight="1">
      <c r="A107" s="298">
        <v>44997</v>
      </c>
      <c r="B107" s="335" t="s">
        <v>645</v>
      </c>
      <c r="C107" s="335" t="s">
        <v>278</v>
      </c>
      <c r="D107" s="313" t="s">
        <v>4</v>
      </c>
      <c r="F107" s="60">
        <v>60000</v>
      </c>
      <c r="G107" s="314">
        <f t="shared" si="1"/>
        <v>6565497</v>
      </c>
      <c r="H107" s="313" t="s">
        <v>277</v>
      </c>
      <c r="I107" s="313" t="s">
        <v>309</v>
      </c>
      <c r="J107" s="313" t="s">
        <v>542</v>
      </c>
      <c r="K107" s="313" t="s">
        <v>205</v>
      </c>
      <c r="L107" s="313" t="s">
        <v>318</v>
      </c>
      <c r="M107" s="330"/>
      <c r="O107" s="336"/>
    </row>
    <row r="108" spans="1:18" s="313" customFormat="1" ht="17.25" customHeight="1">
      <c r="A108" s="332">
        <v>44997</v>
      </c>
      <c r="B108" s="335" t="s">
        <v>644</v>
      </c>
      <c r="C108" s="406" t="s">
        <v>34</v>
      </c>
      <c r="D108" s="313" t="s">
        <v>4</v>
      </c>
      <c r="F108" s="60">
        <v>15000</v>
      </c>
      <c r="G108" s="314">
        <f t="shared" si="1"/>
        <v>6550497</v>
      </c>
      <c r="H108" s="313" t="s">
        <v>277</v>
      </c>
      <c r="I108" s="313" t="s">
        <v>309</v>
      </c>
      <c r="J108" s="313" t="s">
        <v>542</v>
      </c>
      <c r="K108" s="313" t="s">
        <v>205</v>
      </c>
      <c r="L108" s="313" t="s">
        <v>318</v>
      </c>
      <c r="M108" s="330"/>
    </row>
    <row r="109" spans="1:18" s="313" customFormat="1" ht="17.25" customHeight="1">
      <c r="A109" s="331">
        <v>44997</v>
      </c>
      <c r="B109" s="335" t="s">
        <v>640</v>
      </c>
      <c r="C109" s="335" t="s">
        <v>278</v>
      </c>
      <c r="D109" s="313" t="s">
        <v>4</v>
      </c>
      <c r="E109" s="335"/>
      <c r="F109" s="335">
        <v>30000</v>
      </c>
      <c r="G109" s="314">
        <f t="shared" si="1"/>
        <v>6520497</v>
      </c>
      <c r="H109" s="335" t="s">
        <v>276</v>
      </c>
      <c r="I109" s="313" t="s">
        <v>302</v>
      </c>
      <c r="J109" s="313" t="s">
        <v>542</v>
      </c>
      <c r="K109" s="313" t="s">
        <v>205</v>
      </c>
      <c r="L109" s="313" t="s">
        <v>318</v>
      </c>
      <c r="M109" s="330"/>
      <c r="O109" s="335"/>
    </row>
    <row r="110" spans="1:18" s="313" customFormat="1" ht="17.25" customHeight="1">
      <c r="A110" s="298">
        <v>44997</v>
      </c>
      <c r="B110" s="313" t="s">
        <v>465</v>
      </c>
      <c r="C110" s="335" t="s">
        <v>34</v>
      </c>
      <c r="D110" s="313" t="s">
        <v>4</v>
      </c>
      <c r="E110" s="314"/>
      <c r="F110" s="314">
        <v>5000</v>
      </c>
      <c r="G110" s="314">
        <f t="shared" si="1"/>
        <v>6515497</v>
      </c>
      <c r="H110" s="313" t="s">
        <v>276</v>
      </c>
      <c r="I110" s="313" t="s">
        <v>302</v>
      </c>
      <c r="J110" s="313" t="s">
        <v>500</v>
      </c>
      <c r="K110" s="313" t="s">
        <v>205</v>
      </c>
      <c r="L110" s="313" t="s">
        <v>318</v>
      </c>
      <c r="M110" s="330"/>
      <c r="N110" s="335"/>
    </row>
    <row r="111" spans="1:18" s="313" customFormat="1" ht="17.25" customHeight="1">
      <c r="A111" s="298">
        <v>44997</v>
      </c>
      <c r="B111" s="313" t="s">
        <v>489</v>
      </c>
      <c r="C111" s="335" t="s">
        <v>278</v>
      </c>
      <c r="D111" s="313" t="s">
        <v>4</v>
      </c>
      <c r="E111" s="314"/>
      <c r="F111" s="314">
        <v>10000</v>
      </c>
      <c r="G111" s="314">
        <f t="shared" si="1"/>
        <v>6505497</v>
      </c>
      <c r="H111" s="313" t="s">
        <v>29</v>
      </c>
      <c r="I111" s="313" t="s">
        <v>302</v>
      </c>
      <c r="J111" s="313" t="s">
        <v>542</v>
      </c>
      <c r="K111" s="313" t="s">
        <v>206</v>
      </c>
      <c r="L111" s="313" t="s">
        <v>318</v>
      </c>
      <c r="M111" s="330" t="s">
        <v>560</v>
      </c>
      <c r="N111" s="313" t="s">
        <v>330</v>
      </c>
    </row>
    <row r="112" spans="1:18" s="313" customFormat="1" ht="17.25" customHeight="1">
      <c r="A112" s="298">
        <v>44997</v>
      </c>
      <c r="B112" s="313" t="s">
        <v>490</v>
      </c>
      <c r="C112" s="313" t="s">
        <v>34</v>
      </c>
      <c r="D112" s="313" t="s">
        <v>4</v>
      </c>
      <c r="E112" s="314"/>
      <c r="F112" s="314">
        <v>10000</v>
      </c>
      <c r="G112" s="314">
        <f t="shared" si="1"/>
        <v>6495497</v>
      </c>
      <c r="H112" s="313" t="s">
        <v>29</v>
      </c>
      <c r="I112" s="313" t="s">
        <v>302</v>
      </c>
      <c r="J112" s="313" t="s">
        <v>542</v>
      </c>
      <c r="K112" s="313" t="s">
        <v>206</v>
      </c>
      <c r="L112" s="313" t="s">
        <v>318</v>
      </c>
      <c r="M112" s="330" t="s">
        <v>561</v>
      </c>
      <c r="N112" s="313" t="s">
        <v>329</v>
      </c>
    </row>
    <row r="113" spans="1:15" s="313" customFormat="1" ht="17.25" hidden="1" customHeight="1">
      <c r="A113" s="298">
        <v>44998</v>
      </c>
      <c r="B113" s="335" t="s">
        <v>344</v>
      </c>
      <c r="C113" s="335" t="s">
        <v>75</v>
      </c>
      <c r="D113" s="60"/>
      <c r="E113" s="314">
        <v>2000000</v>
      </c>
      <c r="F113" s="335"/>
      <c r="G113" s="314">
        <f t="shared" si="1"/>
        <v>8495497</v>
      </c>
      <c r="H113" s="335" t="s">
        <v>25</v>
      </c>
      <c r="I113" s="335"/>
      <c r="J113" s="335"/>
      <c r="K113" s="335"/>
      <c r="L113" s="335"/>
      <c r="M113" s="330"/>
      <c r="N113" s="335"/>
      <c r="O113" s="335"/>
    </row>
    <row r="114" spans="1:15" s="313" customFormat="1" ht="17.25" customHeight="1">
      <c r="A114" s="298">
        <v>44998</v>
      </c>
      <c r="B114" s="313" t="s">
        <v>345</v>
      </c>
      <c r="C114" s="335" t="s">
        <v>237</v>
      </c>
      <c r="D114" s="313" t="s">
        <v>162</v>
      </c>
      <c r="E114" s="314"/>
      <c r="F114" s="439">
        <v>47000</v>
      </c>
      <c r="G114" s="314">
        <f t="shared" si="1"/>
        <v>8448497</v>
      </c>
      <c r="H114" s="313" t="s">
        <v>25</v>
      </c>
      <c r="I114" s="313" t="s">
        <v>309</v>
      </c>
      <c r="J114" s="313" t="s">
        <v>542</v>
      </c>
      <c r="K114" s="313" t="s">
        <v>205</v>
      </c>
      <c r="L114" s="313" t="s">
        <v>318</v>
      </c>
      <c r="M114" s="330"/>
      <c r="N114" s="335"/>
    </row>
    <row r="115" spans="1:15" s="313" customFormat="1" ht="17.25" hidden="1" customHeight="1">
      <c r="A115" s="298">
        <v>44998</v>
      </c>
      <c r="B115" s="313" t="s">
        <v>31</v>
      </c>
      <c r="C115" s="335" t="s">
        <v>75</v>
      </c>
      <c r="E115" s="314"/>
      <c r="F115" s="439">
        <v>79000</v>
      </c>
      <c r="G115" s="314">
        <f t="shared" si="1"/>
        <v>8369497</v>
      </c>
      <c r="H115" s="313" t="s">
        <v>25</v>
      </c>
      <c r="M115" s="330"/>
    </row>
    <row r="116" spans="1:15" s="313" customFormat="1" ht="17.25" hidden="1" customHeight="1">
      <c r="A116" s="337">
        <v>44998</v>
      </c>
      <c r="B116" s="373" t="s">
        <v>376</v>
      </c>
      <c r="C116" s="445" t="s">
        <v>75</v>
      </c>
      <c r="D116" s="445"/>
      <c r="F116" s="313">
        <v>2000000</v>
      </c>
      <c r="G116" s="314">
        <f t="shared" si="1"/>
        <v>6369497</v>
      </c>
      <c r="H116" s="313" t="s">
        <v>24</v>
      </c>
      <c r="I116" s="389">
        <v>3654541</v>
      </c>
      <c r="M116" s="330"/>
      <c r="N116" s="314"/>
    </row>
    <row r="117" spans="1:15" s="313" customFormat="1" ht="17.25" customHeight="1">
      <c r="A117" s="298">
        <v>44998</v>
      </c>
      <c r="B117" s="335" t="s">
        <v>406</v>
      </c>
      <c r="C117" s="335" t="s">
        <v>237</v>
      </c>
      <c r="D117" s="313" t="s">
        <v>359</v>
      </c>
      <c r="E117" s="335"/>
      <c r="F117" s="403">
        <v>100000</v>
      </c>
      <c r="G117" s="314">
        <f t="shared" si="1"/>
        <v>6269497</v>
      </c>
      <c r="H117" s="335" t="s">
        <v>47</v>
      </c>
      <c r="I117" s="313" t="s">
        <v>302</v>
      </c>
      <c r="J117" s="313" t="s">
        <v>542</v>
      </c>
      <c r="K117" s="313" t="s">
        <v>205</v>
      </c>
      <c r="L117" s="313" t="s">
        <v>318</v>
      </c>
      <c r="M117" s="330"/>
      <c r="N117" s="335"/>
      <c r="O117" s="335"/>
    </row>
    <row r="118" spans="1:15" s="313" customFormat="1" ht="17.25" customHeight="1">
      <c r="A118" s="298">
        <v>44998</v>
      </c>
      <c r="B118" s="335" t="s">
        <v>407</v>
      </c>
      <c r="C118" s="335" t="s">
        <v>278</v>
      </c>
      <c r="D118" s="313" t="s">
        <v>2</v>
      </c>
      <c r="E118" s="335"/>
      <c r="F118" s="403">
        <v>105000</v>
      </c>
      <c r="G118" s="314">
        <f t="shared" si="1"/>
        <v>6164497</v>
      </c>
      <c r="H118" s="335" t="s">
        <v>47</v>
      </c>
      <c r="I118" s="313" t="s">
        <v>302</v>
      </c>
      <c r="J118" s="313" t="s">
        <v>542</v>
      </c>
      <c r="K118" s="329" t="s">
        <v>206</v>
      </c>
      <c r="L118" s="313" t="s">
        <v>318</v>
      </c>
      <c r="M118" s="330" t="s">
        <v>562</v>
      </c>
      <c r="N118" s="335" t="s">
        <v>330</v>
      </c>
      <c r="O118" s="335"/>
    </row>
    <row r="119" spans="1:15" s="313" customFormat="1" ht="16.5">
      <c r="A119" s="298">
        <v>44998</v>
      </c>
      <c r="B119" s="313" t="s">
        <v>396</v>
      </c>
      <c r="C119" s="335" t="s">
        <v>34</v>
      </c>
      <c r="D119" s="60" t="s">
        <v>2</v>
      </c>
      <c r="E119" s="314"/>
      <c r="F119" s="439">
        <v>5000</v>
      </c>
      <c r="G119" s="314">
        <f t="shared" si="1"/>
        <v>6159497</v>
      </c>
      <c r="H119" s="313" t="s">
        <v>47</v>
      </c>
      <c r="I119" s="313" t="s">
        <v>302</v>
      </c>
      <c r="J119" s="313" t="s">
        <v>542</v>
      </c>
      <c r="K119" s="313" t="s">
        <v>206</v>
      </c>
      <c r="L119" s="313" t="s">
        <v>318</v>
      </c>
      <c r="M119" s="330" t="s">
        <v>563</v>
      </c>
      <c r="N119" s="313" t="s">
        <v>329</v>
      </c>
    </row>
    <row r="120" spans="1:15" s="313" customFormat="1" ht="16.5" hidden="1">
      <c r="A120" s="298">
        <v>44998</v>
      </c>
      <c r="B120" s="313" t="s">
        <v>307</v>
      </c>
      <c r="C120" s="313" t="s">
        <v>75</v>
      </c>
      <c r="E120" s="314">
        <v>79000</v>
      </c>
      <c r="F120" s="439"/>
      <c r="G120" s="314">
        <f t="shared" si="1"/>
        <v>6238497</v>
      </c>
      <c r="H120" s="313" t="s">
        <v>31</v>
      </c>
      <c r="M120" s="330"/>
    </row>
    <row r="121" spans="1:15" s="313" customFormat="1" ht="16.5">
      <c r="A121" s="298">
        <v>44998</v>
      </c>
      <c r="B121" s="313" t="s">
        <v>639</v>
      </c>
      <c r="C121" s="335" t="s">
        <v>278</v>
      </c>
      <c r="D121" s="313" t="s">
        <v>4</v>
      </c>
      <c r="E121" s="314"/>
      <c r="F121" s="314">
        <v>15000</v>
      </c>
      <c r="G121" s="314">
        <f t="shared" si="1"/>
        <v>6223497</v>
      </c>
      <c r="H121" s="313" t="s">
        <v>276</v>
      </c>
      <c r="I121" s="313" t="s">
        <v>302</v>
      </c>
      <c r="J121" s="313" t="s">
        <v>542</v>
      </c>
      <c r="K121" s="313" t="s">
        <v>205</v>
      </c>
      <c r="L121" s="313" t="s">
        <v>318</v>
      </c>
      <c r="M121" s="330"/>
    </row>
    <row r="122" spans="1:15" s="313" customFormat="1" ht="16.5">
      <c r="A122" s="331">
        <v>44998</v>
      </c>
      <c r="B122" s="313" t="s">
        <v>466</v>
      </c>
      <c r="C122" s="313" t="s">
        <v>34</v>
      </c>
      <c r="D122" s="313" t="s">
        <v>4</v>
      </c>
      <c r="E122" s="314"/>
      <c r="F122" s="314">
        <v>8000</v>
      </c>
      <c r="G122" s="314">
        <f t="shared" si="1"/>
        <v>6215497</v>
      </c>
      <c r="H122" s="313" t="s">
        <v>276</v>
      </c>
      <c r="I122" s="313" t="s">
        <v>302</v>
      </c>
      <c r="J122" s="313" t="s">
        <v>542</v>
      </c>
      <c r="K122" s="313" t="s">
        <v>205</v>
      </c>
      <c r="L122" s="313" t="s">
        <v>318</v>
      </c>
      <c r="M122" s="330"/>
    </row>
    <row r="123" spans="1:15" s="313" customFormat="1" ht="16.5">
      <c r="A123" s="332">
        <v>44998</v>
      </c>
      <c r="B123" s="313" t="s">
        <v>491</v>
      </c>
      <c r="C123" s="313" t="s">
        <v>34</v>
      </c>
      <c r="D123" s="313" t="s">
        <v>4</v>
      </c>
      <c r="F123" s="313">
        <v>10000</v>
      </c>
      <c r="G123" s="314">
        <f t="shared" si="1"/>
        <v>6205497</v>
      </c>
      <c r="H123" s="335" t="s">
        <v>29</v>
      </c>
      <c r="I123" s="313" t="s">
        <v>302</v>
      </c>
      <c r="J123" s="313" t="s">
        <v>542</v>
      </c>
      <c r="K123" s="313" t="s">
        <v>206</v>
      </c>
      <c r="L123" s="313" t="s">
        <v>318</v>
      </c>
      <c r="M123" s="330" t="s">
        <v>564</v>
      </c>
      <c r="N123" s="313" t="s">
        <v>329</v>
      </c>
    </row>
    <row r="124" spans="1:15" s="313" customFormat="1" ht="16.5">
      <c r="A124" s="331">
        <v>44998</v>
      </c>
      <c r="B124" s="335" t="s">
        <v>492</v>
      </c>
      <c r="C124" s="335" t="s">
        <v>278</v>
      </c>
      <c r="D124" s="313" t="s">
        <v>4</v>
      </c>
      <c r="E124" s="335"/>
      <c r="F124" s="403">
        <v>15000</v>
      </c>
      <c r="G124" s="314">
        <f t="shared" si="1"/>
        <v>6190497</v>
      </c>
      <c r="H124" s="335" t="s">
        <v>29</v>
      </c>
      <c r="I124" s="313" t="s">
        <v>302</v>
      </c>
      <c r="J124" s="313" t="s">
        <v>542</v>
      </c>
      <c r="K124" s="313" t="s">
        <v>206</v>
      </c>
      <c r="L124" s="313" t="s">
        <v>318</v>
      </c>
      <c r="M124" s="330" t="s">
        <v>565</v>
      </c>
      <c r="N124" s="313" t="s">
        <v>330</v>
      </c>
      <c r="O124" s="335"/>
    </row>
    <row r="125" spans="1:15" s="313" customFormat="1" ht="16.5" hidden="1">
      <c r="A125" s="298">
        <v>44999</v>
      </c>
      <c r="B125" s="313" t="s">
        <v>295</v>
      </c>
      <c r="C125" s="335" t="s">
        <v>75</v>
      </c>
      <c r="E125" s="314"/>
      <c r="F125" s="439">
        <v>86000</v>
      </c>
      <c r="G125" s="314">
        <f t="shared" si="1"/>
        <v>6104497</v>
      </c>
      <c r="H125" s="313" t="s">
        <v>25</v>
      </c>
      <c r="M125" s="330"/>
      <c r="N125" s="314"/>
    </row>
    <row r="126" spans="1:15" s="313" customFormat="1" ht="16.5" hidden="1">
      <c r="A126" s="298">
        <v>44999</v>
      </c>
      <c r="B126" s="313" t="s">
        <v>277</v>
      </c>
      <c r="C126" s="313" t="s">
        <v>75</v>
      </c>
      <c r="E126" s="314"/>
      <c r="F126" s="439">
        <v>100000</v>
      </c>
      <c r="G126" s="314">
        <f t="shared" si="1"/>
        <v>6004497</v>
      </c>
      <c r="H126" s="313" t="s">
        <v>25</v>
      </c>
      <c r="M126" s="330"/>
    </row>
    <row r="127" spans="1:15" s="313" customFormat="1" ht="16.5">
      <c r="A127" s="298">
        <v>44999</v>
      </c>
      <c r="B127" s="313" t="s">
        <v>336</v>
      </c>
      <c r="C127" s="335" t="s">
        <v>220</v>
      </c>
      <c r="D127" s="313" t="s">
        <v>291</v>
      </c>
      <c r="E127" s="314"/>
      <c r="F127" s="439">
        <v>3000</v>
      </c>
      <c r="G127" s="314">
        <f t="shared" si="1"/>
        <v>6001497</v>
      </c>
      <c r="H127" s="313" t="s">
        <v>25</v>
      </c>
      <c r="I127" s="313" t="s">
        <v>302</v>
      </c>
      <c r="J127" s="313" t="s">
        <v>542</v>
      </c>
      <c r="K127" s="313" t="s">
        <v>205</v>
      </c>
      <c r="L127" s="313" t="s">
        <v>318</v>
      </c>
    </row>
    <row r="128" spans="1:15" s="313" customFormat="1" ht="16.5">
      <c r="A128" s="337">
        <v>44999</v>
      </c>
      <c r="B128" s="373" t="s">
        <v>296</v>
      </c>
      <c r="C128" s="313" t="s">
        <v>220</v>
      </c>
      <c r="D128" s="313" t="s">
        <v>291</v>
      </c>
      <c r="F128" s="439">
        <v>2580</v>
      </c>
      <c r="G128" s="314">
        <f t="shared" si="1"/>
        <v>5998917</v>
      </c>
      <c r="H128" s="313" t="s">
        <v>25</v>
      </c>
      <c r="I128" s="313" t="s">
        <v>302</v>
      </c>
      <c r="J128" s="313" t="s">
        <v>102</v>
      </c>
      <c r="K128" s="313" t="s">
        <v>206</v>
      </c>
      <c r="L128" s="313" t="s">
        <v>318</v>
      </c>
      <c r="M128" s="330" t="s">
        <v>566</v>
      </c>
      <c r="N128" s="313" t="s">
        <v>319</v>
      </c>
    </row>
    <row r="129" spans="1:18" s="313" customFormat="1" ht="16.5">
      <c r="A129" s="298">
        <v>44999</v>
      </c>
      <c r="B129" s="313" t="s">
        <v>504</v>
      </c>
      <c r="C129" s="335" t="s">
        <v>246</v>
      </c>
      <c r="D129" s="313" t="s">
        <v>291</v>
      </c>
      <c r="F129" s="313">
        <v>9000</v>
      </c>
      <c r="G129" s="314">
        <f t="shared" si="1"/>
        <v>5989917</v>
      </c>
      <c r="H129" s="313" t="s">
        <v>25</v>
      </c>
      <c r="I129" s="313" t="s">
        <v>302</v>
      </c>
      <c r="J129" s="313" t="s">
        <v>542</v>
      </c>
      <c r="K129" s="335" t="s">
        <v>205</v>
      </c>
      <c r="L129" s="335" t="s">
        <v>318</v>
      </c>
      <c r="M129" s="330"/>
      <c r="N129" s="335"/>
    </row>
    <row r="130" spans="1:18" s="313" customFormat="1" ht="16.5">
      <c r="A130" s="298">
        <v>44999</v>
      </c>
      <c r="B130" s="313" t="s">
        <v>505</v>
      </c>
      <c r="C130" s="313" t="s">
        <v>246</v>
      </c>
      <c r="D130" s="313" t="s">
        <v>291</v>
      </c>
      <c r="E130" s="314"/>
      <c r="F130" s="314">
        <v>90000</v>
      </c>
      <c r="G130" s="314">
        <f t="shared" si="1"/>
        <v>5899917</v>
      </c>
      <c r="H130" s="313" t="s">
        <v>25</v>
      </c>
      <c r="I130" s="313" t="s">
        <v>302</v>
      </c>
      <c r="J130" s="313" t="s">
        <v>102</v>
      </c>
      <c r="K130" s="335" t="s">
        <v>206</v>
      </c>
      <c r="L130" s="335" t="s">
        <v>318</v>
      </c>
      <c r="M130" s="330" t="s">
        <v>567</v>
      </c>
      <c r="N130" s="335" t="s">
        <v>322</v>
      </c>
    </row>
    <row r="131" spans="1:18" s="313" customFormat="1" ht="16.5">
      <c r="A131" s="298">
        <v>44999</v>
      </c>
      <c r="B131" s="335" t="s">
        <v>521</v>
      </c>
      <c r="C131" s="335" t="s">
        <v>346</v>
      </c>
      <c r="D131" s="60" t="s">
        <v>291</v>
      </c>
      <c r="E131" s="335"/>
      <c r="F131" s="335">
        <v>210261</v>
      </c>
      <c r="G131" s="314">
        <f t="shared" si="1"/>
        <v>5689656</v>
      </c>
      <c r="H131" s="335" t="s">
        <v>25</v>
      </c>
      <c r="I131" s="313" t="s">
        <v>302</v>
      </c>
      <c r="J131" s="335" t="s">
        <v>102</v>
      </c>
      <c r="K131" s="335" t="s">
        <v>206</v>
      </c>
      <c r="L131" s="335" t="s">
        <v>318</v>
      </c>
      <c r="M131" s="330" t="s">
        <v>568</v>
      </c>
      <c r="N131" s="335" t="s">
        <v>503</v>
      </c>
      <c r="O131" s="335"/>
    </row>
    <row r="132" spans="1:18" s="313" customFormat="1" ht="16.5">
      <c r="A132" s="298">
        <v>44999</v>
      </c>
      <c r="B132" s="335" t="s">
        <v>522</v>
      </c>
      <c r="C132" s="335" t="s">
        <v>346</v>
      </c>
      <c r="D132" s="60" t="s">
        <v>291</v>
      </c>
      <c r="E132" s="335"/>
      <c r="F132" s="335">
        <v>39739</v>
      </c>
      <c r="G132" s="314">
        <f t="shared" si="1"/>
        <v>5649917</v>
      </c>
      <c r="H132" s="335" t="s">
        <v>25</v>
      </c>
      <c r="I132" s="313" t="s">
        <v>302</v>
      </c>
      <c r="J132" s="313" t="s">
        <v>542</v>
      </c>
      <c r="K132" s="335" t="s">
        <v>205</v>
      </c>
      <c r="L132" s="335" t="s">
        <v>318</v>
      </c>
      <c r="M132" s="330"/>
      <c r="N132" s="335"/>
      <c r="O132" s="335"/>
    </row>
    <row r="133" spans="1:18" s="313" customFormat="1" ht="16.5">
      <c r="A133" s="331">
        <v>44999</v>
      </c>
      <c r="B133" s="313" t="s">
        <v>506</v>
      </c>
      <c r="C133" s="335" t="s">
        <v>246</v>
      </c>
      <c r="D133" s="60" t="s">
        <v>291</v>
      </c>
      <c r="E133" s="314"/>
      <c r="F133" s="314">
        <v>4062</v>
      </c>
      <c r="G133" s="314">
        <f t="shared" si="1"/>
        <v>5645855</v>
      </c>
      <c r="H133" s="313" t="s">
        <v>25</v>
      </c>
      <c r="I133" s="313" t="s">
        <v>302</v>
      </c>
      <c r="J133" s="313" t="s">
        <v>102</v>
      </c>
      <c r="K133" s="335" t="s">
        <v>206</v>
      </c>
      <c r="L133" s="335" t="s">
        <v>318</v>
      </c>
      <c r="M133" s="330" t="s">
        <v>569</v>
      </c>
      <c r="N133" s="335" t="s">
        <v>322</v>
      </c>
    </row>
    <row r="134" spans="1:18" s="313" customFormat="1" ht="16.5" hidden="1">
      <c r="A134" s="298">
        <v>44999</v>
      </c>
      <c r="B134" s="335" t="s">
        <v>204</v>
      </c>
      <c r="C134" s="335" t="s">
        <v>75</v>
      </c>
      <c r="E134" s="335"/>
      <c r="F134" s="335">
        <v>94000</v>
      </c>
      <c r="G134" s="314">
        <f t="shared" si="1"/>
        <v>5551855</v>
      </c>
      <c r="H134" s="335" t="s">
        <v>25</v>
      </c>
      <c r="M134" s="335"/>
      <c r="N134" s="335"/>
      <c r="O134" s="335"/>
    </row>
    <row r="135" spans="1:18" s="313" customFormat="1" ht="16.5">
      <c r="A135" s="331">
        <v>44999</v>
      </c>
      <c r="B135" s="313" t="s">
        <v>523</v>
      </c>
      <c r="C135" s="335" t="s">
        <v>246</v>
      </c>
      <c r="D135" s="60" t="s">
        <v>291</v>
      </c>
      <c r="E135" s="314"/>
      <c r="F135" s="314">
        <v>768</v>
      </c>
      <c r="G135" s="314">
        <f t="shared" si="1"/>
        <v>5551087</v>
      </c>
      <c r="H135" s="313" t="s">
        <v>25</v>
      </c>
      <c r="I135" s="313" t="s">
        <v>302</v>
      </c>
      <c r="J135" s="313" t="s">
        <v>542</v>
      </c>
      <c r="K135" s="335" t="s">
        <v>205</v>
      </c>
      <c r="L135" s="335" t="s">
        <v>318</v>
      </c>
      <c r="M135" s="330"/>
      <c r="N135" s="335"/>
    </row>
    <row r="136" spans="1:18" s="313" customFormat="1" ht="16.5">
      <c r="A136" s="331">
        <v>44999</v>
      </c>
      <c r="B136" s="335" t="s">
        <v>347</v>
      </c>
      <c r="C136" s="335" t="s">
        <v>293</v>
      </c>
      <c r="D136" s="313" t="s">
        <v>161</v>
      </c>
      <c r="F136" s="313">
        <v>76000</v>
      </c>
      <c r="G136" s="314">
        <f t="shared" si="1"/>
        <v>5475087</v>
      </c>
      <c r="H136" s="313" t="s">
        <v>25</v>
      </c>
      <c r="I136" s="313" t="s">
        <v>302</v>
      </c>
      <c r="J136" s="313" t="s">
        <v>102</v>
      </c>
      <c r="K136" s="313" t="s">
        <v>206</v>
      </c>
      <c r="L136" s="313" t="s">
        <v>318</v>
      </c>
      <c r="M136" s="330" t="s">
        <v>570</v>
      </c>
      <c r="N136" s="335" t="s">
        <v>321</v>
      </c>
    </row>
    <row r="137" spans="1:18" s="313" customFormat="1" ht="16.5" hidden="1">
      <c r="A137" s="405">
        <v>44999</v>
      </c>
      <c r="B137" s="335" t="s">
        <v>305</v>
      </c>
      <c r="C137" s="335" t="s">
        <v>75</v>
      </c>
      <c r="D137" s="60"/>
      <c r="E137" s="313">
        <v>86000</v>
      </c>
      <c r="F137" s="441"/>
      <c r="G137" s="314">
        <f t="shared" si="1"/>
        <v>5561087</v>
      </c>
      <c r="H137" s="313" t="s">
        <v>47</v>
      </c>
      <c r="I137" s="389"/>
      <c r="M137" s="330"/>
      <c r="O137" s="335"/>
    </row>
    <row r="138" spans="1:18" s="313" customFormat="1" ht="16.5">
      <c r="A138" s="298">
        <v>44999</v>
      </c>
      <c r="B138" s="373" t="s">
        <v>430</v>
      </c>
      <c r="C138" s="313" t="s">
        <v>34</v>
      </c>
      <c r="D138" s="335" t="s">
        <v>162</v>
      </c>
      <c r="F138" s="439">
        <v>10000</v>
      </c>
      <c r="G138" s="314">
        <f t="shared" si="1"/>
        <v>5551087</v>
      </c>
      <c r="H138" s="314" t="s">
        <v>31</v>
      </c>
      <c r="I138" s="313" t="s">
        <v>302</v>
      </c>
      <c r="J138" s="313" t="s">
        <v>542</v>
      </c>
      <c r="K138" s="313" t="s">
        <v>206</v>
      </c>
      <c r="L138" s="313" t="s">
        <v>318</v>
      </c>
      <c r="M138" s="330" t="s">
        <v>572</v>
      </c>
      <c r="N138" s="313" t="s">
        <v>329</v>
      </c>
    </row>
    <row r="139" spans="1:18" s="313" customFormat="1" ht="16.5">
      <c r="A139" s="298">
        <v>44999</v>
      </c>
      <c r="B139" s="313" t="s">
        <v>431</v>
      </c>
      <c r="C139" s="335" t="s">
        <v>278</v>
      </c>
      <c r="D139" s="313" t="s">
        <v>162</v>
      </c>
      <c r="F139" s="439">
        <v>20000</v>
      </c>
      <c r="G139" s="314">
        <f t="shared" si="1"/>
        <v>5531087</v>
      </c>
      <c r="H139" s="314" t="s">
        <v>31</v>
      </c>
      <c r="I139" s="313" t="s">
        <v>309</v>
      </c>
      <c r="J139" s="313" t="s">
        <v>542</v>
      </c>
      <c r="K139" s="329" t="s">
        <v>206</v>
      </c>
      <c r="L139" s="313" t="s">
        <v>318</v>
      </c>
      <c r="M139" s="330" t="s">
        <v>573</v>
      </c>
      <c r="N139" s="335" t="s">
        <v>330</v>
      </c>
    </row>
    <row r="140" spans="1:18" s="313" customFormat="1" ht="16.5" hidden="1">
      <c r="A140" s="298">
        <v>44999</v>
      </c>
      <c r="B140" s="313" t="s">
        <v>435</v>
      </c>
      <c r="C140" s="335" t="s">
        <v>311</v>
      </c>
      <c r="D140" s="335"/>
      <c r="E140" s="314">
        <v>94000</v>
      </c>
      <c r="F140" s="314"/>
      <c r="G140" s="314">
        <f t="shared" si="1"/>
        <v>5625087</v>
      </c>
      <c r="H140" s="313" t="s">
        <v>204</v>
      </c>
      <c r="J140" s="335"/>
      <c r="K140" s="335"/>
      <c r="L140" s="335"/>
      <c r="M140" s="330"/>
      <c r="N140" s="335"/>
    </row>
    <row r="141" spans="1:18" s="313" customFormat="1" ht="16.5">
      <c r="A141" s="332">
        <v>44999</v>
      </c>
      <c r="B141" s="406" t="s">
        <v>507</v>
      </c>
      <c r="C141" s="406" t="s">
        <v>246</v>
      </c>
      <c r="D141" s="314" t="s">
        <v>291</v>
      </c>
      <c r="F141" s="60">
        <v>1000</v>
      </c>
      <c r="G141" s="314">
        <f t="shared" si="1"/>
        <v>5624087</v>
      </c>
      <c r="H141" s="313" t="s">
        <v>277</v>
      </c>
      <c r="I141" s="313" t="s">
        <v>302</v>
      </c>
      <c r="J141" s="313" t="s">
        <v>542</v>
      </c>
      <c r="K141" s="313" t="s">
        <v>205</v>
      </c>
      <c r="L141" s="313" t="s">
        <v>318</v>
      </c>
      <c r="M141" s="330"/>
    </row>
    <row r="142" spans="1:18" s="313" customFormat="1" ht="16.5" hidden="1">
      <c r="A142" s="298">
        <v>44999</v>
      </c>
      <c r="B142" s="313" t="s">
        <v>317</v>
      </c>
      <c r="C142" s="406" t="s">
        <v>75</v>
      </c>
      <c r="E142" s="313">
        <v>100000</v>
      </c>
      <c r="F142" s="60"/>
      <c r="G142" s="314">
        <f t="shared" ref="G142:G205" si="2">+G141+E142-F142</f>
        <v>5724087</v>
      </c>
      <c r="H142" s="313" t="s">
        <v>277</v>
      </c>
      <c r="I142" s="389"/>
      <c r="M142" s="330"/>
    </row>
    <row r="143" spans="1:18" s="313" customFormat="1" ht="16.5">
      <c r="A143" s="337">
        <v>45000</v>
      </c>
      <c r="B143" s="313" t="s">
        <v>313</v>
      </c>
      <c r="C143" s="314" t="s">
        <v>34</v>
      </c>
      <c r="D143" s="313" t="s">
        <v>161</v>
      </c>
      <c r="F143" s="313">
        <v>10000</v>
      </c>
      <c r="G143" s="314">
        <f t="shared" si="2"/>
        <v>5714087</v>
      </c>
      <c r="H143" s="313" t="s">
        <v>204</v>
      </c>
      <c r="I143" s="313" t="s">
        <v>302</v>
      </c>
      <c r="J143" s="313" t="s">
        <v>542</v>
      </c>
      <c r="K143" s="313" t="s">
        <v>206</v>
      </c>
      <c r="L143" s="313" t="s">
        <v>318</v>
      </c>
      <c r="M143" s="330" t="s">
        <v>574</v>
      </c>
      <c r="N143" s="313" t="s">
        <v>329</v>
      </c>
    </row>
    <row r="144" spans="1:18" s="313" customFormat="1" ht="16.5">
      <c r="A144" s="298">
        <v>45000</v>
      </c>
      <c r="B144" s="313" t="s">
        <v>348</v>
      </c>
      <c r="C144" s="335" t="s">
        <v>178</v>
      </c>
      <c r="D144" s="313" t="s">
        <v>2</v>
      </c>
      <c r="E144" s="314"/>
      <c r="F144" s="314">
        <v>25000</v>
      </c>
      <c r="G144" s="314">
        <f t="shared" si="2"/>
        <v>5689087</v>
      </c>
      <c r="H144" s="313" t="s">
        <v>25</v>
      </c>
      <c r="I144" s="313" t="s">
        <v>302</v>
      </c>
      <c r="J144" s="335" t="s">
        <v>102</v>
      </c>
      <c r="K144" s="335" t="s">
        <v>206</v>
      </c>
      <c r="L144" s="335" t="s">
        <v>318</v>
      </c>
      <c r="M144" s="330" t="s">
        <v>575</v>
      </c>
      <c r="N144" s="335" t="s">
        <v>328</v>
      </c>
      <c r="P144" s="335"/>
      <c r="Q144" s="335"/>
      <c r="R144" s="335"/>
    </row>
    <row r="145" spans="1:18" s="313" customFormat="1" ht="16.5">
      <c r="A145" s="331">
        <v>45000</v>
      </c>
      <c r="B145" s="335" t="s">
        <v>349</v>
      </c>
      <c r="C145" s="335" t="s">
        <v>178</v>
      </c>
      <c r="D145" s="313" t="s">
        <v>161</v>
      </c>
      <c r="F145" s="313">
        <v>20000</v>
      </c>
      <c r="G145" s="314">
        <f t="shared" si="2"/>
        <v>5669087</v>
      </c>
      <c r="H145" s="335" t="s">
        <v>25</v>
      </c>
      <c r="I145" s="313" t="s">
        <v>302</v>
      </c>
      <c r="J145" s="335" t="s">
        <v>102</v>
      </c>
      <c r="K145" s="335" t="s">
        <v>206</v>
      </c>
      <c r="L145" s="335" t="s">
        <v>318</v>
      </c>
      <c r="M145" s="330" t="s">
        <v>576</v>
      </c>
      <c r="N145" s="335" t="s">
        <v>328</v>
      </c>
      <c r="P145" s="335"/>
      <c r="Q145" s="335"/>
      <c r="R145" s="335"/>
    </row>
    <row r="146" spans="1:18" s="313" customFormat="1" ht="16.5">
      <c r="A146" s="337">
        <v>45000</v>
      </c>
      <c r="B146" s="373" t="s">
        <v>350</v>
      </c>
      <c r="C146" s="335" t="s">
        <v>178</v>
      </c>
      <c r="D146" s="313" t="s">
        <v>4</v>
      </c>
      <c r="F146" s="439">
        <v>10000</v>
      </c>
      <c r="G146" s="314">
        <f t="shared" si="2"/>
        <v>5659087</v>
      </c>
      <c r="H146" s="313" t="s">
        <v>25</v>
      </c>
      <c r="I146" s="313" t="s">
        <v>302</v>
      </c>
      <c r="J146" s="335" t="s">
        <v>102</v>
      </c>
      <c r="K146" s="335" t="s">
        <v>206</v>
      </c>
      <c r="L146" s="335" t="s">
        <v>318</v>
      </c>
      <c r="M146" s="330" t="s">
        <v>577</v>
      </c>
      <c r="N146" s="335" t="s">
        <v>328</v>
      </c>
      <c r="P146" s="335"/>
      <c r="Q146" s="335"/>
      <c r="R146" s="335"/>
    </row>
    <row r="147" spans="1:18" s="313" customFormat="1" ht="16.5">
      <c r="A147" s="298">
        <v>45000</v>
      </c>
      <c r="B147" s="373" t="s">
        <v>351</v>
      </c>
      <c r="C147" s="335" t="s">
        <v>178</v>
      </c>
      <c r="D147" s="313" t="s">
        <v>4</v>
      </c>
      <c r="E147" s="404"/>
      <c r="F147" s="439">
        <v>15000</v>
      </c>
      <c r="G147" s="314">
        <f t="shared" si="2"/>
        <v>5644087</v>
      </c>
      <c r="H147" s="314" t="s">
        <v>25</v>
      </c>
      <c r="I147" s="313" t="s">
        <v>302</v>
      </c>
      <c r="J147" s="313" t="s">
        <v>542</v>
      </c>
      <c r="K147" s="313" t="s">
        <v>205</v>
      </c>
      <c r="L147" s="313" t="s">
        <v>318</v>
      </c>
      <c r="M147" s="330"/>
      <c r="P147" s="335"/>
      <c r="Q147" s="335"/>
      <c r="R147" s="335"/>
    </row>
    <row r="148" spans="1:18" s="313" customFormat="1" ht="16.5">
      <c r="A148" s="331">
        <v>45000</v>
      </c>
      <c r="B148" s="313" t="s">
        <v>298</v>
      </c>
      <c r="C148" s="335" t="s">
        <v>178</v>
      </c>
      <c r="D148" s="335" t="s">
        <v>162</v>
      </c>
      <c r="E148" s="314"/>
      <c r="F148" s="439">
        <v>10000</v>
      </c>
      <c r="G148" s="314">
        <f t="shared" si="2"/>
        <v>5634087</v>
      </c>
      <c r="H148" s="313" t="s">
        <v>25</v>
      </c>
      <c r="I148" s="313" t="s">
        <v>302</v>
      </c>
      <c r="J148" s="335" t="s">
        <v>102</v>
      </c>
      <c r="K148" s="335" t="s">
        <v>206</v>
      </c>
      <c r="L148" s="335" t="s">
        <v>318</v>
      </c>
      <c r="M148" s="330" t="s">
        <v>578</v>
      </c>
      <c r="N148" s="335" t="s">
        <v>328</v>
      </c>
      <c r="P148" s="335"/>
      <c r="Q148" s="335"/>
      <c r="R148" s="335"/>
    </row>
    <row r="149" spans="1:18" s="313" customFormat="1" ht="16.5">
      <c r="A149" s="298">
        <v>45000</v>
      </c>
      <c r="B149" s="335" t="s">
        <v>299</v>
      </c>
      <c r="C149" s="314" t="s">
        <v>178</v>
      </c>
      <c r="D149" s="314" t="s">
        <v>2</v>
      </c>
      <c r="F149" s="440">
        <v>5000</v>
      </c>
      <c r="G149" s="314">
        <f t="shared" si="2"/>
        <v>5629087</v>
      </c>
      <c r="H149" s="313" t="s">
        <v>25</v>
      </c>
      <c r="I149" s="313" t="s">
        <v>302</v>
      </c>
      <c r="J149" s="335" t="s">
        <v>102</v>
      </c>
      <c r="K149" s="335" t="s">
        <v>206</v>
      </c>
      <c r="L149" s="335" t="s">
        <v>318</v>
      </c>
      <c r="M149" s="330" t="s">
        <v>579</v>
      </c>
      <c r="N149" s="335" t="s">
        <v>328</v>
      </c>
      <c r="O149" s="336"/>
      <c r="P149" s="335"/>
      <c r="Q149" s="335"/>
      <c r="R149" s="335"/>
    </row>
    <row r="150" spans="1:18" s="313" customFormat="1" ht="16.5">
      <c r="A150" s="298">
        <v>45000</v>
      </c>
      <c r="B150" s="313" t="s">
        <v>300</v>
      </c>
      <c r="C150" s="335" t="s">
        <v>178</v>
      </c>
      <c r="D150" s="313" t="s">
        <v>161</v>
      </c>
      <c r="E150" s="314"/>
      <c r="F150" s="439">
        <v>10000</v>
      </c>
      <c r="G150" s="314">
        <f t="shared" si="2"/>
        <v>5619087</v>
      </c>
      <c r="H150" s="313" t="s">
        <v>25</v>
      </c>
      <c r="I150" s="313" t="s">
        <v>302</v>
      </c>
      <c r="J150" s="335" t="s">
        <v>102</v>
      </c>
      <c r="K150" s="335" t="s">
        <v>206</v>
      </c>
      <c r="L150" s="335" t="s">
        <v>318</v>
      </c>
      <c r="M150" s="330" t="s">
        <v>580</v>
      </c>
      <c r="N150" s="335" t="s">
        <v>328</v>
      </c>
      <c r="P150" s="335"/>
      <c r="Q150" s="335"/>
      <c r="R150" s="335"/>
    </row>
    <row r="151" spans="1:18" s="313" customFormat="1" ht="16.5">
      <c r="A151" s="331">
        <v>45000</v>
      </c>
      <c r="B151" s="313" t="s">
        <v>301</v>
      </c>
      <c r="C151" s="335" t="s">
        <v>178</v>
      </c>
      <c r="D151" s="313" t="s">
        <v>4</v>
      </c>
      <c r="F151" s="440">
        <v>5000</v>
      </c>
      <c r="G151" s="314">
        <f t="shared" si="2"/>
        <v>5614087</v>
      </c>
      <c r="H151" s="335" t="s">
        <v>25</v>
      </c>
      <c r="I151" s="313" t="s">
        <v>302</v>
      </c>
      <c r="J151" s="335" t="s">
        <v>102</v>
      </c>
      <c r="K151" s="335" t="s">
        <v>206</v>
      </c>
      <c r="L151" s="335" t="s">
        <v>318</v>
      </c>
      <c r="M151" s="330" t="s">
        <v>581</v>
      </c>
      <c r="N151" s="335" t="s">
        <v>328</v>
      </c>
      <c r="P151" s="335"/>
      <c r="Q151" s="335"/>
      <c r="R151" s="335"/>
    </row>
    <row r="152" spans="1:18" s="313" customFormat="1" ht="16.5">
      <c r="A152" s="298">
        <v>45000</v>
      </c>
      <c r="B152" s="373" t="s">
        <v>352</v>
      </c>
      <c r="C152" s="313" t="s">
        <v>178</v>
      </c>
      <c r="D152" s="313" t="s">
        <v>4</v>
      </c>
      <c r="E152" s="404"/>
      <c r="F152" s="314">
        <v>5000</v>
      </c>
      <c r="G152" s="314">
        <f t="shared" si="2"/>
        <v>5609087</v>
      </c>
      <c r="H152" s="314" t="s">
        <v>25</v>
      </c>
      <c r="I152" s="313" t="s">
        <v>302</v>
      </c>
      <c r="J152" s="313" t="s">
        <v>542</v>
      </c>
      <c r="K152" s="313" t="s">
        <v>205</v>
      </c>
      <c r="L152" s="313" t="s">
        <v>318</v>
      </c>
      <c r="M152" s="330"/>
      <c r="N152" s="335"/>
      <c r="P152" s="335"/>
      <c r="Q152" s="335"/>
      <c r="R152" s="335"/>
    </row>
    <row r="153" spans="1:18" s="313" customFormat="1" ht="16.5">
      <c r="A153" s="298">
        <v>45000</v>
      </c>
      <c r="B153" s="335" t="s">
        <v>439</v>
      </c>
      <c r="C153" s="335" t="s">
        <v>278</v>
      </c>
      <c r="D153" s="313" t="s">
        <v>161</v>
      </c>
      <c r="E153" s="335"/>
      <c r="F153" s="403">
        <v>20000</v>
      </c>
      <c r="G153" s="314">
        <f t="shared" si="2"/>
        <v>5589087</v>
      </c>
      <c r="H153" s="335" t="s">
        <v>204</v>
      </c>
      <c r="I153" s="313" t="s">
        <v>309</v>
      </c>
      <c r="J153" s="313" t="s">
        <v>542</v>
      </c>
      <c r="K153" s="329" t="s">
        <v>206</v>
      </c>
      <c r="L153" s="313" t="s">
        <v>318</v>
      </c>
      <c r="M153" s="330" t="s">
        <v>582</v>
      </c>
      <c r="N153" s="335" t="s">
        <v>330</v>
      </c>
      <c r="O153" s="335"/>
      <c r="P153" s="335"/>
      <c r="Q153" s="335"/>
      <c r="R153" s="335"/>
    </row>
    <row r="154" spans="1:18" s="313" customFormat="1" ht="16.5">
      <c r="A154" s="298">
        <v>45000</v>
      </c>
      <c r="B154" s="313" t="s">
        <v>642</v>
      </c>
      <c r="C154" s="335" t="s">
        <v>278</v>
      </c>
      <c r="D154" s="313" t="s">
        <v>4</v>
      </c>
      <c r="E154" s="314"/>
      <c r="F154" s="314">
        <v>20000</v>
      </c>
      <c r="G154" s="314">
        <f t="shared" si="2"/>
        <v>5569087</v>
      </c>
      <c r="H154" s="313" t="s">
        <v>276</v>
      </c>
      <c r="I154" s="313" t="s">
        <v>302</v>
      </c>
      <c r="J154" s="313" t="s">
        <v>542</v>
      </c>
      <c r="K154" s="313" t="s">
        <v>205</v>
      </c>
      <c r="L154" s="313" t="s">
        <v>318</v>
      </c>
      <c r="M154" s="330"/>
      <c r="P154" s="335"/>
      <c r="Q154" s="335"/>
      <c r="R154" s="335"/>
    </row>
    <row r="155" spans="1:18" s="313" customFormat="1" ht="16.5">
      <c r="A155" s="298">
        <v>45000</v>
      </c>
      <c r="B155" s="313" t="s">
        <v>467</v>
      </c>
      <c r="C155" s="313" t="s">
        <v>34</v>
      </c>
      <c r="D155" s="313" t="s">
        <v>4</v>
      </c>
      <c r="E155" s="314"/>
      <c r="F155" s="314">
        <v>8000</v>
      </c>
      <c r="G155" s="314">
        <f t="shared" si="2"/>
        <v>5561087</v>
      </c>
      <c r="H155" s="313" t="s">
        <v>276</v>
      </c>
      <c r="I155" s="313" t="s">
        <v>302</v>
      </c>
      <c r="J155" s="313" t="s">
        <v>542</v>
      </c>
      <c r="K155" s="313" t="s">
        <v>205</v>
      </c>
      <c r="L155" s="313" t="s">
        <v>318</v>
      </c>
      <c r="M155" s="330"/>
      <c r="P155" s="335"/>
      <c r="Q155" s="335"/>
      <c r="R155" s="335"/>
    </row>
    <row r="156" spans="1:18" s="313" customFormat="1" ht="16.5">
      <c r="A156" s="331">
        <v>45001</v>
      </c>
      <c r="B156" s="335" t="s">
        <v>571</v>
      </c>
      <c r="C156" s="335" t="s">
        <v>246</v>
      </c>
      <c r="D156" s="335" t="s">
        <v>291</v>
      </c>
      <c r="E156" s="335"/>
      <c r="F156" s="335">
        <v>2500</v>
      </c>
      <c r="G156" s="314">
        <f t="shared" si="2"/>
        <v>5558587</v>
      </c>
      <c r="H156" s="335" t="s">
        <v>25</v>
      </c>
      <c r="I156" s="313" t="s">
        <v>302</v>
      </c>
      <c r="J156" s="313" t="s">
        <v>102</v>
      </c>
      <c r="K156" s="335" t="s">
        <v>206</v>
      </c>
      <c r="L156" s="335" t="s">
        <v>318</v>
      </c>
      <c r="M156" s="330" t="s">
        <v>583</v>
      </c>
      <c r="N156" s="335" t="s">
        <v>322</v>
      </c>
      <c r="O156" s="335"/>
      <c r="P156" s="335"/>
      <c r="Q156" s="335"/>
      <c r="R156" s="335"/>
    </row>
    <row r="157" spans="1:18" s="313" customFormat="1" ht="16.5">
      <c r="A157" s="298">
        <v>45001</v>
      </c>
      <c r="B157" s="335" t="s">
        <v>432</v>
      </c>
      <c r="C157" s="335" t="s">
        <v>278</v>
      </c>
      <c r="D157" s="313" t="s">
        <v>162</v>
      </c>
      <c r="E157" s="335"/>
      <c r="F157" s="441">
        <v>30000</v>
      </c>
      <c r="G157" s="314">
        <f t="shared" si="2"/>
        <v>5528587</v>
      </c>
      <c r="H157" s="335" t="s">
        <v>31</v>
      </c>
      <c r="I157" s="313" t="s">
        <v>302</v>
      </c>
      <c r="J157" s="313" t="s">
        <v>542</v>
      </c>
      <c r="K157" s="329" t="s">
        <v>206</v>
      </c>
      <c r="L157" s="313" t="s">
        <v>318</v>
      </c>
      <c r="M157" s="330" t="s">
        <v>585</v>
      </c>
      <c r="N157" s="335" t="s">
        <v>330</v>
      </c>
      <c r="O157" s="335"/>
      <c r="P157" s="335"/>
      <c r="Q157" s="335"/>
      <c r="R157" s="335"/>
    </row>
    <row r="158" spans="1:18" s="313" customFormat="1" ht="16.5">
      <c r="A158" s="298">
        <v>45001</v>
      </c>
      <c r="B158" s="313" t="s">
        <v>433</v>
      </c>
      <c r="C158" s="313" t="s">
        <v>34</v>
      </c>
      <c r="D158" s="313" t="s">
        <v>162</v>
      </c>
      <c r="E158" s="314"/>
      <c r="F158" s="439">
        <v>10000</v>
      </c>
      <c r="G158" s="314">
        <f t="shared" si="2"/>
        <v>5518587</v>
      </c>
      <c r="H158" s="313" t="s">
        <v>31</v>
      </c>
      <c r="I158" s="313" t="s">
        <v>302</v>
      </c>
      <c r="J158" s="313" t="s">
        <v>542</v>
      </c>
      <c r="K158" s="313" t="s">
        <v>206</v>
      </c>
      <c r="L158" s="313" t="s">
        <v>318</v>
      </c>
      <c r="M158" s="330" t="s">
        <v>586</v>
      </c>
      <c r="N158" s="313" t="s">
        <v>329</v>
      </c>
      <c r="P158" s="335"/>
      <c r="Q158" s="335"/>
      <c r="R158" s="335"/>
    </row>
    <row r="159" spans="1:18" s="313" customFormat="1" ht="16.5">
      <c r="A159" s="298">
        <v>45001</v>
      </c>
      <c r="B159" s="313" t="s">
        <v>440</v>
      </c>
      <c r="C159" s="335" t="s">
        <v>441</v>
      </c>
      <c r="D159" s="313" t="s">
        <v>161</v>
      </c>
      <c r="E159" s="314"/>
      <c r="F159" s="314">
        <v>21250</v>
      </c>
      <c r="G159" s="314">
        <f t="shared" si="2"/>
        <v>5497337</v>
      </c>
      <c r="H159" s="313" t="s">
        <v>204</v>
      </c>
      <c r="I159" s="313" t="s">
        <v>309</v>
      </c>
      <c r="J159" s="313" t="s">
        <v>542</v>
      </c>
      <c r="K159" s="313" t="s">
        <v>205</v>
      </c>
      <c r="L159" s="313" t="s">
        <v>318</v>
      </c>
      <c r="M159" s="330"/>
      <c r="N159" s="335"/>
      <c r="P159" s="335"/>
      <c r="Q159" s="335"/>
      <c r="R159" s="335"/>
    </row>
    <row r="160" spans="1:18" s="313" customFormat="1" ht="16.5" hidden="1">
      <c r="A160" s="298">
        <v>45002</v>
      </c>
      <c r="B160" s="335" t="s">
        <v>295</v>
      </c>
      <c r="C160" s="335" t="s">
        <v>75</v>
      </c>
      <c r="D160" s="335"/>
      <c r="F160" s="335">
        <v>84000</v>
      </c>
      <c r="G160" s="314">
        <f t="shared" si="2"/>
        <v>5413337</v>
      </c>
      <c r="H160" s="313" t="s">
        <v>25</v>
      </c>
      <c r="J160" s="335"/>
      <c r="K160" s="335"/>
      <c r="L160" s="335"/>
      <c r="M160" s="330"/>
      <c r="N160" s="335"/>
      <c r="O160" s="335"/>
      <c r="P160" s="335"/>
      <c r="Q160" s="335"/>
      <c r="R160" s="335"/>
    </row>
    <row r="161" spans="1:18" s="313" customFormat="1" ht="16.5">
      <c r="A161" s="298">
        <v>45002</v>
      </c>
      <c r="B161" s="335" t="s">
        <v>296</v>
      </c>
      <c r="C161" s="335" t="s">
        <v>220</v>
      </c>
      <c r="D161" s="60" t="s">
        <v>291</v>
      </c>
      <c r="E161" s="335"/>
      <c r="F161" s="335">
        <v>2520</v>
      </c>
      <c r="G161" s="314">
        <f t="shared" si="2"/>
        <v>5410817</v>
      </c>
      <c r="H161" s="335" t="s">
        <v>25</v>
      </c>
      <c r="I161" s="313" t="s">
        <v>302</v>
      </c>
      <c r="J161" s="313" t="s">
        <v>102</v>
      </c>
      <c r="K161" s="313" t="s">
        <v>206</v>
      </c>
      <c r="L161" s="313" t="s">
        <v>318</v>
      </c>
      <c r="M161" s="330" t="s">
        <v>587</v>
      </c>
      <c r="N161" s="313" t="s">
        <v>319</v>
      </c>
      <c r="O161" s="335"/>
      <c r="P161" s="335"/>
      <c r="Q161" s="335"/>
      <c r="R161" s="335"/>
    </row>
    <row r="162" spans="1:18" s="313" customFormat="1" ht="16.5">
      <c r="A162" s="331">
        <v>45002</v>
      </c>
      <c r="B162" s="313" t="s">
        <v>383</v>
      </c>
      <c r="C162" s="314" t="s">
        <v>378</v>
      </c>
      <c r="D162" s="445"/>
      <c r="E162" s="440">
        <v>19110651</v>
      </c>
      <c r="F162" s="440"/>
      <c r="G162" s="314">
        <f t="shared" si="2"/>
        <v>24521468</v>
      </c>
      <c r="H162" s="313" t="s">
        <v>155</v>
      </c>
      <c r="I162" s="389" t="s">
        <v>303</v>
      </c>
      <c r="J162" s="335" t="s">
        <v>102</v>
      </c>
      <c r="L162" s="313" t="s">
        <v>318</v>
      </c>
      <c r="M162" s="330"/>
      <c r="N162" s="335"/>
      <c r="P162" s="335"/>
      <c r="Q162" s="335"/>
      <c r="R162" s="335"/>
    </row>
    <row r="163" spans="1:18" s="313" customFormat="1" ht="16.5" hidden="1">
      <c r="A163" s="298">
        <v>45002</v>
      </c>
      <c r="B163" s="373" t="s">
        <v>305</v>
      </c>
      <c r="C163" s="406" t="s">
        <v>75</v>
      </c>
      <c r="D163" s="406"/>
      <c r="E163" s="403">
        <v>84000</v>
      </c>
      <c r="F163" s="314"/>
      <c r="G163" s="314">
        <f t="shared" si="2"/>
        <v>24605468</v>
      </c>
      <c r="H163" s="329" t="s">
        <v>47</v>
      </c>
      <c r="M163" s="336"/>
      <c r="P163" s="335"/>
      <c r="Q163" s="335"/>
      <c r="R163" s="335"/>
    </row>
    <row r="164" spans="1:18" s="313" customFormat="1" ht="16.5">
      <c r="A164" s="298">
        <v>45002</v>
      </c>
      <c r="B164" s="313" t="s">
        <v>442</v>
      </c>
      <c r="C164" s="335" t="s">
        <v>278</v>
      </c>
      <c r="D164" s="313" t="s">
        <v>161</v>
      </c>
      <c r="E164" s="314"/>
      <c r="F164" s="314">
        <v>30000</v>
      </c>
      <c r="G164" s="314">
        <f t="shared" si="2"/>
        <v>24575468</v>
      </c>
      <c r="H164" s="313" t="s">
        <v>204</v>
      </c>
      <c r="I164" s="313" t="s">
        <v>302</v>
      </c>
      <c r="J164" s="313" t="s">
        <v>542</v>
      </c>
      <c r="K164" s="329" t="s">
        <v>206</v>
      </c>
      <c r="L164" s="313" t="s">
        <v>318</v>
      </c>
      <c r="M164" s="330" t="s">
        <v>588</v>
      </c>
      <c r="N164" s="335" t="s">
        <v>330</v>
      </c>
      <c r="P164" s="335"/>
      <c r="Q164" s="335"/>
      <c r="R164" s="335"/>
    </row>
    <row r="165" spans="1:18" s="313" customFormat="1" ht="16.5">
      <c r="A165" s="298">
        <v>45002</v>
      </c>
      <c r="B165" s="313" t="s">
        <v>314</v>
      </c>
      <c r="C165" s="335" t="s">
        <v>34</v>
      </c>
      <c r="D165" s="313" t="s">
        <v>161</v>
      </c>
      <c r="E165" s="314"/>
      <c r="F165" s="314">
        <v>10000</v>
      </c>
      <c r="G165" s="314">
        <f t="shared" si="2"/>
        <v>24565468</v>
      </c>
      <c r="H165" s="313" t="s">
        <v>204</v>
      </c>
      <c r="I165" s="313" t="s">
        <v>302</v>
      </c>
      <c r="J165" s="313" t="s">
        <v>542</v>
      </c>
      <c r="K165" s="313" t="s">
        <v>206</v>
      </c>
      <c r="L165" s="313" t="s">
        <v>318</v>
      </c>
      <c r="M165" s="330" t="s">
        <v>589</v>
      </c>
      <c r="N165" s="313" t="s">
        <v>329</v>
      </c>
      <c r="P165" s="335"/>
      <c r="Q165" s="335"/>
      <c r="R165" s="335"/>
    </row>
    <row r="166" spans="1:18" s="313" customFormat="1" ht="16.5">
      <c r="A166" s="332">
        <v>45003</v>
      </c>
      <c r="B166" s="313" t="s">
        <v>455</v>
      </c>
      <c r="C166" s="335" t="s">
        <v>34</v>
      </c>
      <c r="D166" s="313" t="s">
        <v>4</v>
      </c>
      <c r="F166" s="313">
        <v>15000</v>
      </c>
      <c r="G166" s="314">
        <f t="shared" si="2"/>
        <v>24550468</v>
      </c>
      <c r="H166" s="329" t="s">
        <v>277</v>
      </c>
      <c r="I166" s="313" t="s">
        <v>302</v>
      </c>
      <c r="J166" s="313" t="s">
        <v>542</v>
      </c>
      <c r="K166" s="313" t="s">
        <v>205</v>
      </c>
      <c r="L166" s="313" t="s">
        <v>318</v>
      </c>
      <c r="M166" s="330"/>
      <c r="N166" s="335"/>
      <c r="O166" s="335"/>
      <c r="P166" s="335"/>
      <c r="Q166" s="335"/>
      <c r="R166" s="335"/>
    </row>
    <row r="167" spans="1:18" s="313" customFormat="1" ht="16.5">
      <c r="A167" s="298">
        <v>45003</v>
      </c>
      <c r="B167" s="313" t="s">
        <v>478</v>
      </c>
      <c r="C167" s="335" t="s">
        <v>278</v>
      </c>
      <c r="D167" s="313" t="s">
        <v>4</v>
      </c>
      <c r="E167" s="314"/>
      <c r="F167" s="314">
        <v>90000</v>
      </c>
      <c r="G167" s="314">
        <f t="shared" si="2"/>
        <v>24460468</v>
      </c>
      <c r="H167" s="313" t="s">
        <v>277</v>
      </c>
      <c r="I167" s="313" t="s">
        <v>302</v>
      </c>
      <c r="J167" s="313" t="s">
        <v>542</v>
      </c>
      <c r="K167" s="313" t="s">
        <v>205</v>
      </c>
      <c r="L167" s="313" t="s">
        <v>318</v>
      </c>
      <c r="M167" s="330"/>
      <c r="N167" s="335"/>
    </row>
    <row r="168" spans="1:18" s="313" customFormat="1" ht="16.5">
      <c r="A168" s="332">
        <v>45003</v>
      </c>
      <c r="B168" s="313" t="s">
        <v>468</v>
      </c>
      <c r="C168" s="313" t="s">
        <v>34</v>
      </c>
      <c r="D168" s="313" t="s">
        <v>4</v>
      </c>
      <c r="E168" s="314"/>
      <c r="F168" s="314">
        <v>10000</v>
      </c>
      <c r="G168" s="314">
        <f t="shared" si="2"/>
        <v>24450468</v>
      </c>
      <c r="H168" s="313" t="s">
        <v>276</v>
      </c>
      <c r="I168" s="313" t="s">
        <v>302</v>
      </c>
      <c r="J168" s="313" t="s">
        <v>542</v>
      </c>
      <c r="K168" s="313" t="s">
        <v>205</v>
      </c>
      <c r="L168" s="313" t="s">
        <v>318</v>
      </c>
      <c r="M168" s="330"/>
      <c r="P168" s="335"/>
      <c r="Q168" s="335"/>
      <c r="R168" s="335"/>
    </row>
    <row r="169" spans="1:18" s="313" customFormat="1" ht="16.5">
      <c r="A169" s="332">
        <v>45003</v>
      </c>
      <c r="B169" s="313" t="s">
        <v>638</v>
      </c>
      <c r="C169" s="335" t="s">
        <v>278</v>
      </c>
      <c r="D169" s="313" t="s">
        <v>4</v>
      </c>
      <c r="E169" s="314"/>
      <c r="F169" s="314">
        <v>45000</v>
      </c>
      <c r="G169" s="314">
        <f t="shared" si="2"/>
        <v>24405468</v>
      </c>
      <c r="H169" s="313" t="s">
        <v>276</v>
      </c>
      <c r="I169" s="313" t="s">
        <v>302</v>
      </c>
      <c r="J169" s="313" t="s">
        <v>542</v>
      </c>
      <c r="K169" s="313" t="s">
        <v>205</v>
      </c>
      <c r="L169" s="313" t="s">
        <v>318</v>
      </c>
      <c r="M169" s="330"/>
    </row>
    <row r="170" spans="1:18" s="313" customFormat="1" ht="16.5" hidden="1">
      <c r="A170" s="298">
        <v>45005</v>
      </c>
      <c r="B170" s="335" t="s">
        <v>295</v>
      </c>
      <c r="C170" s="335" t="s">
        <v>75</v>
      </c>
      <c r="D170" s="335"/>
      <c r="E170" s="335"/>
      <c r="F170" s="335">
        <v>149000</v>
      </c>
      <c r="G170" s="314">
        <f t="shared" si="2"/>
        <v>24256468</v>
      </c>
      <c r="H170" s="335" t="s">
        <v>25</v>
      </c>
      <c r="J170" s="335"/>
      <c r="K170" s="335"/>
      <c r="L170" s="335"/>
      <c r="M170" s="330"/>
      <c r="N170" s="335"/>
      <c r="O170" s="335"/>
    </row>
    <row r="171" spans="1:18" s="313" customFormat="1" ht="16.5">
      <c r="A171" s="337">
        <v>45005</v>
      </c>
      <c r="B171" s="407" t="s">
        <v>296</v>
      </c>
      <c r="C171" s="335" t="s">
        <v>220</v>
      </c>
      <c r="D171" s="313" t="s">
        <v>291</v>
      </c>
      <c r="F171" s="408">
        <f>+F170*3%</f>
        <v>4470</v>
      </c>
      <c r="G171" s="314">
        <f t="shared" si="2"/>
        <v>24251998</v>
      </c>
      <c r="H171" s="333" t="s">
        <v>25</v>
      </c>
      <c r="I171" s="313" t="s">
        <v>302</v>
      </c>
      <c r="J171" s="313" t="s">
        <v>102</v>
      </c>
      <c r="K171" s="313" t="s">
        <v>206</v>
      </c>
      <c r="L171" s="313" t="s">
        <v>318</v>
      </c>
      <c r="M171" s="330" t="s">
        <v>590</v>
      </c>
      <c r="N171" s="313" t="s">
        <v>319</v>
      </c>
    </row>
    <row r="172" spans="1:18" s="313" customFormat="1" ht="16.5" hidden="1">
      <c r="A172" s="405">
        <v>45005</v>
      </c>
      <c r="B172" s="407" t="s">
        <v>294</v>
      </c>
      <c r="C172" s="335" t="s">
        <v>75</v>
      </c>
      <c r="E172" s="407">
        <v>8000</v>
      </c>
      <c r="F172" s="407"/>
      <c r="G172" s="314">
        <f t="shared" si="2"/>
        <v>24259998</v>
      </c>
      <c r="H172" s="333" t="s">
        <v>25</v>
      </c>
      <c r="J172" s="335"/>
      <c r="K172" s="335"/>
      <c r="L172" s="335"/>
      <c r="M172" s="330"/>
      <c r="N172" s="335"/>
      <c r="O172" s="407"/>
    </row>
    <row r="173" spans="1:18" s="313" customFormat="1" ht="16.5" hidden="1">
      <c r="A173" s="298">
        <v>45005</v>
      </c>
      <c r="B173" s="313" t="s">
        <v>353</v>
      </c>
      <c r="C173" s="335" t="s">
        <v>75</v>
      </c>
      <c r="E173" s="314">
        <v>2000000</v>
      </c>
      <c r="F173" s="314"/>
      <c r="G173" s="314">
        <f t="shared" si="2"/>
        <v>26259998</v>
      </c>
      <c r="H173" s="313" t="s">
        <v>25</v>
      </c>
      <c r="J173" s="335"/>
      <c r="K173" s="335"/>
      <c r="L173" s="335"/>
      <c r="M173" s="330"/>
      <c r="N173" s="335"/>
    </row>
    <row r="174" spans="1:18" s="313" customFormat="1" ht="16.5">
      <c r="A174" s="405">
        <v>45005</v>
      </c>
      <c r="B174" s="335" t="s">
        <v>408</v>
      </c>
      <c r="C174" s="335" t="s">
        <v>278</v>
      </c>
      <c r="D174" s="313" t="s">
        <v>2</v>
      </c>
      <c r="F174" s="441">
        <v>105000</v>
      </c>
      <c r="G174" s="314">
        <f t="shared" si="2"/>
        <v>26154998</v>
      </c>
      <c r="H174" s="313" t="s">
        <v>47</v>
      </c>
      <c r="I174" s="313" t="s">
        <v>302</v>
      </c>
      <c r="J174" s="313" t="s">
        <v>542</v>
      </c>
      <c r="K174" s="329" t="s">
        <v>206</v>
      </c>
      <c r="L174" s="313" t="s">
        <v>318</v>
      </c>
      <c r="M174" s="330" t="s">
        <v>591</v>
      </c>
      <c r="N174" s="335" t="s">
        <v>330</v>
      </c>
      <c r="O174" s="335"/>
    </row>
    <row r="175" spans="1:18" s="313" customFormat="1" ht="16.5">
      <c r="A175" s="332">
        <v>45005</v>
      </c>
      <c r="B175" s="373" t="s">
        <v>409</v>
      </c>
      <c r="C175" s="406" t="s">
        <v>34</v>
      </c>
      <c r="D175" s="406" t="s">
        <v>2</v>
      </c>
      <c r="E175" s="403"/>
      <c r="F175" s="439">
        <v>5000</v>
      </c>
      <c r="G175" s="314">
        <f t="shared" si="2"/>
        <v>26149998</v>
      </c>
      <c r="H175" s="329" t="s">
        <v>47</v>
      </c>
      <c r="I175" s="313" t="s">
        <v>302</v>
      </c>
      <c r="J175" s="313" t="s">
        <v>542</v>
      </c>
      <c r="K175" s="313" t="s">
        <v>206</v>
      </c>
      <c r="L175" s="313" t="s">
        <v>318</v>
      </c>
      <c r="M175" s="330" t="s">
        <v>592</v>
      </c>
      <c r="N175" s="313" t="s">
        <v>329</v>
      </c>
    </row>
    <row r="176" spans="1:18" s="313" customFormat="1" ht="16.5" hidden="1">
      <c r="A176" s="298">
        <v>45005</v>
      </c>
      <c r="B176" s="313" t="s">
        <v>312</v>
      </c>
      <c r="C176" s="335" t="s">
        <v>311</v>
      </c>
      <c r="E176" s="314"/>
      <c r="F176" s="314">
        <v>8000</v>
      </c>
      <c r="G176" s="314">
        <f t="shared" si="2"/>
        <v>26141998</v>
      </c>
      <c r="H176" s="313" t="s">
        <v>204</v>
      </c>
      <c r="I176" s="314"/>
      <c r="J176" s="335"/>
      <c r="K176" s="335"/>
      <c r="L176" s="335"/>
      <c r="M176" s="330"/>
      <c r="N176" s="335"/>
    </row>
    <row r="177" spans="1:15" s="313" customFormat="1" ht="16.5" hidden="1">
      <c r="A177" s="331">
        <v>45006</v>
      </c>
      <c r="B177" s="60" t="s">
        <v>276</v>
      </c>
      <c r="C177" s="335" t="s">
        <v>75</v>
      </c>
      <c r="F177" s="335">
        <v>15000</v>
      </c>
      <c r="G177" s="314">
        <f t="shared" si="2"/>
        <v>26126998</v>
      </c>
      <c r="H177" s="329" t="s">
        <v>25</v>
      </c>
      <c r="J177" s="335"/>
      <c r="K177" s="335"/>
      <c r="L177" s="335"/>
      <c r="M177" s="330"/>
      <c r="N177" s="335"/>
      <c r="O177" s="335"/>
    </row>
    <row r="178" spans="1:15" s="313" customFormat="1" ht="16.5">
      <c r="A178" s="337">
        <v>45006</v>
      </c>
      <c r="B178" s="313" t="s">
        <v>354</v>
      </c>
      <c r="C178" s="335" t="s">
        <v>237</v>
      </c>
      <c r="D178" s="314" t="s">
        <v>162</v>
      </c>
      <c r="F178" s="313">
        <v>10000</v>
      </c>
      <c r="G178" s="314">
        <f t="shared" si="2"/>
        <v>26116998</v>
      </c>
      <c r="H178" s="329" t="s">
        <v>25</v>
      </c>
      <c r="I178" s="313" t="s">
        <v>309</v>
      </c>
      <c r="J178" s="313" t="s">
        <v>542</v>
      </c>
      <c r="K178" s="313" t="s">
        <v>205</v>
      </c>
      <c r="L178" s="313" t="s">
        <v>318</v>
      </c>
      <c r="M178" s="330"/>
      <c r="N178" s="335"/>
      <c r="O178" s="336"/>
    </row>
    <row r="179" spans="1:15" s="313" customFormat="1" ht="16.5" hidden="1">
      <c r="A179" s="298">
        <v>45006</v>
      </c>
      <c r="B179" s="406" t="s">
        <v>384</v>
      </c>
      <c r="C179" s="403" t="s">
        <v>75</v>
      </c>
      <c r="D179" s="447"/>
      <c r="E179" s="448"/>
      <c r="F179" s="441">
        <v>2000000</v>
      </c>
      <c r="G179" s="314">
        <f t="shared" si="2"/>
        <v>24116998</v>
      </c>
      <c r="H179" s="313" t="s">
        <v>155</v>
      </c>
      <c r="I179" s="389">
        <v>3667312</v>
      </c>
      <c r="J179" s="329"/>
      <c r="L179" s="335"/>
      <c r="M179" s="330"/>
    </row>
    <row r="180" spans="1:15" s="313" customFormat="1" ht="16.5" hidden="1">
      <c r="A180" s="298">
        <v>45006</v>
      </c>
      <c r="B180" s="313" t="s">
        <v>305</v>
      </c>
      <c r="C180" s="314" t="s">
        <v>75</v>
      </c>
      <c r="E180" s="314">
        <v>149000</v>
      </c>
      <c r="F180" s="314"/>
      <c r="G180" s="314">
        <f t="shared" si="2"/>
        <v>24265998</v>
      </c>
      <c r="H180" s="313" t="s">
        <v>47</v>
      </c>
      <c r="M180" s="330"/>
      <c r="O180" s="336"/>
    </row>
    <row r="181" spans="1:15" s="313" customFormat="1" ht="16.5" hidden="1">
      <c r="A181" s="298">
        <v>45006</v>
      </c>
      <c r="B181" s="313" t="s">
        <v>469</v>
      </c>
      <c r="C181" s="313" t="s">
        <v>311</v>
      </c>
      <c r="E181" s="314">
        <v>15000</v>
      </c>
      <c r="F181" s="314"/>
      <c r="G181" s="314">
        <f t="shared" si="2"/>
        <v>24280998</v>
      </c>
      <c r="H181" s="313" t="s">
        <v>276</v>
      </c>
    </row>
    <row r="182" spans="1:15" s="313" customFormat="1" ht="16.5" hidden="1">
      <c r="A182" s="298">
        <v>45007</v>
      </c>
      <c r="B182" s="313" t="s">
        <v>31</v>
      </c>
      <c r="C182" s="313" t="s">
        <v>75</v>
      </c>
      <c r="E182" s="314"/>
      <c r="F182" s="314">
        <v>15000</v>
      </c>
      <c r="G182" s="314">
        <f t="shared" si="2"/>
        <v>24265998</v>
      </c>
      <c r="H182" s="313" t="s">
        <v>25</v>
      </c>
      <c r="K182" s="335"/>
      <c r="L182" s="335"/>
    </row>
    <row r="183" spans="1:15" s="313" customFormat="1" ht="16.5" hidden="1">
      <c r="A183" s="298">
        <v>45007</v>
      </c>
      <c r="B183" s="313" t="s">
        <v>307</v>
      </c>
      <c r="C183" s="335" t="s">
        <v>75</v>
      </c>
      <c r="D183" s="314"/>
      <c r="E183" s="313">
        <v>15000</v>
      </c>
      <c r="F183" s="440"/>
      <c r="G183" s="314">
        <f t="shared" si="2"/>
        <v>24280998</v>
      </c>
      <c r="H183" s="329" t="s">
        <v>31</v>
      </c>
      <c r="M183" s="330"/>
    </row>
    <row r="184" spans="1:15" s="313" customFormat="1" ht="16.5" hidden="1">
      <c r="A184" s="298">
        <v>45008</v>
      </c>
      <c r="B184" s="333" t="s">
        <v>277</v>
      </c>
      <c r="C184" s="335" t="s">
        <v>75</v>
      </c>
      <c r="D184" s="334"/>
      <c r="E184" s="442"/>
      <c r="F184" s="333">
        <v>100000</v>
      </c>
      <c r="G184" s="314">
        <f t="shared" si="2"/>
        <v>24180998</v>
      </c>
      <c r="H184" s="313" t="s">
        <v>25</v>
      </c>
      <c r="I184" s="333"/>
      <c r="J184" s="335"/>
      <c r="K184" s="335"/>
      <c r="L184" s="335"/>
      <c r="M184" s="330"/>
      <c r="N184" s="335"/>
    </row>
    <row r="185" spans="1:15" s="313" customFormat="1" ht="16.5" hidden="1">
      <c r="A185" s="332">
        <v>45008</v>
      </c>
      <c r="B185" s="313" t="s">
        <v>93</v>
      </c>
      <c r="C185" s="334" t="s">
        <v>75</v>
      </c>
      <c r="F185" s="313">
        <v>20000</v>
      </c>
      <c r="G185" s="314">
        <f t="shared" si="2"/>
        <v>24160998</v>
      </c>
      <c r="H185" s="313" t="s">
        <v>25</v>
      </c>
      <c r="J185" s="335"/>
      <c r="K185" s="335"/>
      <c r="L185" s="335"/>
      <c r="M185" s="330"/>
      <c r="N185" s="335"/>
    </row>
    <row r="186" spans="1:15" s="313" customFormat="1" ht="16.5" hidden="1">
      <c r="A186" s="298">
        <v>45008</v>
      </c>
      <c r="B186" s="373" t="s">
        <v>276</v>
      </c>
      <c r="C186" s="313" t="s">
        <v>75</v>
      </c>
      <c r="F186" s="439">
        <v>100000</v>
      </c>
      <c r="G186" s="314">
        <f t="shared" si="2"/>
        <v>24060998</v>
      </c>
      <c r="H186" s="313" t="s">
        <v>25</v>
      </c>
      <c r="M186" s="330"/>
    </row>
    <row r="187" spans="1:15" s="313" customFormat="1" ht="16.5">
      <c r="A187" s="298">
        <v>45008</v>
      </c>
      <c r="B187" s="333" t="s">
        <v>355</v>
      </c>
      <c r="C187" s="335" t="s">
        <v>237</v>
      </c>
      <c r="D187" s="333" t="s">
        <v>162</v>
      </c>
      <c r="E187" s="334"/>
      <c r="F187" s="408">
        <v>150000</v>
      </c>
      <c r="G187" s="314">
        <f t="shared" si="2"/>
        <v>23910998</v>
      </c>
      <c r="H187" s="442" t="s">
        <v>25</v>
      </c>
      <c r="I187" s="313" t="s">
        <v>309</v>
      </c>
      <c r="J187" s="313" t="s">
        <v>542</v>
      </c>
      <c r="K187" s="313" t="s">
        <v>205</v>
      </c>
      <c r="L187" s="313" t="s">
        <v>318</v>
      </c>
      <c r="M187" s="330"/>
    </row>
    <row r="188" spans="1:15" s="313" customFormat="1" ht="16.5">
      <c r="A188" s="298">
        <v>45008</v>
      </c>
      <c r="B188" s="313" t="s">
        <v>509</v>
      </c>
      <c r="C188" s="335" t="s">
        <v>3</v>
      </c>
      <c r="D188" s="60" t="s">
        <v>291</v>
      </c>
      <c r="E188" s="314"/>
      <c r="F188" s="439">
        <v>20000</v>
      </c>
      <c r="G188" s="314">
        <f t="shared" si="2"/>
        <v>23890998</v>
      </c>
      <c r="H188" s="313" t="s">
        <v>25</v>
      </c>
      <c r="I188" s="313" t="s">
        <v>302</v>
      </c>
      <c r="J188" s="313" t="s">
        <v>542</v>
      </c>
      <c r="K188" s="313" t="s">
        <v>205</v>
      </c>
      <c r="L188" s="313" t="s">
        <v>318</v>
      </c>
      <c r="M188" s="330"/>
      <c r="N188" s="335"/>
    </row>
    <row r="189" spans="1:15" s="313" customFormat="1" ht="16.5" hidden="1">
      <c r="A189" s="298">
        <v>45008</v>
      </c>
      <c r="B189" s="313" t="s">
        <v>277</v>
      </c>
      <c r="C189" s="335" t="s">
        <v>75</v>
      </c>
      <c r="E189" s="314"/>
      <c r="F189" s="439">
        <v>15000</v>
      </c>
      <c r="G189" s="314">
        <f t="shared" si="2"/>
        <v>23875998</v>
      </c>
      <c r="H189" s="313" t="s">
        <v>25</v>
      </c>
    </row>
    <row r="190" spans="1:15" s="313" customFormat="1" ht="16.5">
      <c r="A190" s="298">
        <v>45008</v>
      </c>
      <c r="B190" s="313" t="s">
        <v>410</v>
      </c>
      <c r="C190" s="335" t="s">
        <v>278</v>
      </c>
      <c r="D190" s="313" t="s">
        <v>2</v>
      </c>
      <c r="E190" s="314"/>
      <c r="F190" s="314">
        <v>45000</v>
      </c>
      <c r="G190" s="314">
        <f t="shared" si="2"/>
        <v>23830998</v>
      </c>
      <c r="H190" s="313" t="s">
        <v>47</v>
      </c>
      <c r="I190" s="313" t="s">
        <v>302</v>
      </c>
      <c r="J190" s="313" t="s">
        <v>542</v>
      </c>
      <c r="K190" s="329" t="s">
        <v>206</v>
      </c>
      <c r="L190" s="313" t="s">
        <v>318</v>
      </c>
      <c r="M190" s="330" t="s">
        <v>593</v>
      </c>
      <c r="N190" s="335" t="s">
        <v>330</v>
      </c>
    </row>
    <row r="191" spans="1:15" s="313" customFormat="1" ht="16.5">
      <c r="A191" s="298">
        <v>45008</v>
      </c>
      <c r="B191" s="313" t="s">
        <v>411</v>
      </c>
      <c r="C191" s="335" t="s">
        <v>34</v>
      </c>
      <c r="D191" s="313" t="s">
        <v>2</v>
      </c>
      <c r="E191" s="314"/>
      <c r="F191" s="314">
        <v>5000</v>
      </c>
      <c r="G191" s="314">
        <f t="shared" si="2"/>
        <v>23825998</v>
      </c>
      <c r="H191" s="313" t="s">
        <v>47</v>
      </c>
      <c r="I191" s="313" t="s">
        <v>302</v>
      </c>
      <c r="J191" s="313" t="s">
        <v>542</v>
      </c>
      <c r="K191" s="313" t="s">
        <v>206</v>
      </c>
      <c r="L191" s="313" t="s">
        <v>318</v>
      </c>
      <c r="M191" s="330" t="s">
        <v>594</v>
      </c>
      <c r="N191" s="313" t="s">
        <v>329</v>
      </c>
    </row>
    <row r="192" spans="1:15" s="313" customFormat="1" ht="16.5" hidden="1">
      <c r="A192" s="298">
        <v>45008</v>
      </c>
      <c r="B192" s="335" t="s">
        <v>428</v>
      </c>
      <c r="C192" s="314" t="s">
        <v>75</v>
      </c>
      <c r="E192" s="335">
        <v>20000</v>
      </c>
      <c r="F192" s="335"/>
      <c r="G192" s="314">
        <f t="shared" si="2"/>
        <v>23845998</v>
      </c>
      <c r="H192" s="335" t="s">
        <v>93</v>
      </c>
      <c r="M192" s="330"/>
      <c r="N192" s="335"/>
      <c r="O192" s="335"/>
    </row>
    <row r="193" spans="1:15" s="313" customFormat="1" ht="16.5" hidden="1">
      <c r="A193" s="337">
        <v>45008</v>
      </c>
      <c r="B193" s="313" t="s">
        <v>317</v>
      </c>
      <c r="C193" s="335" t="s">
        <v>75</v>
      </c>
      <c r="E193" s="314">
        <v>15000</v>
      </c>
      <c r="F193" s="314"/>
      <c r="G193" s="314">
        <f t="shared" si="2"/>
        <v>23860998</v>
      </c>
      <c r="H193" s="313" t="s">
        <v>277</v>
      </c>
      <c r="J193" s="335"/>
      <c r="K193" s="335"/>
      <c r="L193" s="335"/>
      <c r="M193" s="330"/>
      <c r="N193" s="335"/>
      <c r="O193" s="336"/>
    </row>
    <row r="194" spans="1:15" s="313" customFormat="1" ht="16.5" hidden="1">
      <c r="A194" s="331">
        <v>45008</v>
      </c>
      <c r="B194" s="313" t="s">
        <v>317</v>
      </c>
      <c r="C194" s="335" t="s">
        <v>75</v>
      </c>
      <c r="E194" s="314">
        <v>100000</v>
      </c>
      <c r="F194" s="314"/>
      <c r="G194" s="314">
        <f t="shared" si="2"/>
        <v>23960998</v>
      </c>
      <c r="H194" s="313" t="s">
        <v>277</v>
      </c>
      <c r="J194" s="335"/>
      <c r="K194" s="335"/>
      <c r="L194" s="335"/>
      <c r="M194" s="330"/>
      <c r="O194" s="314"/>
    </row>
    <row r="195" spans="1:15" s="313" customFormat="1" ht="16.5">
      <c r="A195" s="298">
        <v>45008</v>
      </c>
      <c r="B195" s="313" t="s">
        <v>470</v>
      </c>
      <c r="C195" s="335" t="s">
        <v>278</v>
      </c>
      <c r="D195" s="313" t="s">
        <v>4</v>
      </c>
      <c r="E195" s="314"/>
      <c r="F195" s="314">
        <v>7000</v>
      </c>
      <c r="G195" s="314">
        <f t="shared" si="2"/>
        <v>23953998</v>
      </c>
      <c r="H195" s="313" t="s">
        <v>276</v>
      </c>
      <c r="I195" s="313" t="s">
        <v>309</v>
      </c>
      <c r="J195" s="313" t="s">
        <v>542</v>
      </c>
      <c r="K195" s="313" t="s">
        <v>205</v>
      </c>
      <c r="L195" s="313" t="s">
        <v>318</v>
      </c>
    </row>
    <row r="196" spans="1:15" s="313" customFormat="1" ht="16.5" hidden="1">
      <c r="A196" s="331">
        <v>45008</v>
      </c>
      <c r="B196" s="335" t="s">
        <v>469</v>
      </c>
      <c r="C196" s="335" t="s">
        <v>311</v>
      </c>
      <c r="E196" s="335">
        <v>100000</v>
      </c>
      <c r="F196" s="403"/>
      <c r="G196" s="314">
        <f t="shared" si="2"/>
        <v>24053998</v>
      </c>
      <c r="H196" s="335" t="s">
        <v>276</v>
      </c>
      <c r="J196" s="335"/>
      <c r="K196" s="335"/>
      <c r="L196" s="335"/>
      <c r="M196" s="335"/>
      <c r="N196" s="335"/>
      <c r="O196" s="335"/>
    </row>
    <row r="197" spans="1:15" s="313" customFormat="1" ht="16.5" hidden="1">
      <c r="A197" s="332">
        <v>45009</v>
      </c>
      <c r="B197" s="333" t="s">
        <v>295</v>
      </c>
      <c r="C197" s="335" t="s">
        <v>75</v>
      </c>
      <c r="D197" s="314"/>
      <c r="F197" s="443">
        <v>56000</v>
      </c>
      <c r="G197" s="314">
        <f t="shared" si="2"/>
        <v>23997998</v>
      </c>
      <c r="H197" s="329" t="s">
        <v>25</v>
      </c>
      <c r="I197" s="333"/>
      <c r="M197" s="330"/>
    </row>
    <row r="198" spans="1:15" s="313" customFormat="1" ht="16.5">
      <c r="A198" s="331">
        <v>45009</v>
      </c>
      <c r="B198" s="335" t="s">
        <v>296</v>
      </c>
      <c r="C198" s="335" t="s">
        <v>220</v>
      </c>
      <c r="D198" s="313" t="s">
        <v>291</v>
      </c>
      <c r="E198" s="335"/>
      <c r="F198" s="441">
        <f>+F197*3%</f>
        <v>1680</v>
      </c>
      <c r="G198" s="314">
        <f t="shared" si="2"/>
        <v>23996318</v>
      </c>
      <c r="H198" s="335" t="s">
        <v>25</v>
      </c>
      <c r="I198" s="313" t="s">
        <v>302</v>
      </c>
      <c r="J198" s="313" t="s">
        <v>102</v>
      </c>
      <c r="K198" s="313" t="s">
        <v>206</v>
      </c>
      <c r="L198" s="313" t="s">
        <v>318</v>
      </c>
      <c r="M198" s="330" t="s">
        <v>595</v>
      </c>
      <c r="N198" s="313" t="s">
        <v>319</v>
      </c>
      <c r="O198" s="335"/>
    </row>
    <row r="199" spans="1:15" s="313" customFormat="1" ht="16.5">
      <c r="A199" s="332">
        <v>45009</v>
      </c>
      <c r="B199" s="313" t="s">
        <v>356</v>
      </c>
      <c r="C199" s="313" t="s">
        <v>177</v>
      </c>
      <c r="D199" s="335" t="s">
        <v>2</v>
      </c>
      <c r="E199" s="314"/>
      <c r="F199" s="439">
        <v>553136</v>
      </c>
      <c r="G199" s="314">
        <f t="shared" si="2"/>
        <v>23443182</v>
      </c>
      <c r="H199" s="313" t="s">
        <v>25</v>
      </c>
      <c r="I199" s="313" t="s">
        <v>302</v>
      </c>
      <c r="J199" s="313" t="s">
        <v>542</v>
      </c>
      <c r="K199" s="313" t="s">
        <v>205</v>
      </c>
      <c r="L199" s="313" t="s">
        <v>318</v>
      </c>
      <c r="M199" s="330"/>
      <c r="N199" s="335"/>
    </row>
    <row r="200" spans="1:15" s="313" customFormat="1" ht="16.5" hidden="1">
      <c r="A200" s="331">
        <v>45009</v>
      </c>
      <c r="B200" s="313" t="s">
        <v>150</v>
      </c>
      <c r="C200" s="335" t="s">
        <v>75</v>
      </c>
      <c r="F200" s="440">
        <v>257000</v>
      </c>
      <c r="G200" s="314">
        <f t="shared" si="2"/>
        <v>23186182</v>
      </c>
      <c r="H200" s="313" t="s">
        <v>25</v>
      </c>
      <c r="J200" s="335"/>
      <c r="M200" s="330"/>
    </row>
    <row r="201" spans="1:15" s="313" customFormat="1" ht="16.5">
      <c r="A201" s="298">
        <v>45009</v>
      </c>
      <c r="B201" s="373" t="s">
        <v>393</v>
      </c>
      <c r="C201" s="335" t="s">
        <v>34</v>
      </c>
      <c r="D201" s="406" t="s">
        <v>2</v>
      </c>
      <c r="F201" s="314">
        <v>10000</v>
      </c>
      <c r="G201" s="314">
        <f t="shared" si="2"/>
        <v>23176182</v>
      </c>
      <c r="H201" s="313" t="s">
        <v>113</v>
      </c>
      <c r="I201" s="313" t="s">
        <v>309</v>
      </c>
      <c r="J201" s="313" t="s">
        <v>542</v>
      </c>
      <c r="K201" s="313" t="s">
        <v>206</v>
      </c>
      <c r="L201" s="313" t="s">
        <v>318</v>
      </c>
      <c r="M201" s="330" t="s">
        <v>596</v>
      </c>
      <c r="N201" s="313" t="s">
        <v>329</v>
      </c>
    </row>
    <row r="202" spans="1:15" s="313" customFormat="1" ht="16.5">
      <c r="A202" s="298">
        <v>45009</v>
      </c>
      <c r="B202" s="313" t="s">
        <v>412</v>
      </c>
      <c r="C202" s="335" t="s">
        <v>441</v>
      </c>
      <c r="D202" s="313" t="s">
        <v>161</v>
      </c>
      <c r="F202" s="313">
        <v>36650</v>
      </c>
      <c r="G202" s="314">
        <f t="shared" si="2"/>
        <v>23139532</v>
      </c>
      <c r="H202" s="313" t="s">
        <v>47</v>
      </c>
      <c r="I202" s="313" t="s">
        <v>309</v>
      </c>
      <c r="J202" s="313" t="s">
        <v>542</v>
      </c>
      <c r="K202" s="313" t="s">
        <v>205</v>
      </c>
      <c r="L202" s="313" t="s">
        <v>318</v>
      </c>
      <c r="M202" s="330"/>
    </row>
    <row r="203" spans="1:15" s="313" customFormat="1" ht="16.5" hidden="1">
      <c r="A203" s="298">
        <v>45009</v>
      </c>
      <c r="B203" s="335" t="s">
        <v>305</v>
      </c>
      <c r="C203" s="335" t="s">
        <v>75</v>
      </c>
      <c r="E203" s="335">
        <v>56000</v>
      </c>
      <c r="F203" s="403"/>
      <c r="G203" s="314">
        <f t="shared" si="2"/>
        <v>23195532</v>
      </c>
      <c r="H203" s="335" t="s">
        <v>47</v>
      </c>
      <c r="M203" s="330"/>
      <c r="O203" s="335"/>
    </row>
    <row r="204" spans="1:15" s="313" customFormat="1" ht="16.5" hidden="1">
      <c r="A204" s="298">
        <v>45009</v>
      </c>
      <c r="B204" s="335" t="s">
        <v>421</v>
      </c>
      <c r="C204" s="335" t="s">
        <v>75</v>
      </c>
      <c r="E204" s="335">
        <v>257000</v>
      </c>
      <c r="F204" s="441"/>
      <c r="G204" s="314">
        <f t="shared" si="2"/>
        <v>23452532</v>
      </c>
      <c r="H204" s="335" t="s">
        <v>150</v>
      </c>
      <c r="M204" s="330"/>
      <c r="N204" s="335"/>
      <c r="O204" s="335"/>
    </row>
    <row r="205" spans="1:15" s="313" customFormat="1" ht="16.5">
      <c r="A205" s="332">
        <v>45009</v>
      </c>
      <c r="B205" s="313" t="s">
        <v>456</v>
      </c>
      <c r="C205" s="335" t="s">
        <v>278</v>
      </c>
      <c r="D205" s="313" t="s">
        <v>4</v>
      </c>
      <c r="F205" s="313">
        <v>7000</v>
      </c>
      <c r="G205" s="314">
        <f t="shared" si="2"/>
        <v>23445532</v>
      </c>
      <c r="H205" s="313" t="s">
        <v>277</v>
      </c>
      <c r="I205" s="313" t="s">
        <v>309</v>
      </c>
      <c r="J205" s="313" t="s">
        <v>542</v>
      </c>
      <c r="K205" s="313" t="s">
        <v>205</v>
      </c>
      <c r="L205" s="313" t="s">
        <v>318</v>
      </c>
      <c r="M205" s="330"/>
    </row>
    <row r="206" spans="1:15" s="313" customFormat="1" ht="16.5">
      <c r="A206" s="298">
        <v>45009</v>
      </c>
      <c r="B206" s="335" t="s">
        <v>471</v>
      </c>
      <c r="C206" s="335" t="s">
        <v>34</v>
      </c>
      <c r="D206" s="313" t="s">
        <v>4</v>
      </c>
      <c r="E206" s="335"/>
      <c r="F206" s="403">
        <v>10000</v>
      </c>
      <c r="G206" s="314">
        <f t="shared" ref="G206:G269" si="3">+G205+E206-F206</f>
        <v>23435532</v>
      </c>
      <c r="H206" s="335" t="s">
        <v>276</v>
      </c>
      <c r="I206" s="313" t="s">
        <v>302</v>
      </c>
      <c r="J206" s="313" t="s">
        <v>542</v>
      </c>
      <c r="K206" s="313" t="s">
        <v>205</v>
      </c>
      <c r="L206" s="313" t="s">
        <v>318</v>
      </c>
      <c r="M206" s="330"/>
      <c r="N206" s="335"/>
      <c r="O206" s="335"/>
    </row>
    <row r="207" spans="1:15" s="313" customFormat="1" ht="16.5">
      <c r="A207" s="298">
        <v>45009</v>
      </c>
      <c r="B207" s="313" t="s">
        <v>637</v>
      </c>
      <c r="C207" s="335" t="s">
        <v>278</v>
      </c>
      <c r="D207" s="313" t="s">
        <v>4</v>
      </c>
      <c r="F207" s="334">
        <v>130000</v>
      </c>
      <c r="G207" s="314">
        <f t="shared" si="3"/>
        <v>23305532</v>
      </c>
      <c r="H207" s="313" t="s">
        <v>276</v>
      </c>
      <c r="I207" s="313" t="s">
        <v>309</v>
      </c>
      <c r="J207" s="313" t="s">
        <v>542</v>
      </c>
      <c r="K207" s="313" t="s">
        <v>205</v>
      </c>
      <c r="L207" s="313" t="s">
        <v>318</v>
      </c>
      <c r="M207" s="330"/>
      <c r="N207" s="335"/>
    </row>
    <row r="208" spans="1:15" s="313" customFormat="1" ht="16.5">
      <c r="A208" s="298">
        <v>45010</v>
      </c>
      <c r="B208" s="335" t="s">
        <v>413</v>
      </c>
      <c r="C208" s="335" t="s">
        <v>278</v>
      </c>
      <c r="D208" s="313" t="s">
        <v>2</v>
      </c>
      <c r="E208" s="335"/>
      <c r="F208" s="335">
        <v>20000</v>
      </c>
      <c r="G208" s="314">
        <f t="shared" si="3"/>
        <v>23285532</v>
      </c>
      <c r="H208" s="335" t="s">
        <v>47</v>
      </c>
      <c r="I208" s="313" t="s">
        <v>302</v>
      </c>
      <c r="J208" s="313" t="s">
        <v>542</v>
      </c>
      <c r="K208" s="329" t="s">
        <v>206</v>
      </c>
      <c r="L208" s="313" t="s">
        <v>318</v>
      </c>
      <c r="M208" s="330" t="s">
        <v>597</v>
      </c>
      <c r="N208" s="335" t="s">
        <v>330</v>
      </c>
      <c r="O208" s="335"/>
    </row>
    <row r="209" spans="1:15" s="313" customFormat="1" ht="16.5">
      <c r="A209" s="298">
        <v>45010</v>
      </c>
      <c r="B209" s="335" t="s">
        <v>414</v>
      </c>
      <c r="C209" s="335" t="s">
        <v>34</v>
      </c>
      <c r="D209" s="313" t="s">
        <v>2</v>
      </c>
      <c r="F209" s="440">
        <v>5000</v>
      </c>
      <c r="G209" s="314">
        <f t="shared" si="3"/>
        <v>23280532</v>
      </c>
      <c r="H209" s="313" t="s">
        <v>47</v>
      </c>
      <c r="I209" s="313" t="s">
        <v>302</v>
      </c>
      <c r="J209" s="313" t="s">
        <v>542</v>
      </c>
      <c r="K209" s="313" t="s">
        <v>206</v>
      </c>
      <c r="L209" s="313" t="s">
        <v>318</v>
      </c>
      <c r="M209" s="330" t="s">
        <v>598</v>
      </c>
      <c r="N209" s="313" t="s">
        <v>329</v>
      </c>
    </row>
    <row r="210" spans="1:15" s="313" customFormat="1" ht="16.5">
      <c r="A210" s="298">
        <v>45010</v>
      </c>
      <c r="B210" s="335" t="s">
        <v>422</v>
      </c>
      <c r="C210" s="335" t="s">
        <v>34</v>
      </c>
      <c r="D210" s="314" t="s">
        <v>2</v>
      </c>
      <c r="E210" s="335"/>
      <c r="F210" s="335">
        <v>10000</v>
      </c>
      <c r="G210" s="314">
        <f t="shared" si="3"/>
        <v>23270532</v>
      </c>
      <c r="H210" s="335" t="s">
        <v>150</v>
      </c>
      <c r="I210" s="313" t="s">
        <v>302</v>
      </c>
      <c r="J210" s="313" t="s">
        <v>542</v>
      </c>
      <c r="K210" s="313" t="s">
        <v>206</v>
      </c>
      <c r="L210" s="313" t="s">
        <v>318</v>
      </c>
      <c r="M210" s="330" t="s">
        <v>599</v>
      </c>
      <c r="N210" s="313" t="s">
        <v>329</v>
      </c>
      <c r="O210" s="335"/>
    </row>
    <row r="211" spans="1:15" s="335" customFormat="1" ht="16.5">
      <c r="A211" s="298">
        <v>45010</v>
      </c>
      <c r="B211" s="313" t="s">
        <v>423</v>
      </c>
      <c r="C211" s="335" t="s">
        <v>278</v>
      </c>
      <c r="D211" s="335" t="s">
        <v>2</v>
      </c>
      <c r="E211" s="313"/>
      <c r="F211" s="313">
        <v>50000</v>
      </c>
      <c r="G211" s="314">
        <f t="shared" si="3"/>
        <v>23220532</v>
      </c>
      <c r="H211" s="313" t="s">
        <v>150</v>
      </c>
      <c r="I211" s="313" t="s">
        <v>309</v>
      </c>
      <c r="J211" s="313" t="s">
        <v>542</v>
      </c>
      <c r="K211" s="329" t="s">
        <v>206</v>
      </c>
      <c r="L211" s="313" t="s">
        <v>318</v>
      </c>
      <c r="M211" s="330" t="s">
        <v>600</v>
      </c>
      <c r="N211" s="335" t="s">
        <v>330</v>
      </c>
      <c r="O211" s="313"/>
    </row>
    <row r="212" spans="1:15" s="335" customFormat="1" ht="16.5">
      <c r="A212" s="331">
        <v>45010</v>
      </c>
      <c r="B212" s="335" t="s">
        <v>457</v>
      </c>
      <c r="C212" s="313" t="s">
        <v>34</v>
      </c>
      <c r="D212" s="313" t="s">
        <v>4</v>
      </c>
      <c r="F212" s="335">
        <v>10000</v>
      </c>
      <c r="G212" s="314">
        <f t="shared" si="3"/>
        <v>23210532</v>
      </c>
      <c r="H212" s="335" t="s">
        <v>277</v>
      </c>
      <c r="I212" s="313" t="s">
        <v>302</v>
      </c>
      <c r="J212" s="313" t="s">
        <v>542</v>
      </c>
      <c r="K212" s="313" t="s">
        <v>205</v>
      </c>
      <c r="L212" s="313" t="s">
        <v>318</v>
      </c>
      <c r="M212" s="330"/>
      <c r="N212" s="313"/>
    </row>
    <row r="213" spans="1:15" s="335" customFormat="1" ht="16.5">
      <c r="A213" s="298">
        <v>45010</v>
      </c>
      <c r="B213" s="313" t="s">
        <v>479</v>
      </c>
      <c r="C213" s="335" t="s">
        <v>278</v>
      </c>
      <c r="D213" s="313" t="s">
        <v>4</v>
      </c>
      <c r="E213" s="313"/>
      <c r="F213" s="334">
        <v>120000</v>
      </c>
      <c r="G213" s="314">
        <f t="shared" si="3"/>
        <v>23090532</v>
      </c>
      <c r="H213" s="313" t="s">
        <v>277</v>
      </c>
      <c r="I213" s="313" t="s">
        <v>309</v>
      </c>
      <c r="J213" s="313" t="s">
        <v>542</v>
      </c>
      <c r="K213" s="313" t="s">
        <v>205</v>
      </c>
      <c r="L213" s="313" t="s">
        <v>318</v>
      </c>
      <c r="M213" s="330"/>
      <c r="O213" s="313"/>
    </row>
    <row r="214" spans="1:15" s="335" customFormat="1" ht="16.5" hidden="1">
      <c r="A214" s="331">
        <v>45012</v>
      </c>
      <c r="B214" s="335" t="s">
        <v>277</v>
      </c>
      <c r="C214" s="335" t="s">
        <v>75</v>
      </c>
      <c r="F214" s="441">
        <v>95000</v>
      </c>
      <c r="G214" s="314">
        <f t="shared" si="3"/>
        <v>22995532</v>
      </c>
      <c r="H214" s="335" t="s">
        <v>25</v>
      </c>
      <c r="I214" s="313"/>
      <c r="K214" s="313"/>
      <c r="L214" s="313"/>
      <c r="M214" s="330"/>
      <c r="N214" s="313"/>
    </row>
    <row r="215" spans="1:15" s="335" customFormat="1" ht="16.5" hidden="1">
      <c r="A215" s="332">
        <v>45012</v>
      </c>
      <c r="B215" s="333" t="s">
        <v>276</v>
      </c>
      <c r="C215" s="335" t="s">
        <v>75</v>
      </c>
      <c r="D215" s="313"/>
      <c r="E215" s="334"/>
      <c r="F215" s="408">
        <v>43000</v>
      </c>
      <c r="G215" s="314">
        <f t="shared" si="3"/>
        <v>22952532</v>
      </c>
      <c r="H215" s="442" t="s">
        <v>25</v>
      </c>
      <c r="I215" s="313"/>
      <c r="K215" s="313"/>
      <c r="L215" s="313"/>
      <c r="M215" s="330"/>
      <c r="N215" s="313"/>
      <c r="O215" s="313"/>
    </row>
    <row r="216" spans="1:15" s="335" customFormat="1" ht="16.5">
      <c r="A216" s="331">
        <v>45012</v>
      </c>
      <c r="B216" s="335" t="s">
        <v>357</v>
      </c>
      <c r="C216" s="335" t="s">
        <v>220</v>
      </c>
      <c r="D216" s="313" t="s">
        <v>291</v>
      </c>
      <c r="F216" s="441">
        <v>4140</v>
      </c>
      <c r="G216" s="314">
        <f t="shared" si="3"/>
        <v>22948392</v>
      </c>
      <c r="H216" s="335" t="s">
        <v>25</v>
      </c>
      <c r="I216" s="313" t="s">
        <v>302</v>
      </c>
      <c r="J216" s="313" t="s">
        <v>542</v>
      </c>
      <c r="K216" s="313" t="s">
        <v>205</v>
      </c>
      <c r="L216" s="313" t="s">
        <v>318</v>
      </c>
      <c r="M216" s="330"/>
      <c r="N216" s="313"/>
    </row>
    <row r="217" spans="1:15" s="335" customFormat="1" ht="16.5">
      <c r="A217" s="331">
        <v>45012</v>
      </c>
      <c r="B217" s="335" t="s">
        <v>510</v>
      </c>
      <c r="C217" s="335" t="s">
        <v>3</v>
      </c>
      <c r="D217" s="314" t="s">
        <v>291</v>
      </c>
      <c r="F217" s="440">
        <v>75625</v>
      </c>
      <c r="G217" s="314">
        <f t="shared" si="3"/>
        <v>22872767</v>
      </c>
      <c r="H217" s="313" t="s">
        <v>25</v>
      </c>
      <c r="I217" s="313" t="s">
        <v>302</v>
      </c>
      <c r="J217" s="313" t="s">
        <v>542</v>
      </c>
      <c r="K217" s="313" t="s">
        <v>205</v>
      </c>
      <c r="L217" s="313" t="s">
        <v>318</v>
      </c>
      <c r="M217" s="330"/>
      <c r="N217" s="313"/>
    </row>
    <row r="218" spans="1:15" s="335" customFormat="1" ht="16.5">
      <c r="A218" s="298">
        <v>45012</v>
      </c>
      <c r="B218" s="313" t="s">
        <v>358</v>
      </c>
      <c r="C218" s="335" t="s">
        <v>237</v>
      </c>
      <c r="D218" s="313" t="s">
        <v>162</v>
      </c>
      <c r="E218" s="314"/>
      <c r="F218" s="439">
        <v>41000</v>
      </c>
      <c r="G218" s="314">
        <f t="shared" si="3"/>
        <v>22831767</v>
      </c>
      <c r="H218" s="313" t="s">
        <v>25</v>
      </c>
      <c r="I218" s="313" t="s">
        <v>309</v>
      </c>
      <c r="J218" s="313" t="s">
        <v>542</v>
      </c>
      <c r="K218" s="313" t="s">
        <v>205</v>
      </c>
      <c r="L218" s="313" t="s">
        <v>318</v>
      </c>
      <c r="M218" s="330"/>
      <c r="N218" s="313"/>
      <c r="O218" s="313"/>
    </row>
    <row r="219" spans="1:15" s="335" customFormat="1" ht="16.5" hidden="1">
      <c r="A219" s="298">
        <v>45012</v>
      </c>
      <c r="B219" s="333" t="s">
        <v>29</v>
      </c>
      <c r="C219" s="335" t="s">
        <v>75</v>
      </c>
      <c r="D219" s="333"/>
      <c r="E219" s="334"/>
      <c r="F219" s="408">
        <v>123000</v>
      </c>
      <c r="G219" s="314">
        <f t="shared" si="3"/>
        <v>22708767</v>
      </c>
      <c r="H219" s="442" t="s">
        <v>25</v>
      </c>
      <c r="I219" s="313"/>
      <c r="K219" s="313"/>
      <c r="L219" s="313"/>
      <c r="M219" s="330"/>
      <c r="N219" s="313"/>
      <c r="O219" s="313"/>
    </row>
    <row r="220" spans="1:15" s="335" customFormat="1" ht="16.5">
      <c r="A220" s="298">
        <v>45012</v>
      </c>
      <c r="B220" s="313" t="s">
        <v>385</v>
      </c>
      <c r="C220" s="335" t="s">
        <v>177</v>
      </c>
      <c r="D220" s="313" t="s">
        <v>161</v>
      </c>
      <c r="E220" s="441"/>
      <c r="F220" s="441">
        <v>359500</v>
      </c>
      <c r="G220" s="314">
        <f t="shared" si="3"/>
        <v>22349267</v>
      </c>
      <c r="H220" s="313" t="s">
        <v>155</v>
      </c>
      <c r="I220" s="389">
        <v>3667314</v>
      </c>
      <c r="J220" s="335" t="s">
        <v>102</v>
      </c>
      <c r="K220" s="313" t="s">
        <v>206</v>
      </c>
      <c r="L220" s="335" t="s">
        <v>318</v>
      </c>
      <c r="M220" s="330" t="s">
        <v>601</v>
      </c>
      <c r="N220" s="335" t="s">
        <v>323</v>
      </c>
    </row>
    <row r="221" spans="1:15" s="335" customFormat="1" ht="16.5">
      <c r="A221" s="332">
        <v>45012</v>
      </c>
      <c r="B221" s="313" t="s">
        <v>386</v>
      </c>
      <c r="C221" s="313" t="s">
        <v>177</v>
      </c>
      <c r="D221" s="313" t="s">
        <v>161</v>
      </c>
      <c r="E221" s="441"/>
      <c r="F221" s="440">
        <v>200000</v>
      </c>
      <c r="G221" s="314">
        <f t="shared" si="3"/>
        <v>22149267</v>
      </c>
      <c r="H221" s="313" t="s">
        <v>155</v>
      </c>
      <c r="I221" s="389">
        <v>3667315</v>
      </c>
      <c r="J221" s="335" t="s">
        <v>102</v>
      </c>
      <c r="K221" s="313" t="s">
        <v>206</v>
      </c>
      <c r="L221" s="335" t="s">
        <v>318</v>
      </c>
      <c r="M221" s="330" t="s">
        <v>602</v>
      </c>
      <c r="N221" s="335" t="s">
        <v>323</v>
      </c>
      <c r="O221" s="313"/>
    </row>
    <row r="222" spans="1:15" s="335" customFormat="1" ht="16.5">
      <c r="A222" s="332">
        <v>45012</v>
      </c>
      <c r="B222" s="406" t="s">
        <v>387</v>
      </c>
      <c r="C222" s="403" t="s">
        <v>177</v>
      </c>
      <c r="D222" s="447" t="s">
        <v>2</v>
      </c>
      <c r="E222" s="448"/>
      <c r="F222" s="441">
        <v>300000</v>
      </c>
      <c r="G222" s="314">
        <f t="shared" si="3"/>
        <v>21849267</v>
      </c>
      <c r="H222" s="313" t="s">
        <v>155</v>
      </c>
      <c r="I222" s="389">
        <v>3667316</v>
      </c>
      <c r="J222" s="335" t="s">
        <v>102</v>
      </c>
      <c r="K222" s="313" t="s">
        <v>206</v>
      </c>
      <c r="L222" s="335" t="s">
        <v>318</v>
      </c>
      <c r="M222" s="330" t="s">
        <v>603</v>
      </c>
      <c r="N222" s="335" t="s">
        <v>325</v>
      </c>
      <c r="O222" s="313"/>
    </row>
    <row r="223" spans="1:15" s="335" customFormat="1" ht="16.5">
      <c r="A223" s="332">
        <v>45012</v>
      </c>
      <c r="B223" s="406" t="s">
        <v>388</v>
      </c>
      <c r="C223" s="403" t="s">
        <v>177</v>
      </c>
      <c r="D223" s="313" t="s">
        <v>161</v>
      </c>
      <c r="E223" s="448"/>
      <c r="F223" s="441">
        <v>200000</v>
      </c>
      <c r="G223" s="314">
        <f t="shared" si="3"/>
        <v>21649267</v>
      </c>
      <c r="H223" s="313" t="s">
        <v>155</v>
      </c>
      <c r="I223" s="389">
        <v>3667317</v>
      </c>
      <c r="J223" s="335" t="s">
        <v>102</v>
      </c>
      <c r="K223" s="313" t="s">
        <v>206</v>
      </c>
      <c r="L223" s="335" t="s">
        <v>318</v>
      </c>
      <c r="M223" s="330" t="s">
        <v>604</v>
      </c>
      <c r="N223" s="335" t="s">
        <v>323</v>
      </c>
      <c r="O223" s="313"/>
    </row>
    <row r="224" spans="1:15" s="335" customFormat="1" ht="16.5">
      <c r="A224" s="332">
        <v>45012</v>
      </c>
      <c r="B224" s="406" t="s">
        <v>389</v>
      </c>
      <c r="C224" s="313" t="s">
        <v>177</v>
      </c>
      <c r="D224" s="445" t="s">
        <v>2</v>
      </c>
      <c r="E224" s="448"/>
      <c r="F224" s="441">
        <v>350000</v>
      </c>
      <c r="G224" s="314">
        <f t="shared" si="3"/>
        <v>21299267</v>
      </c>
      <c r="H224" s="313" t="s">
        <v>155</v>
      </c>
      <c r="I224" s="389">
        <v>3667318</v>
      </c>
      <c r="J224" s="335" t="s">
        <v>102</v>
      </c>
      <c r="K224" s="313" t="s">
        <v>206</v>
      </c>
      <c r="L224" s="335" t="s">
        <v>318</v>
      </c>
      <c r="M224" s="330" t="s">
        <v>605</v>
      </c>
      <c r="N224" s="335" t="s">
        <v>325</v>
      </c>
      <c r="O224" s="313"/>
    </row>
    <row r="225" spans="1:15" s="335" customFormat="1" ht="16.5">
      <c r="A225" s="298">
        <v>45012</v>
      </c>
      <c r="B225" s="335" t="s">
        <v>390</v>
      </c>
      <c r="C225" s="313" t="s">
        <v>177</v>
      </c>
      <c r="D225" s="389" t="s">
        <v>162</v>
      </c>
      <c r="E225" s="440"/>
      <c r="F225" s="441">
        <v>235600</v>
      </c>
      <c r="G225" s="314">
        <f t="shared" si="3"/>
        <v>21063667</v>
      </c>
      <c r="H225" s="313" t="s">
        <v>155</v>
      </c>
      <c r="I225" s="389">
        <v>3667319</v>
      </c>
      <c r="J225" s="335" t="s">
        <v>102</v>
      </c>
      <c r="K225" s="313" t="s">
        <v>206</v>
      </c>
      <c r="L225" s="335" t="s">
        <v>318</v>
      </c>
      <c r="M225" s="330" t="s">
        <v>606</v>
      </c>
      <c r="N225" s="335" t="s">
        <v>324</v>
      </c>
    </row>
    <row r="226" spans="1:15" s="335" customFormat="1" ht="16.5">
      <c r="A226" s="298">
        <v>45012</v>
      </c>
      <c r="B226" s="60" t="s">
        <v>391</v>
      </c>
      <c r="C226" s="313" t="s">
        <v>177</v>
      </c>
      <c r="D226" s="313" t="s">
        <v>4</v>
      </c>
      <c r="E226" s="440"/>
      <c r="F226" s="440">
        <v>325000</v>
      </c>
      <c r="G226" s="314">
        <f t="shared" si="3"/>
        <v>20738667</v>
      </c>
      <c r="H226" s="313" t="s">
        <v>155</v>
      </c>
      <c r="I226" s="389">
        <v>3667323</v>
      </c>
      <c r="J226" s="335" t="s">
        <v>102</v>
      </c>
      <c r="K226" s="313" t="s">
        <v>206</v>
      </c>
      <c r="L226" s="335" t="s">
        <v>318</v>
      </c>
      <c r="M226" s="330" t="s">
        <v>607</v>
      </c>
      <c r="N226" s="335" t="s">
        <v>508</v>
      </c>
      <c r="O226" s="313"/>
    </row>
    <row r="227" spans="1:15" s="313" customFormat="1" ht="16.5" hidden="1">
      <c r="A227" s="298">
        <v>45012</v>
      </c>
      <c r="B227" s="313" t="s">
        <v>415</v>
      </c>
      <c r="C227" s="314" t="s">
        <v>75</v>
      </c>
      <c r="E227" s="314">
        <v>25000</v>
      </c>
      <c r="F227" s="314"/>
      <c r="G227" s="314">
        <f t="shared" si="3"/>
        <v>20763667</v>
      </c>
      <c r="H227" s="313" t="s">
        <v>47</v>
      </c>
    </row>
    <row r="228" spans="1:15" s="313" customFormat="1" ht="16.5">
      <c r="A228" s="298">
        <v>45012</v>
      </c>
      <c r="B228" s="335" t="s">
        <v>416</v>
      </c>
      <c r="C228" s="335" t="s">
        <v>441</v>
      </c>
      <c r="D228" s="313" t="s">
        <v>161</v>
      </c>
      <c r="E228" s="335"/>
      <c r="F228" s="335">
        <v>10275</v>
      </c>
      <c r="G228" s="314">
        <f t="shared" si="3"/>
        <v>20753392</v>
      </c>
      <c r="H228" s="335" t="s">
        <v>47</v>
      </c>
      <c r="I228" s="313" t="s">
        <v>302</v>
      </c>
      <c r="J228" s="313" t="s">
        <v>542</v>
      </c>
      <c r="K228" s="313" t="s">
        <v>205</v>
      </c>
      <c r="L228" s="313" t="s">
        <v>318</v>
      </c>
      <c r="M228" s="330"/>
      <c r="N228" s="335"/>
      <c r="O228" s="335"/>
    </row>
    <row r="229" spans="1:15" s="313" customFormat="1" ht="16.5">
      <c r="A229" s="298">
        <v>45012</v>
      </c>
      <c r="B229" s="313" t="s">
        <v>306</v>
      </c>
      <c r="C229" s="313" t="s">
        <v>34</v>
      </c>
      <c r="D229" s="313" t="s">
        <v>2</v>
      </c>
      <c r="F229" s="408">
        <v>10000</v>
      </c>
      <c r="G229" s="314">
        <f t="shared" si="3"/>
        <v>20743392</v>
      </c>
      <c r="H229" s="313" t="s">
        <v>47</v>
      </c>
      <c r="I229" s="313" t="s">
        <v>302</v>
      </c>
      <c r="J229" s="313" t="s">
        <v>102</v>
      </c>
      <c r="K229" s="313" t="s">
        <v>206</v>
      </c>
      <c r="L229" s="313" t="s">
        <v>318</v>
      </c>
      <c r="M229" s="330" t="s">
        <v>608</v>
      </c>
      <c r="N229" s="313" t="s">
        <v>329</v>
      </c>
    </row>
    <row r="230" spans="1:15" s="313" customFormat="1" ht="16.5">
      <c r="A230" s="298">
        <v>45012</v>
      </c>
      <c r="B230" s="313" t="s">
        <v>418</v>
      </c>
      <c r="C230" s="313" t="s">
        <v>34</v>
      </c>
      <c r="D230" s="313" t="s">
        <v>2</v>
      </c>
      <c r="E230" s="314"/>
      <c r="F230" s="439">
        <v>95100</v>
      </c>
      <c r="G230" s="314">
        <f t="shared" si="3"/>
        <v>20648292</v>
      </c>
      <c r="H230" s="313" t="s">
        <v>47</v>
      </c>
      <c r="I230" s="313" t="s">
        <v>309</v>
      </c>
      <c r="J230" s="313" t="s">
        <v>102</v>
      </c>
      <c r="K230" s="313" t="s">
        <v>206</v>
      </c>
      <c r="L230" s="313" t="s">
        <v>318</v>
      </c>
      <c r="M230" s="330" t="s">
        <v>609</v>
      </c>
      <c r="N230" s="313" t="s">
        <v>329</v>
      </c>
    </row>
    <row r="231" spans="1:15" s="313" customFormat="1" ht="16.5" hidden="1">
      <c r="A231" s="298">
        <v>45012</v>
      </c>
      <c r="B231" s="335" t="s">
        <v>424</v>
      </c>
      <c r="C231" s="335" t="s">
        <v>75</v>
      </c>
      <c r="D231" s="335"/>
      <c r="E231" s="335"/>
      <c r="F231" s="335">
        <v>25000</v>
      </c>
      <c r="G231" s="314">
        <f t="shared" si="3"/>
        <v>20623292</v>
      </c>
      <c r="H231" s="335" t="s">
        <v>150</v>
      </c>
      <c r="K231" s="335"/>
      <c r="L231" s="335"/>
      <c r="M231" s="330"/>
      <c r="O231" s="335"/>
    </row>
    <row r="232" spans="1:15" s="313" customFormat="1" ht="16.5">
      <c r="A232" s="298">
        <v>45012</v>
      </c>
      <c r="B232" s="335" t="s">
        <v>502</v>
      </c>
      <c r="C232" s="335" t="s">
        <v>441</v>
      </c>
      <c r="D232" s="313" t="s">
        <v>161</v>
      </c>
      <c r="F232" s="313">
        <v>5650</v>
      </c>
      <c r="G232" s="314">
        <f t="shared" si="3"/>
        <v>20617642</v>
      </c>
      <c r="H232" s="313" t="s">
        <v>150</v>
      </c>
      <c r="I232" s="313" t="s">
        <v>302</v>
      </c>
      <c r="J232" s="313" t="s">
        <v>542</v>
      </c>
      <c r="K232" s="313" t="s">
        <v>205</v>
      </c>
      <c r="L232" s="313" t="s">
        <v>318</v>
      </c>
      <c r="M232" s="330"/>
    </row>
    <row r="233" spans="1:15" s="313" customFormat="1" ht="16.5" hidden="1">
      <c r="A233" s="298">
        <v>45012</v>
      </c>
      <c r="B233" s="335" t="s">
        <v>317</v>
      </c>
      <c r="C233" s="335" t="s">
        <v>75</v>
      </c>
      <c r="D233" s="406"/>
      <c r="E233" s="335">
        <v>95000</v>
      </c>
      <c r="F233" s="403"/>
      <c r="G233" s="314">
        <f t="shared" si="3"/>
        <v>20712642</v>
      </c>
      <c r="H233" s="335" t="s">
        <v>277</v>
      </c>
      <c r="J233" s="335"/>
      <c r="K233" s="335"/>
      <c r="L233" s="335"/>
      <c r="M233" s="330"/>
      <c r="O233" s="335"/>
    </row>
    <row r="234" spans="1:15" s="313" customFormat="1" ht="16.5" hidden="1">
      <c r="A234" s="298">
        <v>45012</v>
      </c>
      <c r="B234" s="313" t="s">
        <v>469</v>
      </c>
      <c r="C234" s="313" t="s">
        <v>311</v>
      </c>
      <c r="E234" s="314">
        <v>43000</v>
      </c>
      <c r="F234" s="314"/>
      <c r="G234" s="314">
        <f t="shared" si="3"/>
        <v>20755642</v>
      </c>
      <c r="H234" s="313" t="s">
        <v>276</v>
      </c>
      <c r="M234" s="330"/>
    </row>
    <row r="235" spans="1:15" s="313" customFormat="1" ht="16.5" hidden="1">
      <c r="A235" s="331">
        <v>45012</v>
      </c>
      <c r="B235" s="313" t="s">
        <v>469</v>
      </c>
      <c r="C235" s="389" t="s">
        <v>311</v>
      </c>
      <c r="E235" s="314">
        <v>100000</v>
      </c>
      <c r="F235" s="314"/>
      <c r="G235" s="314">
        <f t="shared" si="3"/>
        <v>20855642</v>
      </c>
      <c r="H235" s="313" t="s">
        <v>276</v>
      </c>
      <c r="M235" s="330"/>
    </row>
    <row r="236" spans="1:15" s="313" customFormat="1" ht="16.5" hidden="1">
      <c r="A236" s="331">
        <v>45012</v>
      </c>
      <c r="B236" s="335" t="s">
        <v>308</v>
      </c>
      <c r="C236" s="335" t="s">
        <v>75</v>
      </c>
      <c r="E236" s="335">
        <v>123000</v>
      </c>
      <c r="F236" s="403"/>
      <c r="G236" s="314">
        <f t="shared" si="3"/>
        <v>20978642</v>
      </c>
      <c r="H236" s="335" t="s">
        <v>29</v>
      </c>
      <c r="M236" s="330"/>
      <c r="O236" s="335"/>
    </row>
    <row r="237" spans="1:15" s="313" customFormat="1" ht="16.5">
      <c r="A237" s="298">
        <v>45013</v>
      </c>
      <c r="B237" s="313" t="s">
        <v>493</v>
      </c>
      <c r="C237" s="313" t="s">
        <v>34</v>
      </c>
      <c r="D237" s="313" t="s">
        <v>4</v>
      </c>
      <c r="F237" s="334">
        <v>15000</v>
      </c>
      <c r="G237" s="314">
        <f t="shared" si="3"/>
        <v>20963642</v>
      </c>
      <c r="H237" s="313" t="s">
        <v>29</v>
      </c>
      <c r="I237" s="313" t="s">
        <v>302</v>
      </c>
      <c r="J237" s="313" t="s">
        <v>542</v>
      </c>
      <c r="K237" s="313" t="s">
        <v>206</v>
      </c>
      <c r="L237" s="313" t="s">
        <v>318</v>
      </c>
      <c r="M237" s="330" t="s">
        <v>610</v>
      </c>
      <c r="N237" s="313" t="s">
        <v>329</v>
      </c>
    </row>
    <row r="238" spans="1:15" s="313" customFormat="1" ht="16.5">
      <c r="A238" s="298">
        <v>45013</v>
      </c>
      <c r="B238" s="313" t="s">
        <v>417</v>
      </c>
      <c r="C238" s="335" t="s">
        <v>278</v>
      </c>
      <c r="D238" s="313" t="s">
        <v>2</v>
      </c>
      <c r="E238" s="314"/>
      <c r="F238" s="439">
        <v>45000</v>
      </c>
      <c r="G238" s="314">
        <f t="shared" si="3"/>
        <v>20918642</v>
      </c>
      <c r="H238" s="313" t="s">
        <v>47</v>
      </c>
      <c r="I238" s="313" t="s">
        <v>302</v>
      </c>
      <c r="J238" s="313" t="s">
        <v>542</v>
      </c>
      <c r="K238" s="329" t="s">
        <v>205</v>
      </c>
      <c r="L238" s="313" t="s">
        <v>318</v>
      </c>
      <c r="M238" s="330"/>
      <c r="N238" s="335"/>
    </row>
    <row r="239" spans="1:15" s="313" customFormat="1" ht="16.5">
      <c r="A239" s="298">
        <v>45013</v>
      </c>
      <c r="B239" s="313" t="s">
        <v>584</v>
      </c>
      <c r="C239" s="335" t="s">
        <v>275</v>
      </c>
      <c r="D239" s="313" t="s">
        <v>291</v>
      </c>
      <c r="E239" s="314"/>
      <c r="F239" s="439">
        <v>45050</v>
      </c>
      <c r="G239" s="314">
        <f t="shared" si="3"/>
        <v>20873592</v>
      </c>
      <c r="H239" s="313" t="s">
        <v>25</v>
      </c>
      <c r="I239" s="313" t="s">
        <v>302</v>
      </c>
      <c r="J239" s="335" t="s">
        <v>102</v>
      </c>
      <c r="K239" s="313" t="s">
        <v>206</v>
      </c>
      <c r="L239" s="313" t="s">
        <v>318</v>
      </c>
      <c r="M239" s="330" t="s">
        <v>611</v>
      </c>
      <c r="N239" s="313" t="s">
        <v>320</v>
      </c>
    </row>
    <row r="240" spans="1:15" s="313" customFormat="1" ht="16.5" hidden="1">
      <c r="A240" s="298">
        <v>45013</v>
      </c>
      <c r="B240" s="313" t="s">
        <v>31</v>
      </c>
      <c r="C240" s="335" t="s">
        <v>75</v>
      </c>
      <c r="D240" s="314"/>
      <c r="F240" s="440">
        <v>20000</v>
      </c>
      <c r="G240" s="314">
        <f t="shared" si="3"/>
        <v>20853592</v>
      </c>
      <c r="H240" s="313" t="s">
        <v>25</v>
      </c>
      <c r="M240" s="330"/>
      <c r="N240" s="335"/>
    </row>
    <row r="241" spans="1:15" s="313" customFormat="1" ht="16.5" hidden="1">
      <c r="A241" s="298">
        <v>45013</v>
      </c>
      <c r="B241" s="313" t="s">
        <v>31</v>
      </c>
      <c r="C241" s="335" t="s">
        <v>75</v>
      </c>
      <c r="D241" s="314"/>
      <c r="F241" s="314">
        <v>50000</v>
      </c>
      <c r="G241" s="314">
        <f t="shared" si="3"/>
        <v>20803592</v>
      </c>
      <c r="H241" s="314" t="s">
        <v>25</v>
      </c>
      <c r="J241" s="335"/>
      <c r="K241" s="335"/>
      <c r="L241" s="335"/>
      <c r="M241" s="330"/>
      <c r="N241" s="335"/>
    </row>
    <row r="242" spans="1:15" s="313" customFormat="1" ht="16.5" hidden="1">
      <c r="A242" s="298">
        <v>45013</v>
      </c>
      <c r="B242" s="373" t="s">
        <v>295</v>
      </c>
      <c r="C242" s="313" t="s">
        <v>75</v>
      </c>
      <c r="F242" s="403">
        <v>10000</v>
      </c>
      <c r="G242" s="314">
        <f t="shared" si="3"/>
        <v>20793592</v>
      </c>
      <c r="H242" s="313" t="s">
        <v>25</v>
      </c>
      <c r="J242" s="335"/>
      <c r="K242" s="335"/>
      <c r="L242" s="335"/>
      <c r="M242" s="330"/>
      <c r="N242" s="335"/>
    </row>
    <row r="243" spans="1:15" s="313" customFormat="1" ht="16.5">
      <c r="A243" s="337">
        <v>45013</v>
      </c>
      <c r="B243" s="313" t="s">
        <v>499</v>
      </c>
      <c r="C243" s="335" t="s">
        <v>278</v>
      </c>
      <c r="D243" s="313" t="s">
        <v>359</v>
      </c>
      <c r="F243" s="313">
        <v>10000</v>
      </c>
      <c r="G243" s="314">
        <f t="shared" si="3"/>
        <v>20783592</v>
      </c>
      <c r="H243" s="329" t="s">
        <v>25</v>
      </c>
      <c r="I243" s="313" t="s">
        <v>302</v>
      </c>
      <c r="J243" s="313" t="s">
        <v>542</v>
      </c>
      <c r="K243" s="313" t="s">
        <v>205</v>
      </c>
      <c r="L243" s="313" t="s">
        <v>318</v>
      </c>
      <c r="M243" s="330"/>
      <c r="N243" s="335"/>
    </row>
    <row r="244" spans="1:15" s="313" customFormat="1" ht="16.5" hidden="1">
      <c r="A244" s="298">
        <v>45013</v>
      </c>
      <c r="B244" s="313" t="s">
        <v>150</v>
      </c>
      <c r="C244" s="335" t="s">
        <v>75</v>
      </c>
      <c r="E244" s="314"/>
      <c r="F244" s="314">
        <v>106000</v>
      </c>
      <c r="G244" s="314">
        <f t="shared" si="3"/>
        <v>20677592</v>
      </c>
      <c r="H244" s="313" t="s">
        <v>25</v>
      </c>
      <c r="J244" s="335"/>
      <c r="K244" s="335"/>
      <c r="L244" s="335"/>
      <c r="M244" s="330"/>
      <c r="N244" s="314"/>
    </row>
    <row r="245" spans="1:15" s="313" customFormat="1" ht="16.5" hidden="1">
      <c r="A245" s="298">
        <v>45013</v>
      </c>
      <c r="B245" s="333" t="s">
        <v>276</v>
      </c>
      <c r="C245" s="335" t="s">
        <v>75</v>
      </c>
      <c r="E245" s="334"/>
      <c r="F245" s="334">
        <v>100000</v>
      </c>
      <c r="G245" s="314">
        <f t="shared" si="3"/>
        <v>20577592</v>
      </c>
      <c r="H245" s="442" t="s">
        <v>25</v>
      </c>
      <c r="K245" s="335"/>
      <c r="L245" s="335"/>
      <c r="M245" s="330"/>
    </row>
    <row r="246" spans="1:15" s="313" customFormat="1" ht="16.5">
      <c r="A246" s="337">
        <v>45013</v>
      </c>
      <c r="B246" s="313" t="s">
        <v>360</v>
      </c>
      <c r="C246" s="335" t="s">
        <v>220</v>
      </c>
      <c r="D246" s="313" t="s">
        <v>291</v>
      </c>
      <c r="E246" s="314"/>
      <c r="F246" s="314">
        <v>3180</v>
      </c>
      <c r="G246" s="314">
        <f t="shared" si="3"/>
        <v>20574412</v>
      </c>
      <c r="H246" s="313" t="s">
        <v>25</v>
      </c>
      <c r="I246" s="313" t="s">
        <v>302</v>
      </c>
      <c r="J246" s="313" t="s">
        <v>102</v>
      </c>
      <c r="K246" s="313" t="s">
        <v>206</v>
      </c>
      <c r="L246" s="313" t="s">
        <v>318</v>
      </c>
      <c r="M246" s="330" t="s">
        <v>612</v>
      </c>
      <c r="N246" s="313" t="s">
        <v>319</v>
      </c>
    </row>
    <row r="247" spans="1:15" s="313" customFormat="1" ht="16.5">
      <c r="A247" s="298">
        <v>45013</v>
      </c>
      <c r="B247" s="373" t="s">
        <v>297</v>
      </c>
      <c r="C247" s="335" t="s">
        <v>220</v>
      </c>
      <c r="D247" s="406" t="s">
        <v>291</v>
      </c>
      <c r="F247" s="314">
        <v>3000</v>
      </c>
      <c r="G247" s="314">
        <f t="shared" si="3"/>
        <v>20571412</v>
      </c>
      <c r="H247" s="313" t="s">
        <v>25</v>
      </c>
      <c r="I247" s="313" t="s">
        <v>302</v>
      </c>
      <c r="J247" s="313" t="s">
        <v>102</v>
      </c>
      <c r="K247" s="313" t="s">
        <v>206</v>
      </c>
      <c r="L247" s="313" t="s">
        <v>318</v>
      </c>
      <c r="M247" s="330" t="s">
        <v>613</v>
      </c>
      <c r="N247" s="313" t="s">
        <v>319</v>
      </c>
    </row>
    <row r="248" spans="1:15" s="313" customFormat="1" ht="16.5">
      <c r="A248" s="298">
        <v>45013</v>
      </c>
      <c r="B248" s="313" t="s">
        <v>361</v>
      </c>
      <c r="C248" s="313" t="s">
        <v>178</v>
      </c>
      <c r="D248" s="313" t="s">
        <v>2</v>
      </c>
      <c r="E248" s="314"/>
      <c r="F248" s="314">
        <v>22000</v>
      </c>
      <c r="G248" s="314">
        <f t="shared" si="3"/>
        <v>20549412</v>
      </c>
      <c r="H248" s="313" t="s">
        <v>25</v>
      </c>
      <c r="I248" s="313" t="s">
        <v>302</v>
      </c>
      <c r="J248" s="335" t="s">
        <v>102</v>
      </c>
      <c r="K248" s="335" t="s">
        <v>206</v>
      </c>
      <c r="L248" s="335" t="s">
        <v>318</v>
      </c>
      <c r="M248" s="330" t="s">
        <v>614</v>
      </c>
      <c r="N248" s="335" t="s">
        <v>328</v>
      </c>
    </row>
    <row r="249" spans="1:15" s="313" customFormat="1" ht="16.5">
      <c r="A249" s="298">
        <v>45013</v>
      </c>
      <c r="B249" s="313" t="s">
        <v>362</v>
      </c>
      <c r="C249" s="313" t="s">
        <v>178</v>
      </c>
      <c r="D249" s="313" t="s">
        <v>161</v>
      </c>
      <c r="E249" s="314"/>
      <c r="F249" s="314">
        <v>53000</v>
      </c>
      <c r="G249" s="314">
        <f t="shared" si="3"/>
        <v>20496412</v>
      </c>
      <c r="H249" s="313" t="s">
        <v>25</v>
      </c>
      <c r="I249" s="313" t="s">
        <v>302</v>
      </c>
      <c r="J249" s="335" t="s">
        <v>102</v>
      </c>
      <c r="K249" s="335" t="s">
        <v>206</v>
      </c>
      <c r="L249" s="335" t="s">
        <v>318</v>
      </c>
      <c r="M249" s="330" t="s">
        <v>615</v>
      </c>
      <c r="N249" s="335" t="s">
        <v>328</v>
      </c>
    </row>
    <row r="250" spans="1:15" s="313" customFormat="1" ht="16.5">
      <c r="A250" s="331">
        <v>45013</v>
      </c>
      <c r="B250" s="313" t="s">
        <v>363</v>
      </c>
      <c r="C250" s="313" t="s">
        <v>178</v>
      </c>
      <c r="D250" s="313" t="s">
        <v>4</v>
      </c>
      <c r="F250" s="314">
        <v>10000</v>
      </c>
      <c r="G250" s="314">
        <f t="shared" si="3"/>
        <v>20486412</v>
      </c>
      <c r="H250" s="313" t="s">
        <v>25</v>
      </c>
      <c r="I250" s="313" t="s">
        <v>302</v>
      </c>
      <c r="J250" s="335" t="s">
        <v>102</v>
      </c>
      <c r="K250" s="335" t="s">
        <v>206</v>
      </c>
      <c r="L250" s="335" t="s">
        <v>318</v>
      </c>
      <c r="M250" s="330" t="s">
        <v>616</v>
      </c>
      <c r="N250" s="335" t="s">
        <v>328</v>
      </c>
    </row>
    <row r="251" spans="1:15" s="313" customFormat="1" ht="16.5">
      <c r="A251" s="298">
        <v>45013</v>
      </c>
      <c r="B251" s="313" t="s">
        <v>364</v>
      </c>
      <c r="C251" s="335" t="s">
        <v>178</v>
      </c>
      <c r="D251" s="313" t="s">
        <v>4</v>
      </c>
      <c r="F251" s="334">
        <v>42000</v>
      </c>
      <c r="G251" s="314">
        <f t="shared" si="3"/>
        <v>20444412</v>
      </c>
      <c r="H251" s="313" t="s">
        <v>25</v>
      </c>
      <c r="I251" s="313" t="s">
        <v>302</v>
      </c>
      <c r="J251" s="313" t="s">
        <v>542</v>
      </c>
      <c r="K251" s="335" t="s">
        <v>205</v>
      </c>
      <c r="L251" s="335" t="s">
        <v>318</v>
      </c>
    </row>
    <row r="252" spans="1:15" s="313" customFormat="1" ht="16.5">
      <c r="A252" s="298">
        <v>45013</v>
      </c>
      <c r="B252" s="313" t="s">
        <v>365</v>
      </c>
      <c r="C252" s="335" t="s">
        <v>178</v>
      </c>
      <c r="D252" s="313" t="s">
        <v>162</v>
      </c>
      <c r="E252" s="314"/>
      <c r="F252" s="314">
        <v>5000</v>
      </c>
      <c r="G252" s="314">
        <f t="shared" si="3"/>
        <v>20439412</v>
      </c>
      <c r="H252" s="313" t="s">
        <v>25</v>
      </c>
      <c r="I252" s="313" t="s">
        <v>302</v>
      </c>
      <c r="J252" s="335" t="s">
        <v>102</v>
      </c>
      <c r="K252" s="335" t="s">
        <v>206</v>
      </c>
      <c r="L252" s="335" t="s">
        <v>318</v>
      </c>
      <c r="M252" s="330" t="s">
        <v>617</v>
      </c>
      <c r="N252" s="335" t="s">
        <v>328</v>
      </c>
    </row>
    <row r="253" spans="1:15" s="313" customFormat="1" ht="16.5">
      <c r="A253" s="298">
        <v>45013</v>
      </c>
      <c r="B253" s="313" t="s">
        <v>366</v>
      </c>
      <c r="C253" s="335" t="s">
        <v>178</v>
      </c>
      <c r="D253" s="314" t="s">
        <v>2</v>
      </c>
      <c r="E253" s="314"/>
      <c r="F253" s="314">
        <v>10000</v>
      </c>
      <c r="G253" s="314">
        <f t="shared" si="3"/>
        <v>20429412</v>
      </c>
      <c r="H253" s="313" t="s">
        <v>25</v>
      </c>
      <c r="I253" s="313" t="s">
        <v>302</v>
      </c>
      <c r="J253" s="335" t="s">
        <v>102</v>
      </c>
      <c r="K253" s="335" t="s">
        <v>206</v>
      </c>
      <c r="L253" s="335" t="s">
        <v>318</v>
      </c>
      <c r="M253" s="330" t="s">
        <v>618</v>
      </c>
      <c r="N253" s="335" t="s">
        <v>328</v>
      </c>
    </row>
    <row r="254" spans="1:15" s="313" customFormat="1" ht="16.5">
      <c r="A254" s="298">
        <v>45013</v>
      </c>
      <c r="B254" s="335" t="s">
        <v>367</v>
      </c>
      <c r="C254" s="313" t="s">
        <v>178</v>
      </c>
      <c r="D254" s="313" t="s">
        <v>161</v>
      </c>
      <c r="F254" s="313">
        <v>10000</v>
      </c>
      <c r="G254" s="314">
        <f t="shared" si="3"/>
        <v>20419412</v>
      </c>
      <c r="H254" s="313" t="s">
        <v>25</v>
      </c>
      <c r="I254" s="313" t="s">
        <v>302</v>
      </c>
      <c r="J254" s="335" t="s">
        <v>102</v>
      </c>
      <c r="K254" s="335" t="s">
        <v>206</v>
      </c>
      <c r="L254" s="335" t="s">
        <v>318</v>
      </c>
      <c r="M254" s="330" t="s">
        <v>619</v>
      </c>
      <c r="N254" s="335" t="s">
        <v>328</v>
      </c>
      <c r="O254" s="336"/>
    </row>
    <row r="255" spans="1:15" s="313" customFormat="1" ht="16.5">
      <c r="A255" s="298">
        <v>45013</v>
      </c>
      <c r="B255" s="313" t="s">
        <v>368</v>
      </c>
      <c r="C255" s="313" t="s">
        <v>178</v>
      </c>
      <c r="D255" s="313" t="s">
        <v>4</v>
      </c>
      <c r="E255" s="314"/>
      <c r="F255" s="314">
        <v>16000</v>
      </c>
      <c r="G255" s="314">
        <f t="shared" si="3"/>
        <v>20403412</v>
      </c>
      <c r="H255" s="313" t="s">
        <v>25</v>
      </c>
      <c r="I255" s="313" t="s">
        <v>302</v>
      </c>
      <c r="J255" s="335" t="s">
        <v>102</v>
      </c>
      <c r="K255" s="335" t="s">
        <v>206</v>
      </c>
      <c r="L255" s="335" t="s">
        <v>318</v>
      </c>
      <c r="M255" s="330" t="s">
        <v>620</v>
      </c>
      <c r="N255" s="335" t="s">
        <v>328</v>
      </c>
    </row>
    <row r="256" spans="1:15" s="313" customFormat="1" ht="16.5">
      <c r="A256" s="331">
        <v>45013</v>
      </c>
      <c r="B256" s="335" t="s">
        <v>369</v>
      </c>
      <c r="C256" s="335" t="s">
        <v>178</v>
      </c>
      <c r="D256" s="335" t="s">
        <v>162</v>
      </c>
      <c r="E256" s="335"/>
      <c r="F256" s="335">
        <v>11000</v>
      </c>
      <c r="G256" s="314">
        <f t="shared" si="3"/>
        <v>20392412</v>
      </c>
      <c r="H256" s="335" t="s">
        <v>25</v>
      </c>
      <c r="I256" s="313" t="s">
        <v>302</v>
      </c>
      <c r="J256" s="335" t="s">
        <v>102</v>
      </c>
      <c r="K256" s="335" t="s">
        <v>206</v>
      </c>
      <c r="L256" s="335" t="s">
        <v>318</v>
      </c>
      <c r="M256" s="330" t="s">
        <v>621</v>
      </c>
      <c r="N256" s="335" t="s">
        <v>328</v>
      </c>
      <c r="O256" s="335"/>
    </row>
    <row r="257" spans="1:18" s="313" customFormat="1" ht="16.5">
      <c r="A257" s="332">
        <v>45013</v>
      </c>
      <c r="B257" s="406" t="s">
        <v>392</v>
      </c>
      <c r="C257" s="313" t="s">
        <v>181</v>
      </c>
      <c r="D257" s="445" t="s">
        <v>291</v>
      </c>
      <c r="E257" s="448"/>
      <c r="F257" s="440">
        <v>500000</v>
      </c>
      <c r="G257" s="314">
        <f t="shared" si="3"/>
        <v>19892412</v>
      </c>
      <c r="H257" s="313" t="s">
        <v>155</v>
      </c>
      <c r="I257" s="389">
        <v>3667320</v>
      </c>
      <c r="J257" s="313" t="s">
        <v>102</v>
      </c>
      <c r="K257" s="335" t="s">
        <v>206</v>
      </c>
      <c r="L257" s="335" t="s">
        <v>318</v>
      </c>
      <c r="M257" s="330" t="s">
        <v>622</v>
      </c>
      <c r="N257" s="335" t="s">
        <v>327</v>
      </c>
    </row>
    <row r="258" spans="1:18" s="313" customFormat="1" ht="16.5" hidden="1">
      <c r="A258" s="298">
        <v>45013</v>
      </c>
      <c r="B258" s="313" t="s">
        <v>305</v>
      </c>
      <c r="C258" s="313" t="s">
        <v>75</v>
      </c>
      <c r="E258" s="314">
        <v>10000</v>
      </c>
      <c r="F258" s="439"/>
      <c r="G258" s="314">
        <f t="shared" si="3"/>
        <v>19902412</v>
      </c>
      <c r="H258" s="313" t="s">
        <v>47</v>
      </c>
      <c r="M258" s="330"/>
    </row>
    <row r="259" spans="1:18" s="313" customFormat="1" ht="16.5">
      <c r="A259" s="298">
        <v>45013</v>
      </c>
      <c r="B259" s="335" t="s">
        <v>419</v>
      </c>
      <c r="C259" s="335" t="s">
        <v>278</v>
      </c>
      <c r="D259" s="313" t="s">
        <v>420</v>
      </c>
      <c r="E259" s="335"/>
      <c r="F259" s="441">
        <v>10000</v>
      </c>
      <c r="G259" s="314">
        <f t="shared" si="3"/>
        <v>19892412</v>
      </c>
      <c r="H259" s="335" t="s">
        <v>47</v>
      </c>
      <c r="I259" s="313" t="s">
        <v>309</v>
      </c>
      <c r="J259" s="313" t="s">
        <v>542</v>
      </c>
      <c r="K259" s="313" t="s">
        <v>205</v>
      </c>
      <c r="L259" s="313" t="s">
        <v>318</v>
      </c>
      <c r="M259" s="330"/>
      <c r="O259" s="335"/>
    </row>
    <row r="260" spans="1:18" s="313" customFormat="1" ht="16.5" hidden="1">
      <c r="A260" s="298">
        <v>45013</v>
      </c>
      <c r="B260" s="313" t="s">
        <v>421</v>
      </c>
      <c r="C260" s="314" t="s">
        <v>75</v>
      </c>
      <c r="E260" s="314">
        <v>106000</v>
      </c>
      <c r="F260" s="314"/>
      <c r="G260" s="314">
        <f t="shared" si="3"/>
        <v>19998412</v>
      </c>
      <c r="H260" s="313" t="s">
        <v>150</v>
      </c>
      <c r="M260" s="330"/>
      <c r="N260" s="314"/>
    </row>
    <row r="261" spans="1:18" s="313" customFormat="1" ht="16.5">
      <c r="A261" s="298">
        <v>45013</v>
      </c>
      <c r="B261" s="335" t="s">
        <v>434</v>
      </c>
      <c r="C261" s="335" t="s">
        <v>34</v>
      </c>
      <c r="D261" s="313" t="s">
        <v>162</v>
      </c>
      <c r="E261" s="335"/>
      <c r="F261" s="441">
        <v>36900</v>
      </c>
      <c r="G261" s="314">
        <f t="shared" si="3"/>
        <v>19961512</v>
      </c>
      <c r="H261" s="335" t="s">
        <v>31</v>
      </c>
      <c r="I261" s="313" t="s">
        <v>309</v>
      </c>
      <c r="J261" s="313" t="s">
        <v>102</v>
      </c>
      <c r="K261" s="313" t="s">
        <v>206</v>
      </c>
      <c r="L261" s="313" t="s">
        <v>318</v>
      </c>
      <c r="M261" s="330" t="s">
        <v>623</v>
      </c>
      <c r="N261" s="313" t="s">
        <v>329</v>
      </c>
      <c r="O261" s="335"/>
    </row>
    <row r="262" spans="1:18" s="313" customFormat="1" ht="16.5" hidden="1">
      <c r="A262" s="332">
        <v>45013</v>
      </c>
      <c r="B262" s="335" t="s">
        <v>307</v>
      </c>
      <c r="C262" s="335" t="s">
        <v>75</v>
      </c>
      <c r="D262" s="60"/>
      <c r="E262" s="335">
        <v>50000</v>
      </c>
      <c r="F262" s="335"/>
      <c r="G262" s="314">
        <f t="shared" si="3"/>
        <v>20011512</v>
      </c>
      <c r="H262" s="335" t="s">
        <v>31</v>
      </c>
      <c r="J262" s="335"/>
      <c r="K262" s="335"/>
      <c r="L262" s="335"/>
      <c r="M262" s="330"/>
      <c r="N262" s="335"/>
      <c r="O262" s="335"/>
    </row>
    <row r="263" spans="1:18" s="313" customFormat="1" ht="16.5">
      <c r="A263" s="298">
        <v>45013</v>
      </c>
      <c r="B263" s="313" t="s">
        <v>520</v>
      </c>
      <c r="C263" s="335" t="s">
        <v>34</v>
      </c>
      <c r="D263" s="313" t="s">
        <v>359</v>
      </c>
      <c r="E263" s="314"/>
      <c r="F263" s="314">
        <v>50000</v>
      </c>
      <c r="G263" s="314">
        <f t="shared" si="3"/>
        <v>19961512</v>
      </c>
      <c r="H263" s="313" t="s">
        <v>31</v>
      </c>
      <c r="I263" s="313" t="s">
        <v>302</v>
      </c>
      <c r="J263" s="313" t="s">
        <v>542</v>
      </c>
      <c r="K263" s="313" t="s">
        <v>205</v>
      </c>
      <c r="L263" s="313" t="s">
        <v>318</v>
      </c>
      <c r="M263" s="330"/>
      <c r="N263" s="335"/>
    </row>
    <row r="264" spans="1:18" s="313" customFormat="1" ht="16.5" hidden="1">
      <c r="A264" s="298">
        <v>45013</v>
      </c>
      <c r="B264" s="313" t="s">
        <v>307</v>
      </c>
      <c r="C264" s="313" t="s">
        <v>75</v>
      </c>
      <c r="E264" s="314">
        <v>20000</v>
      </c>
      <c r="F264" s="439"/>
      <c r="G264" s="314">
        <f t="shared" si="3"/>
        <v>19981512</v>
      </c>
      <c r="H264" s="313" t="s">
        <v>31</v>
      </c>
      <c r="M264" s="330"/>
      <c r="P264" s="335"/>
      <c r="Q264" s="335"/>
      <c r="R264" s="335"/>
    </row>
    <row r="265" spans="1:18" s="313" customFormat="1" ht="16.5">
      <c r="A265" s="298">
        <v>45013</v>
      </c>
      <c r="B265" s="313" t="s">
        <v>443</v>
      </c>
      <c r="C265" s="335" t="s">
        <v>34</v>
      </c>
      <c r="D265" s="313" t="s">
        <v>359</v>
      </c>
      <c r="F265" s="408">
        <v>5000</v>
      </c>
      <c r="G265" s="314">
        <f t="shared" si="3"/>
        <v>19976512</v>
      </c>
      <c r="H265" s="313" t="s">
        <v>204</v>
      </c>
      <c r="I265" s="313" t="s">
        <v>302</v>
      </c>
      <c r="J265" s="313" t="s">
        <v>542</v>
      </c>
      <c r="K265" s="313" t="s">
        <v>205</v>
      </c>
      <c r="L265" s="313" t="s">
        <v>318</v>
      </c>
      <c r="M265" s="330"/>
      <c r="P265" s="335"/>
      <c r="Q265" s="335"/>
      <c r="R265" s="335"/>
    </row>
    <row r="266" spans="1:18" s="313" customFormat="1" ht="16.5">
      <c r="A266" s="298">
        <v>45013</v>
      </c>
      <c r="B266" s="313" t="s">
        <v>472</v>
      </c>
      <c r="C266" s="313" t="s">
        <v>34</v>
      </c>
      <c r="D266" s="313" t="s">
        <v>4</v>
      </c>
      <c r="E266" s="314"/>
      <c r="F266" s="314">
        <v>5000</v>
      </c>
      <c r="G266" s="314">
        <f t="shared" si="3"/>
        <v>19971512</v>
      </c>
      <c r="H266" s="313" t="s">
        <v>276</v>
      </c>
      <c r="I266" s="313" t="s">
        <v>302</v>
      </c>
      <c r="J266" s="313" t="s">
        <v>542</v>
      </c>
      <c r="K266" s="313" t="s">
        <v>205</v>
      </c>
      <c r="L266" s="313" t="s">
        <v>318</v>
      </c>
      <c r="M266" s="330"/>
      <c r="P266" s="335"/>
      <c r="Q266" s="335"/>
      <c r="R266" s="335"/>
    </row>
    <row r="267" spans="1:18" s="313" customFormat="1" ht="16.5">
      <c r="A267" s="331">
        <v>45013</v>
      </c>
      <c r="B267" s="335" t="s">
        <v>643</v>
      </c>
      <c r="C267" s="335" t="s">
        <v>278</v>
      </c>
      <c r="D267" s="313" t="s">
        <v>4</v>
      </c>
      <c r="E267" s="335"/>
      <c r="F267" s="335">
        <v>60000</v>
      </c>
      <c r="G267" s="314">
        <f t="shared" si="3"/>
        <v>19911512</v>
      </c>
      <c r="H267" s="335" t="s">
        <v>276</v>
      </c>
      <c r="I267" s="313" t="s">
        <v>302</v>
      </c>
      <c r="J267" s="313" t="s">
        <v>542</v>
      </c>
      <c r="K267" s="313" t="s">
        <v>205</v>
      </c>
      <c r="L267" s="313" t="s">
        <v>318</v>
      </c>
      <c r="M267" s="335"/>
      <c r="N267" s="335"/>
      <c r="O267" s="335"/>
      <c r="P267" s="335"/>
      <c r="Q267" s="335"/>
      <c r="R267" s="335"/>
    </row>
    <row r="268" spans="1:18" s="313" customFormat="1" ht="16.5">
      <c r="A268" s="298">
        <v>45013</v>
      </c>
      <c r="B268" s="313" t="s">
        <v>494</v>
      </c>
      <c r="C268" s="335" t="s">
        <v>278</v>
      </c>
      <c r="D268" s="313" t="s">
        <v>4</v>
      </c>
      <c r="E268" s="314"/>
      <c r="F268" s="314">
        <v>40000</v>
      </c>
      <c r="G268" s="314">
        <f t="shared" si="3"/>
        <v>19871512</v>
      </c>
      <c r="H268" s="313" t="s">
        <v>29</v>
      </c>
      <c r="I268" s="313" t="s">
        <v>309</v>
      </c>
      <c r="J268" s="313" t="s">
        <v>542</v>
      </c>
      <c r="K268" s="313" t="s">
        <v>206</v>
      </c>
      <c r="L268" s="313" t="s">
        <v>318</v>
      </c>
      <c r="M268" s="330" t="s">
        <v>624</v>
      </c>
      <c r="N268" s="313" t="s">
        <v>330</v>
      </c>
      <c r="P268" s="335"/>
      <c r="Q268" s="335"/>
      <c r="R268" s="335"/>
    </row>
    <row r="269" spans="1:18" s="313" customFormat="1" ht="16.5">
      <c r="A269" s="337">
        <v>45014</v>
      </c>
      <c r="B269" s="313" t="s">
        <v>480</v>
      </c>
      <c r="C269" s="335" t="s">
        <v>278</v>
      </c>
      <c r="D269" s="313" t="s">
        <v>4</v>
      </c>
      <c r="F269" s="313">
        <v>60000</v>
      </c>
      <c r="G269" s="314">
        <f t="shared" si="3"/>
        <v>19811512</v>
      </c>
      <c r="H269" s="335" t="s">
        <v>277</v>
      </c>
      <c r="I269" s="313" t="s">
        <v>302</v>
      </c>
      <c r="J269" s="313" t="s">
        <v>542</v>
      </c>
      <c r="K269" s="313" t="s">
        <v>205</v>
      </c>
      <c r="L269" s="313" t="s">
        <v>318</v>
      </c>
      <c r="M269" s="330"/>
      <c r="P269" s="335"/>
      <c r="Q269" s="335"/>
      <c r="R269" s="335"/>
    </row>
    <row r="270" spans="1:18" s="313" customFormat="1" ht="16.5">
      <c r="A270" s="337">
        <v>45014</v>
      </c>
      <c r="B270" s="313" t="s">
        <v>519</v>
      </c>
      <c r="C270" s="313" t="s">
        <v>34</v>
      </c>
      <c r="D270" s="313" t="s">
        <v>4</v>
      </c>
      <c r="E270" s="314"/>
      <c r="F270" s="314">
        <v>5000</v>
      </c>
      <c r="G270" s="314">
        <f t="shared" ref="G270:G301" si="4">+G269+E270-F270</f>
        <v>19806512</v>
      </c>
      <c r="H270" s="313" t="s">
        <v>276</v>
      </c>
      <c r="I270" s="313" t="s">
        <v>302</v>
      </c>
      <c r="J270" s="313" t="s">
        <v>542</v>
      </c>
      <c r="K270" s="313" t="s">
        <v>205</v>
      </c>
      <c r="L270" s="313" t="s">
        <v>318</v>
      </c>
      <c r="M270" s="330"/>
      <c r="P270" s="335"/>
      <c r="Q270" s="335"/>
      <c r="R270" s="335"/>
    </row>
    <row r="271" spans="1:18" s="313" customFormat="1" ht="16.5">
      <c r="A271" s="298">
        <v>45014</v>
      </c>
      <c r="B271" s="313" t="s">
        <v>495</v>
      </c>
      <c r="C271" s="313" t="s">
        <v>34</v>
      </c>
      <c r="D271" s="313" t="s">
        <v>4</v>
      </c>
      <c r="E271" s="314"/>
      <c r="F271" s="314">
        <v>7000</v>
      </c>
      <c r="G271" s="314">
        <f t="shared" si="4"/>
        <v>19799512</v>
      </c>
      <c r="H271" s="313" t="s">
        <v>29</v>
      </c>
      <c r="I271" s="313" t="s">
        <v>302</v>
      </c>
      <c r="J271" s="313" t="s">
        <v>542</v>
      </c>
      <c r="K271" s="313" t="s">
        <v>206</v>
      </c>
      <c r="L271" s="313" t="s">
        <v>318</v>
      </c>
      <c r="M271" s="330" t="s">
        <v>625</v>
      </c>
      <c r="N271" s="313" t="s">
        <v>329</v>
      </c>
      <c r="P271" s="335"/>
      <c r="Q271" s="335"/>
      <c r="R271" s="335"/>
    </row>
    <row r="272" spans="1:18" s="313" customFormat="1" ht="16.5">
      <c r="A272" s="298">
        <v>45015</v>
      </c>
      <c r="B272" s="313" t="s">
        <v>290</v>
      </c>
      <c r="C272" s="335" t="s">
        <v>246</v>
      </c>
      <c r="D272" s="335" t="s">
        <v>291</v>
      </c>
      <c r="E272" s="314"/>
      <c r="F272" s="314">
        <v>18000</v>
      </c>
      <c r="G272" s="314">
        <f t="shared" si="4"/>
        <v>19781512</v>
      </c>
      <c r="H272" s="313" t="s">
        <v>25</v>
      </c>
      <c r="I272" s="313" t="s">
        <v>302</v>
      </c>
      <c r="J272" s="313" t="s">
        <v>102</v>
      </c>
      <c r="K272" s="335" t="s">
        <v>206</v>
      </c>
      <c r="L272" s="335" t="s">
        <v>318</v>
      </c>
      <c r="M272" s="330" t="s">
        <v>626</v>
      </c>
      <c r="N272" s="335" t="s">
        <v>322</v>
      </c>
      <c r="P272" s="335"/>
      <c r="Q272" s="335"/>
      <c r="R272" s="335"/>
    </row>
    <row r="273" spans="1:18" s="313" customFormat="1" ht="16.5">
      <c r="A273" s="298">
        <v>45015</v>
      </c>
      <c r="B273" s="373" t="s">
        <v>377</v>
      </c>
      <c r="C273" s="445" t="s">
        <v>378</v>
      </c>
      <c r="D273" s="445"/>
      <c r="E273" s="313">
        <v>17494973</v>
      </c>
      <c r="G273" s="314">
        <f t="shared" si="4"/>
        <v>37276485</v>
      </c>
      <c r="H273" s="313" t="s">
        <v>24</v>
      </c>
      <c r="I273" s="389" t="s">
        <v>303</v>
      </c>
      <c r="J273" s="313" t="s">
        <v>542</v>
      </c>
      <c r="L273" s="313" t="s">
        <v>318</v>
      </c>
      <c r="M273" s="330"/>
      <c r="P273" s="335"/>
      <c r="Q273" s="335"/>
      <c r="R273" s="335"/>
    </row>
    <row r="274" spans="1:18" s="313" customFormat="1" ht="16.5">
      <c r="A274" s="298">
        <v>45015</v>
      </c>
      <c r="B274" s="313" t="s">
        <v>425</v>
      </c>
      <c r="C274" s="335" t="s">
        <v>34</v>
      </c>
      <c r="D274" s="313" t="s">
        <v>2</v>
      </c>
      <c r="E274" s="314"/>
      <c r="F274" s="314">
        <v>10000</v>
      </c>
      <c r="G274" s="314">
        <f t="shared" si="4"/>
        <v>37266485</v>
      </c>
      <c r="H274" s="313" t="s">
        <v>150</v>
      </c>
      <c r="I274" s="313" t="s">
        <v>302</v>
      </c>
      <c r="J274" s="313" t="s">
        <v>102</v>
      </c>
      <c r="K274" s="313" t="s">
        <v>206</v>
      </c>
      <c r="L274" s="313" t="s">
        <v>318</v>
      </c>
      <c r="M274" s="330" t="s">
        <v>627</v>
      </c>
      <c r="N274" s="313" t="s">
        <v>329</v>
      </c>
      <c r="P274" s="335"/>
      <c r="Q274" s="335"/>
      <c r="R274" s="335"/>
    </row>
    <row r="275" spans="1:18" s="313" customFormat="1" ht="16.5">
      <c r="A275" s="331">
        <v>45015</v>
      </c>
      <c r="B275" s="313" t="s">
        <v>426</v>
      </c>
      <c r="C275" s="335" t="s">
        <v>278</v>
      </c>
      <c r="D275" s="313" t="s">
        <v>2</v>
      </c>
      <c r="E275" s="314"/>
      <c r="F275" s="314">
        <v>75000</v>
      </c>
      <c r="G275" s="314">
        <f t="shared" si="4"/>
        <v>37191485</v>
      </c>
      <c r="H275" s="313" t="s">
        <v>150</v>
      </c>
      <c r="I275" s="313" t="s">
        <v>302</v>
      </c>
      <c r="J275" s="313" t="s">
        <v>102</v>
      </c>
      <c r="K275" s="329" t="s">
        <v>206</v>
      </c>
      <c r="L275" s="313" t="s">
        <v>318</v>
      </c>
      <c r="M275" s="330" t="s">
        <v>628</v>
      </c>
      <c r="N275" s="335" t="s">
        <v>330</v>
      </c>
      <c r="O275" s="314"/>
      <c r="P275" s="335"/>
      <c r="Q275" s="335"/>
      <c r="R275" s="335"/>
    </row>
    <row r="276" spans="1:18" s="313" customFormat="1" ht="16.5">
      <c r="A276" s="298">
        <v>45015</v>
      </c>
      <c r="B276" s="373" t="s">
        <v>444</v>
      </c>
      <c r="C276" s="335" t="s">
        <v>34</v>
      </c>
      <c r="D276" s="313" t="s">
        <v>161</v>
      </c>
      <c r="F276" s="439">
        <v>22100</v>
      </c>
      <c r="G276" s="314">
        <f t="shared" si="4"/>
        <v>37169385</v>
      </c>
      <c r="H276" s="313" t="s">
        <v>204</v>
      </c>
      <c r="I276" s="313" t="s">
        <v>309</v>
      </c>
      <c r="J276" s="313" t="s">
        <v>102</v>
      </c>
      <c r="K276" s="313" t="s">
        <v>206</v>
      </c>
      <c r="L276" s="313" t="s">
        <v>318</v>
      </c>
      <c r="M276" s="330" t="s">
        <v>629</v>
      </c>
      <c r="N276" s="313" t="s">
        <v>329</v>
      </c>
      <c r="P276" s="335"/>
      <c r="Q276" s="335"/>
      <c r="R276" s="335"/>
    </row>
    <row r="277" spans="1:18" s="313" customFormat="1" ht="16.5" hidden="1">
      <c r="A277" s="298">
        <v>45016</v>
      </c>
      <c r="B277" s="373" t="s">
        <v>276</v>
      </c>
      <c r="C277" s="335" t="s">
        <v>75</v>
      </c>
      <c r="D277" s="444"/>
      <c r="E277" s="404"/>
      <c r="F277" s="314">
        <v>150000</v>
      </c>
      <c r="G277" s="314">
        <f t="shared" si="4"/>
        <v>37019385</v>
      </c>
      <c r="H277" s="314" t="s">
        <v>25</v>
      </c>
      <c r="K277" s="335"/>
      <c r="L277" s="335"/>
      <c r="M277" s="330"/>
      <c r="P277" s="335"/>
      <c r="Q277" s="335"/>
      <c r="R277" s="335"/>
    </row>
    <row r="278" spans="1:18" s="313" customFormat="1" ht="16.5" hidden="1">
      <c r="A278" s="298">
        <v>45016</v>
      </c>
      <c r="B278" s="313" t="s">
        <v>277</v>
      </c>
      <c r="C278" s="335" t="s">
        <v>75</v>
      </c>
      <c r="E278" s="335"/>
      <c r="F278" s="440">
        <v>150000</v>
      </c>
      <c r="G278" s="314">
        <f t="shared" si="4"/>
        <v>36869385</v>
      </c>
      <c r="H278" s="313" t="s">
        <v>25</v>
      </c>
      <c r="M278" s="330"/>
      <c r="P278" s="335"/>
      <c r="Q278" s="335"/>
      <c r="R278" s="335"/>
    </row>
    <row r="279" spans="1:18" s="313" customFormat="1" ht="16.5">
      <c r="A279" s="331">
        <v>45016</v>
      </c>
      <c r="B279" s="313" t="s">
        <v>357</v>
      </c>
      <c r="C279" s="313" t="s">
        <v>220</v>
      </c>
      <c r="D279" s="335" t="s">
        <v>291</v>
      </c>
      <c r="E279" s="314"/>
      <c r="F279" s="439">
        <v>9000</v>
      </c>
      <c r="G279" s="314">
        <f t="shared" si="4"/>
        <v>36860385</v>
      </c>
      <c r="H279" s="313" t="s">
        <v>25</v>
      </c>
      <c r="I279" s="313" t="s">
        <v>302</v>
      </c>
      <c r="J279" s="313" t="s">
        <v>542</v>
      </c>
      <c r="K279" s="313" t="s">
        <v>205</v>
      </c>
      <c r="L279" s="313" t="s">
        <v>318</v>
      </c>
      <c r="M279" s="330"/>
      <c r="N279" s="314"/>
      <c r="P279" s="335"/>
      <c r="Q279" s="335"/>
      <c r="R279" s="335"/>
    </row>
    <row r="280" spans="1:18" s="313" customFormat="1" ht="16.5" hidden="1">
      <c r="A280" s="331">
        <v>45016</v>
      </c>
      <c r="B280" s="313" t="s">
        <v>29</v>
      </c>
      <c r="C280" s="313" t="s">
        <v>75</v>
      </c>
      <c r="E280" s="314"/>
      <c r="F280" s="439">
        <v>150000</v>
      </c>
      <c r="G280" s="314">
        <f t="shared" si="4"/>
        <v>36710385</v>
      </c>
      <c r="H280" s="313" t="s">
        <v>25</v>
      </c>
      <c r="M280" s="330"/>
      <c r="P280" s="335"/>
      <c r="Q280" s="335"/>
      <c r="R280" s="335"/>
    </row>
    <row r="281" spans="1:18" s="313" customFormat="1" ht="16.5">
      <c r="A281" s="298">
        <v>45016</v>
      </c>
      <c r="B281" s="313" t="s">
        <v>370</v>
      </c>
      <c r="C281" s="335" t="s">
        <v>220</v>
      </c>
      <c r="D281" s="313" t="s">
        <v>291</v>
      </c>
      <c r="F281" s="314">
        <v>4500</v>
      </c>
      <c r="G281" s="314">
        <f t="shared" si="4"/>
        <v>36705885</v>
      </c>
      <c r="H281" s="314" t="s">
        <v>25</v>
      </c>
      <c r="I281" s="313" t="s">
        <v>302</v>
      </c>
      <c r="J281" s="313" t="s">
        <v>102</v>
      </c>
      <c r="K281" s="313" t="s">
        <v>206</v>
      </c>
      <c r="L281" s="313" t="s">
        <v>318</v>
      </c>
      <c r="M281" s="330" t="s">
        <v>630</v>
      </c>
      <c r="N281" s="313" t="s">
        <v>319</v>
      </c>
      <c r="P281" s="335"/>
      <c r="Q281" s="335"/>
      <c r="R281" s="335"/>
    </row>
    <row r="282" spans="1:18" s="313" customFormat="1" ht="16.5" hidden="1">
      <c r="A282" s="405">
        <v>45016</v>
      </c>
      <c r="B282" s="335" t="s">
        <v>292</v>
      </c>
      <c r="C282" s="335" t="s">
        <v>75</v>
      </c>
      <c r="F282" s="335">
        <v>20000</v>
      </c>
      <c r="G282" s="314">
        <f t="shared" si="4"/>
        <v>36685885</v>
      </c>
      <c r="H282" s="313" t="s">
        <v>25</v>
      </c>
      <c r="M282" s="330"/>
      <c r="N282" s="335"/>
      <c r="O282" s="335"/>
      <c r="P282" s="335"/>
      <c r="Q282" s="335"/>
      <c r="R282" s="335"/>
    </row>
    <row r="283" spans="1:18" s="313" customFormat="1" ht="16.5" hidden="1">
      <c r="A283" s="298">
        <v>45016</v>
      </c>
      <c r="B283" s="313" t="s">
        <v>295</v>
      </c>
      <c r="C283" s="335" t="s">
        <v>75</v>
      </c>
      <c r="E283" s="314"/>
      <c r="F283" s="314">
        <v>145000</v>
      </c>
      <c r="G283" s="314">
        <f t="shared" si="4"/>
        <v>36540885</v>
      </c>
      <c r="H283" s="313" t="s">
        <v>25</v>
      </c>
      <c r="M283" s="330"/>
      <c r="N283" s="314"/>
      <c r="O283" s="336"/>
      <c r="P283" s="335"/>
      <c r="Q283" s="335"/>
      <c r="R283" s="335"/>
    </row>
    <row r="284" spans="1:18" s="313" customFormat="1" ht="16.5">
      <c r="A284" s="298">
        <v>45016</v>
      </c>
      <c r="B284" s="446" t="s">
        <v>379</v>
      </c>
      <c r="C284" s="335" t="s">
        <v>3</v>
      </c>
      <c r="D284" s="445" t="s">
        <v>291</v>
      </c>
      <c r="E284" s="329"/>
      <c r="F284" s="441">
        <v>260000</v>
      </c>
      <c r="G284" s="314">
        <f t="shared" si="4"/>
        <v>36280885</v>
      </c>
      <c r="H284" s="313" t="s">
        <v>24</v>
      </c>
      <c r="I284" s="389">
        <v>3654543</v>
      </c>
      <c r="J284" s="313" t="s">
        <v>542</v>
      </c>
      <c r="K284" s="313" t="s">
        <v>205</v>
      </c>
      <c r="L284" s="313" t="s">
        <v>318</v>
      </c>
      <c r="M284" s="330"/>
      <c r="P284" s="335"/>
      <c r="Q284" s="335"/>
      <c r="R284" s="335"/>
    </row>
    <row r="285" spans="1:18" s="313" customFormat="1" ht="16.5" hidden="1">
      <c r="A285" s="298">
        <v>45016</v>
      </c>
      <c r="B285" s="313" t="s">
        <v>305</v>
      </c>
      <c r="C285" s="313" t="s">
        <v>75</v>
      </c>
      <c r="E285" s="313">
        <v>145000</v>
      </c>
      <c r="F285" s="440"/>
      <c r="G285" s="314">
        <f t="shared" si="4"/>
        <v>36425885</v>
      </c>
      <c r="H285" s="313" t="s">
        <v>47</v>
      </c>
      <c r="M285" s="330"/>
      <c r="N285" s="335"/>
      <c r="P285" s="335"/>
      <c r="Q285" s="335"/>
      <c r="R285" s="335"/>
    </row>
    <row r="286" spans="1:18" s="313" customFormat="1" ht="16.5">
      <c r="A286" s="331">
        <v>45016</v>
      </c>
      <c r="B286" s="313" t="s">
        <v>427</v>
      </c>
      <c r="C286" s="335" t="s">
        <v>34</v>
      </c>
      <c r="D286" s="313" t="s">
        <v>2</v>
      </c>
      <c r="F286" s="334">
        <v>32000</v>
      </c>
      <c r="G286" s="314">
        <f t="shared" si="4"/>
        <v>36393885</v>
      </c>
      <c r="H286" s="313" t="s">
        <v>150</v>
      </c>
      <c r="I286" s="313" t="s">
        <v>309</v>
      </c>
      <c r="J286" s="313" t="s">
        <v>102</v>
      </c>
      <c r="K286" s="313" t="s">
        <v>206</v>
      </c>
      <c r="L286" s="313" t="s">
        <v>318</v>
      </c>
      <c r="M286" s="330" t="s">
        <v>631</v>
      </c>
      <c r="N286" s="313" t="s">
        <v>329</v>
      </c>
      <c r="P286" s="335"/>
      <c r="Q286" s="335"/>
      <c r="R286" s="335"/>
    </row>
    <row r="287" spans="1:18" s="313" customFormat="1" ht="16.5">
      <c r="A287" s="298">
        <v>45016</v>
      </c>
      <c r="B287" s="373" t="s">
        <v>429</v>
      </c>
      <c r="C287" s="406" t="s">
        <v>34</v>
      </c>
      <c r="D287" s="313" t="s">
        <v>2</v>
      </c>
      <c r="E287" s="403"/>
      <c r="F287" s="314">
        <v>30500</v>
      </c>
      <c r="G287" s="314">
        <f t="shared" si="4"/>
        <v>36363385</v>
      </c>
      <c r="H287" s="329" t="s">
        <v>93</v>
      </c>
      <c r="I287" s="313" t="s">
        <v>309</v>
      </c>
      <c r="J287" s="313" t="s">
        <v>102</v>
      </c>
      <c r="K287" s="313" t="s">
        <v>206</v>
      </c>
      <c r="L287" s="313" t="s">
        <v>318</v>
      </c>
      <c r="M287" s="330" t="s">
        <v>632</v>
      </c>
      <c r="N287" s="313" t="s">
        <v>329</v>
      </c>
      <c r="P287" s="335"/>
      <c r="Q287" s="335"/>
      <c r="R287" s="335"/>
    </row>
    <row r="288" spans="1:18" s="313" customFormat="1" ht="16.5" hidden="1">
      <c r="A288" s="298">
        <v>45016</v>
      </c>
      <c r="B288" s="335" t="s">
        <v>315</v>
      </c>
      <c r="C288" s="335" t="s">
        <v>75</v>
      </c>
      <c r="E288" s="335">
        <v>20000</v>
      </c>
      <c r="F288" s="441"/>
      <c r="G288" s="314">
        <f t="shared" si="4"/>
        <v>36383385</v>
      </c>
      <c r="H288" s="335" t="s">
        <v>263</v>
      </c>
      <c r="J288" s="335"/>
      <c r="M288" s="330"/>
      <c r="O288" s="335"/>
      <c r="P288" s="335"/>
      <c r="Q288" s="335"/>
      <c r="R288" s="335"/>
    </row>
    <row r="289" spans="1:18" s="313" customFormat="1" ht="16.5">
      <c r="A289" s="298">
        <v>45016</v>
      </c>
      <c r="B289" s="333" t="s">
        <v>454</v>
      </c>
      <c r="C289" s="335" t="s">
        <v>34</v>
      </c>
      <c r="D289" s="313" t="s">
        <v>161</v>
      </c>
      <c r="E289" s="334"/>
      <c r="F289" s="408">
        <v>27300</v>
      </c>
      <c r="G289" s="314">
        <f t="shared" si="4"/>
        <v>36356085</v>
      </c>
      <c r="H289" s="442" t="s">
        <v>263</v>
      </c>
      <c r="I289" s="313" t="s">
        <v>309</v>
      </c>
      <c r="J289" s="313" t="s">
        <v>102</v>
      </c>
      <c r="K289" s="313" t="s">
        <v>206</v>
      </c>
      <c r="L289" s="313" t="s">
        <v>318</v>
      </c>
      <c r="M289" s="330" t="s">
        <v>633</v>
      </c>
      <c r="N289" s="313" t="s">
        <v>329</v>
      </c>
      <c r="P289" s="335"/>
      <c r="Q289" s="335"/>
      <c r="R289" s="335"/>
    </row>
    <row r="290" spans="1:18" s="313" customFormat="1" ht="16.5" hidden="1">
      <c r="A290" s="298">
        <v>45016</v>
      </c>
      <c r="B290" s="313" t="s">
        <v>317</v>
      </c>
      <c r="C290" s="335" t="s">
        <v>75</v>
      </c>
      <c r="D290" s="335"/>
      <c r="E290" s="314">
        <v>150000</v>
      </c>
      <c r="F290" s="314"/>
      <c r="G290" s="314">
        <f t="shared" si="4"/>
        <v>36506085</v>
      </c>
      <c r="H290" s="313" t="s">
        <v>277</v>
      </c>
      <c r="M290" s="330"/>
      <c r="P290" s="335"/>
      <c r="Q290" s="335"/>
      <c r="R290" s="335"/>
    </row>
    <row r="291" spans="1:18" s="313" customFormat="1" ht="16.5">
      <c r="A291" s="332">
        <v>45016</v>
      </c>
      <c r="B291" s="313" t="s">
        <v>458</v>
      </c>
      <c r="C291" s="334" t="s">
        <v>459</v>
      </c>
      <c r="D291" s="313" t="s">
        <v>4</v>
      </c>
      <c r="F291" s="335">
        <v>16000</v>
      </c>
      <c r="G291" s="314">
        <f t="shared" si="4"/>
        <v>36490085</v>
      </c>
      <c r="H291" s="313" t="s">
        <v>277</v>
      </c>
      <c r="I291" s="313" t="s">
        <v>309</v>
      </c>
      <c r="J291" s="313" t="s">
        <v>542</v>
      </c>
      <c r="K291" s="313" t="s">
        <v>205</v>
      </c>
      <c r="L291" s="313" t="s">
        <v>318</v>
      </c>
      <c r="M291" s="330"/>
      <c r="P291" s="335"/>
      <c r="Q291" s="335"/>
      <c r="R291" s="335"/>
    </row>
    <row r="292" spans="1:18" s="313" customFormat="1" ht="16.5">
      <c r="A292" s="298">
        <v>45016</v>
      </c>
      <c r="B292" s="313" t="s">
        <v>646</v>
      </c>
      <c r="C292" s="313" t="s">
        <v>34</v>
      </c>
      <c r="D292" s="313" t="s">
        <v>4</v>
      </c>
      <c r="E292" s="314"/>
      <c r="F292" s="314">
        <v>90400</v>
      </c>
      <c r="G292" s="314">
        <f t="shared" si="4"/>
        <v>36399685</v>
      </c>
      <c r="H292" s="313" t="s">
        <v>277</v>
      </c>
      <c r="I292" s="313" t="s">
        <v>309</v>
      </c>
      <c r="J292" s="313" t="s">
        <v>542</v>
      </c>
      <c r="K292" s="313" t="s">
        <v>205</v>
      </c>
      <c r="L292" s="313" t="s">
        <v>318</v>
      </c>
      <c r="M292" s="330"/>
      <c r="O292" s="314"/>
      <c r="P292" s="335"/>
      <c r="Q292" s="335"/>
      <c r="R292" s="335"/>
    </row>
    <row r="293" spans="1:18" s="313" customFormat="1" ht="16.5">
      <c r="A293" s="298">
        <v>45016</v>
      </c>
      <c r="B293" s="335" t="s">
        <v>481</v>
      </c>
      <c r="C293" s="335" t="s">
        <v>278</v>
      </c>
      <c r="D293" s="313" t="s">
        <v>4</v>
      </c>
      <c r="E293" s="335"/>
      <c r="F293" s="403">
        <v>30000</v>
      </c>
      <c r="G293" s="314">
        <f t="shared" si="4"/>
        <v>36369685</v>
      </c>
      <c r="H293" s="335" t="s">
        <v>277</v>
      </c>
      <c r="I293" s="313" t="s">
        <v>302</v>
      </c>
      <c r="J293" s="313" t="s">
        <v>542</v>
      </c>
      <c r="K293" s="313" t="s">
        <v>205</v>
      </c>
      <c r="L293" s="313" t="s">
        <v>318</v>
      </c>
      <c r="M293" s="330"/>
      <c r="N293" s="335"/>
      <c r="O293" s="335"/>
      <c r="P293" s="335"/>
      <c r="Q293" s="335"/>
      <c r="R293" s="335"/>
    </row>
    <row r="294" spans="1:18" s="313" customFormat="1" ht="16.5">
      <c r="A294" s="405">
        <v>45016</v>
      </c>
      <c r="B294" s="335" t="s">
        <v>473</v>
      </c>
      <c r="C294" s="335" t="s">
        <v>310</v>
      </c>
      <c r="D294" s="313" t="s">
        <v>4</v>
      </c>
      <c r="E294" s="335"/>
      <c r="F294" s="335">
        <v>35500</v>
      </c>
      <c r="G294" s="314">
        <f t="shared" si="4"/>
        <v>36334185</v>
      </c>
      <c r="H294" s="335" t="s">
        <v>276</v>
      </c>
      <c r="I294" s="313" t="s">
        <v>309</v>
      </c>
      <c r="J294" s="313" t="s">
        <v>542</v>
      </c>
      <c r="K294" s="313" t="s">
        <v>205</v>
      </c>
      <c r="L294" s="313" t="s">
        <v>318</v>
      </c>
      <c r="M294" s="330"/>
      <c r="O294" s="335"/>
      <c r="P294" s="335"/>
      <c r="Q294" s="335"/>
      <c r="R294" s="335"/>
    </row>
    <row r="295" spans="1:18" s="313" customFormat="1" ht="16.5">
      <c r="A295" s="331">
        <v>45016</v>
      </c>
      <c r="B295" s="335" t="s">
        <v>474</v>
      </c>
      <c r="C295" s="335" t="s">
        <v>34</v>
      </c>
      <c r="D295" s="313" t="s">
        <v>4</v>
      </c>
      <c r="E295" s="335"/>
      <c r="F295" s="403">
        <v>91100</v>
      </c>
      <c r="G295" s="314">
        <f t="shared" si="4"/>
        <v>36243085</v>
      </c>
      <c r="H295" s="335" t="s">
        <v>276</v>
      </c>
      <c r="I295" s="313" t="s">
        <v>309</v>
      </c>
      <c r="J295" s="313" t="s">
        <v>542</v>
      </c>
      <c r="K295" s="313" t="s">
        <v>205</v>
      </c>
      <c r="L295" s="313" t="s">
        <v>318</v>
      </c>
      <c r="M295" s="330"/>
      <c r="O295" s="335"/>
      <c r="P295" s="335"/>
      <c r="Q295" s="335"/>
      <c r="R295" s="335"/>
    </row>
    <row r="296" spans="1:18" s="313" customFormat="1" ht="16.5">
      <c r="A296" s="331">
        <v>45016</v>
      </c>
      <c r="B296" s="313" t="s">
        <v>475</v>
      </c>
      <c r="C296" s="335" t="s">
        <v>278</v>
      </c>
      <c r="D296" s="313" t="s">
        <v>4</v>
      </c>
      <c r="E296" s="404"/>
      <c r="F296" s="314">
        <v>45000</v>
      </c>
      <c r="G296" s="314">
        <f t="shared" si="4"/>
        <v>36198085</v>
      </c>
      <c r="H296" s="314" t="s">
        <v>276</v>
      </c>
      <c r="I296" s="313" t="s">
        <v>302</v>
      </c>
      <c r="J296" s="313" t="s">
        <v>542</v>
      </c>
      <c r="K296" s="313" t="s">
        <v>205</v>
      </c>
      <c r="L296" s="313" t="s">
        <v>318</v>
      </c>
      <c r="P296" s="335"/>
      <c r="Q296" s="335"/>
      <c r="R296" s="335"/>
    </row>
    <row r="297" spans="1:18" s="313" customFormat="1" ht="16.5" hidden="1">
      <c r="A297" s="332">
        <v>45016</v>
      </c>
      <c r="B297" s="313" t="s">
        <v>469</v>
      </c>
      <c r="C297" s="407" t="s">
        <v>311</v>
      </c>
      <c r="D297" s="407"/>
      <c r="E297" s="313">
        <v>150000</v>
      </c>
      <c r="F297" s="408"/>
      <c r="G297" s="314">
        <f t="shared" si="4"/>
        <v>36348085</v>
      </c>
      <c r="H297" s="333" t="s">
        <v>276</v>
      </c>
      <c r="M297" s="330"/>
      <c r="P297" s="335"/>
      <c r="Q297" s="335"/>
      <c r="R297" s="335"/>
    </row>
    <row r="298" spans="1:18" s="313" customFormat="1" ht="16.5" hidden="1">
      <c r="A298" s="298">
        <v>45016</v>
      </c>
      <c r="B298" s="313" t="s">
        <v>308</v>
      </c>
      <c r="C298" s="313" t="s">
        <v>75</v>
      </c>
      <c r="E298" s="314">
        <v>150000</v>
      </c>
      <c r="F298" s="314"/>
      <c r="G298" s="314">
        <f t="shared" si="4"/>
        <v>36498085</v>
      </c>
      <c r="H298" s="313" t="s">
        <v>29</v>
      </c>
      <c r="M298" s="330"/>
      <c r="P298" s="335"/>
      <c r="Q298" s="335"/>
      <c r="R298" s="335"/>
    </row>
    <row r="299" spans="1:18" s="313" customFormat="1" ht="16.5">
      <c r="A299" s="331">
        <v>45016</v>
      </c>
      <c r="B299" s="335" t="s">
        <v>496</v>
      </c>
      <c r="C299" s="335" t="s">
        <v>34</v>
      </c>
      <c r="D299" s="313" t="s">
        <v>4</v>
      </c>
      <c r="E299" s="335"/>
      <c r="F299" s="335">
        <v>62100</v>
      </c>
      <c r="G299" s="314">
        <f t="shared" si="4"/>
        <v>36435985</v>
      </c>
      <c r="H299" s="335" t="s">
        <v>29</v>
      </c>
      <c r="I299" s="313" t="s">
        <v>309</v>
      </c>
      <c r="J299" s="313" t="s">
        <v>542</v>
      </c>
      <c r="K299" s="313" t="s">
        <v>206</v>
      </c>
      <c r="L299" s="313" t="s">
        <v>318</v>
      </c>
      <c r="M299" s="330" t="s">
        <v>634</v>
      </c>
      <c r="N299" s="313" t="s">
        <v>329</v>
      </c>
      <c r="O299" s="335"/>
      <c r="P299" s="335"/>
      <c r="Q299" s="335"/>
      <c r="R299" s="335"/>
    </row>
    <row r="300" spans="1:18" s="313" customFormat="1" ht="16.5">
      <c r="A300" s="331">
        <v>45016</v>
      </c>
      <c r="B300" s="335" t="s">
        <v>497</v>
      </c>
      <c r="C300" s="335" t="s">
        <v>310</v>
      </c>
      <c r="D300" s="313" t="s">
        <v>4</v>
      </c>
      <c r="E300" s="335"/>
      <c r="F300" s="335">
        <v>26500</v>
      </c>
      <c r="G300" s="314">
        <f t="shared" si="4"/>
        <v>36409485</v>
      </c>
      <c r="H300" s="335" t="s">
        <v>29</v>
      </c>
      <c r="I300" s="313" t="s">
        <v>309</v>
      </c>
      <c r="J300" s="313" t="s">
        <v>542</v>
      </c>
      <c r="K300" s="313" t="s">
        <v>205</v>
      </c>
      <c r="L300" s="313" t="s">
        <v>318</v>
      </c>
      <c r="M300" s="330"/>
      <c r="O300" s="335"/>
      <c r="P300" s="335"/>
      <c r="Q300" s="335"/>
      <c r="R300" s="335"/>
    </row>
    <row r="301" spans="1:18" s="313" customFormat="1" ht="16.5">
      <c r="A301" s="331">
        <v>45016</v>
      </c>
      <c r="B301" s="313" t="s">
        <v>498</v>
      </c>
      <c r="C301" s="335" t="s">
        <v>278</v>
      </c>
      <c r="D301" s="313" t="s">
        <v>4</v>
      </c>
      <c r="F301" s="313">
        <v>45000</v>
      </c>
      <c r="G301" s="314">
        <f t="shared" si="4"/>
        <v>36364485</v>
      </c>
      <c r="H301" s="313" t="s">
        <v>29</v>
      </c>
      <c r="I301" s="313" t="s">
        <v>302</v>
      </c>
      <c r="J301" s="313" t="s">
        <v>542</v>
      </c>
      <c r="K301" s="313" t="s">
        <v>206</v>
      </c>
      <c r="L301" s="313" t="s">
        <v>318</v>
      </c>
      <c r="M301" s="330" t="s">
        <v>635</v>
      </c>
      <c r="N301" s="313" t="s">
        <v>330</v>
      </c>
    </row>
    <row r="302" spans="1:18" s="313" customFormat="1" ht="16.5"/>
    <row r="303" spans="1:18" s="313" customFormat="1" ht="16.5"/>
    <row r="304" spans="1:18" s="313" customFormat="1" ht="16.5"/>
    <row r="305" s="313" customFormat="1" ht="16.5"/>
    <row r="306" s="313" customFormat="1" ht="16.5"/>
    <row r="307" s="313" customFormat="1" ht="16.5"/>
    <row r="308" s="313" customFormat="1" ht="16.5"/>
    <row r="309" s="313" customFormat="1" ht="16.5"/>
    <row r="310" s="313" customFormat="1" ht="16.5"/>
    <row r="311" s="313" customFormat="1" ht="16.5"/>
    <row r="312" s="313" customFormat="1" ht="16.5"/>
    <row r="313" s="313" customFormat="1" ht="16.5"/>
  </sheetData>
  <autoFilter ref="A12:O301">
    <filterColumn colId="2">
      <filters blank="1">
        <filter val="bank fees"/>
        <filter val="Bonus"/>
        <filter val="Court Fees"/>
        <filter val="Equipements"/>
        <filter val="Grant"/>
        <filter val="Internet"/>
        <filter val="Jail Visits"/>
        <filter val="Lawyer fees"/>
        <filter val="Office Materials"/>
        <filter val="Personnel"/>
        <filter val="Rent &amp; Utilities"/>
        <filter val="Services"/>
        <filter val="Telephone"/>
        <filter val="Transfer fees"/>
        <filter val="Transport"/>
        <filter val="Travel Subsistence"/>
        <filter val="Trust Building"/>
      </filters>
    </filterColumn>
    <filterColumn colId="7"/>
    <filterColumn colId="10"/>
    <sortState ref="A13:O303">
      <sortCondition ref="A12:A303"/>
    </sortState>
  </autoFilter>
  <sortState ref="A13:A334">
    <sortCondition ref="A13:A334"/>
  </sortState>
  <mergeCells count="1">
    <mergeCell ref="A1:O1"/>
  </mergeCells>
  <dataValidations count="1">
    <dataValidation type="list" allowBlank="1" showInputMessage="1" showErrorMessage="1" sqref="F117:F118">
      <formula1>$N$3775:$N$3795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rowBreaks count="2" manualBreakCount="2">
    <brk id="11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Récapitulatif</vt:lpstr>
      <vt:lpstr>Donateurs</vt:lpstr>
      <vt:lpstr>Feuil3</vt:lpstr>
      <vt:lpstr>DATA MARS 2023</vt:lpstr>
      <vt:lpstr>'DATA MARS 2023'!Zone_d_impression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2023-04-25T15:47:27Z</dcterms:modified>
</cp:coreProperties>
</file>